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ФЕР'!$24:$24</definedName>
    <definedName name="_xlnm.Print_Area" localSheetId="1">'Акт КС-2 c НР и СП'!$A$1:$H$2042</definedName>
    <definedName name="_xlnm.Print_Area" localSheetId="0">'Смета 12 гр. по ФЕР'!$A$1:$L$1458</definedName>
  </definedNames>
  <calcPr calcId="145621"/>
</workbook>
</file>

<file path=xl/calcChain.xml><?xml version="1.0" encoding="utf-8"?>
<calcChain xmlns="http://schemas.openxmlformats.org/spreadsheetml/2006/main">
  <c r="G2037" i="6" l="1"/>
  <c r="G2032" i="6"/>
  <c r="C2037" i="6"/>
  <c r="C2032" i="6"/>
  <c r="AG2028" i="6"/>
  <c r="H2028" i="6"/>
  <c r="C2028" i="6"/>
  <c r="G2026" i="6"/>
  <c r="C2026" i="6"/>
  <c r="G2025" i="6"/>
  <c r="C2025" i="6"/>
  <c r="G2024" i="6"/>
  <c r="C2024" i="6"/>
  <c r="H2021" i="6"/>
  <c r="C2021" i="6"/>
  <c r="H2017" i="6"/>
  <c r="C2017" i="6"/>
  <c r="D2015" i="6"/>
  <c r="AB2014" i="6"/>
  <c r="AA2014" i="6"/>
  <c r="Z2014" i="6"/>
  <c r="Y2014" i="6"/>
  <c r="X2014" i="6"/>
  <c r="W2014" i="6"/>
  <c r="V2014" i="6"/>
  <c r="U2014" i="6"/>
  <c r="T2014" i="6"/>
  <c r="H2014" i="6"/>
  <c r="G2014" i="6"/>
  <c r="F2014" i="6"/>
  <c r="E2014" i="6"/>
  <c r="C2014" i="6"/>
  <c r="D2014" i="6"/>
  <c r="B2014" i="6"/>
  <c r="D2013" i="6"/>
  <c r="AB2012" i="6"/>
  <c r="AA2012" i="6"/>
  <c r="Z2012" i="6"/>
  <c r="Y2012" i="6"/>
  <c r="X2012" i="6"/>
  <c r="W2012" i="6"/>
  <c r="V2012" i="6"/>
  <c r="U2012" i="6"/>
  <c r="T2012" i="6"/>
  <c r="H2012" i="6"/>
  <c r="G2012" i="6"/>
  <c r="F2012" i="6"/>
  <c r="E2012" i="6"/>
  <c r="C2012" i="6"/>
  <c r="D2012" i="6"/>
  <c r="B2012" i="6"/>
  <c r="H2011" i="6"/>
  <c r="G2011" i="6"/>
  <c r="H2010" i="6"/>
  <c r="G2010" i="6"/>
  <c r="H2009" i="6"/>
  <c r="G2009" i="6"/>
  <c r="F2009" i="6"/>
  <c r="H2008" i="6"/>
  <c r="G2008" i="6"/>
  <c r="H2007" i="6"/>
  <c r="G2007" i="6"/>
  <c r="F2007" i="6"/>
  <c r="D2001" i="6"/>
  <c r="D2000" i="6"/>
  <c r="D1999" i="6"/>
  <c r="D1998" i="6"/>
  <c r="C1997" i="6"/>
  <c r="AB1996" i="6"/>
  <c r="AA1996" i="6"/>
  <c r="Z1996" i="6"/>
  <c r="Y1996" i="6"/>
  <c r="X1996" i="6"/>
  <c r="W1996" i="6"/>
  <c r="V1996" i="6"/>
  <c r="U1996" i="6"/>
  <c r="T1996" i="6"/>
  <c r="H1996" i="6"/>
  <c r="G1996" i="6"/>
  <c r="F1996" i="6"/>
  <c r="E1996" i="6"/>
  <c r="C1996" i="6"/>
  <c r="D1996" i="6"/>
  <c r="B1996" i="6"/>
  <c r="D1995" i="6"/>
  <c r="AB1994" i="6"/>
  <c r="AA1994" i="6"/>
  <c r="Z1994" i="6"/>
  <c r="Y1994" i="6"/>
  <c r="X1994" i="6"/>
  <c r="W1994" i="6"/>
  <c r="V1994" i="6"/>
  <c r="U1994" i="6"/>
  <c r="T1994" i="6"/>
  <c r="H1994" i="6"/>
  <c r="G1994" i="6"/>
  <c r="F1994" i="6"/>
  <c r="E1994" i="6"/>
  <c r="C1994" i="6"/>
  <c r="D1994" i="6"/>
  <c r="B1994" i="6"/>
  <c r="D1993" i="6"/>
  <c r="AB1992" i="6"/>
  <c r="AA1992" i="6"/>
  <c r="Z1992" i="6"/>
  <c r="Y1992" i="6"/>
  <c r="X1992" i="6"/>
  <c r="W1992" i="6"/>
  <c r="V1992" i="6"/>
  <c r="U1992" i="6"/>
  <c r="T1992" i="6"/>
  <c r="H1992" i="6"/>
  <c r="G1992" i="6"/>
  <c r="F1992" i="6"/>
  <c r="E1992" i="6"/>
  <c r="C1992" i="6"/>
  <c r="D1992" i="6"/>
  <c r="B1992" i="6"/>
  <c r="H1991" i="6"/>
  <c r="G1991" i="6"/>
  <c r="H1990" i="6"/>
  <c r="G1990" i="6"/>
  <c r="H1989" i="6"/>
  <c r="G1989" i="6"/>
  <c r="F1989" i="6"/>
  <c r="H1988" i="6"/>
  <c r="G1988" i="6"/>
  <c r="H1987" i="6"/>
  <c r="G1987" i="6"/>
  <c r="F1987" i="6"/>
  <c r="D1981" i="6"/>
  <c r="D1980" i="6"/>
  <c r="D1979" i="6"/>
  <c r="D1978" i="6"/>
  <c r="C1977" i="6"/>
  <c r="AB1976" i="6"/>
  <c r="AA1976" i="6"/>
  <c r="Z1976" i="6"/>
  <c r="Y1976" i="6"/>
  <c r="X1976" i="6"/>
  <c r="W1976" i="6"/>
  <c r="V1976" i="6"/>
  <c r="U1976" i="6"/>
  <c r="T1976" i="6"/>
  <c r="H1976" i="6"/>
  <c r="G1976" i="6"/>
  <c r="F1976" i="6"/>
  <c r="E1976" i="6"/>
  <c r="C1976" i="6"/>
  <c r="D1976" i="6"/>
  <c r="B1976" i="6"/>
  <c r="D1975" i="6"/>
  <c r="AB1974" i="6"/>
  <c r="AA1974" i="6"/>
  <c r="Z1974" i="6"/>
  <c r="Y1974" i="6"/>
  <c r="X1974" i="6"/>
  <c r="W1974" i="6"/>
  <c r="V1974" i="6"/>
  <c r="U1974" i="6"/>
  <c r="T1974" i="6"/>
  <c r="H1974" i="6"/>
  <c r="G1974" i="6"/>
  <c r="F1974" i="6"/>
  <c r="E1974" i="6"/>
  <c r="C1974" i="6"/>
  <c r="D1974" i="6"/>
  <c r="B1974" i="6"/>
  <c r="D1973" i="6"/>
  <c r="AB1972" i="6"/>
  <c r="AA1972" i="6"/>
  <c r="Z1972" i="6"/>
  <c r="Y1972" i="6"/>
  <c r="X1972" i="6"/>
  <c r="W1972" i="6"/>
  <c r="V1972" i="6"/>
  <c r="U1972" i="6"/>
  <c r="T1972" i="6"/>
  <c r="H1972" i="6"/>
  <c r="G1972" i="6"/>
  <c r="F1972" i="6"/>
  <c r="E1972" i="6"/>
  <c r="C1972" i="6"/>
  <c r="D1972" i="6"/>
  <c r="B1972" i="6"/>
  <c r="H1971" i="6"/>
  <c r="G1971" i="6"/>
  <c r="H1970" i="6"/>
  <c r="G1970" i="6"/>
  <c r="H1969" i="6"/>
  <c r="G1969" i="6"/>
  <c r="F1969" i="6"/>
  <c r="H1968" i="6"/>
  <c r="G1968" i="6"/>
  <c r="H1967" i="6"/>
  <c r="G1967" i="6"/>
  <c r="F1967" i="6"/>
  <c r="D1961" i="6"/>
  <c r="D1960" i="6"/>
  <c r="D1959" i="6"/>
  <c r="D1958" i="6"/>
  <c r="C1957" i="6"/>
  <c r="AB1956" i="6"/>
  <c r="AA1956" i="6"/>
  <c r="Z1956" i="6"/>
  <c r="Y1956" i="6"/>
  <c r="X1956" i="6"/>
  <c r="W1956" i="6"/>
  <c r="V1956" i="6"/>
  <c r="U1956" i="6"/>
  <c r="T1956" i="6"/>
  <c r="H1956" i="6"/>
  <c r="G1956" i="6"/>
  <c r="F1956" i="6"/>
  <c r="E1956" i="6"/>
  <c r="C1956" i="6"/>
  <c r="D1956" i="6"/>
  <c r="B1956" i="6"/>
  <c r="D1955" i="6"/>
  <c r="AB1954" i="6"/>
  <c r="AA1954" i="6"/>
  <c r="Z1954" i="6"/>
  <c r="Y1954" i="6"/>
  <c r="X1954" i="6"/>
  <c r="W1954" i="6"/>
  <c r="V1954" i="6"/>
  <c r="U1954" i="6"/>
  <c r="T1954" i="6"/>
  <c r="H1954" i="6"/>
  <c r="G1954" i="6"/>
  <c r="F1954" i="6"/>
  <c r="E1954" i="6"/>
  <c r="C1954" i="6"/>
  <c r="D1954" i="6"/>
  <c r="B1954" i="6"/>
  <c r="H1953" i="6"/>
  <c r="G1953" i="6"/>
  <c r="H1952" i="6"/>
  <c r="G1952" i="6"/>
  <c r="H1951" i="6"/>
  <c r="G1951" i="6"/>
  <c r="F1951" i="6"/>
  <c r="H1950" i="6"/>
  <c r="G1950" i="6"/>
  <c r="H1949" i="6"/>
  <c r="G1949" i="6"/>
  <c r="F1949" i="6"/>
  <c r="D1943" i="6"/>
  <c r="D1942" i="6"/>
  <c r="D1941" i="6"/>
  <c r="D1940" i="6"/>
  <c r="C1939" i="6"/>
  <c r="AB1938" i="6"/>
  <c r="AA1938" i="6"/>
  <c r="Z1938" i="6"/>
  <c r="Y1938" i="6"/>
  <c r="X1938" i="6"/>
  <c r="W1938" i="6"/>
  <c r="V1938" i="6"/>
  <c r="U1938" i="6"/>
  <c r="T1938" i="6"/>
  <c r="H1938" i="6"/>
  <c r="G1938" i="6"/>
  <c r="F1938" i="6"/>
  <c r="E1938" i="6"/>
  <c r="C1938" i="6"/>
  <c r="D1938" i="6"/>
  <c r="B1938" i="6"/>
  <c r="D1937" i="6"/>
  <c r="AB1936" i="6"/>
  <c r="AA1936" i="6"/>
  <c r="Z1936" i="6"/>
  <c r="Y1936" i="6"/>
  <c r="X1936" i="6"/>
  <c r="W1936" i="6"/>
  <c r="V1936" i="6"/>
  <c r="U1936" i="6"/>
  <c r="T1936" i="6"/>
  <c r="H1936" i="6"/>
  <c r="G1936" i="6"/>
  <c r="F1936" i="6"/>
  <c r="E1936" i="6"/>
  <c r="C1936" i="6"/>
  <c r="D1936" i="6"/>
  <c r="B1936" i="6"/>
  <c r="D1935" i="6"/>
  <c r="AB1934" i="6"/>
  <c r="AA1934" i="6"/>
  <c r="Z1934" i="6"/>
  <c r="Y1934" i="6"/>
  <c r="X1934" i="6"/>
  <c r="W1934" i="6"/>
  <c r="V1934" i="6"/>
  <c r="U1934" i="6"/>
  <c r="T1934" i="6"/>
  <c r="H1934" i="6"/>
  <c r="G1934" i="6"/>
  <c r="F1934" i="6"/>
  <c r="E1934" i="6"/>
  <c r="C1934" i="6"/>
  <c r="D1934" i="6"/>
  <c r="B1934" i="6"/>
  <c r="H1933" i="6"/>
  <c r="G1933" i="6"/>
  <c r="H1932" i="6"/>
  <c r="G1932" i="6"/>
  <c r="H1931" i="6"/>
  <c r="G1931" i="6"/>
  <c r="F1931" i="6"/>
  <c r="H1930" i="6"/>
  <c r="G1930" i="6"/>
  <c r="H1929" i="6"/>
  <c r="G1929" i="6"/>
  <c r="F1929" i="6"/>
  <c r="D1923" i="6"/>
  <c r="D1922" i="6"/>
  <c r="D1921" i="6"/>
  <c r="D1920" i="6"/>
  <c r="C1919" i="6"/>
  <c r="AB1918" i="6"/>
  <c r="AA1918" i="6"/>
  <c r="Z1918" i="6"/>
  <c r="Y1918" i="6"/>
  <c r="X1918" i="6"/>
  <c r="W1918" i="6"/>
  <c r="V1918" i="6"/>
  <c r="U1918" i="6"/>
  <c r="T1918" i="6"/>
  <c r="H1918" i="6"/>
  <c r="G1918" i="6"/>
  <c r="F1918" i="6"/>
  <c r="E1918" i="6"/>
  <c r="C1918" i="6"/>
  <c r="D1918" i="6"/>
  <c r="B1918" i="6"/>
  <c r="H1917" i="6"/>
  <c r="G1917" i="6"/>
  <c r="H1916" i="6"/>
  <c r="G1916" i="6"/>
  <c r="F1916" i="6"/>
  <c r="H1915" i="6"/>
  <c r="G1915" i="6"/>
  <c r="F1915" i="6"/>
  <c r="D1914" i="6"/>
  <c r="D1913" i="6"/>
  <c r="D1912" i="6"/>
  <c r="D1911" i="6"/>
  <c r="C1910" i="6"/>
  <c r="AB1909" i="6"/>
  <c r="AA1909" i="6"/>
  <c r="Z1909" i="6"/>
  <c r="Y1909" i="6"/>
  <c r="X1909" i="6"/>
  <c r="W1909" i="6"/>
  <c r="V1909" i="6"/>
  <c r="U1909" i="6"/>
  <c r="T1909" i="6"/>
  <c r="H1909" i="6"/>
  <c r="G1909" i="6"/>
  <c r="F1909" i="6"/>
  <c r="E1909" i="6"/>
  <c r="C1909" i="6"/>
  <c r="D1909" i="6"/>
  <c r="B1909" i="6"/>
  <c r="H1908" i="6"/>
  <c r="G1908" i="6"/>
  <c r="H1907" i="6"/>
  <c r="G1907" i="6"/>
  <c r="H1906" i="6"/>
  <c r="G1906" i="6"/>
  <c r="F1906" i="6"/>
  <c r="H1905" i="6"/>
  <c r="G1905" i="6"/>
  <c r="H1904" i="6"/>
  <c r="G1904" i="6"/>
  <c r="F1904" i="6"/>
  <c r="D1897" i="6"/>
  <c r="D1896" i="6"/>
  <c r="D1895" i="6"/>
  <c r="D1894" i="6"/>
  <c r="C1893" i="6"/>
  <c r="AB1892" i="6"/>
  <c r="AA1892" i="6"/>
  <c r="Z1892" i="6"/>
  <c r="Y1892" i="6"/>
  <c r="X1892" i="6"/>
  <c r="W1892" i="6"/>
  <c r="V1892" i="6"/>
  <c r="U1892" i="6"/>
  <c r="T1892" i="6"/>
  <c r="H1892" i="6"/>
  <c r="G1892" i="6"/>
  <c r="F1892" i="6"/>
  <c r="E1892" i="6"/>
  <c r="C1892" i="6"/>
  <c r="D1892" i="6"/>
  <c r="B1892" i="6"/>
  <c r="H1891" i="6"/>
  <c r="G1891" i="6"/>
  <c r="H1890" i="6"/>
  <c r="G1890" i="6"/>
  <c r="F1890" i="6"/>
  <c r="H1889" i="6"/>
  <c r="G1889" i="6"/>
  <c r="F1889" i="6"/>
  <c r="D1888" i="6"/>
  <c r="D1887" i="6"/>
  <c r="D1886" i="6"/>
  <c r="D1885" i="6"/>
  <c r="C1884" i="6"/>
  <c r="AB1883" i="6"/>
  <c r="AA1883" i="6"/>
  <c r="Z1883" i="6"/>
  <c r="Y1883" i="6"/>
  <c r="X1883" i="6"/>
  <c r="W1883" i="6"/>
  <c r="V1883" i="6"/>
  <c r="U1883" i="6"/>
  <c r="T1883" i="6"/>
  <c r="H1883" i="6"/>
  <c r="G1883" i="6"/>
  <c r="F1883" i="6"/>
  <c r="E1883" i="6"/>
  <c r="C1883" i="6"/>
  <c r="D1883" i="6"/>
  <c r="B1883" i="6"/>
  <c r="A1882" i="6"/>
  <c r="AG1878" i="6"/>
  <c r="H1878" i="6"/>
  <c r="C1878" i="6"/>
  <c r="H1876" i="6"/>
  <c r="G1876" i="6"/>
  <c r="H1875" i="6"/>
  <c r="G1875" i="6"/>
  <c r="H1874" i="6"/>
  <c r="G1874" i="6"/>
  <c r="F1874" i="6"/>
  <c r="H1873" i="6"/>
  <c r="G1873" i="6"/>
  <c r="H1872" i="6"/>
  <c r="G1872" i="6"/>
  <c r="F1872" i="6"/>
  <c r="D1866" i="6"/>
  <c r="D1865" i="6"/>
  <c r="D1864" i="6"/>
  <c r="D1863" i="6"/>
  <c r="C1862" i="6"/>
  <c r="AB1861" i="6"/>
  <c r="AA1861" i="6"/>
  <c r="Z1861" i="6"/>
  <c r="Y1861" i="6"/>
  <c r="X1861" i="6"/>
  <c r="W1861" i="6"/>
  <c r="V1861" i="6"/>
  <c r="U1861" i="6"/>
  <c r="T1861" i="6"/>
  <c r="H1861" i="6"/>
  <c r="G1861" i="6"/>
  <c r="F1861" i="6"/>
  <c r="E1861" i="6"/>
  <c r="C1861" i="6"/>
  <c r="D1861" i="6"/>
  <c r="B1861" i="6"/>
  <c r="H1860" i="6"/>
  <c r="G1860" i="6"/>
  <c r="H1859" i="6"/>
  <c r="G1859" i="6"/>
  <c r="H1858" i="6"/>
  <c r="G1858" i="6"/>
  <c r="F1858" i="6"/>
  <c r="H1857" i="6"/>
  <c r="G1857" i="6"/>
  <c r="H1856" i="6"/>
  <c r="G1856" i="6"/>
  <c r="F1856" i="6"/>
  <c r="D1850" i="6"/>
  <c r="D1849" i="6"/>
  <c r="D1848" i="6"/>
  <c r="D1847" i="6"/>
  <c r="C1846" i="6"/>
  <c r="AB1845" i="6"/>
  <c r="AA1845" i="6"/>
  <c r="Z1845" i="6"/>
  <c r="Y1845" i="6"/>
  <c r="X1845" i="6"/>
  <c r="W1845" i="6"/>
  <c r="V1845" i="6"/>
  <c r="U1845" i="6"/>
  <c r="T1845" i="6"/>
  <c r="H1845" i="6"/>
  <c r="G1845" i="6"/>
  <c r="F1845" i="6"/>
  <c r="E1845" i="6"/>
  <c r="C1845" i="6"/>
  <c r="D1845" i="6"/>
  <c r="B1845" i="6"/>
  <c r="D1844" i="6"/>
  <c r="AB1843" i="6"/>
  <c r="AA1843" i="6"/>
  <c r="Z1843" i="6"/>
  <c r="Y1843" i="6"/>
  <c r="X1843" i="6"/>
  <c r="W1843" i="6"/>
  <c r="V1843" i="6"/>
  <c r="U1843" i="6"/>
  <c r="T1843" i="6"/>
  <c r="H1843" i="6"/>
  <c r="G1843" i="6"/>
  <c r="F1843" i="6"/>
  <c r="E1843" i="6"/>
  <c r="C1843" i="6"/>
  <c r="D1843" i="6"/>
  <c r="B1843" i="6"/>
  <c r="D1842" i="6"/>
  <c r="AB1841" i="6"/>
  <c r="AA1841" i="6"/>
  <c r="Z1841" i="6"/>
  <c r="Y1841" i="6"/>
  <c r="X1841" i="6"/>
  <c r="W1841" i="6"/>
  <c r="V1841" i="6"/>
  <c r="U1841" i="6"/>
  <c r="T1841" i="6"/>
  <c r="H1841" i="6"/>
  <c r="G1841" i="6"/>
  <c r="F1841" i="6"/>
  <c r="E1841" i="6"/>
  <c r="C1841" i="6"/>
  <c r="D1841" i="6"/>
  <c r="B1841" i="6"/>
  <c r="D1840" i="6"/>
  <c r="AB1839" i="6"/>
  <c r="AA1839" i="6"/>
  <c r="Z1839" i="6"/>
  <c r="Y1839" i="6"/>
  <c r="X1839" i="6"/>
  <c r="W1839" i="6"/>
  <c r="V1839" i="6"/>
  <c r="U1839" i="6"/>
  <c r="T1839" i="6"/>
  <c r="H1839" i="6"/>
  <c r="G1839" i="6"/>
  <c r="F1839" i="6"/>
  <c r="E1839" i="6"/>
  <c r="C1839" i="6"/>
  <c r="D1839" i="6"/>
  <c r="B1839" i="6"/>
  <c r="H1838" i="6"/>
  <c r="G1838" i="6"/>
  <c r="H1837" i="6"/>
  <c r="G1837" i="6"/>
  <c r="H1836" i="6"/>
  <c r="G1836" i="6"/>
  <c r="F1836" i="6"/>
  <c r="H1835" i="6"/>
  <c r="G1835" i="6"/>
  <c r="H1834" i="6"/>
  <c r="G1834" i="6"/>
  <c r="F1834" i="6"/>
  <c r="D1828" i="6"/>
  <c r="D1827" i="6"/>
  <c r="D1826" i="6"/>
  <c r="D1825" i="6"/>
  <c r="C1824" i="6"/>
  <c r="AB1823" i="6"/>
  <c r="AA1823" i="6"/>
  <c r="Z1823" i="6"/>
  <c r="Y1823" i="6"/>
  <c r="X1823" i="6"/>
  <c r="W1823" i="6"/>
  <c r="V1823" i="6"/>
  <c r="U1823" i="6"/>
  <c r="T1823" i="6"/>
  <c r="H1823" i="6"/>
  <c r="G1823" i="6"/>
  <c r="F1823" i="6"/>
  <c r="E1823" i="6"/>
  <c r="C1823" i="6"/>
  <c r="D1823" i="6"/>
  <c r="B1823" i="6"/>
  <c r="D1822" i="6"/>
  <c r="AB1821" i="6"/>
  <c r="AA1821" i="6"/>
  <c r="Z1821" i="6"/>
  <c r="Y1821" i="6"/>
  <c r="X1821" i="6"/>
  <c r="W1821" i="6"/>
  <c r="V1821" i="6"/>
  <c r="U1821" i="6"/>
  <c r="T1821" i="6"/>
  <c r="H1821" i="6"/>
  <c r="G1821" i="6"/>
  <c r="F1821" i="6"/>
  <c r="E1821" i="6"/>
  <c r="C1821" i="6"/>
  <c r="D1821" i="6"/>
  <c r="B1821" i="6"/>
  <c r="D1820" i="6"/>
  <c r="AB1819" i="6"/>
  <c r="AA1819" i="6"/>
  <c r="Z1819" i="6"/>
  <c r="Y1819" i="6"/>
  <c r="X1819" i="6"/>
  <c r="W1819" i="6"/>
  <c r="V1819" i="6"/>
  <c r="U1819" i="6"/>
  <c r="T1819" i="6"/>
  <c r="H1819" i="6"/>
  <c r="G1819" i="6"/>
  <c r="F1819" i="6"/>
  <c r="E1819" i="6"/>
  <c r="C1819" i="6"/>
  <c r="D1819" i="6"/>
  <c r="B1819" i="6"/>
  <c r="D1818" i="6"/>
  <c r="AB1817" i="6"/>
  <c r="AA1817" i="6"/>
  <c r="Z1817" i="6"/>
  <c r="Y1817" i="6"/>
  <c r="X1817" i="6"/>
  <c r="W1817" i="6"/>
  <c r="V1817" i="6"/>
  <c r="U1817" i="6"/>
  <c r="T1817" i="6"/>
  <c r="H1817" i="6"/>
  <c r="G1817" i="6"/>
  <c r="F1817" i="6"/>
  <c r="E1817" i="6"/>
  <c r="C1817" i="6"/>
  <c r="D1817" i="6"/>
  <c r="B1817" i="6"/>
  <c r="H1816" i="6"/>
  <c r="G1816" i="6"/>
  <c r="H1815" i="6"/>
  <c r="G1815" i="6"/>
  <c r="H1814" i="6"/>
  <c r="G1814" i="6"/>
  <c r="F1814" i="6"/>
  <c r="H1813" i="6"/>
  <c r="G1813" i="6"/>
  <c r="H1812" i="6"/>
  <c r="G1812" i="6"/>
  <c r="F1812" i="6"/>
  <c r="D1806" i="6"/>
  <c r="D1805" i="6"/>
  <c r="D1804" i="6"/>
  <c r="D1803" i="6"/>
  <c r="C1802" i="6"/>
  <c r="AB1801" i="6"/>
  <c r="AA1801" i="6"/>
  <c r="Z1801" i="6"/>
  <c r="Y1801" i="6"/>
  <c r="X1801" i="6"/>
  <c r="W1801" i="6"/>
  <c r="V1801" i="6"/>
  <c r="U1801" i="6"/>
  <c r="T1801" i="6"/>
  <c r="H1801" i="6"/>
  <c r="G1801" i="6"/>
  <c r="F1801" i="6"/>
  <c r="E1801" i="6"/>
  <c r="C1801" i="6"/>
  <c r="D1801" i="6"/>
  <c r="B1801" i="6"/>
  <c r="H1800" i="6"/>
  <c r="G1800" i="6"/>
  <c r="H1799" i="6"/>
  <c r="G1799" i="6"/>
  <c r="F1799" i="6"/>
  <c r="H1798" i="6"/>
  <c r="G1798" i="6"/>
  <c r="F1798" i="6"/>
  <c r="D1797" i="6"/>
  <c r="D1796" i="6"/>
  <c r="D1795" i="6"/>
  <c r="D1794" i="6"/>
  <c r="C1793" i="6"/>
  <c r="AB1792" i="6"/>
  <c r="AA1792" i="6"/>
  <c r="Z1792" i="6"/>
  <c r="Y1792" i="6"/>
  <c r="X1792" i="6"/>
  <c r="W1792" i="6"/>
  <c r="V1792" i="6"/>
  <c r="U1792" i="6"/>
  <c r="T1792" i="6"/>
  <c r="H1792" i="6"/>
  <c r="G1792" i="6"/>
  <c r="F1792" i="6"/>
  <c r="E1792" i="6"/>
  <c r="C1792" i="6"/>
  <c r="D1792" i="6"/>
  <c r="B1792" i="6"/>
  <c r="H1791" i="6"/>
  <c r="G1791" i="6"/>
  <c r="H1790" i="6"/>
  <c r="G1790" i="6"/>
  <c r="F1790" i="6"/>
  <c r="H1789" i="6"/>
  <c r="G1789" i="6"/>
  <c r="F1789" i="6"/>
  <c r="D1787" i="6"/>
  <c r="D1786" i="6"/>
  <c r="D1785" i="6"/>
  <c r="D1784" i="6"/>
  <c r="C1783" i="6"/>
  <c r="AB1782" i="6"/>
  <c r="AA1782" i="6"/>
  <c r="Z1782" i="6"/>
  <c r="Y1782" i="6"/>
  <c r="X1782" i="6"/>
  <c r="W1782" i="6"/>
  <c r="V1782" i="6"/>
  <c r="U1782" i="6"/>
  <c r="T1782" i="6"/>
  <c r="H1782" i="6"/>
  <c r="G1782" i="6"/>
  <c r="F1782" i="6"/>
  <c r="E1782" i="6"/>
  <c r="C1782" i="6"/>
  <c r="D1782" i="6"/>
  <c r="B1782" i="6"/>
  <c r="A1781" i="6"/>
  <c r="H1777" i="6"/>
  <c r="C1777" i="6"/>
  <c r="H1775" i="6"/>
  <c r="G1775" i="6"/>
  <c r="H1774" i="6"/>
  <c r="G1774" i="6"/>
  <c r="H1773" i="6"/>
  <c r="G1773" i="6"/>
  <c r="F1773" i="6"/>
  <c r="H1772" i="6"/>
  <c r="G1772" i="6"/>
  <c r="H1771" i="6"/>
  <c r="G1771" i="6"/>
  <c r="F1771" i="6"/>
  <c r="D1765" i="6"/>
  <c r="D1764" i="6"/>
  <c r="D1763" i="6"/>
  <c r="D1762" i="6"/>
  <c r="C1761" i="6"/>
  <c r="AB1760" i="6"/>
  <c r="AA1760" i="6"/>
  <c r="Z1760" i="6"/>
  <c r="Y1760" i="6"/>
  <c r="X1760" i="6"/>
  <c r="W1760" i="6"/>
  <c r="V1760" i="6"/>
  <c r="U1760" i="6"/>
  <c r="T1760" i="6"/>
  <c r="H1760" i="6"/>
  <c r="G1760" i="6"/>
  <c r="F1760" i="6"/>
  <c r="E1760" i="6"/>
  <c r="C1760" i="6"/>
  <c r="D1760" i="6"/>
  <c r="B1760" i="6"/>
  <c r="D1759" i="6"/>
  <c r="AB1758" i="6"/>
  <c r="AA1758" i="6"/>
  <c r="Z1758" i="6"/>
  <c r="Y1758" i="6"/>
  <c r="X1758" i="6"/>
  <c r="W1758" i="6"/>
  <c r="V1758" i="6"/>
  <c r="U1758" i="6"/>
  <c r="T1758" i="6"/>
  <c r="H1758" i="6"/>
  <c r="G1758" i="6"/>
  <c r="F1758" i="6"/>
  <c r="E1758" i="6"/>
  <c r="C1758" i="6"/>
  <c r="D1758" i="6"/>
  <c r="B1758" i="6"/>
  <c r="D1757" i="6"/>
  <c r="AB1756" i="6"/>
  <c r="AA1756" i="6"/>
  <c r="Z1756" i="6"/>
  <c r="Y1756" i="6"/>
  <c r="X1756" i="6"/>
  <c r="W1756" i="6"/>
  <c r="V1756" i="6"/>
  <c r="U1756" i="6"/>
  <c r="T1756" i="6"/>
  <c r="H1756" i="6"/>
  <c r="G1756" i="6"/>
  <c r="F1756" i="6"/>
  <c r="E1756" i="6"/>
  <c r="C1756" i="6"/>
  <c r="D1756" i="6"/>
  <c r="B1756" i="6"/>
  <c r="H1755" i="6"/>
  <c r="G1755" i="6"/>
  <c r="H1754" i="6"/>
  <c r="G1754" i="6"/>
  <c r="H1753" i="6"/>
  <c r="G1753" i="6"/>
  <c r="F1753" i="6"/>
  <c r="H1752" i="6"/>
  <c r="G1752" i="6"/>
  <c r="H1751" i="6"/>
  <c r="G1751" i="6"/>
  <c r="F1751" i="6"/>
  <c r="D1745" i="6"/>
  <c r="D1744" i="6"/>
  <c r="D1743" i="6"/>
  <c r="D1742" i="6"/>
  <c r="C1741" i="6"/>
  <c r="AB1740" i="6"/>
  <c r="AA1740" i="6"/>
  <c r="Z1740" i="6"/>
  <c r="Y1740" i="6"/>
  <c r="X1740" i="6"/>
  <c r="W1740" i="6"/>
  <c r="V1740" i="6"/>
  <c r="U1740" i="6"/>
  <c r="T1740" i="6"/>
  <c r="H1740" i="6"/>
  <c r="G1740" i="6"/>
  <c r="F1740" i="6"/>
  <c r="E1740" i="6"/>
  <c r="C1740" i="6"/>
  <c r="D1740" i="6"/>
  <c r="B1740" i="6"/>
  <c r="H1739" i="6"/>
  <c r="G1739" i="6"/>
  <c r="H1738" i="6"/>
  <c r="G1738" i="6"/>
  <c r="H1737" i="6"/>
  <c r="G1737" i="6"/>
  <c r="F1737" i="6"/>
  <c r="H1736" i="6"/>
  <c r="G1736" i="6"/>
  <c r="H1735" i="6"/>
  <c r="G1735" i="6"/>
  <c r="F1735" i="6"/>
  <c r="D1734" i="6"/>
  <c r="D1733" i="6"/>
  <c r="D1732" i="6"/>
  <c r="D1731" i="6"/>
  <c r="AB1730" i="6"/>
  <c r="AA1730" i="6"/>
  <c r="Z1730" i="6"/>
  <c r="Y1730" i="6"/>
  <c r="X1730" i="6"/>
  <c r="W1730" i="6"/>
  <c r="V1730" i="6"/>
  <c r="U1730" i="6"/>
  <c r="T1730" i="6"/>
  <c r="H1730" i="6"/>
  <c r="G1730" i="6"/>
  <c r="F1730" i="6"/>
  <c r="E1730" i="6"/>
  <c r="C1730" i="6"/>
  <c r="D1730" i="6"/>
  <c r="B1730" i="6"/>
  <c r="D1729" i="6"/>
  <c r="AB1728" i="6"/>
  <c r="AA1728" i="6"/>
  <c r="Z1728" i="6"/>
  <c r="Y1728" i="6"/>
  <c r="X1728" i="6"/>
  <c r="W1728" i="6"/>
  <c r="V1728" i="6"/>
  <c r="U1728" i="6"/>
  <c r="T1728" i="6"/>
  <c r="H1728" i="6"/>
  <c r="G1728" i="6"/>
  <c r="F1728" i="6"/>
  <c r="E1728" i="6"/>
  <c r="C1728" i="6"/>
  <c r="D1728" i="6"/>
  <c r="B1728" i="6"/>
  <c r="H1727" i="6"/>
  <c r="G1727" i="6"/>
  <c r="H1726" i="6"/>
  <c r="G1726" i="6"/>
  <c r="H1725" i="6"/>
  <c r="G1725" i="6"/>
  <c r="F1725" i="6"/>
  <c r="H1724" i="6"/>
  <c r="G1724" i="6"/>
  <c r="H1723" i="6"/>
  <c r="G1723" i="6"/>
  <c r="F1723" i="6"/>
  <c r="D1717" i="6"/>
  <c r="D1716" i="6"/>
  <c r="D1715" i="6"/>
  <c r="D1714" i="6"/>
  <c r="C1713" i="6"/>
  <c r="AB1712" i="6"/>
  <c r="AA1712" i="6"/>
  <c r="Z1712" i="6"/>
  <c r="Y1712" i="6"/>
  <c r="X1712" i="6"/>
  <c r="W1712" i="6"/>
  <c r="V1712" i="6"/>
  <c r="U1712" i="6"/>
  <c r="T1712" i="6"/>
  <c r="H1712" i="6"/>
  <c r="G1712" i="6"/>
  <c r="F1712" i="6"/>
  <c r="E1712" i="6"/>
  <c r="C1712" i="6"/>
  <c r="D1712" i="6"/>
  <c r="B1712" i="6"/>
  <c r="H1711" i="6"/>
  <c r="G1711" i="6"/>
  <c r="H1710" i="6"/>
  <c r="G1710" i="6"/>
  <c r="H1709" i="6"/>
  <c r="G1709" i="6"/>
  <c r="F1709" i="6"/>
  <c r="H1708" i="6"/>
  <c r="G1708" i="6"/>
  <c r="H1707" i="6"/>
  <c r="G1707" i="6"/>
  <c r="F1707" i="6"/>
  <c r="D1706" i="6"/>
  <c r="D1705" i="6"/>
  <c r="D1704" i="6"/>
  <c r="D1703" i="6"/>
  <c r="C1702" i="6"/>
  <c r="AB1701" i="6"/>
  <c r="AA1701" i="6"/>
  <c r="Z1701" i="6"/>
  <c r="Y1701" i="6"/>
  <c r="X1701" i="6"/>
  <c r="W1701" i="6"/>
  <c r="V1701" i="6"/>
  <c r="U1701" i="6"/>
  <c r="T1701" i="6"/>
  <c r="H1701" i="6"/>
  <c r="G1701" i="6"/>
  <c r="F1701" i="6"/>
  <c r="E1701" i="6"/>
  <c r="C1701" i="6"/>
  <c r="D1701" i="6"/>
  <c r="B1701" i="6"/>
  <c r="D1700" i="6"/>
  <c r="AB1699" i="6"/>
  <c r="AA1699" i="6"/>
  <c r="Z1699" i="6"/>
  <c r="Y1699" i="6"/>
  <c r="X1699" i="6"/>
  <c r="W1699" i="6"/>
  <c r="V1699" i="6"/>
  <c r="U1699" i="6"/>
  <c r="T1699" i="6"/>
  <c r="H1699" i="6"/>
  <c r="G1699" i="6"/>
  <c r="F1699" i="6"/>
  <c r="E1699" i="6"/>
  <c r="C1699" i="6"/>
  <c r="D1699" i="6"/>
  <c r="B1699" i="6"/>
  <c r="D1698" i="6"/>
  <c r="AB1697" i="6"/>
  <c r="AA1697" i="6"/>
  <c r="Z1697" i="6"/>
  <c r="Y1697" i="6"/>
  <c r="X1697" i="6"/>
  <c r="W1697" i="6"/>
  <c r="V1697" i="6"/>
  <c r="U1697" i="6"/>
  <c r="T1697" i="6"/>
  <c r="H1697" i="6"/>
  <c r="G1697" i="6"/>
  <c r="F1697" i="6"/>
  <c r="E1697" i="6"/>
  <c r="C1697" i="6"/>
  <c r="D1697" i="6"/>
  <c r="B1697" i="6"/>
  <c r="D1696" i="6"/>
  <c r="AB1695" i="6"/>
  <c r="AA1695" i="6"/>
  <c r="Z1695" i="6"/>
  <c r="Y1695" i="6"/>
  <c r="X1695" i="6"/>
  <c r="W1695" i="6"/>
  <c r="V1695" i="6"/>
  <c r="U1695" i="6"/>
  <c r="T1695" i="6"/>
  <c r="H1695" i="6"/>
  <c r="G1695" i="6"/>
  <c r="F1695" i="6"/>
  <c r="E1695" i="6"/>
  <c r="C1695" i="6"/>
  <c r="D1695" i="6"/>
  <c r="B1695" i="6"/>
  <c r="H1694" i="6"/>
  <c r="G1694" i="6"/>
  <c r="H1693" i="6"/>
  <c r="G1693" i="6"/>
  <c r="H1692" i="6"/>
  <c r="G1692" i="6"/>
  <c r="F1692" i="6"/>
  <c r="H1691" i="6"/>
  <c r="G1691" i="6"/>
  <c r="H1690" i="6"/>
  <c r="G1690" i="6"/>
  <c r="F1690" i="6"/>
  <c r="D1684" i="6"/>
  <c r="D1683" i="6"/>
  <c r="D1682" i="6"/>
  <c r="D1681" i="6"/>
  <c r="C1680" i="6"/>
  <c r="AB1679" i="6"/>
  <c r="AA1679" i="6"/>
  <c r="Z1679" i="6"/>
  <c r="Y1679" i="6"/>
  <c r="X1679" i="6"/>
  <c r="W1679" i="6"/>
  <c r="V1679" i="6"/>
  <c r="U1679" i="6"/>
  <c r="T1679" i="6"/>
  <c r="H1679" i="6"/>
  <c r="G1679" i="6"/>
  <c r="F1679" i="6"/>
  <c r="E1679" i="6"/>
  <c r="C1679" i="6"/>
  <c r="D1679" i="6"/>
  <c r="B1679" i="6"/>
  <c r="D1678" i="6"/>
  <c r="AB1677" i="6"/>
  <c r="AA1677" i="6"/>
  <c r="Z1677" i="6"/>
  <c r="Y1677" i="6"/>
  <c r="X1677" i="6"/>
  <c r="W1677" i="6"/>
  <c r="V1677" i="6"/>
  <c r="U1677" i="6"/>
  <c r="T1677" i="6"/>
  <c r="H1677" i="6"/>
  <c r="G1677" i="6"/>
  <c r="F1677" i="6"/>
  <c r="E1677" i="6"/>
  <c r="C1677" i="6"/>
  <c r="D1677" i="6"/>
  <c r="B1677" i="6"/>
  <c r="D1676" i="6"/>
  <c r="AB1675" i="6"/>
  <c r="AA1675" i="6"/>
  <c r="Z1675" i="6"/>
  <c r="Y1675" i="6"/>
  <c r="X1675" i="6"/>
  <c r="W1675" i="6"/>
  <c r="V1675" i="6"/>
  <c r="U1675" i="6"/>
  <c r="T1675" i="6"/>
  <c r="H1675" i="6"/>
  <c r="G1675" i="6"/>
  <c r="F1675" i="6"/>
  <c r="E1675" i="6"/>
  <c r="C1675" i="6"/>
  <c r="D1675" i="6"/>
  <c r="B1675" i="6"/>
  <c r="D1674" i="6"/>
  <c r="AB1673" i="6"/>
  <c r="AA1673" i="6"/>
  <c r="Z1673" i="6"/>
  <c r="Y1673" i="6"/>
  <c r="X1673" i="6"/>
  <c r="W1673" i="6"/>
  <c r="V1673" i="6"/>
  <c r="U1673" i="6"/>
  <c r="T1673" i="6"/>
  <c r="H1673" i="6"/>
  <c r="G1673" i="6"/>
  <c r="F1673" i="6"/>
  <c r="E1673" i="6"/>
  <c r="C1673" i="6"/>
  <c r="D1673" i="6"/>
  <c r="B1673" i="6"/>
  <c r="D1672" i="6"/>
  <c r="AB1671" i="6"/>
  <c r="AA1671" i="6"/>
  <c r="Z1671" i="6"/>
  <c r="Y1671" i="6"/>
  <c r="X1671" i="6"/>
  <c r="W1671" i="6"/>
  <c r="V1671" i="6"/>
  <c r="U1671" i="6"/>
  <c r="T1671" i="6"/>
  <c r="H1671" i="6"/>
  <c r="G1671" i="6"/>
  <c r="F1671" i="6"/>
  <c r="E1671" i="6"/>
  <c r="C1671" i="6"/>
  <c r="D1671" i="6"/>
  <c r="B1671" i="6"/>
  <c r="H1670" i="6"/>
  <c r="G1670" i="6"/>
  <c r="H1669" i="6"/>
  <c r="G1669" i="6"/>
  <c r="H1668" i="6"/>
  <c r="G1668" i="6"/>
  <c r="F1668" i="6"/>
  <c r="H1667" i="6"/>
  <c r="G1667" i="6"/>
  <c r="H1666" i="6"/>
  <c r="G1666" i="6"/>
  <c r="F1666" i="6"/>
  <c r="D1660" i="6"/>
  <c r="D1659" i="6"/>
  <c r="D1658" i="6"/>
  <c r="D1657" i="6"/>
  <c r="C1656" i="6"/>
  <c r="AB1655" i="6"/>
  <c r="AA1655" i="6"/>
  <c r="Z1655" i="6"/>
  <c r="Y1655" i="6"/>
  <c r="X1655" i="6"/>
  <c r="W1655" i="6"/>
  <c r="V1655" i="6"/>
  <c r="U1655" i="6"/>
  <c r="T1655" i="6"/>
  <c r="H1655" i="6"/>
  <c r="G1655" i="6"/>
  <c r="F1655" i="6"/>
  <c r="E1655" i="6"/>
  <c r="C1655" i="6"/>
  <c r="D1655" i="6"/>
  <c r="B1655" i="6"/>
  <c r="H1654" i="6"/>
  <c r="G1654" i="6"/>
  <c r="H1653" i="6"/>
  <c r="G1653" i="6"/>
  <c r="F1653" i="6"/>
  <c r="H1652" i="6"/>
  <c r="G1652" i="6"/>
  <c r="F1652" i="6"/>
  <c r="D1650" i="6"/>
  <c r="D1649" i="6"/>
  <c r="D1648" i="6"/>
  <c r="D1647" i="6"/>
  <c r="C1646" i="6"/>
  <c r="AB1645" i="6"/>
  <c r="AA1645" i="6"/>
  <c r="Z1645" i="6"/>
  <c r="Y1645" i="6"/>
  <c r="X1645" i="6"/>
  <c r="W1645" i="6"/>
  <c r="V1645" i="6"/>
  <c r="U1645" i="6"/>
  <c r="T1645" i="6"/>
  <c r="H1645" i="6"/>
  <c r="G1645" i="6"/>
  <c r="F1645" i="6"/>
  <c r="E1645" i="6"/>
  <c r="C1645" i="6"/>
  <c r="D1645" i="6"/>
  <c r="B1645" i="6"/>
  <c r="H1644" i="6"/>
  <c r="G1644" i="6"/>
  <c r="H1643" i="6"/>
  <c r="G1643" i="6"/>
  <c r="F1643" i="6"/>
  <c r="H1642" i="6"/>
  <c r="G1642" i="6"/>
  <c r="F1642" i="6"/>
  <c r="D1641" i="6"/>
  <c r="D1640" i="6"/>
  <c r="D1639" i="6"/>
  <c r="D1638" i="6"/>
  <c r="C1637" i="6"/>
  <c r="AB1636" i="6"/>
  <c r="AA1636" i="6"/>
  <c r="Z1636" i="6"/>
  <c r="Y1636" i="6"/>
  <c r="X1636" i="6"/>
  <c r="W1636" i="6"/>
  <c r="V1636" i="6"/>
  <c r="U1636" i="6"/>
  <c r="T1636" i="6"/>
  <c r="H1636" i="6"/>
  <c r="G1636" i="6"/>
  <c r="F1636" i="6"/>
  <c r="E1636" i="6"/>
  <c r="C1636" i="6"/>
  <c r="D1636" i="6"/>
  <c r="B1636" i="6"/>
  <c r="A1635" i="6"/>
  <c r="H1631" i="6"/>
  <c r="C1631" i="6"/>
  <c r="D1629" i="6"/>
  <c r="AB1628" i="6"/>
  <c r="AA1628" i="6"/>
  <c r="Z1628" i="6"/>
  <c r="Y1628" i="6"/>
  <c r="X1628" i="6"/>
  <c r="W1628" i="6"/>
  <c r="V1628" i="6"/>
  <c r="U1628" i="6"/>
  <c r="T1628" i="6"/>
  <c r="H1628" i="6"/>
  <c r="G1628" i="6"/>
  <c r="F1628" i="6"/>
  <c r="E1628" i="6"/>
  <c r="C1628" i="6"/>
  <c r="D1628" i="6"/>
  <c r="B1628" i="6"/>
  <c r="H1627" i="6"/>
  <c r="G1627" i="6"/>
  <c r="H1626" i="6"/>
  <c r="G1626" i="6"/>
  <c r="F1626" i="6"/>
  <c r="H1625" i="6"/>
  <c r="G1625" i="6"/>
  <c r="F1625" i="6"/>
  <c r="D1624" i="6"/>
  <c r="D1623" i="6"/>
  <c r="D1622" i="6"/>
  <c r="D1621" i="6"/>
  <c r="C1620" i="6"/>
  <c r="AB1619" i="6"/>
  <c r="AA1619" i="6"/>
  <c r="Z1619" i="6"/>
  <c r="Y1619" i="6"/>
  <c r="X1619" i="6"/>
  <c r="W1619" i="6"/>
  <c r="V1619" i="6"/>
  <c r="U1619" i="6"/>
  <c r="T1619" i="6"/>
  <c r="H1619" i="6"/>
  <c r="G1619" i="6"/>
  <c r="F1619" i="6"/>
  <c r="E1619" i="6"/>
  <c r="C1619" i="6"/>
  <c r="D1619" i="6"/>
  <c r="B1619" i="6"/>
  <c r="D1618" i="6"/>
  <c r="AB1617" i="6"/>
  <c r="AA1617" i="6"/>
  <c r="Z1617" i="6"/>
  <c r="Y1617" i="6"/>
  <c r="X1617" i="6"/>
  <c r="W1617" i="6"/>
  <c r="V1617" i="6"/>
  <c r="U1617" i="6"/>
  <c r="T1617" i="6"/>
  <c r="H1617" i="6"/>
  <c r="G1617" i="6"/>
  <c r="F1617" i="6"/>
  <c r="E1617" i="6"/>
  <c r="C1617" i="6"/>
  <c r="D1617" i="6"/>
  <c r="B1617" i="6"/>
  <c r="H1616" i="6"/>
  <c r="G1616" i="6"/>
  <c r="H1615" i="6"/>
  <c r="G1615" i="6"/>
  <c r="F1615" i="6"/>
  <c r="H1614" i="6"/>
  <c r="G1614" i="6"/>
  <c r="F1614" i="6"/>
  <c r="D1613" i="6"/>
  <c r="D1612" i="6"/>
  <c r="D1611" i="6"/>
  <c r="D1610" i="6"/>
  <c r="C1609" i="6"/>
  <c r="AB1608" i="6"/>
  <c r="AA1608" i="6"/>
  <c r="Z1608" i="6"/>
  <c r="Y1608" i="6"/>
  <c r="X1608" i="6"/>
  <c r="W1608" i="6"/>
  <c r="V1608" i="6"/>
  <c r="U1608" i="6"/>
  <c r="T1608" i="6"/>
  <c r="H1608" i="6"/>
  <c r="G1608" i="6"/>
  <c r="F1608" i="6"/>
  <c r="E1608" i="6"/>
  <c r="C1608" i="6"/>
  <c r="D1608" i="6"/>
  <c r="B1608" i="6"/>
  <c r="H1607" i="6"/>
  <c r="G1607" i="6"/>
  <c r="H1606" i="6"/>
  <c r="G1606" i="6"/>
  <c r="F1606" i="6"/>
  <c r="H1605" i="6"/>
  <c r="G1605" i="6"/>
  <c r="F1605" i="6"/>
  <c r="D1604" i="6"/>
  <c r="D1603" i="6"/>
  <c r="D1602" i="6"/>
  <c r="D1601" i="6"/>
  <c r="C1600" i="6"/>
  <c r="AB1599" i="6"/>
  <c r="AA1599" i="6"/>
  <c r="Z1599" i="6"/>
  <c r="Y1599" i="6"/>
  <c r="X1599" i="6"/>
  <c r="W1599" i="6"/>
  <c r="V1599" i="6"/>
  <c r="U1599" i="6"/>
  <c r="T1599" i="6"/>
  <c r="H1599" i="6"/>
  <c r="G1599" i="6"/>
  <c r="F1599" i="6"/>
  <c r="E1599" i="6"/>
  <c r="C1599" i="6"/>
  <c r="D1599" i="6"/>
  <c r="B1599" i="6"/>
  <c r="D1598" i="6"/>
  <c r="AB1597" i="6"/>
  <c r="AA1597" i="6"/>
  <c r="Z1597" i="6"/>
  <c r="Y1597" i="6"/>
  <c r="X1597" i="6"/>
  <c r="W1597" i="6"/>
  <c r="V1597" i="6"/>
  <c r="U1597" i="6"/>
  <c r="T1597" i="6"/>
  <c r="H1597" i="6"/>
  <c r="G1597" i="6"/>
  <c r="F1597" i="6"/>
  <c r="E1597" i="6"/>
  <c r="C1597" i="6"/>
  <c r="D1597" i="6"/>
  <c r="B1597" i="6"/>
  <c r="H1596" i="6"/>
  <c r="G1596" i="6"/>
  <c r="H1595" i="6"/>
  <c r="G1595" i="6"/>
  <c r="F1595" i="6"/>
  <c r="H1594" i="6"/>
  <c r="G1594" i="6"/>
  <c r="F1594" i="6"/>
  <c r="D1593" i="6"/>
  <c r="D1592" i="6"/>
  <c r="D1591" i="6"/>
  <c r="D1590" i="6"/>
  <c r="C1589" i="6"/>
  <c r="AB1588" i="6"/>
  <c r="AA1588" i="6"/>
  <c r="Z1588" i="6"/>
  <c r="Y1588" i="6"/>
  <c r="X1588" i="6"/>
  <c r="W1588" i="6"/>
  <c r="V1588" i="6"/>
  <c r="U1588" i="6"/>
  <c r="T1588" i="6"/>
  <c r="H1588" i="6"/>
  <c r="G1588" i="6"/>
  <c r="F1588" i="6"/>
  <c r="E1588" i="6"/>
  <c r="C1588" i="6"/>
  <c r="D1588" i="6"/>
  <c r="B1588" i="6"/>
  <c r="D1587" i="6"/>
  <c r="AB1586" i="6"/>
  <c r="AA1586" i="6"/>
  <c r="Z1586" i="6"/>
  <c r="Y1586" i="6"/>
  <c r="X1586" i="6"/>
  <c r="W1586" i="6"/>
  <c r="V1586" i="6"/>
  <c r="U1586" i="6"/>
  <c r="T1586" i="6"/>
  <c r="H1586" i="6"/>
  <c r="G1586" i="6"/>
  <c r="F1586" i="6"/>
  <c r="E1586" i="6"/>
  <c r="C1586" i="6"/>
  <c r="D1586" i="6"/>
  <c r="B1586" i="6"/>
  <c r="H1585" i="6"/>
  <c r="G1585" i="6"/>
  <c r="H1584" i="6"/>
  <c r="G1584" i="6"/>
  <c r="F1584" i="6"/>
  <c r="H1583" i="6"/>
  <c r="G1583" i="6"/>
  <c r="F1583" i="6"/>
  <c r="D1582" i="6"/>
  <c r="D1581" i="6"/>
  <c r="D1580" i="6"/>
  <c r="D1579" i="6"/>
  <c r="C1578" i="6"/>
  <c r="AB1577" i="6"/>
  <c r="AA1577" i="6"/>
  <c r="Z1577" i="6"/>
  <c r="Y1577" i="6"/>
  <c r="X1577" i="6"/>
  <c r="W1577" i="6"/>
  <c r="V1577" i="6"/>
  <c r="U1577" i="6"/>
  <c r="T1577" i="6"/>
  <c r="H1577" i="6"/>
  <c r="G1577" i="6"/>
  <c r="F1577" i="6"/>
  <c r="E1577" i="6"/>
  <c r="C1577" i="6"/>
  <c r="D1577" i="6"/>
  <c r="B1577" i="6"/>
  <c r="A1576" i="6"/>
  <c r="H1572" i="6"/>
  <c r="C1572" i="6"/>
  <c r="H1570" i="6"/>
  <c r="G1570" i="6"/>
  <c r="H1569" i="6"/>
  <c r="G1569" i="6"/>
  <c r="F1569" i="6"/>
  <c r="H1568" i="6"/>
  <c r="G1568" i="6"/>
  <c r="F1568" i="6"/>
  <c r="D1567" i="6"/>
  <c r="D1566" i="6"/>
  <c r="D1565" i="6"/>
  <c r="D1564" i="6"/>
  <c r="AB1563" i="6"/>
  <c r="AA1563" i="6"/>
  <c r="Z1563" i="6"/>
  <c r="Y1563" i="6"/>
  <c r="X1563" i="6"/>
  <c r="W1563" i="6"/>
  <c r="V1563" i="6"/>
  <c r="U1563" i="6"/>
  <c r="T1563" i="6"/>
  <c r="H1563" i="6"/>
  <c r="G1563" i="6"/>
  <c r="F1563" i="6"/>
  <c r="E1563" i="6"/>
  <c r="C1563" i="6"/>
  <c r="D1563" i="6"/>
  <c r="B1563" i="6"/>
  <c r="D1562" i="6"/>
  <c r="AB1561" i="6"/>
  <c r="AA1561" i="6"/>
  <c r="Z1561" i="6"/>
  <c r="Y1561" i="6"/>
  <c r="X1561" i="6"/>
  <c r="W1561" i="6"/>
  <c r="V1561" i="6"/>
  <c r="U1561" i="6"/>
  <c r="T1561" i="6"/>
  <c r="H1561" i="6"/>
  <c r="G1561" i="6"/>
  <c r="F1561" i="6"/>
  <c r="E1561" i="6"/>
  <c r="C1561" i="6"/>
  <c r="D1561" i="6"/>
  <c r="B1561" i="6"/>
  <c r="H1560" i="6"/>
  <c r="G1560" i="6"/>
  <c r="H1559" i="6"/>
  <c r="G1559" i="6"/>
  <c r="F1559" i="6"/>
  <c r="H1558" i="6"/>
  <c r="G1558" i="6"/>
  <c r="F1558" i="6"/>
  <c r="D1557" i="6"/>
  <c r="D1556" i="6"/>
  <c r="D1555" i="6"/>
  <c r="D1554" i="6"/>
  <c r="C1553" i="6"/>
  <c r="AB1552" i="6"/>
  <c r="AA1552" i="6"/>
  <c r="Z1552" i="6"/>
  <c r="Y1552" i="6"/>
  <c r="X1552" i="6"/>
  <c r="W1552" i="6"/>
  <c r="V1552" i="6"/>
  <c r="U1552" i="6"/>
  <c r="T1552" i="6"/>
  <c r="H1552" i="6"/>
  <c r="G1552" i="6"/>
  <c r="F1552" i="6"/>
  <c r="E1552" i="6"/>
  <c r="C1552" i="6"/>
  <c r="D1552" i="6"/>
  <c r="B1552" i="6"/>
  <c r="D1551" i="6"/>
  <c r="AB1550" i="6"/>
  <c r="AA1550" i="6"/>
  <c r="Z1550" i="6"/>
  <c r="Y1550" i="6"/>
  <c r="X1550" i="6"/>
  <c r="W1550" i="6"/>
  <c r="V1550" i="6"/>
  <c r="U1550" i="6"/>
  <c r="T1550" i="6"/>
  <c r="H1550" i="6"/>
  <c r="G1550" i="6"/>
  <c r="F1550" i="6"/>
  <c r="E1550" i="6"/>
  <c r="C1550" i="6"/>
  <c r="D1550" i="6"/>
  <c r="B1550" i="6"/>
  <c r="H1549" i="6"/>
  <c r="G1549" i="6"/>
  <c r="H1548" i="6"/>
  <c r="G1548" i="6"/>
  <c r="F1548" i="6"/>
  <c r="H1547" i="6"/>
  <c r="G1547" i="6"/>
  <c r="F1547" i="6"/>
  <c r="D1546" i="6"/>
  <c r="D1545" i="6"/>
  <c r="D1544" i="6"/>
  <c r="D1543" i="6"/>
  <c r="C1542" i="6"/>
  <c r="AB1541" i="6"/>
  <c r="AA1541" i="6"/>
  <c r="Z1541" i="6"/>
  <c r="Y1541" i="6"/>
  <c r="X1541" i="6"/>
  <c r="W1541" i="6"/>
  <c r="V1541" i="6"/>
  <c r="U1541" i="6"/>
  <c r="T1541" i="6"/>
  <c r="H1541" i="6"/>
  <c r="G1541" i="6"/>
  <c r="F1541" i="6"/>
  <c r="E1541" i="6"/>
  <c r="C1541" i="6"/>
  <c r="D1541" i="6"/>
  <c r="B1541" i="6"/>
  <c r="D1540" i="6"/>
  <c r="AB1539" i="6"/>
  <c r="AA1539" i="6"/>
  <c r="Z1539" i="6"/>
  <c r="Y1539" i="6"/>
  <c r="X1539" i="6"/>
  <c r="W1539" i="6"/>
  <c r="V1539" i="6"/>
  <c r="U1539" i="6"/>
  <c r="T1539" i="6"/>
  <c r="H1539" i="6"/>
  <c r="G1539" i="6"/>
  <c r="F1539" i="6"/>
  <c r="E1539" i="6"/>
  <c r="C1539" i="6"/>
  <c r="D1539" i="6"/>
  <c r="B1539" i="6"/>
  <c r="H1538" i="6"/>
  <c r="G1538" i="6"/>
  <c r="H1537" i="6"/>
  <c r="G1537" i="6"/>
  <c r="F1537" i="6"/>
  <c r="H1536" i="6"/>
  <c r="G1536" i="6"/>
  <c r="F1536" i="6"/>
  <c r="D1535" i="6"/>
  <c r="D1534" i="6"/>
  <c r="D1533" i="6"/>
  <c r="D1532" i="6"/>
  <c r="AB1531" i="6"/>
  <c r="AA1531" i="6"/>
  <c r="Z1531" i="6"/>
  <c r="Y1531" i="6"/>
  <c r="X1531" i="6"/>
  <c r="W1531" i="6"/>
  <c r="V1531" i="6"/>
  <c r="U1531" i="6"/>
  <c r="T1531" i="6"/>
  <c r="H1531" i="6"/>
  <c r="G1531" i="6"/>
  <c r="F1531" i="6"/>
  <c r="E1531" i="6"/>
  <c r="C1531" i="6"/>
  <c r="D1531" i="6"/>
  <c r="B1531" i="6"/>
  <c r="A1530" i="6"/>
  <c r="H1526" i="6"/>
  <c r="C1526" i="6"/>
  <c r="H1524" i="6"/>
  <c r="G1524" i="6"/>
  <c r="H1523" i="6"/>
  <c r="G1523" i="6"/>
  <c r="F1523" i="6"/>
  <c r="H1522" i="6"/>
  <c r="G1522" i="6"/>
  <c r="F1522" i="6"/>
  <c r="D1519" i="6"/>
  <c r="AB1518" i="6"/>
  <c r="AA1518" i="6"/>
  <c r="Z1518" i="6"/>
  <c r="Y1518" i="6"/>
  <c r="X1518" i="6"/>
  <c r="W1518" i="6"/>
  <c r="V1518" i="6"/>
  <c r="U1518" i="6"/>
  <c r="T1518" i="6"/>
  <c r="H1518" i="6"/>
  <c r="G1518" i="6"/>
  <c r="F1518" i="6"/>
  <c r="E1518" i="6"/>
  <c r="C1518" i="6"/>
  <c r="D1518" i="6"/>
  <c r="B1518" i="6"/>
  <c r="H1517" i="6"/>
  <c r="G1517" i="6"/>
  <c r="H1516" i="6"/>
  <c r="G1516" i="6"/>
  <c r="F1516" i="6"/>
  <c r="H1515" i="6"/>
  <c r="G1515" i="6"/>
  <c r="F1515" i="6"/>
  <c r="D1512" i="6"/>
  <c r="C1511" i="6"/>
  <c r="AB1510" i="6"/>
  <c r="AA1510" i="6"/>
  <c r="Z1510" i="6"/>
  <c r="Y1510" i="6"/>
  <c r="X1510" i="6"/>
  <c r="W1510" i="6"/>
  <c r="V1510" i="6"/>
  <c r="U1510" i="6"/>
  <c r="T1510" i="6"/>
  <c r="H1510" i="6"/>
  <c r="G1510" i="6"/>
  <c r="F1510" i="6"/>
  <c r="E1510" i="6"/>
  <c r="C1510" i="6"/>
  <c r="D1510" i="6"/>
  <c r="B1510" i="6"/>
  <c r="H1509" i="6"/>
  <c r="G1509" i="6"/>
  <c r="H1508" i="6"/>
  <c r="G1508" i="6"/>
  <c r="F1508" i="6"/>
  <c r="H1507" i="6"/>
  <c r="G1507" i="6"/>
  <c r="F1507" i="6"/>
  <c r="D1504" i="6"/>
  <c r="AB1503" i="6"/>
  <c r="AA1503" i="6"/>
  <c r="Z1503" i="6"/>
  <c r="Y1503" i="6"/>
  <c r="X1503" i="6"/>
  <c r="W1503" i="6"/>
  <c r="V1503" i="6"/>
  <c r="U1503" i="6"/>
  <c r="T1503" i="6"/>
  <c r="H1503" i="6"/>
  <c r="G1503" i="6"/>
  <c r="F1503" i="6"/>
  <c r="E1503" i="6"/>
  <c r="C1503" i="6"/>
  <c r="D1503" i="6"/>
  <c r="B1503" i="6"/>
  <c r="H1502" i="6"/>
  <c r="G1502" i="6"/>
  <c r="H1501" i="6"/>
  <c r="G1501" i="6"/>
  <c r="F1501" i="6"/>
  <c r="H1500" i="6"/>
  <c r="G1500" i="6"/>
  <c r="F1500" i="6"/>
  <c r="D1497" i="6"/>
  <c r="AB1496" i="6"/>
  <c r="AA1496" i="6"/>
  <c r="Z1496" i="6"/>
  <c r="Y1496" i="6"/>
  <c r="X1496" i="6"/>
  <c r="W1496" i="6"/>
  <c r="V1496" i="6"/>
  <c r="U1496" i="6"/>
  <c r="T1496" i="6"/>
  <c r="H1496" i="6"/>
  <c r="G1496" i="6"/>
  <c r="F1496" i="6"/>
  <c r="E1496" i="6"/>
  <c r="C1496" i="6"/>
  <c r="D1496" i="6"/>
  <c r="B1496" i="6"/>
  <c r="A1495" i="6"/>
  <c r="H1491" i="6"/>
  <c r="C1491" i="6"/>
  <c r="H1487" i="6"/>
  <c r="C1487" i="6"/>
  <c r="D1485" i="6"/>
  <c r="AB1484" i="6"/>
  <c r="AA1484" i="6"/>
  <c r="Z1484" i="6"/>
  <c r="Y1484" i="6"/>
  <c r="X1484" i="6"/>
  <c r="W1484" i="6"/>
  <c r="V1484" i="6"/>
  <c r="U1484" i="6"/>
  <c r="T1484" i="6"/>
  <c r="H1484" i="6"/>
  <c r="G1484" i="6"/>
  <c r="F1484" i="6"/>
  <c r="E1484" i="6"/>
  <c r="C1484" i="6"/>
  <c r="D1484" i="6"/>
  <c r="B1484" i="6"/>
  <c r="H1483" i="6"/>
  <c r="G1483" i="6"/>
  <c r="H1482" i="6"/>
  <c r="G1482" i="6"/>
  <c r="F1482" i="6"/>
  <c r="H1481" i="6"/>
  <c r="G1481" i="6"/>
  <c r="F1481" i="6"/>
  <c r="D1480" i="6"/>
  <c r="D1479" i="6"/>
  <c r="D1478" i="6"/>
  <c r="D1477" i="6"/>
  <c r="AB1476" i="6"/>
  <c r="AA1476" i="6"/>
  <c r="Z1476" i="6"/>
  <c r="Y1476" i="6"/>
  <c r="X1476" i="6"/>
  <c r="W1476" i="6"/>
  <c r="V1476" i="6"/>
  <c r="U1476" i="6"/>
  <c r="T1476" i="6"/>
  <c r="H1476" i="6"/>
  <c r="G1476" i="6"/>
  <c r="F1476" i="6"/>
  <c r="E1476" i="6"/>
  <c r="C1476" i="6"/>
  <c r="D1476" i="6"/>
  <c r="B1476" i="6"/>
  <c r="D1475" i="6"/>
  <c r="AB1474" i="6"/>
  <c r="AA1474" i="6"/>
  <c r="Z1474" i="6"/>
  <c r="Y1474" i="6"/>
  <c r="X1474" i="6"/>
  <c r="W1474" i="6"/>
  <c r="V1474" i="6"/>
  <c r="U1474" i="6"/>
  <c r="T1474" i="6"/>
  <c r="H1474" i="6"/>
  <c r="G1474" i="6"/>
  <c r="F1474" i="6"/>
  <c r="E1474" i="6"/>
  <c r="C1474" i="6"/>
  <c r="D1474" i="6"/>
  <c r="B1474" i="6"/>
  <c r="H1473" i="6"/>
  <c r="G1473" i="6"/>
  <c r="H1472" i="6"/>
  <c r="G1472" i="6"/>
  <c r="F1472" i="6"/>
  <c r="H1471" i="6"/>
  <c r="G1471" i="6"/>
  <c r="F1471" i="6"/>
  <c r="D1470" i="6"/>
  <c r="D1469" i="6"/>
  <c r="D1468" i="6"/>
  <c r="D1467" i="6"/>
  <c r="C1466" i="6"/>
  <c r="AB1465" i="6"/>
  <c r="AA1465" i="6"/>
  <c r="Z1465" i="6"/>
  <c r="Y1465" i="6"/>
  <c r="X1465" i="6"/>
  <c r="W1465" i="6"/>
  <c r="V1465" i="6"/>
  <c r="U1465" i="6"/>
  <c r="T1465" i="6"/>
  <c r="H1465" i="6"/>
  <c r="G1465" i="6"/>
  <c r="F1465" i="6"/>
  <c r="E1465" i="6"/>
  <c r="C1465" i="6"/>
  <c r="D1465" i="6"/>
  <c r="B1465" i="6"/>
  <c r="H1464" i="6"/>
  <c r="G1464" i="6"/>
  <c r="H1463" i="6"/>
  <c r="G1463" i="6"/>
  <c r="F1463" i="6"/>
  <c r="H1462" i="6"/>
  <c r="G1462" i="6"/>
  <c r="F1462" i="6"/>
  <c r="D1461" i="6"/>
  <c r="D1460" i="6"/>
  <c r="D1459" i="6"/>
  <c r="D1458" i="6"/>
  <c r="C1457" i="6"/>
  <c r="AB1456" i="6"/>
  <c r="AA1456" i="6"/>
  <c r="Z1456" i="6"/>
  <c r="Y1456" i="6"/>
  <c r="X1456" i="6"/>
  <c r="W1456" i="6"/>
  <c r="V1456" i="6"/>
  <c r="U1456" i="6"/>
  <c r="T1456" i="6"/>
  <c r="H1456" i="6"/>
  <c r="G1456" i="6"/>
  <c r="F1456" i="6"/>
  <c r="E1456" i="6"/>
  <c r="C1456" i="6"/>
  <c r="D1456" i="6"/>
  <c r="B1456" i="6"/>
  <c r="D1455" i="6"/>
  <c r="AB1454" i="6"/>
  <c r="AA1454" i="6"/>
  <c r="Z1454" i="6"/>
  <c r="Y1454" i="6"/>
  <c r="X1454" i="6"/>
  <c r="W1454" i="6"/>
  <c r="V1454" i="6"/>
  <c r="U1454" i="6"/>
  <c r="T1454" i="6"/>
  <c r="H1454" i="6"/>
  <c r="G1454" i="6"/>
  <c r="F1454" i="6"/>
  <c r="E1454" i="6"/>
  <c r="C1454" i="6"/>
  <c r="D1454" i="6"/>
  <c r="B1454" i="6"/>
  <c r="D1453" i="6"/>
  <c r="AB1452" i="6"/>
  <c r="AA1452" i="6"/>
  <c r="Z1452" i="6"/>
  <c r="Y1452" i="6"/>
  <c r="X1452" i="6"/>
  <c r="W1452" i="6"/>
  <c r="V1452" i="6"/>
  <c r="U1452" i="6"/>
  <c r="T1452" i="6"/>
  <c r="H1452" i="6"/>
  <c r="G1452" i="6"/>
  <c r="F1452" i="6"/>
  <c r="E1452" i="6"/>
  <c r="C1452" i="6"/>
  <c r="D1452" i="6"/>
  <c r="B1452" i="6"/>
  <c r="D1451" i="6"/>
  <c r="AB1450" i="6"/>
  <c r="AA1450" i="6"/>
  <c r="Z1450" i="6"/>
  <c r="Y1450" i="6"/>
  <c r="X1450" i="6"/>
  <c r="W1450" i="6"/>
  <c r="V1450" i="6"/>
  <c r="U1450" i="6"/>
  <c r="T1450" i="6"/>
  <c r="H1450" i="6"/>
  <c r="G1450" i="6"/>
  <c r="F1450" i="6"/>
  <c r="E1450" i="6"/>
  <c r="C1450" i="6"/>
  <c r="D1450" i="6"/>
  <c r="B1450" i="6"/>
  <c r="H1449" i="6"/>
  <c r="G1449" i="6"/>
  <c r="H1448" i="6"/>
  <c r="G1448" i="6"/>
  <c r="F1448" i="6"/>
  <c r="H1447" i="6"/>
  <c r="G1447" i="6"/>
  <c r="F1447" i="6"/>
  <c r="D1446" i="6"/>
  <c r="D1445" i="6"/>
  <c r="D1444" i="6"/>
  <c r="D1443" i="6"/>
  <c r="AB1442" i="6"/>
  <c r="AA1442" i="6"/>
  <c r="Z1442" i="6"/>
  <c r="Y1442" i="6"/>
  <c r="X1442" i="6"/>
  <c r="W1442" i="6"/>
  <c r="V1442" i="6"/>
  <c r="U1442" i="6"/>
  <c r="T1442" i="6"/>
  <c r="H1442" i="6"/>
  <c r="G1442" i="6"/>
  <c r="F1442" i="6"/>
  <c r="E1442" i="6"/>
  <c r="C1442" i="6"/>
  <c r="D1442" i="6"/>
  <c r="B1442" i="6"/>
  <c r="D1441" i="6"/>
  <c r="AB1440" i="6"/>
  <c r="AA1440" i="6"/>
  <c r="Z1440" i="6"/>
  <c r="Y1440" i="6"/>
  <c r="X1440" i="6"/>
  <c r="W1440" i="6"/>
  <c r="V1440" i="6"/>
  <c r="U1440" i="6"/>
  <c r="T1440" i="6"/>
  <c r="H1440" i="6"/>
  <c r="G1440" i="6"/>
  <c r="F1440" i="6"/>
  <c r="E1440" i="6"/>
  <c r="C1440" i="6"/>
  <c r="D1440" i="6"/>
  <c r="B1440" i="6"/>
  <c r="D1439" i="6"/>
  <c r="AB1438" i="6"/>
  <c r="AA1438" i="6"/>
  <c r="Z1438" i="6"/>
  <c r="Y1438" i="6"/>
  <c r="X1438" i="6"/>
  <c r="W1438" i="6"/>
  <c r="V1438" i="6"/>
  <c r="U1438" i="6"/>
  <c r="T1438" i="6"/>
  <c r="H1438" i="6"/>
  <c r="G1438" i="6"/>
  <c r="F1438" i="6"/>
  <c r="E1438" i="6"/>
  <c r="C1438" i="6"/>
  <c r="D1438" i="6"/>
  <c r="B1438" i="6"/>
  <c r="D1437" i="6"/>
  <c r="AB1436" i="6"/>
  <c r="AA1436" i="6"/>
  <c r="Z1436" i="6"/>
  <c r="Y1436" i="6"/>
  <c r="X1436" i="6"/>
  <c r="W1436" i="6"/>
  <c r="V1436" i="6"/>
  <c r="U1436" i="6"/>
  <c r="T1436" i="6"/>
  <c r="H1436" i="6"/>
  <c r="G1436" i="6"/>
  <c r="F1436" i="6"/>
  <c r="E1436" i="6"/>
  <c r="C1436" i="6"/>
  <c r="D1436" i="6"/>
  <c r="B1436" i="6"/>
  <c r="D1435" i="6"/>
  <c r="AB1434" i="6"/>
  <c r="AA1434" i="6"/>
  <c r="Z1434" i="6"/>
  <c r="Y1434" i="6"/>
  <c r="X1434" i="6"/>
  <c r="W1434" i="6"/>
  <c r="V1434" i="6"/>
  <c r="U1434" i="6"/>
  <c r="T1434" i="6"/>
  <c r="H1434" i="6"/>
  <c r="G1434" i="6"/>
  <c r="F1434" i="6"/>
  <c r="E1434" i="6"/>
  <c r="C1434" i="6"/>
  <c r="D1434" i="6"/>
  <c r="B1434" i="6"/>
  <c r="D1433" i="6"/>
  <c r="AB1432" i="6"/>
  <c r="AA1432" i="6"/>
  <c r="Z1432" i="6"/>
  <c r="Y1432" i="6"/>
  <c r="X1432" i="6"/>
  <c r="W1432" i="6"/>
  <c r="V1432" i="6"/>
  <c r="U1432" i="6"/>
  <c r="T1432" i="6"/>
  <c r="H1432" i="6"/>
  <c r="G1432" i="6"/>
  <c r="F1432" i="6"/>
  <c r="E1432" i="6"/>
  <c r="C1432" i="6"/>
  <c r="D1432" i="6"/>
  <c r="B1432" i="6"/>
  <c r="H1431" i="6"/>
  <c r="G1431" i="6"/>
  <c r="H1430" i="6"/>
  <c r="G1430" i="6"/>
  <c r="F1430" i="6"/>
  <c r="H1429" i="6"/>
  <c r="G1429" i="6"/>
  <c r="F1429" i="6"/>
  <c r="D1428" i="6"/>
  <c r="D1427" i="6"/>
  <c r="D1426" i="6"/>
  <c r="D1425" i="6"/>
  <c r="AB1424" i="6"/>
  <c r="AA1424" i="6"/>
  <c r="Z1424" i="6"/>
  <c r="Y1424" i="6"/>
  <c r="X1424" i="6"/>
  <c r="W1424" i="6"/>
  <c r="V1424" i="6"/>
  <c r="U1424" i="6"/>
  <c r="T1424" i="6"/>
  <c r="H1424" i="6"/>
  <c r="G1424" i="6"/>
  <c r="F1424" i="6"/>
  <c r="E1424" i="6"/>
  <c r="C1424" i="6"/>
  <c r="D1424" i="6"/>
  <c r="B1424" i="6"/>
  <c r="D1423" i="6"/>
  <c r="AB1422" i="6"/>
  <c r="AA1422" i="6"/>
  <c r="Z1422" i="6"/>
  <c r="Y1422" i="6"/>
  <c r="X1422" i="6"/>
  <c r="W1422" i="6"/>
  <c r="V1422" i="6"/>
  <c r="U1422" i="6"/>
  <c r="T1422" i="6"/>
  <c r="H1422" i="6"/>
  <c r="G1422" i="6"/>
  <c r="F1422" i="6"/>
  <c r="E1422" i="6"/>
  <c r="C1422" i="6"/>
  <c r="D1422" i="6"/>
  <c r="B1422" i="6"/>
  <c r="H1421" i="6"/>
  <c r="G1421" i="6"/>
  <c r="H1420" i="6"/>
  <c r="G1420" i="6"/>
  <c r="F1420" i="6"/>
  <c r="H1419" i="6"/>
  <c r="G1419" i="6"/>
  <c r="F1419" i="6"/>
  <c r="D1418" i="6"/>
  <c r="D1417" i="6"/>
  <c r="D1416" i="6"/>
  <c r="D1415" i="6"/>
  <c r="AB1414" i="6"/>
  <c r="AA1414" i="6"/>
  <c r="Z1414" i="6"/>
  <c r="Y1414" i="6"/>
  <c r="X1414" i="6"/>
  <c r="W1414" i="6"/>
  <c r="V1414" i="6"/>
  <c r="U1414" i="6"/>
  <c r="T1414" i="6"/>
  <c r="H1414" i="6"/>
  <c r="G1414" i="6"/>
  <c r="F1414" i="6"/>
  <c r="E1414" i="6"/>
  <c r="C1414" i="6"/>
  <c r="D1414" i="6"/>
  <c r="B1414" i="6"/>
  <c r="D1413" i="6"/>
  <c r="AB1412" i="6"/>
  <c r="AA1412" i="6"/>
  <c r="Z1412" i="6"/>
  <c r="Y1412" i="6"/>
  <c r="X1412" i="6"/>
  <c r="W1412" i="6"/>
  <c r="V1412" i="6"/>
  <c r="U1412" i="6"/>
  <c r="T1412" i="6"/>
  <c r="H1412" i="6"/>
  <c r="G1412" i="6"/>
  <c r="F1412" i="6"/>
  <c r="E1412" i="6"/>
  <c r="C1412" i="6"/>
  <c r="D1412" i="6"/>
  <c r="B1412" i="6"/>
  <c r="H1411" i="6"/>
  <c r="G1411" i="6"/>
  <c r="H1410" i="6"/>
  <c r="G1410" i="6"/>
  <c r="F1410" i="6"/>
  <c r="H1409" i="6"/>
  <c r="G1409" i="6"/>
  <c r="F1409" i="6"/>
  <c r="D1408" i="6"/>
  <c r="D1407" i="6"/>
  <c r="D1406" i="6"/>
  <c r="D1405" i="6"/>
  <c r="AB1404" i="6"/>
  <c r="AA1404" i="6"/>
  <c r="Z1404" i="6"/>
  <c r="Y1404" i="6"/>
  <c r="X1404" i="6"/>
  <c r="W1404" i="6"/>
  <c r="V1404" i="6"/>
  <c r="U1404" i="6"/>
  <c r="T1404" i="6"/>
  <c r="H1404" i="6"/>
  <c r="G1404" i="6"/>
  <c r="F1404" i="6"/>
  <c r="E1404" i="6"/>
  <c r="C1404" i="6"/>
  <c r="D1404" i="6"/>
  <c r="B1404" i="6"/>
  <c r="D1403" i="6"/>
  <c r="AB1402" i="6"/>
  <c r="AA1402" i="6"/>
  <c r="Z1402" i="6"/>
  <c r="Y1402" i="6"/>
  <c r="X1402" i="6"/>
  <c r="W1402" i="6"/>
  <c r="V1402" i="6"/>
  <c r="U1402" i="6"/>
  <c r="T1402" i="6"/>
  <c r="H1402" i="6"/>
  <c r="G1402" i="6"/>
  <c r="F1402" i="6"/>
  <c r="E1402" i="6"/>
  <c r="C1402" i="6"/>
  <c r="D1402" i="6"/>
  <c r="B1402" i="6"/>
  <c r="H1401" i="6"/>
  <c r="G1401" i="6"/>
  <c r="H1400" i="6"/>
  <c r="G1400" i="6"/>
  <c r="F1400" i="6"/>
  <c r="H1399" i="6"/>
  <c r="G1399" i="6"/>
  <c r="F1399" i="6"/>
  <c r="D1398" i="6"/>
  <c r="D1397" i="6"/>
  <c r="D1396" i="6"/>
  <c r="D1395" i="6"/>
  <c r="C1394" i="6"/>
  <c r="AB1393" i="6"/>
  <c r="AA1393" i="6"/>
  <c r="Z1393" i="6"/>
  <c r="Y1393" i="6"/>
  <c r="X1393" i="6"/>
  <c r="W1393" i="6"/>
  <c r="V1393" i="6"/>
  <c r="U1393" i="6"/>
  <c r="T1393" i="6"/>
  <c r="H1393" i="6"/>
  <c r="G1393" i="6"/>
  <c r="F1393" i="6"/>
  <c r="E1393" i="6"/>
  <c r="C1393" i="6"/>
  <c r="D1393" i="6"/>
  <c r="B1393" i="6"/>
  <c r="D1392" i="6"/>
  <c r="AB1391" i="6"/>
  <c r="AA1391" i="6"/>
  <c r="Z1391" i="6"/>
  <c r="Y1391" i="6"/>
  <c r="X1391" i="6"/>
  <c r="W1391" i="6"/>
  <c r="V1391" i="6"/>
  <c r="U1391" i="6"/>
  <c r="T1391" i="6"/>
  <c r="H1391" i="6"/>
  <c r="G1391" i="6"/>
  <c r="F1391" i="6"/>
  <c r="E1391" i="6"/>
  <c r="C1391" i="6"/>
  <c r="D1391" i="6"/>
  <c r="B1391" i="6"/>
  <c r="H1390" i="6"/>
  <c r="G1390" i="6"/>
  <c r="H1389" i="6"/>
  <c r="G1389" i="6"/>
  <c r="F1389" i="6"/>
  <c r="H1388" i="6"/>
  <c r="G1388" i="6"/>
  <c r="F1388" i="6"/>
  <c r="D1387" i="6"/>
  <c r="D1386" i="6"/>
  <c r="D1385" i="6"/>
  <c r="D1384" i="6"/>
  <c r="C1383" i="6"/>
  <c r="AB1382" i="6"/>
  <c r="AA1382" i="6"/>
  <c r="Z1382" i="6"/>
  <c r="Y1382" i="6"/>
  <c r="X1382" i="6"/>
  <c r="W1382" i="6"/>
  <c r="V1382" i="6"/>
  <c r="U1382" i="6"/>
  <c r="T1382" i="6"/>
  <c r="H1382" i="6"/>
  <c r="G1382" i="6"/>
  <c r="F1382" i="6"/>
  <c r="E1382" i="6"/>
  <c r="C1382" i="6"/>
  <c r="D1382" i="6"/>
  <c r="B1382" i="6"/>
  <c r="D1381" i="6"/>
  <c r="AB1380" i="6"/>
  <c r="AA1380" i="6"/>
  <c r="Z1380" i="6"/>
  <c r="Y1380" i="6"/>
  <c r="X1380" i="6"/>
  <c r="W1380" i="6"/>
  <c r="V1380" i="6"/>
  <c r="U1380" i="6"/>
  <c r="T1380" i="6"/>
  <c r="H1380" i="6"/>
  <c r="G1380" i="6"/>
  <c r="F1380" i="6"/>
  <c r="E1380" i="6"/>
  <c r="C1380" i="6"/>
  <c r="D1380" i="6"/>
  <c r="B1380" i="6"/>
  <c r="D1379" i="6"/>
  <c r="AB1378" i="6"/>
  <c r="AA1378" i="6"/>
  <c r="Z1378" i="6"/>
  <c r="Y1378" i="6"/>
  <c r="X1378" i="6"/>
  <c r="W1378" i="6"/>
  <c r="V1378" i="6"/>
  <c r="U1378" i="6"/>
  <c r="T1378" i="6"/>
  <c r="H1378" i="6"/>
  <c r="G1378" i="6"/>
  <c r="F1378" i="6"/>
  <c r="E1378" i="6"/>
  <c r="C1378" i="6"/>
  <c r="D1378" i="6"/>
  <c r="B1378" i="6"/>
  <c r="H1377" i="6"/>
  <c r="G1377" i="6"/>
  <c r="H1376" i="6"/>
  <c r="G1376" i="6"/>
  <c r="F1376" i="6"/>
  <c r="H1375" i="6"/>
  <c r="G1375" i="6"/>
  <c r="F1375" i="6"/>
  <c r="D1374" i="6"/>
  <c r="D1373" i="6"/>
  <c r="D1372" i="6"/>
  <c r="D1371" i="6"/>
  <c r="C1370" i="6"/>
  <c r="AB1369" i="6"/>
  <c r="AA1369" i="6"/>
  <c r="Z1369" i="6"/>
  <c r="Y1369" i="6"/>
  <c r="X1369" i="6"/>
  <c r="W1369" i="6"/>
  <c r="V1369" i="6"/>
  <c r="U1369" i="6"/>
  <c r="T1369" i="6"/>
  <c r="H1369" i="6"/>
  <c r="G1369" i="6"/>
  <c r="F1369" i="6"/>
  <c r="E1369" i="6"/>
  <c r="C1369" i="6"/>
  <c r="D1369" i="6"/>
  <c r="B1369" i="6"/>
  <c r="D1368" i="6"/>
  <c r="AB1367" i="6"/>
  <c r="AA1367" i="6"/>
  <c r="Z1367" i="6"/>
  <c r="Y1367" i="6"/>
  <c r="X1367" i="6"/>
  <c r="W1367" i="6"/>
  <c r="V1367" i="6"/>
  <c r="U1367" i="6"/>
  <c r="T1367" i="6"/>
  <c r="H1367" i="6"/>
  <c r="G1367" i="6"/>
  <c r="F1367" i="6"/>
  <c r="E1367" i="6"/>
  <c r="C1367" i="6"/>
  <c r="D1367" i="6"/>
  <c r="B1367" i="6"/>
  <c r="H1366" i="6"/>
  <c r="G1366" i="6"/>
  <c r="H1365" i="6"/>
  <c r="G1365" i="6"/>
  <c r="F1365" i="6"/>
  <c r="H1364" i="6"/>
  <c r="G1364" i="6"/>
  <c r="F1364" i="6"/>
  <c r="D1363" i="6"/>
  <c r="D1362" i="6"/>
  <c r="D1361" i="6"/>
  <c r="D1360" i="6"/>
  <c r="C1359" i="6"/>
  <c r="AB1358" i="6"/>
  <c r="AA1358" i="6"/>
  <c r="Z1358" i="6"/>
  <c r="Y1358" i="6"/>
  <c r="X1358" i="6"/>
  <c r="W1358" i="6"/>
  <c r="V1358" i="6"/>
  <c r="U1358" i="6"/>
  <c r="T1358" i="6"/>
  <c r="H1358" i="6"/>
  <c r="G1358" i="6"/>
  <c r="F1358" i="6"/>
  <c r="E1358" i="6"/>
  <c r="C1358" i="6"/>
  <c r="D1358" i="6"/>
  <c r="B1358" i="6"/>
  <c r="D1357" i="6"/>
  <c r="AB1356" i="6"/>
  <c r="AA1356" i="6"/>
  <c r="Z1356" i="6"/>
  <c r="Y1356" i="6"/>
  <c r="X1356" i="6"/>
  <c r="W1356" i="6"/>
  <c r="V1356" i="6"/>
  <c r="U1356" i="6"/>
  <c r="T1356" i="6"/>
  <c r="H1356" i="6"/>
  <c r="G1356" i="6"/>
  <c r="F1356" i="6"/>
  <c r="E1356" i="6"/>
  <c r="C1356" i="6"/>
  <c r="D1356" i="6"/>
  <c r="B1356" i="6"/>
  <c r="H1355" i="6"/>
  <c r="G1355" i="6"/>
  <c r="H1354" i="6"/>
  <c r="G1354" i="6"/>
  <c r="F1354" i="6"/>
  <c r="H1353" i="6"/>
  <c r="G1353" i="6"/>
  <c r="F1353" i="6"/>
  <c r="D1352" i="6"/>
  <c r="D1351" i="6"/>
  <c r="D1350" i="6"/>
  <c r="D1349" i="6"/>
  <c r="C1348" i="6"/>
  <c r="AB1347" i="6"/>
  <c r="AA1347" i="6"/>
  <c r="Z1347" i="6"/>
  <c r="Y1347" i="6"/>
  <c r="X1347" i="6"/>
  <c r="W1347" i="6"/>
  <c r="V1347" i="6"/>
  <c r="U1347" i="6"/>
  <c r="T1347" i="6"/>
  <c r="H1347" i="6"/>
  <c r="G1347" i="6"/>
  <c r="F1347" i="6"/>
  <c r="E1347" i="6"/>
  <c r="C1347" i="6"/>
  <c r="D1347" i="6"/>
  <c r="B1347" i="6"/>
  <c r="D1346" i="6"/>
  <c r="AB1345" i="6"/>
  <c r="AA1345" i="6"/>
  <c r="Z1345" i="6"/>
  <c r="Y1345" i="6"/>
  <c r="X1345" i="6"/>
  <c r="W1345" i="6"/>
  <c r="V1345" i="6"/>
  <c r="U1345" i="6"/>
  <c r="T1345" i="6"/>
  <c r="H1345" i="6"/>
  <c r="G1345" i="6"/>
  <c r="F1345" i="6"/>
  <c r="E1345" i="6"/>
  <c r="C1345" i="6"/>
  <c r="D1345" i="6"/>
  <c r="B1345" i="6"/>
  <c r="H1344" i="6"/>
  <c r="G1344" i="6"/>
  <c r="H1343" i="6"/>
  <c r="G1343" i="6"/>
  <c r="F1343" i="6"/>
  <c r="H1342" i="6"/>
  <c r="G1342" i="6"/>
  <c r="F1342" i="6"/>
  <c r="D1341" i="6"/>
  <c r="D1340" i="6"/>
  <c r="D1339" i="6"/>
  <c r="D1338" i="6"/>
  <c r="C1337" i="6"/>
  <c r="AB1336" i="6"/>
  <c r="AA1336" i="6"/>
  <c r="Z1336" i="6"/>
  <c r="Y1336" i="6"/>
  <c r="X1336" i="6"/>
  <c r="W1336" i="6"/>
  <c r="V1336" i="6"/>
  <c r="U1336" i="6"/>
  <c r="T1336" i="6"/>
  <c r="H1336" i="6"/>
  <c r="G1336" i="6"/>
  <c r="F1336" i="6"/>
  <c r="E1336" i="6"/>
  <c r="C1336" i="6"/>
  <c r="D1336" i="6"/>
  <c r="B1336" i="6"/>
  <c r="D1335" i="6"/>
  <c r="AB1334" i="6"/>
  <c r="AA1334" i="6"/>
  <c r="Z1334" i="6"/>
  <c r="Y1334" i="6"/>
  <c r="X1334" i="6"/>
  <c r="W1334" i="6"/>
  <c r="V1334" i="6"/>
  <c r="U1334" i="6"/>
  <c r="T1334" i="6"/>
  <c r="H1334" i="6"/>
  <c r="G1334" i="6"/>
  <c r="F1334" i="6"/>
  <c r="E1334" i="6"/>
  <c r="C1334" i="6"/>
  <c r="D1334" i="6"/>
  <c r="B1334" i="6"/>
  <c r="H1333" i="6"/>
  <c r="G1333" i="6"/>
  <c r="H1332" i="6"/>
  <c r="G1332" i="6"/>
  <c r="F1332" i="6"/>
  <c r="H1331" i="6"/>
  <c r="G1331" i="6"/>
  <c r="F1331" i="6"/>
  <c r="D1330" i="6"/>
  <c r="D1329" i="6"/>
  <c r="D1328" i="6"/>
  <c r="D1327" i="6"/>
  <c r="C1326" i="6"/>
  <c r="AB1325" i="6"/>
  <c r="AA1325" i="6"/>
  <c r="Z1325" i="6"/>
  <c r="Y1325" i="6"/>
  <c r="X1325" i="6"/>
  <c r="W1325" i="6"/>
  <c r="V1325" i="6"/>
  <c r="U1325" i="6"/>
  <c r="T1325" i="6"/>
  <c r="H1325" i="6"/>
  <c r="G1325" i="6"/>
  <c r="F1325" i="6"/>
  <c r="E1325" i="6"/>
  <c r="C1325" i="6"/>
  <c r="D1325" i="6"/>
  <c r="B1325" i="6"/>
  <c r="D1324" i="6"/>
  <c r="AB1323" i="6"/>
  <c r="AA1323" i="6"/>
  <c r="Z1323" i="6"/>
  <c r="Y1323" i="6"/>
  <c r="X1323" i="6"/>
  <c r="W1323" i="6"/>
  <c r="V1323" i="6"/>
  <c r="U1323" i="6"/>
  <c r="T1323" i="6"/>
  <c r="H1323" i="6"/>
  <c r="G1323" i="6"/>
  <c r="F1323" i="6"/>
  <c r="E1323" i="6"/>
  <c r="C1323" i="6"/>
  <c r="D1323" i="6"/>
  <c r="B1323" i="6"/>
  <c r="H1322" i="6"/>
  <c r="G1322" i="6"/>
  <c r="H1321" i="6"/>
  <c r="G1321" i="6"/>
  <c r="F1321" i="6"/>
  <c r="H1320" i="6"/>
  <c r="G1320" i="6"/>
  <c r="F1320" i="6"/>
  <c r="D1319" i="6"/>
  <c r="D1318" i="6"/>
  <c r="D1317" i="6"/>
  <c r="D1316" i="6"/>
  <c r="C1315" i="6"/>
  <c r="AB1314" i="6"/>
  <c r="AA1314" i="6"/>
  <c r="Z1314" i="6"/>
  <c r="Y1314" i="6"/>
  <c r="X1314" i="6"/>
  <c r="W1314" i="6"/>
  <c r="V1314" i="6"/>
  <c r="U1314" i="6"/>
  <c r="T1314" i="6"/>
  <c r="H1314" i="6"/>
  <c r="G1314" i="6"/>
  <c r="F1314" i="6"/>
  <c r="E1314" i="6"/>
  <c r="C1314" i="6"/>
  <c r="D1314" i="6"/>
  <c r="B1314" i="6"/>
  <c r="D1313" i="6"/>
  <c r="AB1312" i="6"/>
  <c r="AA1312" i="6"/>
  <c r="Z1312" i="6"/>
  <c r="Y1312" i="6"/>
  <c r="X1312" i="6"/>
  <c r="W1312" i="6"/>
  <c r="V1312" i="6"/>
  <c r="U1312" i="6"/>
  <c r="T1312" i="6"/>
  <c r="H1312" i="6"/>
  <c r="G1312" i="6"/>
  <c r="F1312" i="6"/>
  <c r="E1312" i="6"/>
  <c r="C1312" i="6"/>
  <c r="D1312" i="6"/>
  <c r="B1312" i="6"/>
  <c r="D1311" i="6"/>
  <c r="AB1310" i="6"/>
  <c r="AA1310" i="6"/>
  <c r="Z1310" i="6"/>
  <c r="Y1310" i="6"/>
  <c r="X1310" i="6"/>
  <c r="W1310" i="6"/>
  <c r="V1310" i="6"/>
  <c r="U1310" i="6"/>
  <c r="T1310" i="6"/>
  <c r="H1310" i="6"/>
  <c r="G1310" i="6"/>
  <c r="F1310" i="6"/>
  <c r="E1310" i="6"/>
  <c r="C1310" i="6"/>
  <c r="D1310" i="6"/>
  <c r="B1310" i="6"/>
  <c r="H1309" i="6"/>
  <c r="G1309" i="6"/>
  <c r="H1308" i="6"/>
  <c r="G1308" i="6"/>
  <c r="F1308" i="6"/>
  <c r="H1307" i="6"/>
  <c r="G1307" i="6"/>
  <c r="F1307" i="6"/>
  <c r="D1306" i="6"/>
  <c r="D1305" i="6"/>
  <c r="D1304" i="6"/>
  <c r="D1303" i="6"/>
  <c r="C1302" i="6"/>
  <c r="AB1301" i="6"/>
  <c r="AA1301" i="6"/>
  <c r="Z1301" i="6"/>
  <c r="Y1301" i="6"/>
  <c r="X1301" i="6"/>
  <c r="W1301" i="6"/>
  <c r="V1301" i="6"/>
  <c r="U1301" i="6"/>
  <c r="T1301" i="6"/>
  <c r="H1301" i="6"/>
  <c r="G1301" i="6"/>
  <c r="F1301" i="6"/>
  <c r="E1301" i="6"/>
  <c r="C1301" i="6"/>
  <c r="D1301" i="6"/>
  <c r="B1301" i="6"/>
  <c r="D1300" i="6"/>
  <c r="AB1299" i="6"/>
  <c r="AA1299" i="6"/>
  <c r="Z1299" i="6"/>
  <c r="Y1299" i="6"/>
  <c r="X1299" i="6"/>
  <c r="W1299" i="6"/>
  <c r="V1299" i="6"/>
  <c r="U1299" i="6"/>
  <c r="T1299" i="6"/>
  <c r="H1299" i="6"/>
  <c r="G1299" i="6"/>
  <c r="F1299" i="6"/>
  <c r="E1299" i="6"/>
  <c r="C1299" i="6"/>
  <c r="D1299" i="6"/>
  <c r="B1299" i="6"/>
  <c r="H1298" i="6"/>
  <c r="G1298" i="6"/>
  <c r="H1297" i="6"/>
  <c r="G1297" i="6"/>
  <c r="F1297" i="6"/>
  <c r="H1296" i="6"/>
  <c r="G1296" i="6"/>
  <c r="F1296" i="6"/>
  <c r="D1295" i="6"/>
  <c r="D1294" i="6"/>
  <c r="D1293" i="6"/>
  <c r="D1292" i="6"/>
  <c r="C1291" i="6"/>
  <c r="AB1290" i="6"/>
  <c r="AA1290" i="6"/>
  <c r="Z1290" i="6"/>
  <c r="Y1290" i="6"/>
  <c r="X1290" i="6"/>
  <c r="W1290" i="6"/>
  <c r="V1290" i="6"/>
  <c r="U1290" i="6"/>
  <c r="T1290" i="6"/>
  <c r="H1290" i="6"/>
  <c r="G1290" i="6"/>
  <c r="F1290" i="6"/>
  <c r="E1290" i="6"/>
  <c r="C1290" i="6"/>
  <c r="D1290" i="6"/>
  <c r="B1290" i="6"/>
  <c r="A1289" i="6"/>
  <c r="H1285" i="6"/>
  <c r="C1285" i="6"/>
  <c r="D1283" i="6"/>
  <c r="AB1282" i="6"/>
  <c r="AA1282" i="6"/>
  <c r="Z1282" i="6"/>
  <c r="Y1282" i="6"/>
  <c r="X1282" i="6"/>
  <c r="W1282" i="6"/>
  <c r="V1282" i="6"/>
  <c r="U1282" i="6"/>
  <c r="T1282" i="6"/>
  <c r="H1282" i="6"/>
  <c r="G1282" i="6"/>
  <c r="F1282" i="6"/>
  <c r="E1282" i="6"/>
  <c r="C1282" i="6"/>
  <c r="D1282" i="6"/>
  <c r="B1282" i="6"/>
  <c r="H1281" i="6"/>
  <c r="G1281" i="6"/>
  <c r="H1280" i="6"/>
  <c r="G1280" i="6"/>
  <c r="F1280" i="6"/>
  <c r="H1279" i="6"/>
  <c r="G1279" i="6"/>
  <c r="F1279" i="6"/>
  <c r="D1278" i="6"/>
  <c r="D1277" i="6"/>
  <c r="D1276" i="6"/>
  <c r="D1275" i="6"/>
  <c r="C1274" i="6"/>
  <c r="AB1273" i="6"/>
  <c r="AA1273" i="6"/>
  <c r="Z1273" i="6"/>
  <c r="Y1273" i="6"/>
  <c r="X1273" i="6"/>
  <c r="W1273" i="6"/>
  <c r="V1273" i="6"/>
  <c r="U1273" i="6"/>
  <c r="T1273" i="6"/>
  <c r="H1273" i="6"/>
  <c r="G1273" i="6"/>
  <c r="F1273" i="6"/>
  <c r="E1273" i="6"/>
  <c r="C1273" i="6"/>
  <c r="D1273" i="6"/>
  <c r="B1273" i="6"/>
  <c r="D1272" i="6"/>
  <c r="AB1271" i="6"/>
  <c r="AA1271" i="6"/>
  <c r="Z1271" i="6"/>
  <c r="Y1271" i="6"/>
  <c r="X1271" i="6"/>
  <c r="W1271" i="6"/>
  <c r="V1271" i="6"/>
  <c r="U1271" i="6"/>
  <c r="T1271" i="6"/>
  <c r="H1271" i="6"/>
  <c r="G1271" i="6"/>
  <c r="F1271" i="6"/>
  <c r="E1271" i="6"/>
  <c r="C1271" i="6"/>
  <c r="D1271" i="6"/>
  <c r="B1271" i="6"/>
  <c r="H1270" i="6"/>
  <c r="G1270" i="6"/>
  <c r="H1269" i="6"/>
  <c r="G1269" i="6"/>
  <c r="F1269" i="6"/>
  <c r="H1268" i="6"/>
  <c r="G1268" i="6"/>
  <c r="F1268" i="6"/>
  <c r="D1267" i="6"/>
  <c r="D1266" i="6"/>
  <c r="D1265" i="6"/>
  <c r="D1264" i="6"/>
  <c r="C1263" i="6"/>
  <c r="AB1262" i="6"/>
  <c r="AA1262" i="6"/>
  <c r="Z1262" i="6"/>
  <c r="Y1262" i="6"/>
  <c r="X1262" i="6"/>
  <c r="W1262" i="6"/>
  <c r="V1262" i="6"/>
  <c r="U1262" i="6"/>
  <c r="T1262" i="6"/>
  <c r="H1262" i="6"/>
  <c r="G1262" i="6"/>
  <c r="F1262" i="6"/>
  <c r="E1262" i="6"/>
  <c r="C1262" i="6"/>
  <c r="D1262" i="6"/>
  <c r="B1262" i="6"/>
  <c r="D1261" i="6"/>
  <c r="AB1260" i="6"/>
  <c r="AA1260" i="6"/>
  <c r="Z1260" i="6"/>
  <c r="Y1260" i="6"/>
  <c r="X1260" i="6"/>
  <c r="W1260" i="6"/>
  <c r="V1260" i="6"/>
  <c r="U1260" i="6"/>
  <c r="T1260" i="6"/>
  <c r="H1260" i="6"/>
  <c r="G1260" i="6"/>
  <c r="F1260" i="6"/>
  <c r="E1260" i="6"/>
  <c r="C1260" i="6"/>
  <c r="D1260" i="6"/>
  <c r="B1260" i="6"/>
  <c r="D1259" i="6"/>
  <c r="AB1258" i="6"/>
  <c r="AA1258" i="6"/>
  <c r="Z1258" i="6"/>
  <c r="Y1258" i="6"/>
  <c r="X1258" i="6"/>
  <c r="W1258" i="6"/>
  <c r="V1258" i="6"/>
  <c r="U1258" i="6"/>
  <c r="T1258" i="6"/>
  <c r="H1258" i="6"/>
  <c r="G1258" i="6"/>
  <c r="F1258" i="6"/>
  <c r="E1258" i="6"/>
  <c r="C1258" i="6"/>
  <c r="D1258" i="6"/>
  <c r="B1258" i="6"/>
  <c r="H1257" i="6"/>
  <c r="G1257" i="6"/>
  <c r="H1256" i="6"/>
  <c r="G1256" i="6"/>
  <c r="F1256" i="6"/>
  <c r="H1255" i="6"/>
  <c r="G1255" i="6"/>
  <c r="F1255" i="6"/>
  <c r="D1254" i="6"/>
  <c r="D1253" i="6"/>
  <c r="D1252" i="6"/>
  <c r="D1251" i="6"/>
  <c r="AB1250" i="6"/>
  <c r="AA1250" i="6"/>
  <c r="Z1250" i="6"/>
  <c r="Y1250" i="6"/>
  <c r="X1250" i="6"/>
  <c r="W1250" i="6"/>
  <c r="V1250" i="6"/>
  <c r="U1250" i="6"/>
  <c r="T1250" i="6"/>
  <c r="H1250" i="6"/>
  <c r="G1250" i="6"/>
  <c r="F1250" i="6"/>
  <c r="E1250" i="6"/>
  <c r="C1250" i="6"/>
  <c r="D1250" i="6"/>
  <c r="B1250" i="6"/>
  <c r="D1249" i="6"/>
  <c r="AB1248" i="6"/>
  <c r="AA1248" i="6"/>
  <c r="Z1248" i="6"/>
  <c r="Y1248" i="6"/>
  <c r="X1248" i="6"/>
  <c r="W1248" i="6"/>
  <c r="V1248" i="6"/>
  <c r="U1248" i="6"/>
  <c r="T1248" i="6"/>
  <c r="H1248" i="6"/>
  <c r="G1248" i="6"/>
  <c r="F1248" i="6"/>
  <c r="E1248" i="6"/>
  <c r="C1248" i="6"/>
  <c r="D1248" i="6"/>
  <c r="B1248" i="6"/>
  <c r="H1247" i="6"/>
  <c r="G1247" i="6"/>
  <c r="H1246" i="6"/>
  <c r="G1246" i="6"/>
  <c r="F1246" i="6"/>
  <c r="H1245" i="6"/>
  <c r="G1245" i="6"/>
  <c r="F1245" i="6"/>
  <c r="D1244" i="6"/>
  <c r="D1243" i="6"/>
  <c r="D1242" i="6"/>
  <c r="D1241" i="6"/>
  <c r="AB1240" i="6"/>
  <c r="AA1240" i="6"/>
  <c r="Z1240" i="6"/>
  <c r="Y1240" i="6"/>
  <c r="X1240" i="6"/>
  <c r="W1240" i="6"/>
  <c r="V1240" i="6"/>
  <c r="U1240" i="6"/>
  <c r="T1240" i="6"/>
  <c r="H1240" i="6"/>
  <c r="G1240" i="6"/>
  <c r="F1240" i="6"/>
  <c r="E1240" i="6"/>
  <c r="C1240" i="6"/>
  <c r="D1240" i="6"/>
  <c r="B1240" i="6"/>
  <c r="D1239" i="6"/>
  <c r="AB1238" i="6"/>
  <c r="AA1238" i="6"/>
  <c r="Z1238" i="6"/>
  <c r="Y1238" i="6"/>
  <c r="X1238" i="6"/>
  <c r="W1238" i="6"/>
  <c r="V1238" i="6"/>
  <c r="U1238" i="6"/>
  <c r="T1238" i="6"/>
  <c r="H1238" i="6"/>
  <c r="G1238" i="6"/>
  <c r="F1238" i="6"/>
  <c r="E1238" i="6"/>
  <c r="C1238" i="6"/>
  <c r="D1238" i="6"/>
  <c r="B1238" i="6"/>
  <c r="H1237" i="6"/>
  <c r="G1237" i="6"/>
  <c r="H1236" i="6"/>
  <c r="G1236" i="6"/>
  <c r="F1236" i="6"/>
  <c r="H1235" i="6"/>
  <c r="G1235" i="6"/>
  <c r="F1235" i="6"/>
  <c r="D1234" i="6"/>
  <c r="D1233" i="6"/>
  <c r="D1232" i="6"/>
  <c r="D1231" i="6"/>
  <c r="AB1230" i="6"/>
  <c r="AA1230" i="6"/>
  <c r="Z1230" i="6"/>
  <c r="Y1230" i="6"/>
  <c r="X1230" i="6"/>
  <c r="W1230" i="6"/>
  <c r="V1230" i="6"/>
  <c r="U1230" i="6"/>
  <c r="T1230" i="6"/>
  <c r="H1230" i="6"/>
  <c r="G1230" i="6"/>
  <c r="F1230" i="6"/>
  <c r="E1230" i="6"/>
  <c r="C1230" i="6"/>
  <c r="D1230" i="6"/>
  <c r="B1230" i="6"/>
  <c r="D1229" i="6"/>
  <c r="AB1228" i="6"/>
  <c r="AA1228" i="6"/>
  <c r="Z1228" i="6"/>
  <c r="Y1228" i="6"/>
  <c r="X1228" i="6"/>
  <c r="W1228" i="6"/>
  <c r="V1228" i="6"/>
  <c r="U1228" i="6"/>
  <c r="T1228" i="6"/>
  <c r="H1228" i="6"/>
  <c r="G1228" i="6"/>
  <c r="F1228" i="6"/>
  <c r="E1228" i="6"/>
  <c r="C1228" i="6"/>
  <c r="D1228" i="6"/>
  <c r="B1228" i="6"/>
  <c r="H1227" i="6"/>
  <c r="G1227" i="6"/>
  <c r="H1226" i="6"/>
  <c r="G1226" i="6"/>
  <c r="F1226" i="6"/>
  <c r="H1225" i="6"/>
  <c r="G1225" i="6"/>
  <c r="F1225" i="6"/>
  <c r="D1224" i="6"/>
  <c r="D1223" i="6"/>
  <c r="D1222" i="6"/>
  <c r="D1221" i="6"/>
  <c r="C1220" i="6"/>
  <c r="AB1219" i="6"/>
  <c r="AA1219" i="6"/>
  <c r="Z1219" i="6"/>
  <c r="Y1219" i="6"/>
  <c r="X1219" i="6"/>
  <c r="W1219" i="6"/>
  <c r="V1219" i="6"/>
  <c r="U1219" i="6"/>
  <c r="T1219" i="6"/>
  <c r="H1219" i="6"/>
  <c r="G1219" i="6"/>
  <c r="F1219" i="6"/>
  <c r="E1219" i="6"/>
  <c r="C1219" i="6"/>
  <c r="D1219" i="6"/>
  <c r="B1219" i="6"/>
  <c r="H1218" i="6"/>
  <c r="G1218" i="6"/>
  <c r="H1217" i="6"/>
  <c r="G1217" i="6"/>
  <c r="F1217" i="6"/>
  <c r="H1216" i="6"/>
  <c r="G1216" i="6"/>
  <c r="F1216" i="6"/>
  <c r="D1215" i="6"/>
  <c r="D1214" i="6"/>
  <c r="D1213" i="6"/>
  <c r="D1212" i="6"/>
  <c r="C1211" i="6"/>
  <c r="AB1210" i="6"/>
  <c r="AA1210" i="6"/>
  <c r="Z1210" i="6"/>
  <c r="Y1210" i="6"/>
  <c r="X1210" i="6"/>
  <c r="W1210" i="6"/>
  <c r="V1210" i="6"/>
  <c r="U1210" i="6"/>
  <c r="T1210" i="6"/>
  <c r="H1210" i="6"/>
  <c r="G1210" i="6"/>
  <c r="F1210" i="6"/>
  <c r="E1210" i="6"/>
  <c r="C1210" i="6"/>
  <c r="D1210" i="6"/>
  <c r="B1210" i="6"/>
  <c r="D1209" i="6"/>
  <c r="AB1208" i="6"/>
  <c r="AA1208" i="6"/>
  <c r="Z1208" i="6"/>
  <c r="Y1208" i="6"/>
  <c r="X1208" i="6"/>
  <c r="W1208" i="6"/>
  <c r="V1208" i="6"/>
  <c r="U1208" i="6"/>
  <c r="T1208" i="6"/>
  <c r="H1208" i="6"/>
  <c r="G1208" i="6"/>
  <c r="F1208" i="6"/>
  <c r="E1208" i="6"/>
  <c r="C1208" i="6"/>
  <c r="D1208" i="6"/>
  <c r="B1208" i="6"/>
  <c r="H1207" i="6"/>
  <c r="G1207" i="6"/>
  <c r="H1206" i="6"/>
  <c r="G1206" i="6"/>
  <c r="F1206" i="6"/>
  <c r="H1205" i="6"/>
  <c r="G1205" i="6"/>
  <c r="F1205" i="6"/>
  <c r="D1204" i="6"/>
  <c r="D1203" i="6"/>
  <c r="D1202" i="6"/>
  <c r="D1201" i="6"/>
  <c r="AB1200" i="6"/>
  <c r="AA1200" i="6"/>
  <c r="Z1200" i="6"/>
  <c r="Y1200" i="6"/>
  <c r="X1200" i="6"/>
  <c r="W1200" i="6"/>
  <c r="V1200" i="6"/>
  <c r="U1200" i="6"/>
  <c r="T1200" i="6"/>
  <c r="H1200" i="6"/>
  <c r="G1200" i="6"/>
  <c r="F1200" i="6"/>
  <c r="E1200" i="6"/>
  <c r="C1200" i="6"/>
  <c r="D1200" i="6"/>
  <c r="B1200" i="6"/>
  <c r="D1199" i="6"/>
  <c r="AB1198" i="6"/>
  <c r="AA1198" i="6"/>
  <c r="Z1198" i="6"/>
  <c r="Y1198" i="6"/>
  <c r="X1198" i="6"/>
  <c r="W1198" i="6"/>
  <c r="V1198" i="6"/>
  <c r="U1198" i="6"/>
  <c r="T1198" i="6"/>
  <c r="H1198" i="6"/>
  <c r="G1198" i="6"/>
  <c r="F1198" i="6"/>
  <c r="E1198" i="6"/>
  <c r="C1198" i="6"/>
  <c r="D1198" i="6"/>
  <c r="B1198" i="6"/>
  <c r="H1197" i="6"/>
  <c r="G1197" i="6"/>
  <c r="H1196" i="6"/>
  <c r="G1196" i="6"/>
  <c r="F1196" i="6"/>
  <c r="H1195" i="6"/>
  <c r="G1195" i="6"/>
  <c r="F1195" i="6"/>
  <c r="D1194" i="6"/>
  <c r="D1193" i="6"/>
  <c r="D1192" i="6"/>
  <c r="D1191" i="6"/>
  <c r="C1190" i="6"/>
  <c r="AB1189" i="6"/>
  <c r="AA1189" i="6"/>
  <c r="Z1189" i="6"/>
  <c r="Y1189" i="6"/>
  <c r="X1189" i="6"/>
  <c r="W1189" i="6"/>
  <c r="V1189" i="6"/>
  <c r="U1189" i="6"/>
  <c r="T1189" i="6"/>
  <c r="H1189" i="6"/>
  <c r="G1189" i="6"/>
  <c r="F1189" i="6"/>
  <c r="E1189" i="6"/>
  <c r="C1189" i="6"/>
  <c r="D1189" i="6"/>
  <c r="B1189" i="6"/>
  <c r="D1188" i="6"/>
  <c r="AB1187" i="6"/>
  <c r="AA1187" i="6"/>
  <c r="Z1187" i="6"/>
  <c r="Y1187" i="6"/>
  <c r="X1187" i="6"/>
  <c r="W1187" i="6"/>
  <c r="V1187" i="6"/>
  <c r="U1187" i="6"/>
  <c r="T1187" i="6"/>
  <c r="H1187" i="6"/>
  <c r="G1187" i="6"/>
  <c r="F1187" i="6"/>
  <c r="E1187" i="6"/>
  <c r="C1187" i="6"/>
  <c r="D1187" i="6"/>
  <c r="B1187" i="6"/>
  <c r="H1186" i="6"/>
  <c r="G1186" i="6"/>
  <c r="H1185" i="6"/>
  <c r="G1185" i="6"/>
  <c r="F1185" i="6"/>
  <c r="H1184" i="6"/>
  <c r="G1184" i="6"/>
  <c r="F1184" i="6"/>
  <c r="D1183" i="6"/>
  <c r="D1182" i="6"/>
  <c r="D1181" i="6"/>
  <c r="D1180" i="6"/>
  <c r="C1179" i="6"/>
  <c r="AB1178" i="6"/>
  <c r="AA1178" i="6"/>
  <c r="Z1178" i="6"/>
  <c r="Y1178" i="6"/>
  <c r="X1178" i="6"/>
  <c r="W1178" i="6"/>
  <c r="V1178" i="6"/>
  <c r="U1178" i="6"/>
  <c r="T1178" i="6"/>
  <c r="H1178" i="6"/>
  <c r="G1178" i="6"/>
  <c r="F1178" i="6"/>
  <c r="E1178" i="6"/>
  <c r="C1178" i="6"/>
  <c r="D1178" i="6"/>
  <c r="B1178" i="6"/>
  <c r="D1177" i="6"/>
  <c r="AB1176" i="6"/>
  <c r="AA1176" i="6"/>
  <c r="Z1176" i="6"/>
  <c r="Y1176" i="6"/>
  <c r="X1176" i="6"/>
  <c r="W1176" i="6"/>
  <c r="V1176" i="6"/>
  <c r="U1176" i="6"/>
  <c r="T1176" i="6"/>
  <c r="H1176" i="6"/>
  <c r="G1176" i="6"/>
  <c r="F1176" i="6"/>
  <c r="E1176" i="6"/>
  <c r="C1176" i="6"/>
  <c r="D1176" i="6"/>
  <c r="B1176" i="6"/>
  <c r="H1175" i="6"/>
  <c r="G1175" i="6"/>
  <c r="H1174" i="6"/>
  <c r="G1174" i="6"/>
  <c r="F1174" i="6"/>
  <c r="H1173" i="6"/>
  <c r="G1173" i="6"/>
  <c r="F1173" i="6"/>
  <c r="D1172" i="6"/>
  <c r="D1171" i="6"/>
  <c r="D1170" i="6"/>
  <c r="D1169" i="6"/>
  <c r="C1168" i="6"/>
  <c r="AB1167" i="6"/>
  <c r="AA1167" i="6"/>
  <c r="Z1167" i="6"/>
  <c r="Y1167" i="6"/>
  <c r="X1167" i="6"/>
  <c r="W1167" i="6"/>
  <c r="V1167" i="6"/>
  <c r="U1167" i="6"/>
  <c r="T1167" i="6"/>
  <c r="H1167" i="6"/>
  <c r="G1167" i="6"/>
  <c r="F1167" i="6"/>
  <c r="E1167" i="6"/>
  <c r="C1167" i="6"/>
  <c r="D1167" i="6"/>
  <c r="B1167" i="6"/>
  <c r="D1166" i="6"/>
  <c r="AB1165" i="6"/>
  <c r="AA1165" i="6"/>
  <c r="Z1165" i="6"/>
  <c r="Y1165" i="6"/>
  <c r="X1165" i="6"/>
  <c r="W1165" i="6"/>
  <c r="V1165" i="6"/>
  <c r="U1165" i="6"/>
  <c r="T1165" i="6"/>
  <c r="H1165" i="6"/>
  <c r="G1165" i="6"/>
  <c r="F1165" i="6"/>
  <c r="E1165" i="6"/>
  <c r="C1165" i="6"/>
  <c r="D1165" i="6"/>
  <c r="B1165" i="6"/>
  <c r="H1164" i="6"/>
  <c r="G1164" i="6"/>
  <c r="H1163" i="6"/>
  <c r="G1163" i="6"/>
  <c r="F1163" i="6"/>
  <c r="H1162" i="6"/>
  <c r="G1162" i="6"/>
  <c r="F1162" i="6"/>
  <c r="D1161" i="6"/>
  <c r="D1160" i="6"/>
  <c r="D1159" i="6"/>
  <c r="D1158" i="6"/>
  <c r="C1157" i="6"/>
  <c r="AB1156" i="6"/>
  <c r="AA1156" i="6"/>
  <c r="Z1156" i="6"/>
  <c r="Y1156" i="6"/>
  <c r="X1156" i="6"/>
  <c r="W1156" i="6"/>
  <c r="V1156" i="6"/>
  <c r="U1156" i="6"/>
  <c r="T1156" i="6"/>
  <c r="H1156" i="6"/>
  <c r="G1156" i="6"/>
  <c r="F1156" i="6"/>
  <c r="E1156" i="6"/>
  <c r="C1156" i="6"/>
  <c r="D1156" i="6"/>
  <c r="B1156" i="6"/>
  <c r="D1155" i="6"/>
  <c r="AB1154" i="6"/>
  <c r="AA1154" i="6"/>
  <c r="Z1154" i="6"/>
  <c r="Y1154" i="6"/>
  <c r="X1154" i="6"/>
  <c r="W1154" i="6"/>
  <c r="V1154" i="6"/>
  <c r="U1154" i="6"/>
  <c r="T1154" i="6"/>
  <c r="H1154" i="6"/>
  <c r="G1154" i="6"/>
  <c r="F1154" i="6"/>
  <c r="E1154" i="6"/>
  <c r="C1154" i="6"/>
  <c r="D1154" i="6"/>
  <c r="B1154" i="6"/>
  <c r="H1153" i="6"/>
  <c r="G1153" i="6"/>
  <c r="H1152" i="6"/>
  <c r="G1152" i="6"/>
  <c r="F1152" i="6"/>
  <c r="H1151" i="6"/>
  <c r="G1151" i="6"/>
  <c r="F1151" i="6"/>
  <c r="D1150" i="6"/>
  <c r="D1149" i="6"/>
  <c r="D1148" i="6"/>
  <c r="D1147" i="6"/>
  <c r="C1146" i="6"/>
  <c r="AB1145" i="6"/>
  <c r="AA1145" i="6"/>
  <c r="Z1145" i="6"/>
  <c r="Y1145" i="6"/>
  <c r="X1145" i="6"/>
  <c r="W1145" i="6"/>
  <c r="V1145" i="6"/>
  <c r="U1145" i="6"/>
  <c r="T1145" i="6"/>
  <c r="H1145" i="6"/>
  <c r="G1145" i="6"/>
  <c r="F1145" i="6"/>
  <c r="E1145" i="6"/>
  <c r="C1145" i="6"/>
  <c r="D1145" i="6"/>
  <c r="B1145" i="6"/>
  <c r="D1144" i="6"/>
  <c r="AB1143" i="6"/>
  <c r="AA1143" i="6"/>
  <c r="Z1143" i="6"/>
  <c r="Y1143" i="6"/>
  <c r="X1143" i="6"/>
  <c r="W1143" i="6"/>
  <c r="V1143" i="6"/>
  <c r="U1143" i="6"/>
  <c r="T1143" i="6"/>
  <c r="H1143" i="6"/>
  <c r="G1143" i="6"/>
  <c r="F1143" i="6"/>
  <c r="E1143" i="6"/>
  <c r="C1143" i="6"/>
  <c r="D1143" i="6"/>
  <c r="B1143" i="6"/>
  <c r="H1142" i="6"/>
  <c r="G1142" i="6"/>
  <c r="H1141" i="6"/>
  <c r="G1141" i="6"/>
  <c r="F1141" i="6"/>
  <c r="H1140" i="6"/>
  <c r="G1140" i="6"/>
  <c r="F1140" i="6"/>
  <c r="D1139" i="6"/>
  <c r="D1138" i="6"/>
  <c r="D1137" i="6"/>
  <c r="D1136" i="6"/>
  <c r="C1135" i="6"/>
  <c r="AB1134" i="6"/>
  <c r="AA1134" i="6"/>
  <c r="Z1134" i="6"/>
  <c r="Y1134" i="6"/>
  <c r="X1134" i="6"/>
  <c r="W1134" i="6"/>
  <c r="V1134" i="6"/>
  <c r="U1134" i="6"/>
  <c r="T1134" i="6"/>
  <c r="H1134" i="6"/>
  <c r="G1134" i="6"/>
  <c r="F1134" i="6"/>
  <c r="E1134" i="6"/>
  <c r="C1134" i="6"/>
  <c r="D1134" i="6"/>
  <c r="B1134" i="6"/>
  <c r="D1133" i="6"/>
  <c r="AB1132" i="6"/>
  <c r="AA1132" i="6"/>
  <c r="Z1132" i="6"/>
  <c r="Y1132" i="6"/>
  <c r="X1132" i="6"/>
  <c r="W1132" i="6"/>
  <c r="V1132" i="6"/>
  <c r="U1132" i="6"/>
  <c r="T1132" i="6"/>
  <c r="H1132" i="6"/>
  <c r="G1132" i="6"/>
  <c r="F1132" i="6"/>
  <c r="E1132" i="6"/>
  <c r="C1132" i="6"/>
  <c r="D1132" i="6"/>
  <c r="B1132" i="6"/>
  <c r="H1131" i="6"/>
  <c r="G1131" i="6"/>
  <c r="H1130" i="6"/>
  <c r="G1130" i="6"/>
  <c r="F1130" i="6"/>
  <c r="H1129" i="6"/>
  <c r="G1129" i="6"/>
  <c r="F1129" i="6"/>
  <c r="D1128" i="6"/>
  <c r="D1127" i="6"/>
  <c r="D1126" i="6"/>
  <c r="D1125" i="6"/>
  <c r="C1124" i="6"/>
  <c r="AB1123" i="6"/>
  <c r="AA1123" i="6"/>
  <c r="Z1123" i="6"/>
  <c r="Y1123" i="6"/>
  <c r="X1123" i="6"/>
  <c r="W1123" i="6"/>
  <c r="V1123" i="6"/>
  <c r="U1123" i="6"/>
  <c r="T1123" i="6"/>
  <c r="H1123" i="6"/>
  <c r="G1123" i="6"/>
  <c r="F1123" i="6"/>
  <c r="E1123" i="6"/>
  <c r="C1123" i="6"/>
  <c r="D1123" i="6"/>
  <c r="B1123" i="6"/>
  <c r="D1122" i="6"/>
  <c r="AB1121" i="6"/>
  <c r="AA1121" i="6"/>
  <c r="Z1121" i="6"/>
  <c r="Y1121" i="6"/>
  <c r="X1121" i="6"/>
  <c r="W1121" i="6"/>
  <c r="V1121" i="6"/>
  <c r="U1121" i="6"/>
  <c r="T1121" i="6"/>
  <c r="H1121" i="6"/>
  <c r="G1121" i="6"/>
  <c r="F1121" i="6"/>
  <c r="E1121" i="6"/>
  <c r="C1121" i="6"/>
  <c r="D1121" i="6"/>
  <c r="B1121" i="6"/>
  <c r="H1120" i="6"/>
  <c r="G1120" i="6"/>
  <c r="H1119" i="6"/>
  <c r="G1119" i="6"/>
  <c r="F1119" i="6"/>
  <c r="H1118" i="6"/>
  <c r="G1118" i="6"/>
  <c r="F1118" i="6"/>
  <c r="D1117" i="6"/>
  <c r="D1116" i="6"/>
  <c r="D1115" i="6"/>
  <c r="D1114" i="6"/>
  <c r="C1113" i="6"/>
  <c r="AB1112" i="6"/>
  <c r="AA1112" i="6"/>
  <c r="Z1112" i="6"/>
  <c r="Y1112" i="6"/>
  <c r="X1112" i="6"/>
  <c r="W1112" i="6"/>
  <c r="V1112" i="6"/>
  <c r="U1112" i="6"/>
  <c r="T1112" i="6"/>
  <c r="H1112" i="6"/>
  <c r="G1112" i="6"/>
  <c r="F1112" i="6"/>
  <c r="E1112" i="6"/>
  <c r="C1112" i="6"/>
  <c r="D1112" i="6"/>
  <c r="B1112" i="6"/>
  <c r="A1111" i="6"/>
  <c r="H1107" i="6"/>
  <c r="C1107" i="6"/>
  <c r="H1105" i="6"/>
  <c r="G1105" i="6"/>
  <c r="H1104" i="6"/>
  <c r="G1104" i="6"/>
  <c r="F1104" i="6"/>
  <c r="H1103" i="6"/>
  <c r="G1103" i="6"/>
  <c r="F1103" i="6"/>
  <c r="D1096" i="6"/>
  <c r="D1095" i="6"/>
  <c r="D1094" i="6"/>
  <c r="D1093" i="6"/>
  <c r="AB1092" i="6"/>
  <c r="AA1092" i="6"/>
  <c r="Z1092" i="6"/>
  <c r="Y1092" i="6"/>
  <c r="X1092" i="6"/>
  <c r="W1092" i="6"/>
  <c r="V1092" i="6"/>
  <c r="U1092" i="6"/>
  <c r="T1092" i="6"/>
  <c r="H1092" i="6"/>
  <c r="G1092" i="6"/>
  <c r="F1092" i="6"/>
  <c r="E1092" i="6"/>
  <c r="C1092" i="6"/>
  <c r="D1092" i="6"/>
  <c r="B1092" i="6"/>
  <c r="H1091" i="6"/>
  <c r="G1091" i="6"/>
  <c r="H1090" i="6"/>
  <c r="G1090" i="6"/>
  <c r="F1090" i="6"/>
  <c r="H1089" i="6"/>
  <c r="G1089" i="6"/>
  <c r="F1089" i="6"/>
  <c r="D1082" i="6"/>
  <c r="D1081" i="6"/>
  <c r="D1080" i="6"/>
  <c r="D1079" i="6"/>
  <c r="C1078" i="6"/>
  <c r="AB1077" i="6"/>
  <c r="AA1077" i="6"/>
  <c r="Z1077" i="6"/>
  <c r="Y1077" i="6"/>
  <c r="X1077" i="6"/>
  <c r="W1077" i="6"/>
  <c r="V1077" i="6"/>
  <c r="U1077" i="6"/>
  <c r="T1077" i="6"/>
  <c r="H1077" i="6"/>
  <c r="G1077" i="6"/>
  <c r="F1077" i="6"/>
  <c r="E1077" i="6"/>
  <c r="C1077" i="6"/>
  <c r="D1077" i="6"/>
  <c r="B1077" i="6"/>
  <c r="H1076" i="6"/>
  <c r="G1076" i="6"/>
  <c r="H1075" i="6"/>
  <c r="G1075" i="6"/>
  <c r="F1075" i="6"/>
  <c r="H1074" i="6"/>
  <c r="G1074" i="6"/>
  <c r="F1074" i="6"/>
  <c r="D1073" i="6"/>
  <c r="D1072" i="6"/>
  <c r="D1071" i="6"/>
  <c r="D1070" i="6"/>
  <c r="C1069" i="6"/>
  <c r="AB1068" i="6"/>
  <c r="AA1068" i="6"/>
  <c r="Z1068" i="6"/>
  <c r="Y1068" i="6"/>
  <c r="X1068" i="6"/>
  <c r="W1068" i="6"/>
  <c r="V1068" i="6"/>
  <c r="U1068" i="6"/>
  <c r="T1068" i="6"/>
  <c r="H1068" i="6"/>
  <c r="G1068" i="6"/>
  <c r="F1068" i="6"/>
  <c r="E1068" i="6"/>
  <c r="C1068" i="6"/>
  <c r="D1068" i="6"/>
  <c r="B1068" i="6"/>
  <c r="H1067" i="6"/>
  <c r="G1067" i="6"/>
  <c r="H1066" i="6"/>
  <c r="G1066" i="6"/>
  <c r="F1066" i="6"/>
  <c r="H1065" i="6"/>
  <c r="G1065" i="6"/>
  <c r="F1065" i="6"/>
  <c r="D1064" i="6"/>
  <c r="D1063" i="6"/>
  <c r="D1062" i="6"/>
  <c r="D1061" i="6"/>
  <c r="C1060" i="6"/>
  <c r="AB1059" i="6"/>
  <c r="AA1059" i="6"/>
  <c r="Z1059" i="6"/>
  <c r="Y1059" i="6"/>
  <c r="X1059" i="6"/>
  <c r="W1059" i="6"/>
  <c r="V1059" i="6"/>
  <c r="U1059" i="6"/>
  <c r="T1059" i="6"/>
  <c r="H1059" i="6"/>
  <c r="G1059" i="6"/>
  <c r="F1059" i="6"/>
  <c r="E1059" i="6"/>
  <c r="C1059" i="6"/>
  <c r="D1059" i="6"/>
  <c r="B1059" i="6"/>
  <c r="H1058" i="6"/>
  <c r="G1058" i="6"/>
  <c r="H1057" i="6"/>
  <c r="G1057" i="6"/>
  <c r="F1057" i="6"/>
  <c r="H1056" i="6"/>
  <c r="G1056" i="6"/>
  <c r="F1056" i="6"/>
  <c r="D1055" i="6"/>
  <c r="D1054" i="6"/>
  <c r="D1053" i="6"/>
  <c r="D1052" i="6"/>
  <c r="C1051" i="6"/>
  <c r="AB1050" i="6"/>
  <c r="AA1050" i="6"/>
  <c r="Z1050" i="6"/>
  <c r="Y1050" i="6"/>
  <c r="X1050" i="6"/>
  <c r="W1050" i="6"/>
  <c r="V1050" i="6"/>
  <c r="U1050" i="6"/>
  <c r="T1050" i="6"/>
  <c r="H1050" i="6"/>
  <c r="G1050" i="6"/>
  <c r="F1050" i="6"/>
  <c r="E1050" i="6"/>
  <c r="C1050" i="6"/>
  <c r="D1050" i="6"/>
  <c r="B1050" i="6"/>
  <c r="A1049" i="6"/>
  <c r="A1047" i="6"/>
  <c r="H1043" i="6"/>
  <c r="C1043" i="6"/>
  <c r="H1039" i="6"/>
  <c r="C1039" i="6"/>
  <c r="D1037" i="6"/>
  <c r="AB1036" i="6"/>
  <c r="AA1036" i="6"/>
  <c r="Z1036" i="6"/>
  <c r="Y1036" i="6"/>
  <c r="X1036" i="6"/>
  <c r="W1036" i="6"/>
  <c r="V1036" i="6"/>
  <c r="U1036" i="6"/>
  <c r="T1036" i="6"/>
  <c r="H1036" i="6"/>
  <c r="G1036" i="6"/>
  <c r="F1036" i="6"/>
  <c r="E1036" i="6"/>
  <c r="C1036" i="6"/>
  <c r="D1036" i="6"/>
  <c r="B1036" i="6"/>
  <c r="D1035" i="6"/>
  <c r="AB1034" i="6"/>
  <c r="AA1034" i="6"/>
  <c r="Z1034" i="6"/>
  <c r="Y1034" i="6"/>
  <c r="X1034" i="6"/>
  <c r="W1034" i="6"/>
  <c r="V1034" i="6"/>
  <c r="U1034" i="6"/>
  <c r="T1034" i="6"/>
  <c r="H1034" i="6"/>
  <c r="G1034" i="6"/>
  <c r="F1034" i="6"/>
  <c r="E1034" i="6"/>
  <c r="C1034" i="6"/>
  <c r="D1034" i="6"/>
  <c r="B1034" i="6"/>
  <c r="H1033" i="6"/>
  <c r="G1033" i="6"/>
  <c r="H1032" i="6"/>
  <c r="G1032" i="6"/>
  <c r="F1032" i="6"/>
  <c r="H1031" i="6"/>
  <c r="G1031" i="6"/>
  <c r="F1031" i="6"/>
  <c r="D1030" i="6"/>
  <c r="D1029" i="6"/>
  <c r="D1028" i="6"/>
  <c r="D1027" i="6"/>
  <c r="AB1026" i="6"/>
  <c r="AA1026" i="6"/>
  <c r="Z1026" i="6"/>
  <c r="Y1026" i="6"/>
  <c r="X1026" i="6"/>
  <c r="W1026" i="6"/>
  <c r="V1026" i="6"/>
  <c r="U1026" i="6"/>
  <c r="T1026" i="6"/>
  <c r="H1026" i="6"/>
  <c r="G1026" i="6"/>
  <c r="F1026" i="6"/>
  <c r="E1026" i="6"/>
  <c r="C1026" i="6"/>
  <c r="D1026" i="6"/>
  <c r="B1026" i="6"/>
  <c r="D1025" i="6"/>
  <c r="AB1024" i="6"/>
  <c r="AA1024" i="6"/>
  <c r="Z1024" i="6"/>
  <c r="Y1024" i="6"/>
  <c r="X1024" i="6"/>
  <c r="W1024" i="6"/>
  <c r="V1024" i="6"/>
  <c r="U1024" i="6"/>
  <c r="T1024" i="6"/>
  <c r="H1024" i="6"/>
  <c r="G1024" i="6"/>
  <c r="F1024" i="6"/>
  <c r="E1024" i="6"/>
  <c r="C1024" i="6"/>
  <c r="D1024" i="6"/>
  <c r="B1024" i="6"/>
  <c r="D1023" i="6"/>
  <c r="AB1022" i="6"/>
  <c r="AA1022" i="6"/>
  <c r="Z1022" i="6"/>
  <c r="Y1022" i="6"/>
  <c r="X1022" i="6"/>
  <c r="W1022" i="6"/>
  <c r="V1022" i="6"/>
  <c r="U1022" i="6"/>
  <c r="T1022" i="6"/>
  <c r="H1022" i="6"/>
  <c r="G1022" i="6"/>
  <c r="F1022" i="6"/>
  <c r="E1022" i="6"/>
  <c r="C1022" i="6"/>
  <c r="D1022" i="6"/>
  <c r="B1022" i="6"/>
  <c r="H1021" i="6"/>
  <c r="G1021" i="6"/>
  <c r="H1020" i="6"/>
  <c r="G1020" i="6"/>
  <c r="H1019" i="6"/>
  <c r="G1019" i="6"/>
  <c r="F1019" i="6"/>
  <c r="H1018" i="6"/>
  <c r="G1018" i="6"/>
  <c r="H1017" i="6"/>
  <c r="G1017" i="6"/>
  <c r="F1017" i="6"/>
  <c r="D1011" i="6"/>
  <c r="D1010" i="6"/>
  <c r="D1009" i="6"/>
  <c r="D1008" i="6"/>
  <c r="AB1007" i="6"/>
  <c r="AA1007" i="6"/>
  <c r="Z1007" i="6"/>
  <c r="Y1007" i="6"/>
  <c r="X1007" i="6"/>
  <c r="W1007" i="6"/>
  <c r="V1007" i="6"/>
  <c r="U1007" i="6"/>
  <c r="T1007" i="6"/>
  <c r="H1007" i="6"/>
  <c r="G1007" i="6"/>
  <c r="F1007" i="6"/>
  <c r="E1007" i="6"/>
  <c r="C1007" i="6"/>
  <c r="D1007" i="6"/>
  <c r="B1007" i="6"/>
  <c r="D1006" i="6"/>
  <c r="AB1005" i="6"/>
  <c r="AA1005" i="6"/>
  <c r="Z1005" i="6"/>
  <c r="Y1005" i="6"/>
  <c r="X1005" i="6"/>
  <c r="W1005" i="6"/>
  <c r="V1005" i="6"/>
  <c r="U1005" i="6"/>
  <c r="T1005" i="6"/>
  <c r="H1005" i="6"/>
  <c r="G1005" i="6"/>
  <c r="F1005" i="6"/>
  <c r="E1005" i="6"/>
  <c r="C1005" i="6"/>
  <c r="D1005" i="6"/>
  <c r="B1005" i="6"/>
  <c r="D1004" i="6"/>
  <c r="AB1003" i="6"/>
  <c r="AA1003" i="6"/>
  <c r="Z1003" i="6"/>
  <c r="Y1003" i="6"/>
  <c r="X1003" i="6"/>
  <c r="W1003" i="6"/>
  <c r="V1003" i="6"/>
  <c r="U1003" i="6"/>
  <c r="T1003" i="6"/>
  <c r="H1003" i="6"/>
  <c r="G1003" i="6"/>
  <c r="F1003" i="6"/>
  <c r="E1003" i="6"/>
  <c r="C1003" i="6"/>
  <c r="D1003" i="6"/>
  <c r="B1003" i="6"/>
  <c r="H1002" i="6"/>
  <c r="G1002" i="6"/>
  <c r="H1001" i="6"/>
  <c r="G1001" i="6"/>
  <c r="F1001" i="6"/>
  <c r="H1000" i="6"/>
  <c r="G1000" i="6"/>
  <c r="F1000" i="6"/>
  <c r="D994" i="6"/>
  <c r="D993" i="6"/>
  <c r="D992" i="6"/>
  <c r="D991" i="6"/>
  <c r="C990" i="6"/>
  <c r="AB989" i="6"/>
  <c r="AA989" i="6"/>
  <c r="Z989" i="6"/>
  <c r="Y989" i="6"/>
  <c r="X989" i="6"/>
  <c r="W989" i="6"/>
  <c r="V989" i="6"/>
  <c r="U989" i="6"/>
  <c r="T989" i="6"/>
  <c r="H989" i="6"/>
  <c r="G989" i="6"/>
  <c r="F989" i="6"/>
  <c r="E989" i="6"/>
  <c r="C989" i="6"/>
  <c r="D989" i="6"/>
  <c r="B989" i="6"/>
  <c r="D988" i="6"/>
  <c r="AB987" i="6"/>
  <c r="AA987" i="6"/>
  <c r="Z987" i="6"/>
  <c r="Y987" i="6"/>
  <c r="X987" i="6"/>
  <c r="W987" i="6"/>
  <c r="V987" i="6"/>
  <c r="U987" i="6"/>
  <c r="T987" i="6"/>
  <c r="H987" i="6"/>
  <c r="G987" i="6"/>
  <c r="F987" i="6"/>
  <c r="E987" i="6"/>
  <c r="C987" i="6"/>
  <c r="D987" i="6"/>
  <c r="B987" i="6"/>
  <c r="D986" i="6"/>
  <c r="AB985" i="6"/>
  <c r="AA985" i="6"/>
  <c r="Z985" i="6"/>
  <c r="Y985" i="6"/>
  <c r="X985" i="6"/>
  <c r="W985" i="6"/>
  <c r="V985" i="6"/>
  <c r="U985" i="6"/>
  <c r="T985" i="6"/>
  <c r="H985" i="6"/>
  <c r="G985" i="6"/>
  <c r="F985" i="6"/>
  <c r="E985" i="6"/>
  <c r="C985" i="6"/>
  <c r="D985" i="6"/>
  <c r="B985" i="6"/>
  <c r="H984" i="6"/>
  <c r="G984" i="6"/>
  <c r="H983" i="6"/>
  <c r="G983" i="6"/>
  <c r="F983" i="6"/>
  <c r="H982" i="6"/>
  <c r="G982" i="6"/>
  <c r="F982" i="6"/>
  <c r="D976" i="6"/>
  <c r="D975" i="6"/>
  <c r="D974" i="6"/>
  <c r="D973" i="6"/>
  <c r="C972" i="6"/>
  <c r="AB971" i="6"/>
  <c r="AA971" i="6"/>
  <c r="Z971" i="6"/>
  <c r="Y971" i="6"/>
  <c r="X971" i="6"/>
  <c r="W971" i="6"/>
  <c r="V971" i="6"/>
  <c r="U971" i="6"/>
  <c r="T971" i="6"/>
  <c r="H971" i="6"/>
  <c r="G971" i="6"/>
  <c r="F971" i="6"/>
  <c r="E971" i="6"/>
  <c r="C971" i="6"/>
  <c r="D971" i="6"/>
  <c r="B971" i="6"/>
  <c r="H970" i="6"/>
  <c r="G970" i="6"/>
  <c r="H969" i="6"/>
  <c r="G969" i="6"/>
  <c r="H968" i="6"/>
  <c r="G968" i="6"/>
  <c r="F968" i="6"/>
  <c r="H967" i="6"/>
  <c r="G967" i="6"/>
  <c r="H966" i="6"/>
  <c r="G966" i="6"/>
  <c r="F966" i="6"/>
  <c r="D960" i="6"/>
  <c r="D959" i="6"/>
  <c r="D958" i="6"/>
  <c r="D957" i="6"/>
  <c r="C956" i="6"/>
  <c r="AB955" i="6"/>
  <c r="AA955" i="6"/>
  <c r="Z955" i="6"/>
  <c r="Y955" i="6"/>
  <c r="X955" i="6"/>
  <c r="W955" i="6"/>
  <c r="V955" i="6"/>
  <c r="U955" i="6"/>
  <c r="T955" i="6"/>
  <c r="H955" i="6"/>
  <c r="G955" i="6"/>
  <c r="F955" i="6"/>
  <c r="E955" i="6"/>
  <c r="C955" i="6"/>
  <c r="D955" i="6"/>
  <c r="B955" i="6"/>
  <c r="D954" i="6"/>
  <c r="AB953" i="6"/>
  <c r="AA953" i="6"/>
  <c r="Z953" i="6"/>
  <c r="Y953" i="6"/>
  <c r="X953" i="6"/>
  <c r="W953" i="6"/>
  <c r="V953" i="6"/>
  <c r="U953" i="6"/>
  <c r="T953" i="6"/>
  <c r="H953" i="6"/>
  <c r="G953" i="6"/>
  <c r="F953" i="6"/>
  <c r="E953" i="6"/>
  <c r="C953" i="6"/>
  <c r="D953" i="6"/>
  <c r="B953" i="6"/>
  <c r="D952" i="6"/>
  <c r="AB951" i="6"/>
  <c r="AA951" i="6"/>
  <c r="Z951" i="6"/>
  <c r="Y951" i="6"/>
  <c r="X951" i="6"/>
  <c r="W951" i="6"/>
  <c r="V951" i="6"/>
  <c r="U951" i="6"/>
  <c r="T951" i="6"/>
  <c r="H951" i="6"/>
  <c r="G951" i="6"/>
  <c r="F951" i="6"/>
  <c r="E951" i="6"/>
  <c r="C951" i="6"/>
  <c r="D951" i="6"/>
  <c r="B951" i="6"/>
  <c r="H950" i="6"/>
  <c r="G950" i="6"/>
  <c r="H949" i="6"/>
  <c r="G949" i="6"/>
  <c r="F949" i="6"/>
  <c r="H948" i="6"/>
  <c r="G948" i="6"/>
  <c r="F948" i="6"/>
  <c r="D947" i="6"/>
  <c r="D946" i="6"/>
  <c r="D945" i="6"/>
  <c r="D944" i="6"/>
  <c r="C943" i="6"/>
  <c r="AB942" i="6"/>
  <c r="AA942" i="6"/>
  <c r="Z942" i="6"/>
  <c r="Y942" i="6"/>
  <c r="X942" i="6"/>
  <c r="W942" i="6"/>
  <c r="V942" i="6"/>
  <c r="U942" i="6"/>
  <c r="T942" i="6"/>
  <c r="H942" i="6"/>
  <c r="G942" i="6"/>
  <c r="F942" i="6"/>
  <c r="E942" i="6"/>
  <c r="C942" i="6"/>
  <c r="D942" i="6"/>
  <c r="B942" i="6"/>
  <c r="D941" i="6"/>
  <c r="AB940" i="6"/>
  <c r="AA940" i="6"/>
  <c r="Z940" i="6"/>
  <c r="Y940" i="6"/>
  <c r="X940" i="6"/>
  <c r="W940" i="6"/>
  <c r="V940" i="6"/>
  <c r="U940" i="6"/>
  <c r="T940" i="6"/>
  <c r="H940" i="6"/>
  <c r="G940" i="6"/>
  <c r="F940" i="6"/>
  <c r="E940" i="6"/>
  <c r="C940" i="6"/>
  <c r="D940" i="6"/>
  <c r="B940" i="6"/>
  <c r="D939" i="6"/>
  <c r="AB938" i="6"/>
  <c r="AA938" i="6"/>
  <c r="Z938" i="6"/>
  <c r="Y938" i="6"/>
  <c r="X938" i="6"/>
  <c r="W938" i="6"/>
  <c r="V938" i="6"/>
  <c r="U938" i="6"/>
  <c r="T938" i="6"/>
  <c r="H938" i="6"/>
  <c r="G938" i="6"/>
  <c r="F938" i="6"/>
  <c r="E938" i="6"/>
  <c r="C938" i="6"/>
  <c r="D938" i="6"/>
  <c r="B938" i="6"/>
  <c r="H937" i="6"/>
  <c r="G937" i="6"/>
  <c r="H936" i="6"/>
  <c r="G936" i="6"/>
  <c r="F936" i="6"/>
  <c r="H935" i="6"/>
  <c r="G935" i="6"/>
  <c r="F935" i="6"/>
  <c r="D932" i="6"/>
  <c r="D931" i="6"/>
  <c r="D930" i="6"/>
  <c r="D929" i="6"/>
  <c r="C928" i="6"/>
  <c r="AB927" i="6"/>
  <c r="AA927" i="6"/>
  <c r="Z927" i="6"/>
  <c r="Y927" i="6"/>
  <c r="X927" i="6"/>
  <c r="W927" i="6"/>
  <c r="V927" i="6"/>
  <c r="U927" i="6"/>
  <c r="T927" i="6"/>
  <c r="H927" i="6"/>
  <c r="G927" i="6"/>
  <c r="F927" i="6"/>
  <c r="E927" i="6"/>
  <c r="C927" i="6"/>
  <c r="D927" i="6"/>
  <c r="B927" i="6"/>
  <c r="D926" i="6"/>
  <c r="AB925" i="6"/>
  <c r="AA925" i="6"/>
  <c r="Z925" i="6"/>
  <c r="Y925" i="6"/>
  <c r="X925" i="6"/>
  <c r="W925" i="6"/>
  <c r="V925" i="6"/>
  <c r="U925" i="6"/>
  <c r="T925" i="6"/>
  <c r="H925" i="6"/>
  <c r="G925" i="6"/>
  <c r="F925" i="6"/>
  <c r="E925" i="6"/>
  <c r="C925" i="6"/>
  <c r="D925" i="6"/>
  <c r="B925" i="6"/>
  <c r="D924" i="6"/>
  <c r="AB923" i="6"/>
  <c r="AA923" i="6"/>
  <c r="Z923" i="6"/>
  <c r="Y923" i="6"/>
  <c r="X923" i="6"/>
  <c r="W923" i="6"/>
  <c r="V923" i="6"/>
  <c r="U923" i="6"/>
  <c r="T923" i="6"/>
  <c r="H923" i="6"/>
  <c r="G923" i="6"/>
  <c r="F923" i="6"/>
  <c r="E923" i="6"/>
  <c r="D923" i="6"/>
  <c r="B923" i="6"/>
  <c r="D922" i="6"/>
  <c r="AB921" i="6"/>
  <c r="AA921" i="6"/>
  <c r="Z921" i="6"/>
  <c r="Y921" i="6"/>
  <c r="X921" i="6"/>
  <c r="W921" i="6"/>
  <c r="V921" i="6"/>
  <c r="U921" i="6"/>
  <c r="T921" i="6"/>
  <c r="H921" i="6"/>
  <c r="G921" i="6"/>
  <c r="F921" i="6"/>
  <c r="E921" i="6"/>
  <c r="C921" i="6"/>
  <c r="D921" i="6"/>
  <c r="B921" i="6"/>
  <c r="H920" i="6"/>
  <c r="G920" i="6"/>
  <c r="H919" i="6"/>
  <c r="G919" i="6"/>
  <c r="H918" i="6"/>
  <c r="G918" i="6"/>
  <c r="F918" i="6"/>
  <c r="H917" i="6"/>
  <c r="G917" i="6"/>
  <c r="H916" i="6"/>
  <c r="G916" i="6"/>
  <c r="F916" i="6"/>
  <c r="D910" i="6"/>
  <c r="D909" i="6"/>
  <c r="D908" i="6"/>
  <c r="D907" i="6"/>
  <c r="C906" i="6"/>
  <c r="AB905" i="6"/>
  <c r="AA905" i="6"/>
  <c r="Z905" i="6"/>
  <c r="Y905" i="6"/>
  <c r="X905" i="6"/>
  <c r="W905" i="6"/>
  <c r="V905" i="6"/>
  <c r="U905" i="6"/>
  <c r="T905" i="6"/>
  <c r="H905" i="6"/>
  <c r="G905" i="6"/>
  <c r="F905" i="6"/>
  <c r="E905" i="6"/>
  <c r="C905" i="6"/>
  <c r="D905" i="6"/>
  <c r="B905" i="6"/>
  <c r="H904" i="6"/>
  <c r="G904" i="6"/>
  <c r="H903" i="6"/>
  <c r="G903" i="6"/>
  <c r="H902" i="6"/>
  <c r="G902" i="6"/>
  <c r="F902" i="6"/>
  <c r="H901" i="6"/>
  <c r="G901" i="6"/>
  <c r="H900" i="6"/>
  <c r="G900" i="6"/>
  <c r="F900" i="6"/>
  <c r="D894" i="6"/>
  <c r="D893" i="6"/>
  <c r="D892" i="6"/>
  <c r="D891" i="6"/>
  <c r="C890" i="6"/>
  <c r="AB889" i="6"/>
  <c r="AA889" i="6"/>
  <c r="Z889" i="6"/>
  <c r="Y889" i="6"/>
  <c r="X889" i="6"/>
  <c r="W889" i="6"/>
  <c r="V889" i="6"/>
  <c r="U889" i="6"/>
  <c r="T889" i="6"/>
  <c r="H889" i="6"/>
  <c r="G889" i="6"/>
  <c r="F889" i="6"/>
  <c r="E889" i="6"/>
  <c r="C889" i="6"/>
  <c r="D889" i="6"/>
  <c r="B889" i="6"/>
  <c r="D888" i="6"/>
  <c r="AB887" i="6"/>
  <c r="AA887" i="6"/>
  <c r="Z887" i="6"/>
  <c r="Y887" i="6"/>
  <c r="X887" i="6"/>
  <c r="W887" i="6"/>
  <c r="V887" i="6"/>
  <c r="U887" i="6"/>
  <c r="T887" i="6"/>
  <c r="H887" i="6"/>
  <c r="G887" i="6"/>
  <c r="F887" i="6"/>
  <c r="E887" i="6"/>
  <c r="C887" i="6"/>
  <c r="D887" i="6"/>
  <c r="B887" i="6"/>
  <c r="D886" i="6"/>
  <c r="AB885" i="6"/>
  <c r="AA885" i="6"/>
  <c r="Z885" i="6"/>
  <c r="Y885" i="6"/>
  <c r="X885" i="6"/>
  <c r="W885" i="6"/>
  <c r="V885" i="6"/>
  <c r="U885" i="6"/>
  <c r="T885" i="6"/>
  <c r="H885" i="6"/>
  <c r="G885" i="6"/>
  <c r="F885" i="6"/>
  <c r="E885" i="6"/>
  <c r="C885" i="6"/>
  <c r="D885" i="6"/>
  <c r="B885" i="6"/>
  <c r="D884" i="6"/>
  <c r="AB883" i="6"/>
  <c r="AA883" i="6"/>
  <c r="Z883" i="6"/>
  <c r="Y883" i="6"/>
  <c r="X883" i="6"/>
  <c r="W883" i="6"/>
  <c r="V883" i="6"/>
  <c r="U883" i="6"/>
  <c r="T883" i="6"/>
  <c r="H883" i="6"/>
  <c r="G883" i="6"/>
  <c r="F883" i="6"/>
  <c r="E883" i="6"/>
  <c r="C883" i="6"/>
  <c r="D883" i="6"/>
  <c r="B883" i="6"/>
  <c r="H882" i="6"/>
  <c r="G882" i="6"/>
  <c r="H881" i="6"/>
  <c r="G881" i="6"/>
  <c r="H880" i="6"/>
  <c r="G880" i="6"/>
  <c r="F880" i="6"/>
  <c r="H879" i="6"/>
  <c r="G879" i="6"/>
  <c r="H878" i="6"/>
  <c r="G878" i="6"/>
  <c r="F878" i="6"/>
  <c r="D872" i="6"/>
  <c r="D871" i="6"/>
  <c r="D870" i="6"/>
  <c r="D869" i="6"/>
  <c r="C868" i="6"/>
  <c r="AB867" i="6"/>
  <c r="AA867" i="6"/>
  <c r="Z867" i="6"/>
  <c r="Y867" i="6"/>
  <c r="X867" i="6"/>
  <c r="W867" i="6"/>
  <c r="V867" i="6"/>
  <c r="U867" i="6"/>
  <c r="T867" i="6"/>
  <c r="H867" i="6"/>
  <c r="G867" i="6"/>
  <c r="F867" i="6"/>
  <c r="E867" i="6"/>
  <c r="C867" i="6"/>
  <c r="D867" i="6"/>
  <c r="B867" i="6"/>
  <c r="D866" i="6"/>
  <c r="AB865" i="6"/>
  <c r="AA865" i="6"/>
  <c r="Z865" i="6"/>
  <c r="Y865" i="6"/>
  <c r="X865" i="6"/>
  <c r="W865" i="6"/>
  <c r="V865" i="6"/>
  <c r="U865" i="6"/>
  <c r="T865" i="6"/>
  <c r="H865" i="6"/>
  <c r="G865" i="6"/>
  <c r="F865" i="6"/>
  <c r="E865" i="6"/>
  <c r="C865" i="6"/>
  <c r="D865" i="6"/>
  <c r="B865" i="6"/>
  <c r="D864" i="6"/>
  <c r="AB863" i="6"/>
  <c r="AA863" i="6"/>
  <c r="Z863" i="6"/>
  <c r="Y863" i="6"/>
  <c r="X863" i="6"/>
  <c r="W863" i="6"/>
  <c r="V863" i="6"/>
  <c r="U863" i="6"/>
  <c r="T863" i="6"/>
  <c r="H863" i="6"/>
  <c r="G863" i="6"/>
  <c r="F863" i="6"/>
  <c r="E863" i="6"/>
  <c r="C863" i="6"/>
  <c r="D863" i="6"/>
  <c r="B863" i="6"/>
  <c r="H862" i="6"/>
  <c r="G862" i="6"/>
  <c r="H861" i="6"/>
  <c r="G861" i="6"/>
  <c r="H860" i="6"/>
  <c r="G860" i="6"/>
  <c r="F860" i="6"/>
  <c r="H859" i="6"/>
  <c r="G859" i="6"/>
  <c r="H858" i="6"/>
  <c r="G858" i="6"/>
  <c r="F858" i="6"/>
  <c r="D852" i="6"/>
  <c r="D851" i="6"/>
  <c r="D850" i="6"/>
  <c r="D849" i="6"/>
  <c r="C848" i="6"/>
  <c r="AB847" i="6"/>
  <c r="AA847" i="6"/>
  <c r="Z847" i="6"/>
  <c r="Y847" i="6"/>
  <c r="X847" i="6"/>
  <c r="W847" i="6"/>
  <c r="V847" i="6"/>
  <c r="U847" i="6"/>
  <c r="T847" i="6"/>
  <c r="H847" i="6"/>
  <c r="G847" i="6"/>
  <c r="F847" i="6"/>
  <c r="E847" i="6"/>
  <c r="C847" i="6"/>
  <c r="D847" i="6"/>
  <c r="B847" i="6"/>
  <c r="D846" i="6"/>
  <c r="AB845" i="6"/>
  <c r="AA845" i="6"/>
  <c r="Z845" i="6"/>
  <c r="Y845" i="6"/>
  <c r="X845" i="6"/>
  <c r="W845" i="6"/>
  <c r="V845" i="6"/>
  <c r="U845" i="6"/>
  <c r="T845" i="6"/>
  <c r="H845" i="6"/>
  <c r="G845" i="6"/>
  <c r="F845" i="6"/>
  <c r="E845" i="6"/>
  <c r="C845" i="6"/>
  <c r="D845" i="6"/>
  <c r="B845" i="6"/>
  <c r="D844" i="6"/>
  <c r="AB843" i="6"/>
  <c r="AA843" i="6"/>
  <c r="Z843" i="6"/>
  <c r="Y843" i="6"/>
  <c r="X843" i="6"/>
  <c r="W843" i="6"/>
  <c r="V843" i="6"/>
  <c r="U843" i="6"/>
  <c r="T843" i="6"/>
  <c r="H843" i="6"/>
  <c r="G843" i="6"/>
  <c r="F843" i="6"/>
  <c r="E843" i="6"/>
  <c r="C843" i="6"/>
  <c r="D843" i="6"/>
  <c r="B843" i="6"/>
  <c r="H842" i="6"/>
  <c r="G842" i="6"/>
  <c r="H841" i="6"/>
  <c r="G841" i="6"/>
  <c r="H840" i="6"/>
  <c r="G840" i="6"/>
  <c r="F840" i="6"/>
  <c r="H839" i="6"/>
  <c r="G839" i="6"/>
  <c r="H838" i="6"/>
  <c r="G838" i="6"/>
  <c r="F838" i="6"/>
  <c r="D832" i="6"/>
  <c r="D831" i="6"/>
  <c r="D830" i="6"/>
  <c r="D829" i="6"/>
  <c r="C828" i="6"/>
  <c r="AB827" i="6"/>
  <c r="AA827" i="6"/>
  <c r="Z827" i="6"/>
  <c r="Y827" i="6"/>
  <c r="X827" i="6"/>
  <c r="W827" i="6"/>
  <c r="V827" i="6"/>
  <c r="U827" i="6"/>
  <c r="T827" i="6"/>
  <c r="H827" i="6"/>
  <c r="G827" i="6"/>
  <c r="F827" i="6"/>
  <c r="E827" i="6"/>
  <c r="C827" i="6"/>
  <c r="D827" i="6"/>
  <c r="B827" i="6"/>
  <c r="D826" i="6"/>
  <c r="AB825" i="6"/>
  <c r="AA825" i="6"/>
  <c r="Z825" i="6"/>
  <c r="Y825" i="6"/>
  <c r="X825" i="6"/>
  <c r="W825" i="6"/>
  <c r="V825" i="6"/>
  <c r="U825" i="6"/>
  <c r="T825" i="6"/>
  <c r="H825" i="6"/>
  <c r="G825" i="6"/>
  <c r="F825" i="6"/>
  <c r="E825" i="6"/>
  <c r="C825" i="6"/>
  <c r="D825" i="6"/>
  <c r="B825" i="6"/>
  <c r="D824" i="6"/>
  <c r="AB823" i="6"/>
  <c r="AA823" i="6"/>
  <c r="Z823" i="6"/>
  <c r="Y823" i="6"/>
  <c r="X823" i="6"/>
  <c r="W823" i="6"/>
  <c r="V823" i="6"/>
  <c r="U823" i="6"/>
  <c r="T823" i="6"/>
  <c r="H823" i="6"/>
  <c r="G823" i="6"/>
  <c r="F823" i="6"/>
  <c r="E823" i="6"/>
  <c r="C823" i="6"/>
  <c r="D823" i="6"/>
  <c r="B823" i="6"/>
  <c r="H822" i="6"/>
  <c r="G822" i="6"/>
  <c r="H821" i="6"/>
  <c r="G821" i="6"/>
  <c r="H820" i="6"/>
  <c r="G820" i="6"/>
  <c r="F820" i="6"/>
  <c r="H819" i="6"/>
  <c r="G819" i="6"/>
  <c r="H818" i="6"/>
  <c r="G818" i="6"/>
  <c r="F818" i="6"/>
  <c r="D812" i="6"/>
  <c r="D811" i="6"/>
  <c r="D810" i="6"/>
  <c r="D809" i="6"/>
  <c r="C808" i="6"/>
  <c r="AB807" i="6"/>
  <c r="AA807" i="6"/>
  <c r="Z807" i="6"/>
  <c r="Y807" i="6"/>
  <c r="X807" i="6"/>
  <c r="W807" i="6"/>
  <c r="V807" i="6"/>
  <c r="U807" i="6"/>
  <c r="T807" i="6"/>
  <c r="H807" i="6"/>
  <c r="G807" i="6"/>
  <c r="F807" i="6"/>
  <c r="E807" i="6"/>
  <c r="C807" i="6"/>
  <c r="D807" i="6"/>
  <c r="B807" i="6"/>
  <c r="D806" i="6"/>
  <c r="AB805" i="6"/>
  <c r="AA805" i="6"/>
  <c r="Z805" i="6"/>
  <c r="Y805" i="6"/>
  <c r="X805" i="6"/>
  <c r="W805" i="6"/>
  <c r="V805" i="6"/>
  <c r="U805" i="6"/>
  <c r="T805" i="6"/>
  <c r="H805" i="6"/>
  <c r="G805" i="6"/>
  <c r="F805" i="6"/>
  <c r="E805" i="6"/>
  <c r="C805" i="6"/>
  <c r="D805" i="6"/>
  <c r="B805" i="6"/>
  <c r="D804" i="6"/>
  <c r="AB803" i="6"/>
  <c r="AA803" i="6"/>
  <c r="Z803" i="6"/>
  <c r="Y803" i="6"/>
  <c r="X803" i="6"/>
  <c r="W803" i="6"/>
  <c r="V803" i="6"/>
  <c r="U803" i="6"/>
  <c r="T803" i="6"/>
  <c r="H803" i="6"/>
  <c r="G803" i="6"/>
  <c r="F803" i="6"/>
  <c r="E803" i="6"/>
  <c r="C803" i="6"/>
  <c r="D803" i="6"/>
  <c r="B803" i="6"/>
  <c r="D802" i="6"/>
  <c r="AB801" i="6"/>
  <c r="AA801" i="6"/>
  <c r="Z801" i="6"/>
  <c r="Y801" i="6"/>
  <c r="X801" i="6"/>
  <c r="W801" i="6"/>
  <c r="V801" i="6"/>
  <c r="U801" i="6"/>
  <c r="T801" i="6"/>
  <c r="H801" i="6"/>
  <c r="G801" i="6"/>
  <c r="F801" i="6"/>
  <c r="E801" i="6"/>
  <c r="C801" i="6"/>
  <c r="D801" i="6"/>
  <c r="B801" i="6"/>
  <c r="D800" i="6"/>
  <c r="AB799" i="6"/>
  <c r="AA799" i="6"/>
  <c r="Z799" i="6"/>
  <c r="Y799" i="6"/>
  <c r="X799" i="6"/>
  <c r="W799" i="6"/>
  <c r="V799" i="6"/>
  <c r="U799" i="6"/>
  <c r="T799" i="6"/>
  <c r="H799" i="6"/>
  <c r="G799" i="6"/>
  <c r="F799" i="6"/>
  <c r="E799" i="6"/>
  <c r="C799" i="6"/>
  <c r="D799" i="6"/>
  <c r="B799" i="6"/>
  <c r="H798" i="6"/>
  <c r="G798" i="6"/>
  <c r="H797" i="6"/>
  <c r="G797" i="6"/>
  <c r="H796" i="6"/>
  <c r="G796" i="6"/>
  <c r="F796" i="6"/>
  <c r="H795" i="6"/>
  <c r="G795" i="6"/>
  <c r="H794" i="6"/>
  <c r="G794" i="6"/>
  <c r="F794" i="6"/>
  <c r="D788" i="6"/>
  <c r="D787" i="6"/>
  <c r="D786" i="6"/>
  <c r="D785" i="6"/>
  <c r="C784" i="6"/>
  <c r="AB783" i="6"/>
  <c r="AA783" i="6"/>
  <c r="Z783" i="6"/>
  <c r="Y783" i="6"/>
  <c r="X783" i="6"/>
  <c r="W783" i="6"/>
  <c r="V783" i="6"/>
  <c r="U783" i="6"/>
  <c r="T783" i="6"/>
  <c r="H783" i="6"/>
  <c r="G783" i="6"/>
  <c r="F783" i="6"/>
  <c r="E783" i="6"/>
  <c r="C783" i="6"/>
  <c r="D783" i="6"/>
  <c r="B783" i="6"/>
  <c r="H782" i="6"/>
  <c r="G782" i="6"/>
  <c r="H781" i="6"/>
  <c r="G781" i="6"/>
  <c r="H780" i="6"/>
  <c r="G780" i="6"/>
  <c r="F780" i="6"/>
  <c r="H779" i="6"/>
  <c r="G779" i="6"/>
  <c r="H778" i="6"/>
  <c r="G778" i="6"/>
  <c r="F778" i="6"/>
  <c r="D772" i="6"/>
  <c r="D771" i="6"/>
  <c r="D770" i="6"/>
  <c r="D769" i="6"/>
  <c r="C768" i="6"/>
  <c r="AB767" i="6"/>
  <c r="AA767" i="6"/>
  <c r="Z767" i="6"/>
  <c r="Y767" i="6"/>
  <c r="X767" i="6"/>
  <c r="W767" i="6"/>
  <c r="V767" i="6"/>
  <c r="U767" i="6"/>
  <c r="T767" i="6"/>
  <c r="H767" i="6"/>
  <c r="G767" i="6"/>
  <c r="F767" i="6"/>
  <c r="E767" i="6"/>
  <c r="C767" i="6"/>
  <c r="D767" i="6"/>
  <c r="B767" i="6"/>
  <c r="D766" i="6"/>
  <c r="AB765" i="6"/>
  <c r="AA765" i="6"/>
  <c r="Z765" i="6"/>
  <c r="Y765" i="6"/>
  <c r="X765" i="6"/>
  <c r="W765" i="6"/>
  <c r="V765" i="6"/>
  <c r="U765" i="6"/>
  <c r="T765" i="6"/>
  <c r="H765" i="6"/>
  <c r="G765" i="6"/>
  <c r="F765" i="6"/>
  <c r="E765" i="6"/>
  <c r="C765" i="6"/>
  <c r="D765" i="6"/>
  <c r="B765" i="6"/>
  <c r="D764" i="6"/>
  <c r="AB763" i="6"/>
  <c r="AA763" i="6"/>
  <c r="Z763" i="6"/>
  <c r="Y763" i="6"/>
  <c r="X763" i="6"/>
  <c r="W763" i="6"/>
  <c r="V763" i="6"/>
  <c r="U763" i="6"/>
  <c r="T763" i="6"/>
  <c r="H763" i="6"/>
  <c r="G763" i="6"/>
  <c r="F763" i="6"/>
  <c r="E763" i="6"/>
  <c r="D763" i="6"/>
  <c r="B763" i="6"/>
  <c r="H762" i="6"/>
  <c r="G762" i="6"/>
  <c r="H761" i="6"/>
  <c r="G761" i="6"/>
  <c r="H760" i="6"/>
  <c r="G760" i="6"/>
  <c r="F760" i="6"/>
  <c r="H759" i="6"/>
  <c r="G759" i="6"/>
  <c r="H758" i="6"/>
  <c r="G758" i="6"/>
  <c r="F758" i="6"/>
  <c r="D752" i="6"/>
  <c r="D751" i="6"/>
  <c r="D750" i="6"/>
  <c r="D749" i="6"/>
  <c r="C748" i="6"/>
  <c r="AB747" i="6"/>
  <c r="AA747" i="6"/>
  <c r="Z747" i="6"/>
  <c r="Y747" i="6"/>
  <c r="X747" i="6"/>
  <c r="W747" i="6"/>
  <c r="V747" i="6"/>
  <c r="U747" i="6"/>
  <c r="T747" i="6"/>
  <c r="H747" i="6"/>
  <c r="G747" i="6"/>
  <c r="F747" i="6"/>
  <c r="E747" i="6"/>
  <c r="C747" i="6"/>
  <c r="D747" i="6"/>
  <c r="B747" i="6"/>
  <c r="H746" i="6"/>
  <c r="G746" i="6"/>
  <c r="H745" i="6"/>
  <c r="G745" i="6"/>
  <c r="H744" i="6"/>
  <c r="G744" i="6"/>
  <c r="F744" i="6"/>
  <c r="H743" i="6"/>
  <c r="G743" i="6"/>
  <c r="H742" i="6"/>
  <c r="G742" i="6"/>
  <c r="F742" i="6"/>
  <c r="D736" i="6"/>
  <c r="D735" i="6"/>
  <c r="D734" i="6"/>
  <c r="D733" i="6"/>
  <c r="C732" i="6"/>
  <c r="AB731" i="6"/>
  <c r="AA731" i="6"/>
  <c r="Z731" i="6"/>
  <c r="Y731" i="6"/>
  <c r="X731" i="6"/>
  <c r="W731" i="6"/>
  <c r="V731" i="6"/>
  <c r="U731" i="6"/>
  <c r="T731" i="6"/>
  <c r="H731" i="6"/>
  <c r="G731" i="6"/>
  <c r="F731" i="6"/>
  <c r="E731" i="6"/>
  <c r="C731" i="6"/>
  <c r="D731" i="6"/>
  <c r="B731" i="6"/>
  <c r="D730" i="6"/>
  <c r="AB729" i="6"/>
  <c r="AA729" i="6"/>
  <c r="Z729" i="6"/>
  <c r="Y729" i="6"/>
  <c r="X729" i="6"/>
  <c r="W729" i="6"/>
  <c r="V729" i="6"/>
  <c r="U729" i="6"/>
  <c r="T729" i="6"/>
  <c r="H729" i="6"/>
  <c r="G729" i="6"/>
  <c r="F729" i="6"/>
  <c r="E729" i="6"/>
  <c r="C729" i="6"/>
  <c r="D729" i="6"/>
  <c r="B729" i="6"/>
  <c r="D728" i="6"/>
  <c r="AB727" i="6"/>
  <c r="AA727" i="6"/>
  <c r="Z727" i="6"/>
  <c r="Y727" i="6"/>
  <c r="X727" i="6"/>
  <c r="W727" i="6"/>
  <c r="V727" i="6"/>
  <c r="U727" i="6"/>
  <c r="T727" i="6"/>
  <c r="H727" i="6"/>
  <c r="G727" i="6"/>
  <c r="F727" i="6"/>
  <c r="E727" i="6"/>
  <c r="C727" i="6"/>
  <c r="D727" i="6"/>
  <c r="B727" i="6"/>
  <c r="D726" i="6"/>
  <c r="AB725" i="6"/>
  <c r="AA725" i="6"/>
  <c r="Z725" i="6"/>
  <c r="Y725" i="6"/>
  <c r="X725" i="6"/>
  <c r="W725" i="6"/>
  <c r="V725" i="6"/>
  <c r="U725" i="6"/>
  <c r="T725" i="6"/>
  <c r="H725" i="6"/>
  <c r="G725" i="6"/>
  <c r="F725" i="6"/>
  <c r="E725" i="6"/>
  <c r="C725" i="6"/>
  <c r="D725" i="6"/>
  <c r="B725" i="6"/>
  <c r="D724" i="6"/>
  <c r="AB723" i="6"/>
  <c r="AA723" i="6"/>
  <c r="Z723" i="6"/>
  <c r="Y723" i="6"/>
  <c r="X723" i="6"/>
  <c r="W723" i="6"/>
  <c r="V723" i="6"/>
  <c r="U723" i="6"/>
  <c r="T723" i="6"/>
  <c r="H723" i="6"/>
  <c r="G723" i="6"/>
  <c r="F723" i="6"/>
  <c r="E723" i="6"/>
  <c r="C723" i="6"/>
  <c r="D723" i="6"/>
  <c r="B723" i="6"/>
  <c r="D722" i="6"/>
  <c r="AB721" i="6"/>
  <c r="AA721" i="6"/>
  <c r="Z721" i="6"/>
  <c r="Y721" i="6"/>
  <c r="X721" i="6"/>
  <c r="W721" i="6"/>
  <c r="V721" i="6"/>
  <c r="U721" i="6"/>
  <c r="T721" i="6"/>
  <c r="H721" i="6"/>
  <c r="G721" i="6"/>
  <c r="F721" i="6"/>
  <c r="E721" i="6"/>
  <c r="C721" i="6"/>
  <c r="D721" i="6"/>
  <c r="B721" i="6"/>
  <c r="H720" i="6"/>
  <c r="G720" i="6"/>
  <c r="H719" i="6"/>
  <c r="G719" i="6"/>
  <c r="F719" i="6"/>
  <c r="H718" i="6"/>
  <c r="G718" i="6"/>
  <c r="F718" i="6"/>
  <c r="D717" i="6"/>
  <c r="D716" i="6"/>
  <c r="D715" i="6"/>
  <c r="D714" i="6"/>
  <c r="C713" i="6"/>
  <c r="AB712" i="6"/>
  <c r="AA712" i="6"/>
  <c r="Z712" i="6"/>
  <c r="Y712" i="6"/>
  <c r="X712" i="6"/>
  <c r="W712" i="6"/>
  <c r="V712" i="6"/>
  <c r="U712" i="6"/>
  <c r="T712" i="6"/>
  <c r="H712" i="6"/>
  <c r="G712" i="6"/>
  <c r="F712" i="6"/>
  <c r="E712" i="6"/>
  <c r="C712" i="6"/>
  <c r="D712" i="6"/>
  <c r="B712" i="6"/>
  <c r="H711" i="6"/>
  <c r="G711" i="6"/>
  <c r="H710" i="6"/>
  <c r="G710" i="6"/>
  <c r="H709" i="6"/>
  <c r="G709" i="6"/>
  <c r="F709" i="6"/>
  <c r="H708" i="6"/>
  <c r="G708" i="6"/>
  <c r="H707" i="6"/>
  <c r="G707" i="6"/>
  <c r="F707" i="6"/>
  <c r="D700" i="6"/>
  <c r="D699" i="6"/>
  <c r="D698" i="6"/>
  <c r="D697" i="6"/>
  <c r="C696" i="6"/>
  <c r="AB695" i="6"/>
  <c r="AA695" i="6"/>
  <c r="Z695" i="6"/>
  <c r="Y695" i="6"/>
  <c r="X695" i="6"/>
  <c r="W695" i="6"/>
  <c r="V695" i="6"/>
  <c r="U695" i="6"/>
  <c r="T695" i="6"/>
  <c r="H695" i="6"/>
  <c r="G695" i="6"/>
  <c r="F695" i="6"/>
  <c r="E695" i="6"/>
  <c r="C695" i="6"/>
  <c r="D695" i="6"/>
  <c r="B695" i="6"/>
  <c r="H694" i="6"/>
  <c r="G694" i="6"/>
  <c r="H693" i="6"/>
  <c r="G693" i="6"/>
  <c r="H692" i="6"/>
  <c r="G692" i="6"/>
  <c r="F692" i="6"/>
  <c r="H691" i="6"/>
  <c r="G691" i="6"/>
  <c r="H690" i="6"/>
  <c r="G690" i="6"/>
  <c r="F690" i="6"/>
  <c r="D684" i="6"/>
  <c r="D683" i="6"/>
  <c r="D682" i="6"/>
  <c r="D681" i="6"/>
  <c r="C680" i="6"/>
  <c r="AB679" i="6"/>
  <c r="AA679" i="6"/>
  <c r="Z679" i="6"/>
  <c r="Y679" i="6"/>
  <c r="X679" i="6"/>
  <c r="W679" i="6"/>
  <c r="V679" i="6"/>
  <c r="U679" i="6"/>
  <c r="T679" i="6"/>
  <c r="H679" i="6"/>
  <c r="G679" i="6"/>
  <c r="F679" i="6"/>
  <c r="E679" i="6"/>
  <c r="C679" i="6"/>
  <c r="D679" i="6"/>
  <c r="B679" i="6"/>
  <c r="D678" i="6"/>
  <c r="AB677" i="6"/>
  <c r="AA677" i="6"/>
  <c r="Z677" i="6"/>
  <c r="Y677" i="6"/>
  <c r="X677" i="6"/>
  <c r="W677" i="6"/>
  <c r="V677" i="6"/>
  <c r="U677" i="6"/>
  <c r="T677" i="6"/>
  <c r="H677" i="6"/>
  <c r="G677" i="6"/>
  <c r="F677" i="6"/>
  <c r="E677" i="6"/>
  <c r="C677" i="6"/>
  <c r="D677" i="6"/>
  <c r="B677" i="6"/>
  <c r="D676" i="6"/>
  <c r="AB675" i="6"/>
  <c r="AA675" i="6"/>
  <c r="Z675" i="6"/>
  <c r="Y675" i="6"/>
  <c r="X675" i="6"/>
  <c r="W675" i="6"/>
  <c r="V675" i="6"/>
  <c r="U675" i="6"/>
  <c r="T675" i="6"/>
  <c r="H675" i="6"/>
  <c r="G675" i="6"/>
  <c r="F675" i="6"/>
  <c r="E675" i="6"/>
  <c r="C675" i="6"/>
  <c r="D675" i="6"/>
  <c r="B675" i="6"/>
  <c r="H674" i="6"/>
  <c r="G674" i="6"/>
  <c r="H673" i="6"/>
  <c r="G673" i="6"/>
  <c r="H672" i="6"/>
  <c r="G672" i="6"/>
  <c r="F672" i="6"/>
  <c r="H671" i="6"/>
  <c r="G671" i="6"/>
  <c r="H670" i="6"/>
  <c r="G670" i="6"/>
  <c r="F670" i="6"/>
  <c r="D663" i="6"/>
  <c r="D662" i="6"/>
  <c r="D661" i="6"/>
  <c r="D660" i="6"/>
  <c r="C659" i="6"/>
  <c r="AB658" i="6"/>
  <c r="AA658" i="6"/>
  <c r="Z658" i="6"/>
  <c r="Y658" i="6"/>
  <c r="X658" i="6"/>
  <c r="W658" i="6"/>
  <c r="V658" i="6"/>
  <c r="U658" i="6"/>
  <c r="T658" i="6"/>
  <c r="H658" i="6"/>
  <c r="G658" i="6"/>
  <c r="F658" i="6"/>
  <c r="E658" i="6"/>
  <c r="C658" i="6"/>
  <c r="D658" i="6"/>
  <c r="B658" i="6"/>
  <c r="D657" i="6"/>
  <c r="AB656" i="6"/>
  <c r="AA656" i="6"/>
  <c r="Z656" i="6"/>
  <c r="Y656" i="6"/>
  <c r="X656" i="6"/>
  <c r="W656" i="6"/>
  <c r="V656" i="6"/>
  <c r="U656" i="6"/>
  <c r="T656" i="6"/>
  <c r="H656" i="6"/>
  <c r="G656" i="6"/>
  <c r="F656" i="6"/>
  <c r="E656" i="6"/>
  <c r="C656" i="6"/>
  <c r="D656" i="6"/>
  <c r="B656" i="6"/>
  <c r="D655" i="6"/>
  <c r="AB654" i="6"/>
  <c r="AA654" i="6"/>
  <c r="Z654" i="6"/>
  <c r="Y654" i="6"/>
  <c r="X654" i="6"/>
  <c r="W654" i="6"/>
  <c r="V654" i="6"/>
  <c r="U654" i="6"/>
  <c r="T654" i="6"/>
  <c r="H654" i="6"/>
  <c r="G654" i="6"/>
  <c r="F654" i="6"/>
  <c r="E654" i="6"/>
  <c r="C654" i="6"/>
  <c r="D654" i="6"/>
  <c r="B654" i="6"/>
  <c r="H653" i="6"/>
  <c r="G653" i="6"/>
  <c r="H652" i="6"/>
  <c r="G652" i="6"/>
  <c r="H651" i="6"/>
  <c r="G651" i="6"/>
  <c r="F651" i="6"/>
  <c r="H650" i="6"/>
  <c r="G650" i="6"/>
  <c r="H649" i="6"/>
  <c r="G649" i="6"/>
  <c r="F649" i="6"/>
  <c r="D643" i="6"/>
  <c r="D642" i="6"/>
  <c r="D641" i="6"/>
  <c r="D640" i="6"/>
  <c r="C639" i="6"/>
  <c r="AB638" i="6"/>
  <c r="AA638" i="6"/>
  <c r="Z638" i="6"/>
  <c r="Y638" i="6"/>
  <c r="X638" i="6"/>
  <c r="W638" i="6"/>
  <c r="V638" i="6"/>
  <c r="U638" i="6"/>
  <c r="T638" i="6"/>
  <c r="H638" i="6"/>
  <c r="G638" i="6"/>
  <c r="F638" i="6"/>
  <c r="E638" i="6"/>
  <c r="C638" i="6"/>
  <c r="D638" i="6"/>
  <c r="B638" i="6"/>
  <c r="D637" i="6"/>
  <c r="AB636" i="6"/>
  <c r="AA636" i="6"/>
  <c r="Z636" i="6"/>
  <c r="Y636" i="6"/>
  <c r="X636" i="6"/>
  <c r="W636" i="6"/>
  <c r="V636" i="6"/>
  <c r="U636" i="6"/>
  <c r="T636" i="6"/>
  <c r="H636" i="6"/>
  <c r="G636" i="6"/>
  <c r="F636" i="6"/>
  <c r="E636" i="6"/>
  <c r="C636" i="6"/>
  <c r="D636" i="6"/>
  <c r="B636" i="6"/>
  <c r="D635" i="6"/>
  <c r="AB634" i="6"/>
  <c r="AA634" i="6"/>
  <c r="Z634" i="6"/>
  <c r="Y634" i="6"/>
  <c r="X634" i="6"/>
  <c r="W634" i="6"/>
  <c r="V634" i="6"/>
  <c r="U634" i="6"/>
  <c r="T634" i="6"/>
  <c r="H634" i="6"/>
  <c r="G634" i="6"/>
  <c r="F634" i="6"/>
  <c r="E634" i="6"/>
  <c r="C634" i="6"/>
  <c r="D634" i="6"/>
  <c r="B634" i="6"/>
  <c r="H633" i="6"/>
  <c r="G633" i="6"/>
  <c r="H632" i="6"/>
  <c r="G632" i="6"/>
  <c r="H631" i="6"/>
  <c r="G631" i="6"/>
  <c r="F631" i="6"/>
  <c r="H630" i="6"/>
  <c r="G630" i="6"/>
  <c r="H629" i="6"/>
  <c r="G629" i="6"/>
  <c r="F629" i="6"/>
  <c r="D623" i="6"/>
  <c r="D622" i="6"/>
  <c r="D621" i="6"/>
  <c r="D620" i="6"/>
  <c r="AB619" i="6"/>
  <c r="AA619" i="6"/>
  <c r="Z619" i="6"/>
  <c r="Y619" i="6"/>
  <c r="X619" i="6"/>
  <c r="W619" i="6"/>
  <c r="V619" i="6"/>
  <c r="U619" i="6"/>
  <c r="T619" i="6"/>
  <c r="H619" i="6"/>
  <c r="G619" i="6"/>
  <c r="F619" i="6"/>
  <c r="E619" i="6"/>
  <c r="C619" i="6"/>
  <c r="D619" i="6"/>
  <c r="B619" i="6"/>
  <c r="D618" i="6"/>
  <c r="AB617" i="6"/>
  <c r="AA617" i="6"/>
  <c r="Z617" i="6"/>
  <c r="Y617" i="6"/>
  <c r="X617" i="6"/>
  <c r="W617" i="6"/>
  <c r="V617" i="6"/>
  <c r="U617" i="6"/>
  <c r="T617" i="6"/>
  <c r="H617" i="6"/>
  <c r="G617" i="6"/>
  <c r="F617" i="6"/>
  <c r="E617" i="6"/>
  <c r="C617" i="6"/>
  <c r="D617" i="6"/>
  <c r="B617" i="6"/>
  <c r="D616" i="6"/>
  <c r="AB615" i="6"/>
  <c r="AA615" i="6"/>
  <c r="Z615" i="6"/>
  <c r="Y615" i="6"/>
  <c r="X615" i="6"/>
  <c r="W615" i="6"/>
  <c r="V615" i="6"/>
  <c r="U615" i="6"/>
  <c r="T615" i="6"/>
  <c r="H615" i="6"/>
  <c r="G615" i="6"/>
  <c r="F615" i="6"/>
  <c r="E615" i="6"/>
  <c r="C615" i="6"/>
  <c r="D615" i="6"/>
  <c r="B615" i="6"/>
  <c r="D614" i="6"/>
  <c r="AB613" i="6"/>
  <c r="AA613" i="6"/>
  <c r="Z613" i="6"/>
  <c r="Y613" i="6"/>
  <c r="X613" i="6"/>
  <c r="W613" i="6"/>
  <c r="V613" i="6"/>
  <c r="U613" i="6"/>
  <c r="T613" i="6"/>
  <c r="H613" i="6"/>
  <c r="G613" i="6"/>
  <c r="F613" i="6"/>
  <c r="E613" i="6"/>
  <c r="C613" i="6"/>
  <c r="D613" i="6"/>
  <c r="B613" i="6"/>
  <c r="D612" i="6"/>
  <c r="AB611" i="6"/>
  <c r="AA611" i="6"/>
  <c r="Z611" i="6"/>
  <c r="Y611" i="6"/>
  <c r="X611" i="6"/>
  <c r="W611" i="6"/>
  <c r="V611" i="6"/>
  <c r="U611" i="6"/>
  <c r="T611" i="6"/>
  <c r="H611" i="6"/>
  <c r="G611" i="6"/>
  <c r="F611" i="6"/>
  <c r="E611" i="6"/>
  <c r="C611" i="6"/>
  <c r="D611" i="6"/>
  <c r="B611" i="6"/>
  <c r="D610" i="6"/>
  <c r="AB609" i="6"/>
  <c r="AA609" i="6"/>
  <c r="Z609" i="6"/>
  <c r="Y609" i="6"/>
  <c r="X609" i="6"/>
  <c r="W609" i="6"/>
  <c r="V609" i="6"/>
  <c r="U609" i="6"/>
  <c r="T609" i="6"/>
  <c r="H609" i="6"/>
  <c r="G609" i="6"/>
  <c r="F609" i="6"/>
  <c r="E609" i="6"/>
  <c r="C609" i="6"/>
  <c r="D609" i="6"/>
  <c r="B609" i="6"/>
  <c r="D608" i="6"/>
  <c r="AB607" i="6"/>
  <c r="AA607" i="6"/>
  <c r="Z607" i="6"/>
  <c r="Y607" i="6"/>
  <c r="X607" i="6"/>
  <c r="W607" i="6"/>
  <c r="V607" i="6"/>
  <c r="U607" i="6"/>
  <c r="T607" i="6"/>
  <c r="H607" i="6"/>
  <c r="G607" i="6"/>
  <c r="F607" i="6"/>
  <c r="E607" i="6"/>
  <c r="C607" i="6"/>
  <c r="D607" i="6"/>
  <c r="B607" i="6"/>
  <c r="H606" i="6"/>
  <c r="G606" i="6"/>
  <c r="H605" i="6"/>
  <c r="G605" i="6"/>
  <c r="H604" i="6"/>
  <c r="G604" i="6"/>
  <c r="F604" i="6"/>
  <c r="H603" i="6"/>
  <c r="G603" i="6"/>
  <c r="H602" i="6"/>
  <c r="G602" i="6"/>
  <c r="F602" i="6"/>
  <c r="D596" i="6"/>
  <c r="D595" i="6"/>
  <c r="D594" i="6"/>
  <c r="D593" i="6"/>
  <c r="C592" i="6"/>
  <c r="AB591" i="6"/>
  <c r="AA591" i="6"/>
  <c r="Z591" i="6"/>
  <c r="Y591" i="6"/>
  <c r="X591" i="6"/>
  <c r="W591" i="6"/>
  <c r="V591" i="6"/>
  <c r="U591" i="6"/>
  <c r="T591" i="6"/>
  <c r="H591" i="6"/>
  <c r="G591" i="6"/>
  <c r="F591" i="6"/>
  <c r="E591" i="6"/>
  <c r="C591" i="6"/>
  <c r="D591" i="6"/>
  <c r="B591" i="6"/>
  <c r="D590" i="6"/>
  <c r="AB589" i="6"/>
  <c r="AA589" i="6"/>
  <c r="Z589" i="6"/>
  <c r="Y589" i="6"/>
  <c r="X589" i="6"/>
  <c r="W589" i="6"/>
  <c r="V589" i="6"/>
  <c r="U589" i="6"/>
  <c r="T589" i="6"/>
  <c r="H589" i="6"/>
  <c r="G589" i="6"/>
  <c r="F589" i="6"/>
  <c r="E589" i="6"/>
  <c r="D589" i="6"/>
  <c r="B589" i="6"/>
  <c r="D588" i="6"/>
  <c r="AB587" i="6"/>
  <c r="AA587" i="6"/>
  <c r="Z587" i="6"/>
  <c r="Y587" i="6"/>
  <c r="X587" i="6"/>
  <c r="W587" i="6"/>
  <c r="V587" i="6"/>
  <c r="U587" i="6"/>
  <c r="T587" i="6"/>
  <c r="H587" i="6"/>
  <c r="G587" i="6"/>
  <c r="F587" i="6"/>
  <c r="E587" i="6"/>
  <c r="C587" i="6"/>
  <c r="D587" i="6"/>
  <c r="B587" i="6"/>
  <c r="H586" i="6"/>
  <c r="G586" i="6"/>
  <c r="H585" i="6"/>
  <c r="G585" i="6"/>
  <c r="H584" i="6"/>
  <c r="G584" i="6"/>
  <c r="F584" i="6"/>
  <c r="H583" i="6"/>
  <c r="G583" i="6"/>
  <c r="H582" i="6"/>
  <c r="G582" i="6"/>
  <c r="F582" i="6"/>
  <c r="D576" i="6"/>
  <c r="D575" i="6"/>
  <c r="D574" i="6"/>
  <c r="D573" i="6"/>
  <c r="C572" i="6"/>
  <c r="AB571" i="6"/>
  <c r="AA571" i="6"/>
  <c r="Z571" i="6"/>
  <c r="Y571" i="6"/>
  <c r="X571" i="6"/>
  <c r="W571" i="6"/>
  <c r="V571" i="6"/>
  <c r="U571" i="6"/>
  <c r="T571" i="6"/>
  <c r="H571" i="6"/>
  <c r="G571" i="6"/>
  <c r="F571" i="6"/>
  <c r="E571" i="6"/>
  <c r="C571" i="6"/>
  <c r="D571" i="6"/>
  <c r="B571" i="6"/>
  <c r="H570" i="6"/>
  <c r="G570" i="6"/>
  <c r="H569" i="6"/>
  <c r="G569" i="6"/>
  <c r="H568" i="6"/>
  <c r="G568" i="6"/>
  <c r="F568" i="6"/>
  <c r="H567" i="6"/>
  <c r="G567" i="6"/>
  <c r="H566" i="6"/>
  <c r="G566" i="6"/>
  <c r="F566" i="6"/>
  <c r="D560" i="6"/>
  <c r="D559" i="6"/>
  <c r="D558" i="6"/>
  <c r="D557" i="6"/>
  <c r="C556" i="6"/>
  <c r="AB555" i="6"/>
  <c r="AA555" i="6"/>
  <c r="Z555" i="6"/>
  <c r="Y555" i="6"/>
  <c r="X555" i="6"/>
  <c r="W555" i="6"/>
  <c r="V555" i="6"/>
  <c r="U555" i="6"/>
  <c r="T555" i="6"/>
  <c r="H555" i="6"/>
  <c r="G555" i="6"/>
  <c r="F555" i="6"/>
  <c r="E555" i="6"/>
  <c r="C555" i="6"/>
  <c r="D555" i="6"/>
  <c r="B555" i="6"/>
  <c r="D554" i="6"/>
  <c r="AB553" i="6"/>
  <c r="AA553" i="6"/>
  <c r="Z553" i="6"/>
  <c r="Y553" i="6"/>
  <c r="X553" i="6"/>
  <c r="W553" i="6"/>
  <c r="V553" i="6"/>
  <c r="U553" i="6"/>
  <c r="T553" i="6"/>
  <c r="H553" i="6"/>
  <c r="G553" i="6"/>
  <c r="F553" i="6"/>
  <c r="E553" i="6"/>
  <c r="C553" i="6"/>
  <c r="D553" i="6"/>
  <c r="B553" i="6"/>
  <c r="D552" i="6"/>
  <c r="AB551" i="6"/>
  <c r="AA551" i="6"/>
  <c r="Z551" i="6"/>
  <c r="Y551" i="6"/>
  <c r="X551" i="6"/>
  <c r="W551" i="6"/>
  <c r="V551" i="6"/>
  <c r="U551" i="6"/>
  <c r="T551" i="6"/>
  <c r="H551" i="6"/>
  <c r="G551" i="6"/>
  <c r="F551" i="6"/>
  <c r="E551" i="6"/>
  <c r="C551" i="6"/>
  <c r="D551" i="6"/>
  <c r="B551" i="6"/>
  <c r="H550" i="6"/>
  <c r="G550" i="6"/>
  <c r="H549" i="6"/>
  <c r="G549" i="6"/>
  <c r="H548" i="6"/>
  <c r="G548" i="6"/>
  <c r="F548" i="6"/>
  <c r="H547" i="6"/>
  <c r="G547" i="6"/>
  <c r="H546" i="6"/>
  <c r="G546" i="6"/>
  <c r="F546" i="6"/>
  <c r="D545" i="6"/>
  <c r="D544" i="6"/>
  <c r="D543" i="6"/>
  <c r="D542" i="6"/>
  <c r="C541" i="6"/>
  <c r="AB540" i="6"/>
  <c r="AA540" i="6"/>
  <c r="Z540" i="6"/>
  <c r="Y540" i="6"/>
  <c r="X540" i="6"/>
  <c r="W540" i="6"/>
  <c r="V540" i="6"/>
  <c r="U540" i="6"/>
  <c r="T540" i="6"/>
  <c r="H540" i="6"/>
  <c r="G540" i="6"/>
  <c r="F540" i="6"/>
  <c r="E540" i="6"/>
  <c r="C540" i="6"/>
  <c r="D540" i="6"/>
  <c r="B540" i="6"/>
  <c r="D539" i="6"/>
  <c r="AB538" i="6"/>
  <c r="AA538" i="6"/>
  <c r="Z538" i="6"/>
  <c r="Y538" i="6"/>
  <c r="X538" i="6"/>
  <c r="W538" i="6"/>
  <c r="V538" i="6"/>
  <c r="U538" i="6"/>
  <c r="T538" i="6"/>
  <c r="H538" i="6"/>
  <c r="G538" i="6"/>
  <c r="F538" i="6"/>
  <c r="E538" i="6"/>
  <c r="C538" i="6"/>
  <c r="D538" i="6"/>
  <c r="B538" i="6"/>
  <c r="H537" i="6"/>
  <c r="G537" i="6"/>
  <c r="H536" i="6"/>
  <c r="G536" i="6"/>
  <c r="H535" i="6"/>
  <c r="G535" i="6"/>
  <c r="F535" i="6"/>
  <c r="H534" i="6"/>
  <c r="G534" i="6"/>
  <c r="H533" i="6"/>
  <c r="G533" i="6"/>
  <c r="F533" i="6"/>
  <c r="D532" i="6"/>
  <c r="D531" i="6"/>
  <c r="D530" i="6"/>
  <c r="D529" i="6"/>
  <c r="C528" i="6"/>
  <c r="AB527" i="6"/>
  <c r="AA527" i="6"/>
  <c r="Z527" i="6"/>
  <c r="Y527" i="6"/>
  <c r="X527" i="6"/>
  <c r="W527" i="6"/>
  <c r="V527" i="6"/>
  <c r="U527" i="6"/>
  <c r="T527" i="6"/>
  <c r="H527" i="6"/>
  <c r="G527" i="6"/>
  <c r="F527" i="6"/>
  <c r="E527" i="6"/>
  <c r="C527" i="6"/>
  <c r="D527" i="6"/>
  <c r="B527" i="6"/>
  <c r="D526" i="6"/>
  <c r="AB525" i="6"/>
  <c r="AA525" i="6"/>
  <c r="Z525" i="6"/>
  <c r="Y525" i="6"/>
  <c r="X525" i="6"/>
  <c r="W525" i="6"/>
  <c r="V525" i="6"/>
  <c r="U525" i="6"/>
  <c r="T525" i="6"/>
  <c r="H525" i="6"/>
  <c r="G525" i="6"/>
  <c r="F525" i="6"/>
  <c r="E525" i="6"/>
  <c r="C525" i="6"/>
  <c r="D525" i="6"/>
  <c r="B525" i="6"/>
  <c r="D524" i="6"/>
  <c r="AB523" i="6"/>
  <c r="AA523" i="6"/>
  <c r="Z523" i="6"/>
  <c r="Y523" i="6"/>
  <c r="X523" i="6"/>
  <c r="W523" i="6"/>
  <c r="V523" i="6"/>
  <c r="U523" i="6"/>
  <c r="T523" i="6"/>
  <c r="H523" i="6"/>
  <c r="G523" i="6"/>
  <c r="F523" i="6"/>
  <c r="E523" i="6"/>
  <c r="C523" i="6"/>
  <c r="D523" i="6"/>
  <c r="B523" i="6"/>
  <c r="H522" i="6"/>
  <c r="G522" i="6"/>
  <c r="H521" i="6"/>
  <c r="G521" i="6"/>
  <c r="F521" i="6"/>
  <c r="H520" i="6"/>
  <c r="G520" i="6"/>
  <c r="F520" i="6"/>
  <c r="D519" i="6"/>
  <c r="D518" i="6"/>
  <c r="D517" i="6"/>
  <c r="D516" i="6"/>
  <c r="C515" i="6"/>
  <c r="AB514" i="6"/>
  <c r="AA514" i="6"/>
  <c r="Z514" i="6"/>
  <c r="Y514" i="6"/>
  <c r="X514" i="6"/>
  <c r="W514" i="6"/>
  <c r="V514" i="6"/>
  <c r="U514" i="6"/>
  <c r="T514" i="6"/>
  <c r="H514" i="6"/>
  <c r="G514" i="6"/>
  <c r="F514" i="6"/>
  <c r="E514" i="6"/>
  <c r="C514" i="6"/>
  <c r="D514" i="6"/>
  <c r="B514" i="6"/>
  <c r="H513" i="6"/>
  <c r="G513" i="6"/>
  <c r="H512" i="6"/>
  <c r="G512" i="6"/>
  <c r="H511" i="6"/>
  <c r="G511" i="6"/>
  <c r="F511" i="6"/>
  <c r="H510" i="6"/>
  <c r="G510" i="6"/>
  <c r="H509" i="6"/>
  <c r="G509" i="6"/>
  <c r="F509" i="6"/>
  <c r="D508" i="6"/>
  <c r="D507" i="6"/>
  <c r="D506" i="6"/>
  <c r="D505" i="6"/>
  <c r="C504" i="6"/>
  <c r="AB503" i="6"/>
  <c r="AA503" i="6"/>
  <c r="Z503" i="6"/>
  <c r="Y503" i="6"/>
  <c r="X503" i="6"/>
  <c r="W503" i="6"/>
  <c r="V503" i="6"/>
  <c r="U503" i="6"/>
  <c r="T503" i="6"/>
  <c r="H503" i="6"/>
  <c r="G503" i="6"/>
  <c r="F503" i="6"/>
  <c r="E503" i="6"/>
  <c r="C503" i="6"/>
  <c r="D503" i="6"/>
  <c r="B503" i="6"/>
  <c r="D502" i="6"/>
  <c r="AB501" i="6"/>
  <c r="AA501" i="6"/>
  <c r="Z501" i="6"/>
  <c r="Y501" i="6"/>
  <c r="X501" i="6"/>
  <c r="W501" i="6"/>
  <c r="V501" i="6"/>
  <c r="U501" i="6"/>
  <c r="T501" i="6"/>
  <c r="H501" i="6"/>
  <c r="G501" i="6"/>
  <c r="F501" i="6"/>
  <c r="E501" i="6"/>
  <c r="C501" i="6"/>
  <c r="D501" i="6"/>
  <c r="B501" i="6"/>
  <c r="D500" i="6"/>
  <c r="AB499" i="6"/>
  <c r="AA499" i="6"/>
  <c r="Z499" i="6"/>
  <c r="Y499" i="6"/>
  <c r="X499" i="6"/>
  <c r="W499" i="6"/>
  <c r="V499" i="6"/>
  <c r="U499" i="6"/>
  <c r="T499" i="6"/>
  <c r="H499" i="6"/>
  <c r="G499" i="6"/>
  <c r="F499" i="6"/>
  <c r="E499" i="6"/>
  <c r="C499" i="6"/>
  <c r="D499" i="6"/>
  <c r="B499" i="6"/>
  <c r="H498" i="6"/>
  <c r="G498" i="6"/>
  <c r="H497" i="6"/>
  <c r="G497" i="6"/>
  <c r="F497" i="6"/>
  <c r="H496" i="6"/>
  <c r="G496" i="6"/>
  <c r="F496" i="6"/>
  <c r="D495" i="6"/>
  <c r="D494" i="6"/>
  <c r="D493" i="6"/>
  <c r="D492" i="6"/>
  <c r="C491" i="6"/>
  <c r="AB490" i="6"/>
  <c r="AA490" i="6"/>
  <c r="Z490" i="6"/>
  <c r="Y490" i="6"/>
  <c r="X490" i="6"/>
  <c r="W490" i="6"/>
  <c r="V490" i="6"/>
  <c r="U490" i="6"/>
  <c r="T490" i="6"/>
  <c r="H490" i="6"/>
  <c r="G490" i="6"/>
  <c r="F490" i="6"/>
  <c r="E490" i="6"/>
  <c r="C490" i="6"/>
  <c r="D490" i="6"/>
  <c r="B490" i="6"/>
  <c r="D489" i="6"/>
  <c r="AB488" i="6"/>
  <c r="AA488" i="6"/>
  <c r="Z488" i="6"/>
  <c r="Y488" i="6"/>
  <c r="X488" i="6"/>
  <c r="W488" i="6"/>
  <c r="V488" i="6"/>
  <c r="U488" i="6"/>
  <c r="T488" i="6"/>
  <c r="H488" i="6"/>
  <c r="G488" i="6"/>
  <c r="F488" i="6"/>
  <c r="E488" i="6"/>
  <c r="C488" i="6"/>
  <c r="D488" i="6"/>
  <c r="B488" i="6"/>
  <c r="D487" i="6"/>
  <c r="AB486" i="6"/>
  <c r="AA486" i="6"/>
  <c r="Z486" i="6"/>
  <c r="Y486" i="6"/>
  <c r="X486" i="6"/>
  <c r="W486" i="6"/>
  <c r="V486" i="6"/>
  <c r="U486" i="6"/>
  <c r="T486" i="6"/>
  <c r="H486" i="6"/>
  <c r="G486" i="6"/>
  <c r="F486" i="6"/>
  <c r="E486" i="6"/>
  <c r="C486" i="6"/>
  <c r="D486" i="6"/>
  <c r="B486" i="6"/>
  <c r="H485" i="6"/>
  <c r="G485" i="6"/>
  <c r="H484" i="6"/>
  <c r="G484" i="6"/>
  <c r="H483" i="6"/>
  <c r="G483" i="6"/>
  <c r="F483" i="6"/>
  <c r="H482" i="6"/>
  <c r="G482" i="6"/>
  <c r="H481" i="6"/>
  <c r="G481" i="6"/>
  <c r="F481" i="6"/>
  <c r="D480" i="6"/>
  <c r="D479" i="6"/>
  <c r="D478" i="6"/>
  <c r="D477" i="6"/>
  <c r="C476" i="6"/>
  <c r="AB475" i="6"/>
  <c r="AA475" i="6"/>
  <c r="Z475" i="6"/>
  <c r="Y475" i="6"/>
  <c r="X475" i="6"/>
  <c r="W475" i="6"/>
  <c r="V475" i="6"/>
  <c r="U475" i="6"/>
  <c r="T475" i="6"/>
  <c r="H475" i="6"/>
  <c r="G475" i="6"/>
  <c r="F475" i="6"/>
  <c r="E475" i="6"/>
  <c r="C475" i="6"/>
  <c r="D475" i="6"/>
  <c r="B475" i="6"/>
  <c r="D474" i="6"/>
  <c r="AB473" i="6"/>
  <c r="AA473" i="6"/>
  <c r="Z473" i="6"/>
  <c r="Y473" i="6"/>
  <c r="X473" i="6"/>
  <c r="W473" i="6"/>
  <c r="V473" i="6"/>
  <c r="U473" i="6"/>
  <c r="T473" i="6"/>
  <c r="H473" i="6"/>
  <c r="G473" i="6"/>
  <c r="F473" i="6"/>
  <c r="E473" i="6"/>
  <c r="C473" i="6"/>
  <c r="D473" i="6"/>
  <c r="B473" i="6"/>
  <c r="D472" i="6"/>
  <c r="AB471" i="6"/>
  <c r="AA471" i="6"/>
  <c r="Z471" i="6"/>
  <c r="Y471" i="6"/>
  <c r="X471" i="6"/>
  <c r="W471" i="6"/>
  <c r="V471" i="6"/>
  <c r="U471" i="6"/>
  <c r="T471" i="6"/>
  <c r="H471" i="6"/>
  <c r="G471" i="6"/>
  <c r="F471" i="6"/>
  <c r="E471" i="6"/>
  <c r="C471" i="6"/>
  <c r="D471" i="6"/>
  <c r="B471" i="6"/>
  <c r="H470" i="6"/>
  <c r="G470" i="6"/>
  <c r="H469" i="6"/>
  <c r="G469" i="6"/>
  <c r="H468" i="6"/>
  <c r="G468" i="6"/>
  <c r="F468" i="6"/>
  <c r="H467" i="6"/>
  <c r="G467" i="6"/>
  <c r="H466" i="6"/>
  <c r="G466" i="6"/>
  <c r="F466" i="6"/>
  <c r="D465" i="6"/>
  <c r="D464" i="6"/>
  <c r="D463" i="6"/>
  <c r="D462" i="6"/>
  <c r="AB461" i="6"/>
  <c r="AA461" i="6"/>
  <c r="Z461" i="6"/>
  <c r="Y461" i="6"/>
  <c r="X461" i="6"/>
  <c r="W461" i="6"/>
  <c r="V461" i="6"/>
  <c r="U461" i="6"/>
  <c r="T461" i="6"/>
  <c r="H461" i="6"/>
  <c r="G461" i="6"/>
  <c r="F461" i="6"/>
  <c r="E461" i="6"/>
  <c r="C461" i="6"/>
  <c r="D461" i="6"/>
  <c r="B461" i="6"/>
  <c r="D460" i="6"/>
  <c r="AB459" i="6"/>
  <c r="AA459" i="6"/>
  <c r="Z459" i="6"/>
  <c r="Y459" i="6"/>
  <c r="X459" i="6"/>
  <c r="W459" i="6"/>
  <c r="V459" i="6"/>
  <c r="U459" i="6"/>
  <c r="T459" i="6"/>
  <c r="H459" i="6"/>
  <c r="G459" i="6"/>
  <c r="F459" i="6"/>
  <c r="E459" i="6"/>
  <c r="C459" i="6"/>
  <c r="D459" i="6"/>
  <c r="B459" i="6"/>
  <c r="D458" i="6"/>
  <c r="AB457" i="6"/>
  <c r="AA457" i="6"/>
  <c r="Z457" i="6"/>
  <c r="Y457" i="6"/>
  <c r="X457" i="6"/>
  <c r="W457" i="6"/>
  <c r="V457" i="6"/>
  <c r="U457" i="6"/>
  <c r="T457" i="6"/>
  <c r="H457" i="6"/>
  <c r="G457" i="6"/>
  <c r="F457" i="6"/>
  <c r="E457" i="6"/>
  <c r="C457" i="6"/>
  <c r="D457" i="6"/>
  <c r="B457" i="6"/>
  <c r="D456" i="6"/>
  <c r="AB455" i="6"/>
  <c r="AA455" i="6"/>
  <c r="Z455" i="6"/>
  <c r="Y455" i="6"/>
  <c r="X455" i="6"/>
  <c r="W455" i="6"/>
  <c r="V455" i="6"/>
  <c r="U455" i="6"/>
  <c r="T455" i="6"/>
  <c r="H455" i="6"/>
  <c r="G455" i="6"/>
  <c r="F455" i="6"/>
  <c r="E455" i="6"/>
  <c r="C455" i="6"/>
  <c r="D455" i="6"/>
  <c r="B455" i="6"/>
  <c r="D454" i="6"/>
  <c r="AB453" i="6"/>
  <c r="AA453" i="6"/>
  <c r="Z453" i="6"/>
  <c r="Y453" i="6"/>
  <c r="X453" i="6"/>
  <c r="W453" i="6"/>
  <c r="V453" i="6"/>
  <c r="U453" i="6"/>
  <c r="T453" i="6"/>
  <c r="H453" i="6"/>
  <c r="G453" i="6"/>
  <c r="F453" i="6"/>
  <c r="E453" i="6"/>
  <c r="C453" i="6"/>
  <c r="D453" i="6"/>
  <c r="B453" i="6"/>
  <c r="H452" i="6"/>
  <c r="G452" i="6"/>
  <c r="H451" i="6"/>
  <c r="G451" i="6"/>
  <c r="H450" i="6"/>
  <c r="G450" i="6"/>
  <c r="F450" i="6"/>
  <c r="H449" i="6"/>
  <c r="G449" i="6"/>
  <c r="H448" i="6"/>
  <c r="G448" i="6"/>
  <c r="F448" i="6"/>
  <c r="D447" i="6"/>
  <c r="D446" i="6"/>
  <c r="D445" i="6"/>
  <c r="D444" i="6"/>
  <c r="C443" i="6"/>
  <c r="AB442" i="6"/>
  <c r="AA442" i="6"/>
  <c r="Z442" i="6"/>
  <c r="Y442" i="6"/>
  <c r="X442" i="6"/>
  <c r="W442" i="6"/>
  <c r="V442" i="6"/>
  <c r="U442" i="6"/>
  <c r="T442" i="6"/>
  <c r="H442" i="6"/>
  <c r="G442" i="6"/>
  <c r="F442" i="6"/>
  <c r="E442" i="6"/>
  <c r="C442" i="6"/>
  <c r="D442" i="6"/>
  <c r="B442" i="6"/>
  <c r="D441" i="6"/>
  <c r="AB440" i="6"/>
  <c r="AA440" i="6"/>
  <c r="Z440" i="6"/>
  <c r="Y440" i="6"/>
  <c r="X440" i="6"/>
  <c r="W440" i="6"/>
  <c r="V440" i="6"/>
  <c r="U440" i="6"/>
  <c r="T440" i="6"/>
  <c r="H440" i="6"/>
  <c r="G440" i="6"/>
  <c r="F440" i="6"/>
  <c r="E440" i="6"/>
  <c r="C440" i="6"/>
  <c r="D440" i="6"/>
  <c r="B440" i="6"/>
  <c r="D439" i="6"/>
  <c r="AB438" i="6"/>
  <c r="AA438" i="6"/>
  <c r="Z438" i="6"/>
  <c r="Y438" i="6"/>
  <c r="X438" i="6"/>
  <c r="W438" i="6"/>
  <c r="V438" i="6"/>
  <c r="U438" i="6"/>
  <c r="T438" i="6"/>
  <c r="H438" i="6"/>
  <c r="G438" i="6"/>
  <c r="F438" i="6"/>
  <c r="E438" i="6"/>
  <c r="C438" i="6"/>
  <c r="D438" i="6"/>
  <c r="B438" i="6"/>
  <c r="D437" i="6"/>
  <c r="AB436" i="6"/>
  <c r="AA436" i="6"/>
  <c r="Z436" i="6"/>
  <c r="Y436" i="6"/>
  <c r="X436" i="6"/>
  <c r="W436" i="6"/>
  <c r="V436" i="6"/>
  <c r="U436" i="6"/>
  <c r="T436" i="6"/>
  <c r="H436" i="6"/>
  <c r="G436" i="6"/>
  <c r="F436" i="6"/>
  <c r="E436" i="6"/>
  <c r="C436" i="6"/>
  <c r="D436" i="6"/>
  <c r="B436" i="6"/>
  <c r="D435" i="6"/>
  <c r="AB434" i="6"/>
  <c r="AA434" i="6"/>
  <c r="Z434" i="6"/>
  <c r="Y434" i="6"/>
  <c r="X434" i="6"/>
  <c r="W434" i="6"/>
  <c r="V434" i="6"/>
  <c r="U434" i="6"/>
  <c r="T434" i="6"/>
  <c r="H434" i="6"/>
  <c r="G434" i="6"/>
  <c r="F434" i="6"/>
  <c r="E434" i="6"/>
  <c r="C434" i="6"/>
  <c r="D434" i="6"/>
  <c r="B434" i="6"/>
  <c r="D433" i="6"/>
  <c r="AB432" i="6"/>
  <c r="AA432" i="6"/>
  <c r="Z432" i="6"/>
  <c r="Y432" i="6"/>
  <c r="X432" i="6"/>
  <c r="W432" i="6"/>
  <c r="V432" i="6"/>
  <c r="U432" i="6"/>
  <c r="T432" i="6"/>
  <c r="H432" i="6"/>
  <c r="G432" i="6"/>
  <c r="F432" i="6"/>
  <c r="E432" i="6"/>
  <c r="C432" i="6"/>
  <c r="D432" i="6"/>
  <c r="B432" i="6"/>
  <c r="D431" i="6"/>
  <c r="AB430" i="6"/>
  <c r="AA430" i="6"/>
  <c r="Z430" i="6"/>
  <c r="Y430" i="6"/>
  <c r="X430" i="6"/>
  <c r="W430" i="6"/>
  <c r="V430" i="6"/>
  <c r="U430" i="6"/>
  <c r="T430" i="6"/>
  <c r="H430" i="6"/>
  <c r="G430" i="6"/>
  <c r="F430" i="6"/>
  <c r="E430" i="6"/>
  <c r="C430" i="6"/>
  <c r="D430" i="6"/>
  <c r="B430" i="6"/>
  <c r="H429" i="6"/>
  <c r="G429" i="6"/>
  <c r="H428" i="6"/>
  <c r="G428" i="6"/>
  <c r="F428" i="6"/>
  <c r="H427" i="6"/>
  <c r="G427" i="6"/>
  <c r="F427" i="6"/>
  <c r="D426" i="6"/>
  <c r="D425" i="6"/>
  <c r="D424" i="6"/>
  <c r="D423" i="6"/>
  <c r="AB422" i="6"/>
  <c r="AA422" i="6"/>
  <c r="Z422" i="6"/>
  <c r="Y422" i="6"/>
  <c r="X422" i="6"/>
  <c r="W422" i="6"/>
  <c r="V422" i="6"/>
  <c r="U422" i="6"/>
  <c r="T422" i="6"/>
  <c r="H422" i="6"/>
  <c r="G422" i="6"/>
  <c r="F422" i="6"/>
  <c r="E422" i="6"/>
  <c r="C422" i="6"/>
  <c r="D422" i="6"/>
  <c r="B422" i="6"/>
  <c r="D421" i="6"/>
  <c r="AB420" i="6"/>
  <c r="AA420" i="6"/>
  <c r="Z420" i="6"/>
  <c r="Y420" i="6"/>
  <c r="X420" i="6"/>
  <c r="W420" i="6"/>
  <c r="V420" i="6"/>
  <c r="U420" i="6"/>
  <c r="T420" i="6"/>
  <c r="H420" i="6"/>
  <c r="G420" i="6"/>
  <c r="F420" i="6"/>
  <c r="E420" i="6"/>
  <c r="C420" i="6"/>
  <c r="D420" i="6"/>
  <c r="B420" i="6"/>
  <c r="H419" i="6"/>
  <c r="G419" i="6"/>
  <c r="H418" i="6"/>
  <c r="G418" i="6"/>
  <c r="F418" i="6"/>
  <c r="H417" i="6"/>
  <c r="G417" i="6"/>
  <c r="F417" i="6"/>
  <c r="D416" i="6"/>
  <c r="D415" i="6"/>
  <c r="D414" i="6"/>
  <c r="D413" i="6"/>
  <c r="C412" i="6"/>
  <c r="AB411" i="6"/>
  <c r="AA411" i="6"/>
  <c r="Z411" i="6"/>
  <c r="Y411" i="6"/>
  <c r="X411" i="6"/>
  <c r="W411" i="6"/>
  <c r="V411" i="6"/>
  <c r="U411" i="6"/>
  <c r="T411" i="6"/>
  <c r="H411" i="6"/>
  <c r="G411" i="6"/>
  <c r="F411" i="6"/>
  <c r="E411" i="6"/>
  <c r="C411" i="6"/>
  <c r="D411" i="6"/>
  <c r="B411" i="6"/>
  <c r="H410" i="6"/>
  <c r="G410" i="6"/>
  <c r="H409" i="6"/>
  <c r="G409" i="6"/>
  <c r="H408" i="6"/>
  <c r="G408" i="6"/>
  <c r="F408" i="6"/>
  <c r="H407" i="6"/>
  <c r="G407" i="6"/>
  <c r="H406" i="6"/>
  <c r="G406" i="6"/>
  <c r="F406" i="6"/>
  <c r="D400" i="6"/>
  <c r="D399" i="6"/>
  <c r="D398" i="6"/>
  <c r="D397" i="6"/>
  <c r="C396" i="6"/>
  <c r="AB395" i="6"/>
  <c r="AA395" i="6"/>
  <c r="Z395" i="6"/>
  <c r="Y395" i="6"/>
  <c r="X395" i="6"/>
  <c r="W395" i="6"/>
  <c r="V395" i="6"/>
  <c r="U395" i="6"/>
  <c r="T395" i="6"/>
  <c r="H395" i="6"/>
  <c r="G395" i="6"/>
  <c r="F395" i="6"/>
  <c r="E395" i="6"/>
  <c r="C395" i="6"/>
  <c r="D395" i="6"/>
  <c r="B395" i="6"/>
  <c r="D394" i="6"/>
  <c r="AB393" i="6"/>
  <c r="AA393" i="6"/>
  <c r="Z393" i="6"/>
  <c r="Y393" i="6"/>
  <c r="X393" i="6"/>
  <c r="W393" i="6"/>
  <c r="V393" i="6"/>
  <c r="U393" i="6"/>
  <c r="T393" i="6"/>
  <c r="H393" i="6"/>
  <c r="G393" i="6"/>
  <c r="F393" i="6"/>
  <c r="E393" i="6"/>
  <c r="C393" i="6"/>
  <c r="D393" i="6"/>
  <c r="B393" i="6"/>
  <c r="D392" i="6"/>
  <c r="AB391" i="6"/>
  <c r="AA391" i="6"/>
  <c r="Z391" i="6"/>
  <c r="Y391" i="6"/>
  <c r="X391" i="6"/>
  <c r="W391" i="6"/>
  <c r="V391" i="6"/>
  <c r="U391" i="6"/>
  <c r="T391" i="6"/>
  <c r="H391" i="6"/>
  <c r="G391" i="6"/>
  <c r="F391" i="6"/>
  <c r="E391" i="6"/>
  <c r="C391" i="6"/>
  <c r="D391" i="6"/>
  <c r="B391" i="6"/>
  <c r="D390" i="6"/>
  <c r="AB389" i="6"/>
  <c r="AA389" i="6"/>
  <c r="Z389" i="6"/>
  <c r="Y389" i="6"/>
  <c r="X389" i="6"/>
  <c r="W389" i="6"/>
  <c r="V389" i="6"/>
  <c r="U389" i="6"/>
  <c r="T389" i="6"/>
  <c r="H389" i="6"/>
  <c r="G389" i="6"/>
  <c r="F389" i="6"/>
  <c r="E389" i="6"/>
  <c r="C389" i="6"/>
  <c r="D389" i="6"/>
  <c r="B389" i="6"/>
  <c r="D388" i="6"/>
  <c r="AB387" i="6"/>
  <c r="AA387" i="6"/>
  <c r="Z387" i="6"/>
  <c r="Y387" i="6"/>
  <c r="X387" i="6"/>
  <c r="W387" i="6"/>
  <c r="V387" i="6"/>
  <c r="U387" i="6"/>
  <c r="T387" i="6"/>
  <c r="H387" i="6"/>
  <c r="G387" i="6"/>
  <c r="F387" i="6"/>
  <c r="E387" i="6"/>
  <c r="C387" i="6"/>
  <c r="D387" i="6"/>
  <c r="B387" i="6"/>
  <c r="H386" i="6"/>
  <c r="G386" i="6"/>
  <c r="H385" i="6"/>
  <c r="G385" i="6"/>
  <c r="H384" i="6"/>
  <c r="G384" i="6"/>
  <c r="F384" i="6"/>
  <c r="H383" i="6"/>
  <c r="G383" i="6"/>
  <c r="H382" i="6"/>
  <c r="G382" i="6"/>
  <c r="F382" i="6"/>
  <c r="D376" i="6"/>
  <c r="D375" i="6"/>
  <c r="D374" i="6"/>
  <c r="D373" i="6"/>
  <c r="C372" i="6"/>
  <c r="AB371" i="6"/>
  <c r="AA371" i="6"/>
  <c r="Z371" i="6"/>
  <c r="Y371" i="6"/>
  <c r="X371" i="6"/>
  <c r="W371" i="6"/>
  <c r="V371" i="6"/>
  <c r="U371" i="6"/>
  <c r="T371" i="6"/>
  <c r="H371" i="6"/>
  <c r="G371" i="6"/>
  <c r="F371" i="6"/>
  <c r="E371" i="6"/>
  <c r="C371" i="6"/>
  <c r="D371" i="6"/>
  <c r="B371" i="6"/>
  <c r="D370" i="6"/>
  <c r="AB369" i="6"/>
  <c r="AA369" i="6"/>
  <c r="Z369" i="6"/>
  <c r="Y369" i="6"/>
  <c r="X369" i="6"/>
  <c r="W369" i="6"/>
  <c r="V369" i="6"/>
  <c r="U369" i="6"/>
  <c r="T369" i="6"/>
  <c r="H369" i="6"/>
  <c r="G369" i="6"/>
  <c r="F369" i="6"/>
  <c r="E369" i="6"/>
  <c r="C369" i="6"/>
  <c r="D369" i="6"/>
  <c r="B369" i="6"/>
  <c r="H368" i="6"/>
  <c r="G368" i="6"/>
  <c r="H367" i="6"/>
  <c r="G367" i="6"/>
  <c r="H366" i="6"/>
  <c r="G366" i="6"/>
  <c r="F366" i="6"/>
  <c r="H365" i="6"/>
  <c r="G365" i="6"/>
  <c r="H364" i="6"/>
  <c r="G364" i="6"/>
  <c r="F364" i="6"/>
  <c r="D358" i="6"/>
  <c r="D357" i="6"/>
  <c r="D356" i="6"/>
  <c r="D355" i="6"/>
  <c r="AB354" i="6"/>
  <c r="AA354" i="6"/>
  <c r="Z354" i="6"/>
  <c r="Y354" i="6"/>
  <c r="X354" i="6"/>
  <c r="W354" i="6"/>
  <c r="V354" i="6"/>
  <c r="U354" i="6"/>
  <c r="T354" i="6"/>
  <c r="H354" i="6"/>
  <c r="G354" i="6"/>
  <c r="F354" i="6"/>
  <c r="E354" i="6"/>
  <c r="C354" i="6"/>
  <c r="D354" i="6"/>
  <c r="B354" i="6"/>
  <c r="D353" i="6"/>
  <c r="AB352" i="6"/>
  <c r="AA352" i="6"/>
  <c r="Z352" i="6"/>
  <c r="Y352" i="6"/>
  <c r="X352" i="6"/>
  <c r="W352" i="6"/>
  <c r="V352" i="6"/>
  <c r="U352" i="6"/>
  <c r="T352" i="6"/>
  <c r="H352" i="6"/>
  <c r="G352" i="6"/>
  <c r="F352" i="6"/>
  <c r="E352" i="6"/>
  <c r="C352" i="6"/>
  <c r="D352" i="6"/>
  <c r="B352" i="6"/>
  <c r="D351" i="6"/>
  <c r="AB350" i="6"/>
  <c r="AA350" i="6"/>
  <c r="Z350" i="6"/>
  <c r="Y350" i="6"/>
  <c r="X350" i="6"/>
  <c r="W350" i="6"/>
  <c r="V350" i="6"/>
  <c r="U350" i="6"/>
  <c r="T350" i="6"/>
  <c r="H350" i="6"/>
  <c r="G350" i="6"/>
  <c r="F350" i="6"/>
  <c r="E350" i="6"/>
  <c r="C350" i="6"/>
  <c r="D350" i="6"/>
  <c r="B350" i="6"/>
  <c r="D349" i="6"/>
  <c r="AB348" i="6"/>
  <c r="AA348" i="6"/>
  <c r="Z348" i="6"/>
  <c r="Y348" i="6"/>
  <c r="X348" i="6"/>
  <c r="W348" i="6"/>
  <c r="V348" i="6"/>
  <c r="U348" i="6"/>
  <c r="T348" i="6"/>
  <c r="H348" i="6"/>
  <c r="G348" i="6"/>
  <c r="F348" i="6"/>
  <c r="E348" i="6"/>
  <c r="C348" i="6"/>
  <c r="D348" i="6"/>
  <c r="B348" i="6"/>
  <c r="H347" i="6"/>
  <c r="G347" i="6"/>
  <c r="H346" i="6"/>
  <c r="G346" i="6"/>
  <c r="H345" i="6"/>
  <c r="G345" i="6"/>
  <c r="F345" i="6"/>
  <c r="H344" i="6"/>
  <c r="G344" i="6"/>
  <c r="H343" i="6"/>
  <c r="G343" i="6"/>
  <c r="F343" i="6"/>
  <c r="D337" i="6"/>
  <c r="D336" i="6"/>
  <c r="D335" i="6"/>
  <c r="D334" i="6"/>
  <c r="AB333" i="6"/>
  <c r="AA333" i="6"/>
  <c r="Z333" i="6"/>
  <c r="Y333" i="6"/>
  <c r="X333" i="6"/>
  <c r="W333" i="6"/>
  <c r="V333" i="6"/>
  <c r="U333" i="6"/>
  <c r="T333" i="6"/>
  <c r="H333" i="6"/>
  <c r="G333" i="6"/>
  <c r="F333" i="6"/>
  <c r="E333" i="6"/>
  <c r="C333" i="6"/>
  <c r="D333" i="6"/>
  <c r="B333" i="6"/>
  <c r="D332" i="6"/>
  <c r="AB331" i="6"/>
  <c r="AA331" i="6"/>
  <c r="Z331" i="6"/>
  <c r="Y331" i="6"/>
  <c r="X331" i="6"/>
  <c r="W331" i="6"/>
  <c r="V331" i="6"/>
  <c r="U331" i="6"/>
  <c r="T331" i="6"/>
  <c r="H331" i="6"/>
  <c r="G331" i="6"/>
  <c r="F331" i="6"/>
  <c r="E331" i="6"/>
  <c r="C331" i="6"/>
  <c r="D331" i="6"/>
  <c r="B331" i="6"/>
  <c r="D330" i="6"/>
  <c r="AB329" i="6"/>
  <c r="AA329" i="6"/>
  <c r="Z329" i="6"/>
  <c r="Y329" i="6"/>
  <c r="X329" i="6"/>
  <c r="W329" i="6"/>
  <c r="V329" i="6"/>
  <c r="U329" i="6"/>
  <c r="T329" i="6"/>
  <c r="H329" i="6"/>
  <c r="G329" i="6"/>
  <c r="F329" i="6"/>
  <c r="E329" i="6"/>
  <c r="C329" i="6"/>
  <c r="D329" i="6"/>
  <c r="B329" i="6"/>
  <c r="H328" i="6"/>
  <c r="G328" i="6"/>
  <c r="H327" i="6"/>
  <c r="G327" i="6"/>
  <c r="H326" i="6"/>
  <c r="G326" i="6"/>
  <c r="F326" i="6"/>
  <c r="H325" i="6"/>
  <c r="G325" i="6"/>
  <c r="H324" i="6"/>
  <c r="G324" i="6"/>
  <c r="F324" i="6"/>
  <c r="D318" i="6"/>
  <c r="D317" i="6"/>
  <c r="D316" i="6"/>
  <c r="D315" i="6"/>
  <c r="C314" i="6"/>
  <c r="AB313" i="6"/>
  <c r="AA313" i="6"/>
  <c r="Z313" i="6"/>
  <c r="Y313" i="6"/>
  <c r="X313" i="6"/>
  <c r="W313" i="6"/>
  <c r="V313" i="6"/>
  <c r="U313" i="6"/>
  <c r="T313" i="6"/>
  <c r="H313" i="6"/>
  <c r="G313" i="6"/>
  <c r="F313" i="6"/>
  <c r="E313" i="6"/>
  <c r="C313" i="6"/>
  <c r="D313" i="6"/>
  <c r="B313" i="6"/>
  <c r="H312" i="6"/>
  <c r="G312" i="6"/>
  <c r="H311" i="6"/>
  <c r="G311" i="6"/>
  <c r="H310" i="6"/>
  <c r="G310" i="6"/>
  <c r="F310" i="6"/>
  <c r="H309" i="6"/>
  <c r="G309" i="6"/>
  <c r="H308" i="6"/>
  <c r="G308" i="6"/>
  <c r="F308" i="6"/>
  <c r="D302" i="6"/>
  <c r="D301" i="6"/>
  <c r="D300" i="6"/>
  <c r="D299" i="6"/>
  <c r="C298" i="6"/>
  <c r="AB297" i="6"/>
  <c r="AA297" i="6"/>
  <c r="Z297" i="6"/>
  <c r="Y297" i="6"/>
  <c r="X297" i="6"/>
  <c r="W297" i="6"/>
  <c r="V297" i="6"/>
  <c r="U297" i="6"/>
  <c r="T297" i="6"/>
  <c r="H297" i="6"/>
  <c r="G297" i="6"/>
  <c r="F297" i="6"/>
  <c r="E297" i="6"/>
  <c r="C297" i="6"/>
  <c r="D297" i="6"/>
  <c r="B297" i="6"/>
  <c r="D296" i="6"/>
  <c r="AB295" i="6"/>
  <c r="AA295" i="6"/>
  <c r="Z295" i="6"/>
  <c r="Y295" i="6"/>
  <c r="X295" i="6"/>
  <c r="W295" i="6"/>
  <c r="V295" i="6"/>
  <c r="U295" i="6"/>
  <c r="T295" i="6"/>
  <c r="H295" i="6"/>
  <c r="G295" i="6"/>
  <c r="F295" i="6"/>
  <c r="E295" i="6"/>
  <c r="C295" i="6"/>
  <c r="D295" i="6"/>
  <c r="B295" i="6"/>
  <c r="H294" i="6"/>
  <c r="G294" i="6"/>
  <c r="H293" i="6"/>
  <c r="G293" i="6"/>
  <c r="H292" i="6"/>
  <c r="G292" i="6"/>
  <c r="F292" i="6"/>
  <c r="H291" i="6"/>
  <c r="G291" i="6"/>
  <c r="H290" i="6"/>
  <c r="G290" i="6"/>
  <c r="F290" i="6"/>
  <c r="D284" i="6"/>
  <c r="D283" i="6"/>
  <c r="D282" i="6"/>
  <c r="D281" i="6"/>
  <c r="C280" i="6"/>
  <c r="AB279" i="6"/>
  <c r="AA279" i="6"/>
  <c r="Z279" i="6"/>
  <c r="Y279" i="6"/>
  <c r="X279" i="6"/>
  <c r="W279" i="6"/>
  <c r="V279" i="6"/>
  <c r="U279" i="6"/>
  <c r="T279" i="6"/>
  <c r="H279" i="6"/>
  <c r="G279" i="6"/>
  <c r="F279" i="6"/>
  <c r="E279" i="6"/>
  <c r="C279" i="6"/>
  <c r="D279" i="6"/>
  <c r="B279" i="6"/>
  <c r="H278" i="6"/>
  <c r="G278" i="6"/>
  <c r="H277" i="6"/>
  <c r="G277" i="6"/>
  <c r="H276" i="6"/>
  <c r="G276" i="6"/>
  <c r="F276" i="6"/>
  <c r="H275" i="6"/>
  <c r="G275" i="6"/>
  <c r="H274" i="6"/>
  <c r="G274" i="6"/>
  <c r="F274" i="6"/>
  <c r="D268" i="6"/>
  <c r="D267" i="6"/>
  <c r="D266" i="6"/>
  <c r="D265" i="6"/>
  <c r="C264" i="6"/>
  <c r="AB263" i="6"/>
  <c r="AA263" i="6"/>
  <c r="Z263" i="6"/>
  <c r="Y263" i="6"/>
  <c r="X263" i="6"/>
  <c r="W263" i="6"/>
  <c r="V263" i="6"/>
  <c r="U263" i="6"/>
  <c r="T263" i="6"/>
  <c r="H263" i="6"/>
  <c r="G263" i="6"/>
  <c r="F263" i="6"/>
  <c r="E263" i="6"/>
  <c r="C263" i="6"/>
  <c r="D263" i="6"/>
  <c r="B263" i="6"/>
  <c r="D262" i="6"/>
  <c r="AB261" i="6"/>
  <c r="AA261" i="6"/>
  <c r="Z261" i="6"/>
  <c r="Y261" i="6"/>
  <c r="X261" i="6"/>
  <c r="W261" i="6"/>
  <c r="V261" i="6"/>
  <c r="U261" i="6"/>
  <c r="T261" i="6"/>
  <c r="H261" i="6"/>
  <c r="G261" i="6"/>
  <c r="F261" i="6"/>
  <c r="E261" i="6"/>
  <c r="C261" i="6"/>
  <c r="D261" i="6"/>
  <c r="B261" i="6"/>
  <c r="D260" i="6"/>
  <c r="AB259" i="6"/>
  <c r="AA259" i="6"/>
  <c r="Z259" i="6"/>
  <c r="Y259" i="6"/>
  <c r="X259" i="6"/>
  <c r="W259" i="6"/>
  <c r="V259" i="6"/>
  <c r="U259" i="6"/>
  <c r="T259" i="6"/>
  <c r="H259" i="6"/>
  <c r="G259" i="6"/>
  <c r="F259" i="6"/>
  <c r="E259" i="6"/>
  <c r="C259" i="6"/>
  <c r="D259" i="6"/>
  <c r="B259" i="6"/>
  <c r="H258" i="6"/>
  <c r="G258" i="6"/>
  <c r="H257" i="6"/>
  <c r="G257" i="6"/>
  <c r="H256" i="6"/>
  <c r="G256" i="6"/>
  <c r="F256" i="6"/>
  <c r="H255" i="6"/>
  <c r="G255" i="6"/>
  <c r="H254" i="6"/>
  <c r="G254" i="6"/>
  <c r="F254" i="6"/>
  <c r="D248" i="6"/>
  <c r="D247" i="6"/>
  <c r="D246" i="6"/>
  <c r="D245" i="6"/>
  <c r="C244" i="6"/>
  <c r="AB243" i="6"/>
  <c r="AA243" i="6"/>
  <c r="Z243" i="6"/>
  <c r="Y243" i="6"/>
  <c r="X243" i="6"/>
  <c r="W243" i="6"/>
  <c r="V243" i="6"/>
  <c r="U243" i="6"/>
  <c r="T243" i="6"/>
  <c r="H243" i="6"/>
  <c r="G243" i="6"/>
  <c r="F243" i="6"/>
  <c r="E243" i="6"/>
  <c r="C243" i="6"/>
  <c r="D243" i="6"/>
  <c r="B243" i="6"/>
  <c r="D242" i="6"/>
  <c r="AB241" i="6"/>
  <c r="AA241" i="6"/>
  <c r="Z241" i="6"/>
  <c r="Y241" i="6"/>
  <c r="X241" i="6"/>
  <c r="W241" i="6"/>
  <c r="V241" i="6"/>
  <c r="U241" i="6"/>
  <c r="T241" i="6"/>
  <c r="H241" i="6"/>
  <c r="G241" i="6"/>
  <c r="F241" i="6"/>
  <c r="E241" i="6"/>
  <c r="C241" i="6"/>
  <c r="D241" i="6"/>
  <c r="B241" i="6"/>
  <c r="D240" i="6"/>
  <c r="AB239" i="6"/>
  <c r="AA239" i="6"/>
  <c r="Z239" i="6"/>
  <c r="Y239" i="6"/>
  <c r="X239" i="6"/>
  <c r="W239" i="6"/>
  <c r="V239" i="6"/>
  <c r="U239" i="6"/>
  <c r="T239" i="6"/>
  <c r="H239" i="6"/>
  <c r="G239" i="6"/>
  <c r="F239" i="6"/>
  <c r="E239" i="6"/>
  <c r="C239" i="6"/>
  <c r="D239" i="6"/>
  <c r="B239" i="6"/>
  <c r="H238" i="6"/>
  <c r="G238" i="6"/>
  <c r="H237" i="6"/>
  <c r="G237" i="6"/>
  <c r="H236" i="6"/>
  <c r="G236" i="6"/>
  <c r="F236" i="6"/>
  <c r="H235" i="6"/>
  <c r="G235" i="6"/>
  <c r="H234" i="6"/>
  <c r="G234" i="6"/>
  <c r="F234" i="6"/>
  <c r="D228" i="6"/>
  <c r="D227" i="6"/>
  <c r="D226" i="6"/>
  <c r="D225" i="6"/>
  <c r="C224" i="6"/>
  <c r="AB223" i="6"/>
  <c r="AA223" i="6"/>
  <c r="Z223" i="6"/>
  <c r="Y223" i="6"/>
  <c r="X223" i="6"/>
  <c r="W223" i="6"/>
  <c r="V223" i="6"/>
  <c r="U223" i="6"/>
  <c r="T223" i="6"/>
  <c r="H223" i="6"/>
  <c r="G223" i="6"/>
  <c r="F223" i="6"/>
  <c r="E223" i="6"/>
  <c r="C223" i="6"/>
  <c r="D223" i="6"/>
  <c r="B223" i="6"/>
  <c r="A222" i="6"/>
  <c r="H218" i="6"/>
  <c r="C218" i="6"/>
  <c r="H216" i="6"/>
  <c r="G216" i="6"/>
  <c r="H215" i="6"/>
  <c r="G215" i="6"/>
  <c r="F215" i="6"/>
  <c r="H214" i="6"/>
  <c r="G214" i="6"/>
  <c r="F214" i="6"/>
  <c r="D213" i="6"/>
  <c r="D212" i="6"/>
  <c r="D211" i="6"/>
  <c r="D210" i="6"/>
  <c r="C209" i="6"/>
  <c r="AB208" i="6"/>
  <c r="AA208" i="6"/>
  <c r="Z208" i="6"/>
  <c r="Y208" i="6"/>
  <c r="X208" i="6"/>
  <c r="W208" i="6"/>
  <c r="V208" i="6"/>
  <c r="U208" i="6"/>
  <c r="T208" i="6"/>
  <c r="H208" i="6"/>
  <c r="G208" i="6"/>
  <c r="F208" i="6"/>
  <c r="E208" i="6"/>
  <c r="C208" i="6"/>
  <c r="D208" i="6"/>
  <c r="B208" i="6"/>
  <c r="H207" i="6"/>
  <c r="G207" i="6"/>
  <c r="H206" i="6"/>
  <c r="G206" i="6"/>
  <c r="H205" i="6"/>
  <c r="G205" i="6"/>
  <c r="F205" i="6"/>
  <c r="H204" i="6"/>
  <c r="G204" i="6"/>
  <c r="H203" i="6"/>
  <c r="G203" i="6"/>
  <c r="F203" i="6"/>
  <c r="D196" i="6"/>
  <c r="D195" i="6"/>
  <c r="D194" i="6"/>
  <c r="D193" i="6"/>
  <c r="AB192" i="6"/>
  <c r="AA192" i="6"/>
  <c r="Z192" i="6"/>
  <c r="Y192" i="6"/>
  <c r="X192" i="6"/>
  <c r="W192" i="6"/>
  <c r="V192" i="6"/>
  <c r="U192" i="6"/>
  <c r="T192" i="6"/>
  <c r="H192" i="6"/>
  <c r="G192" i="6"/>
  <c r="F192" i="6"/>
  <c r="E192" i="6"/>
  <c r="C192" i="6"/>
  <c r="D192" i="6"/>
  <c r="B192" i="6"/>
  <c r="H191" i="6"/>
  <c r="G191" i="6"/>
  <c r="H190" i="6"/>
  <c r="G190" i="6"/>
  <c r="F190" i="6"/>
  <c r="H189" i="6"/>
  <c r="G189" i="6"/>
  <c r="F189" i="6"/>
  <c r="D188" i="6"/>
  <c r="D187" i="6"/>
  <c r="D186" i="6"/>
  <c r="D185" i="6"/>
  <c r="C184" i="6"/>
  <c r="AB183" i="6"/>
  <c r="AA183" i="6"/>
  <c r="Z183" i="6"/>
  <c r="Y183" i="6"/>
  <c r="X183" i="6"/>
  <c r="W183" i="6"/>
  <c r="V183" i="6"/>
  <c r="U183" i="6"/>
  <c r="T183" i="6"/>
  <c r="H183" i="6"/>
  <c r="G183" i="6"/>
  <c r="F183" i="6"/>
  <c r="E183" i="6"/>
  <c r="C183" i="6"/>
  <c r="D183" i="6"/>
  <c r="B183" i="6"/>
  <c r="H182" i="6"/>
  <c r="G182" i="6"/>
  <c r="H181" i="6"/>
  <c r="G181" i="6"/>
  <c r="F181" i="6"/>
  <c r="H180" i="6"/>
  <c r="G180" i="6"/>
  <c r="F180" i="6"/>
  <c r="D179" i="6"/>
  <c r="D178" i="6"/>
  <c r="D177" i="6"/>
  <c r="D176" i="6"/>
  <c r="C175" i="6"/>
  <c r="AB174" i="6"/>
  <c r="AA174" i="6"/>
  <c r="Z174" i="6"/>
  <c r="Y174" i="6"/>
  <c r="X174" i="6"/>
  <c r="W174" i="6"/>
  <c r="V174" i="6"/>
  <c r="U174" i="6"/>
  <c r="T174" i="6"/>
  <c r="H174" i="6"/>
  <c r="G174" i="6"/>
  <c r="F174" i="6"/>
  <c r="E174" i="6"/>
  <c r="C174" i="6"/>
  <c r="D174" i="6"/>
  <c r="B174" i="6"/>
  <c r="H173" i="6"/>
  <c r="G173" i="6"/>
  <c r="H172" i="6"/>
  <c r="G172" i="6"/>
  <c r="F172" i="6"/>
  <c r="H171" i="6"/>
  <c r="G171" i="6"/>
  <c r="F171" i="6"/>
  <c r="D170" i="6"/>
  <c r="D169" i="6"/>
  <c r="D168" i="6"/>
  <c r="D167" i="6"/>
  <c r="C166" i="6"/>
  <c r="AB165" i="6"/>
  <c r="AA165" i="6"/>
  <c r="Z165" i="6"/>
  <c r="Y165" i="6"/>
  <c r="X165" i="6"/>
  <c r="W165" i="6"/>
  <c r="V165" i="6"/>
  <c r="U165" i="6"/>
  <c r="T165" i="6"/>
  <c r="H165" i="6"/>
  <c r="G165" i="6"/>
  <c r="F165" i="6"/>
  <c r="E165" i="6"/>
  <c r="C165" i="6"/>
  <c r="D165" i="6"/>
  <c r="B165" i="6"/>
  <c r="D164" i="6"/>
  <c r="AB163" i="6"/>
  <c r="AA163" i="6"/>
  <c r="Z163" i="6"/>
  <c r="Y163" i="6"/>
  <c r="X163" i="6"/>
  <c r="W163" i="6"/>
  <c r="V163" i="6"/>
  <c r="U163" i="6"/>
  <c r="T163" i="6"/>
  <c r="H163" i="6"/>
  <c r="G163" i="6"/>
  <c r="F163" i="6"/>
  <c r="E163" i="6"/>
  <c r="C163" i="6"/>
  <c r="D163" i="6"/>
  <c r="B163" i="6"/>
  <c r="H162" i="6"/>
  <c r="G162" i="6"/>
  <c r="H161" i="6"/>
  <c r="G161" i="6"/>
  <c r="F161" i="6"/>
  <c r="H160" i="6"/>
  <c r="G160" i="6"/>
  <c r="F160" i="6"/>
  <c r="D159" i="6"/>
  <c r="D158" i="6"/>
  <c r="D157" i="6"/>
  <c r="D156" i="6"/>
  <c r="C155" i="6"/>
  <c r="AB154" i="6"/>
  <c r="AA154" i="6"/>
  <c r="Z154" i="6"/>
  <c r="Y154" i="6"/>
  <c r="X154" i="6"/>
  <c r="W154" i="6"/>
  <c r="V154" i="6"/>
  <c r="U154" i="6"/>
  <c r="T154" i="6"/>
  <c r="H154" i="6"/>
  <c r="G154" i="6"/>
  <c r="F154" i="6"/>
  <c r="E154" i="6"/>
  <c r="C154" i="6"/>
  <c r="D154" i="6"/>
  <c r="B154" i="6"/>
  <c r="H153" i="6"/>
  <c r="G153" i="6"/>
  <c r="H152" i="6"/>
  <c r="G152" i="6"/>
  <c r="F152" i="6"/>
  <c r="H151" i="6"/>
  <c r="G151" i="6"/>
  <c r="F151" i="6"/>
  <c r="D150" i="6"/>
  <c r="D149" i="6"/>
  <c r="D148" i="6"/>
  <c r="D147" i="6"/>
  <c r="C146" i="6"/>
  <c r="AB145" i="6"/>
  <c r="AA145" i="6"/>
  <c r="Z145" i="6"/>
  <c r="Y145" i="6"/>
  <c r="X145" i="6"/>
  <c r="W145" i="6"/>
  <c r="V145" i="6"/>
  <c r="U145" i="6"/>
  <c r="T145" i="6"/>
  <c r="H145" i="6"/>
  <c r="G145" i="6"/>
  <c r="F145" i="6"/>
  <c r="E145" i="6"/>
  <c r="C145" i="6"/>
  <c r="D145" i="6"/>
  <c r="B145" i="6"/>
  <c r="H144" i="6"/>
  <c r="G144" i="6"/>
  <c r="H143" i="6"/>
  <c r="G143" i="6"/>
  <c r="F143" i="6"/>
  <c r="H142" i="6"/>
  <c r="G142" i="6"/>
  <c r="F142" i="6"/>
  <c r="D135" i="6"/>
  <c r="D134" i="6"/>
  <c r="D133" i="6"/>
  <c r="D132" i="6"/>
  <c r="C131" i="6"/>
  <c r="AB130" i="6"/>
  <c r="AA130" i="6"/>
  <c r="Z130" i="6"/>
  <c r="Y130" i="6"/>
  <c r="X130" i="6"/>
  <c r="W130" i="6"/>
  <c r="V130" i="6"/>
  <c r="U130" i="6"/>
  <c r="T130" i="6"/>
  <c r="H130" i="6"/>
  <c r="G130" i="6"/>
  <c r="F130" i="6"/>
  <c r="E130" i="6"/>
  <c r="C130" i="6"/>
  <c r="D130" i="6"/>
  <c r="B130" i="6"/>
  <c r="D129" i="6"/>
  <c r="AB128" i="6"/>
  <c r="AA128" i="6"/>
  <c r="Z128" i="6"/>
  <c r="Y128" i="6"/>
  <c r="X128" i="6"/>
  <c r="W128" i="6"/>
  <c r="V128" i="6"/>
  <c r="U128" i="6"/>
  <c r="T128" i="6"/>
  <c r="H128" i="6"/>
  <c r="G128" i="6"/>
  <c r="F128" i="6"/>
  <c r="E128" i="6"/>
  <c r="C128" i="6"/>
  <c r="D128" i="6"/>
  <c r="B128" i="6"/>
  <c r="D127" i="6"/>
  <c r="AB126" i="6"/>
  <c r="AA126" i="6"/>
  <c r="Z126" i="6"/>
  <c r="Y126" i="6"/>
  <c r="X126" i="6"/>
  <c r="W126" i="6"/>
  <c r="V126" i="6"/>
  <c r="U126" i="6"/>
  <c r="T126" i="6"/>
  <c r="H126" i="6"/>
  <c r="G126" i="6"/>
  <c r="F126" i="6"/>
  <c r="E126" i="6"/>
  <c r="C126" i="6"/>
  <c r="D126" i="6"/>
  <c r="B126" i="6"/>
  <c r="H125" i="6"/>
  <c r="G125" i="6"/>
  <c r="H124" i="6"/>
  <c r="G124" i="6"/>
  <c r="F124" i="6"/>
  <c r="H123" i="6"/>
  <c r="G123" i="6"/>
  <c r="F123" i="6"/>
  <c r="D122" i="6"/>
  <c r="D121" i="6"/>
  <c r="D120" i="6"/>
  <c r="D119" i="6"/>
  <c r="C118" i="6"/>
  <c r="AB117" i="6"/>
  <c r="AA117" i="6"/>
  <c r="Z117" i="6"/>
  <c r="Y117" i="6"/>
  <c r="X117" i="6"/>
  <c r="W117" i="6"/>
  <c r="V117" i="6"/>
  <c r="U117" i="6"/>
  <c r="T117" i="6"/>
  <c r="H117" i="6"/>
  <c r="G117" i="6"/>
  <c r="F117" i="6"/>
  <c r="E117" i="6"/>
  <c r="C117" i="6"/>
  <c r="D117" i="6"/>
  <c r="B117" i="6"/>
  <c r="H116" i="6"/>
  <c r="G116" i="6"/>
  <c r="H115" i="6"/>
  <c r="G115" i="6"/>
  <c r="H114" i="6"/>
  <c r="G114" i="6"/>
  <c r="F114" i="6"/>
  <c r="H113" i="6"/>
  <c r="G113" i="6"/>
  <c r="H112" i="6"/>
  <c r="G112" i="6"/>
  <c r="F112" i="6"/>
  <c r="D105" i="6"/>
  <c r="D104" i="6"/>
  <c r="D103" i="6"/>
  <c r="D102" i="6"/>
  <c r="AB101" i="6"/>
  <c r="AA101" i="6"/>
  <c r="Z101" i="6"/>
  <c r="Y101" i="6"/>
  <c r="X101" i="6"/>
  <c r="W101" i="6"/>
  <c r="V101" i="6"/>
  <c r="U101" i="6"/>
  <c r="T101" i="6"/>
  <c r="H101" i="6"/>
  <c r="G101" i="6"/>
  <c r="F101" i="6"/>
  <c r="E101" i="6"/>
  <c r="C101" i="6"/>
  <c r="D101" i="6"/>
  <c r="B101" i="6"/>
  <c r="H100" i="6"/>
  <c r="G100" i="6"/>
  <c r="H99" i="6"/>
  <c r="G99" i="6"/>
  <c r="H98" i="6"/>
  <c r="G98" i="6"/>
  <c r="F98" i="6"/>
  <c r="H97" i="6"/>
  <c r="G97" i="6"/>
  <c r="H96" i="6"/>
  <c r="G96" i="6"/>
  <c r="F96" i="6"/>
  <c r="D89" i="6"/>
  <c r="D88" i="6"/>
  <c r="D87" i="6"/>
  <c r="D86" i="6"/>
  <c r="C85" i="6"/>
  <c r="AB84" i="6"/>
  <c r="AA84" i="6"/>
  <c r="Z84" i="6"/>
  <c r="Y84" i="6"/>
  <c r="X84" i="6"/>
  <c r="W84" i="6"/>
  <c r="V84" i="6"/>
  <c r="U84" i="6"/>
  <c r="T84" i="6"/>
  <c r="H84" i="6"/>
  <c r="G84" i="6"/>
  <c r="F84" i="6"/>
  <c r="E84" i="6"/>
  <c r="C84" i="6"/>
  <c r="D84" i="6"/>
  <c r="B84" i="6"/>
  <c r="H83" i="6"/>
  <c r="G83" i="6"/>
  <c r="H82" i="6"/>
  <c r="G82" i="6"/>
  <c r="H81" i="6"/>
  <c r="G81" i="6"/>
  <c r="F81" i="6"/>
  <c r="H80" i="6"/>
  <c r="G80" i="6"/>
  <c r="H79" i="6"/>
  <c r="G79" i="6"/>
  <c r="F79" i="6"/>
  <c r="D78" i="6"/>
  <c r="D77" i="6"/>
  <c r="D76" i="6"/>
  <c r="D75" i="6"/>
  <c r="C74" i="6"/>
  <c r="AB73" i="6"/>
  <c r="AA73" i="6"/>
  <c r="Z73" i="6"/>
  <c r="Y73" i="6"/>
  <c r="X73" i="6"/>
  <c r="W73" i="6"/>
  <c r="V73" i="6"/>
  <c r="U73" i="6"/>
  <c r="T73" i="6"/>
  <c r="H73" i="6"/>
  <c r="G73" i="6"/>
  <c r="F73" i="6"/>
  <c r="E73" i="6"/>
  <c r="C73" i="6"/>
  <c r="D73" i="6"/>
  <c r="B73" i="6"/>
  <c r="H72" i="6"/>
  <c r="G72" i="6"/>
  <c r="H71" i="6"/>
  <c r="G71" i="6"/>
  <c r="F71" i="6"/>
  <c r="H70" i="6"/>
  <c r="G70" i="6"/>
  <c r="F70" i="6"/>
  <c r="D69" i="6"/>
  <c r="D68" i="6"/>
  <c r="D67" i="6"/>
  <c r="D66" i="6"/>
  <c r="C65" i="6"/>
  <c r="AB64" i="6"/>
  <c r="AA64" i="6"/>
  <c r="Z64" i="6"/>
  <c r="Y64" i="6"/>
  <c r="X64" i="6"/>
  <c r="W64" i="6"/>
  <c r="V64" i="6"/>
  <c r="U64" i="6"/>
  <c r="T64" i="6"/>
  <c r="H64" i="6"/>
  <c r="G64" i="6"/>
  <c r="F64" i="6"/>
  <c r="E64" i="6"/>
  <c r="C64" i="6"/>
  <c r="D64" i="6"/>
  <c r="B64" i="6"/>
  <c r="H63" i="6"/>
  <c r="G63" i="6"/>
  <c r="H62" i="6"/>
  <c r="G62" i="6"/>
  <c r="H61" i="6"/>
  <c r="G61" i="6"/>
  <c r="F61" i="6"/>
  <c r="H60" i="6"/>
  <c r="G60" i="6"/>
  <c r="H59" i="6"/>
  <c r="G59" i="6"/>
  <c r="F59" i="6"/>
  <c r="D58" i="6"/>
  <c r="D57" i="6"/>
  <c r="D56" i="6"/>
  <c r="D55" i="6"/>
  <c r="C54" i="6"/>
  <c r="AB53" i="6"/>
  <c r="AA53" i="6"/>
  <c r="Z53" i="6"/>
  <c r="Y53" i="6"/>
  <c r="X53" i="6"/>
  <c r="W53" i="6"/>
  <c r="V53" i="6"/>
  <c r="U53" i="6"/>
  <c r="T53" i="6"/>
  <c r="H53" i="6"/>
  <c r="G53" i="6"/>
  <c r="F53" i="6"/>
  <c r="E53" i="6"/>
  <c r="C53" i="6"/>
  <c r="D53" i="6"/>
  <c r="B53" i="6"/>
  <c r="H52" i="6"/>
  <c r="G52" i="6"/>
  <c r="H51" i="6"/>
  <c r="G51" i="6"/>
  <c r="H50" i="6"/>
  <c r="G50" i="6"/>
  <c r="F50" i="6"/>
  <c r="H49" i="6"/>
  <c r="G49" i="6"/>
  <c r="H48" i="6"/>
  <c r="G48" i="6"/>
  <c r="F48" i="6"/>
  <c r="D47" i="6"/>
  <c r="D46" i="6"/>
  <c r="D45" i="6"/>
  <c r="D44" i="6"/>
  <c r="C43" i="6"/>
  <c r="AB42" i="6"/>
  <c r="AA42" i="6"/>
  <c r="Z42" i="6"/>
  <c r="Y42" i="6"/>
  <c r="X42" i="6"/>
  <c r="W42" i="6"/>
  <c r="V42" i="6"/>
  <c r="U42" i="6"/>
  <c r="T42" i="6"/>
  <c r="H42" i="6"/>
  <c r="G42" i="6"/>
  <c r="F42" i="6"/>
  <c r="E42" i="6"/>
  <c r="C42" i="6"/>
  <c r="D42" i="6"/>
  <c r="B42" i="6"/>
  <c r="A41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F1362" i="5"/>
  <c r="AD8" i="5"/>
  <c r="J1455" i="5"/>
  <c r="C1455" i="5"/>
  <c r="J1454" i="5"/>
  <c r="C1454" i="5"/>
  <c r="J1453" i="5"/>
  <c r="C1453" i="5"/>
  <c r="I20" i="5"/>
  <c r="I19" i="5"/>
  <c r="G19" i="5" s="1"/>
  <c r="I18" i="5"/>
  <c r="I17" i="5"/>
  <c r="I16" i="5"/>
  <c r="I15" i="5"/>
  <c r="I14" i="5"/>
  <c r="A1452" i="5"/>
  <c r="A1451" i="5"/>
  <c r="L1449" i="5"/>
  <c r="Q1449" i="5" s="1"/>
  <c r="Z1449" i="5"/>
  <c r="Y1449" i="5"/>
  <c r="X1449" i="5"/>
  <c r="K1448" i="5"/>
  <c r="J1448" i="5"/>
  <c r="Z1448" i="5"/>
  <c r="Y1448" i="5"/>
  <c r="X1448" i="5"/>
  <c r="H1448" i="5"/>
  <c r="W1448" i="5" s="1"/>
  <c r="F1448" i="5"/>
  <c r="V1448" i="5"/>
  <c r="T1448" i="5"/>
  <c r="U1448" i="5"/>
  <c r="S1448" i="5"/>
  <c r="E1448" i="5"/>
  <c r="D1448" i="5"/>
  <c r="C1448" i="5"/>
  <c r="B1448" i="5"/>
  <c r="A1448" i="5"/>
  <c r="K1447" i="5"/>
  <c r="J1447" i="5"/>
  <c r="Z1447" i="5"/>
  <c r="Y1447" i="5"/>
  <c r="X1447" i="5"/>
  <c r="H1447" i="5"/>
  <c r="W1447" i="5" s="1"/>
  <c r="F1447" i="5"/>
  <c r="V1447" i="5"/>
  <c r="T1447" i="5"/>
  <c r="U1447" i="5"/>
  <c r="S1447" i="5"/>
  <c r="E1447" i="5"/>
  <c r="D1447" i="5"/>
  <c r="C1447" i="5"/>
  <c r="B1447" i="5"/>
  <c r="A1447" i="5"/>
  <c r="L1446" i="5"/>
  <c r="G1446" i="5"/>
  <c r="E1446" i="5"/>
  <c r="J1445" i="5"/>
  <c r="F1445" i="5"/>
  <c r="E1445" i="5"/>
  <c r="J1444" i="5"/>
  <c r="F1444" i="5"/>
  <c r="E1444" i="5"/>
  <c r="K1443" i="5"/>
  <c r="J1443" i="5"/>
  <c r="H1443" i="5"/>
  <c r="G1443" i="5"/>
  <c r="F1443" i="5"/>
  <c r="K1442" i="5"/>
  <c r="J1442" i="5"/>
  <c r="H1442" i="5"/>
  <c r="R1442" i="5" s="1"/>
  <c r="G1442" i="5"/>
  <c r="F1442" i="5"/>
  <c r="K1441" i="5"/>
  <c r="J1441" i="5"/>
  <c r="H1441" i="5"/>
  <c r="G1441" i="5"/>
  <c r="F1441" i="5"/>
  <c r="K1440" i="5"/>
  <c r="J1440" i="5"/>
  <c r="H1440" i="5"/>
  <c r="G1440" i="5"/>
  <c r="F1440" i="5"/>
  <c r="C1439" i="5"/>
  <c r="V1438" i="5"/>
  <c r="T1438" i="5"/>
  <c r="U1438" i="5"/>
  <c r="S1438" i="5"/>
  <c r="F1438" i="5"/>
  <c r="E1438" i="5"/>
  <c r="D1438" i="5"/>
  <c r="I1438" i="5"/>
  <c r="C1438" i="5"/>
  <c r="B1438" i="5"/>
  <c r="A1438" i="5"/>
  <c r="L1437" i="5"/>
  <c r="Q1437" i="5" s="1"/>
  <c r="Z1437" i="5"/>
  <c r="Y1437" i="5"/>
  <c r="X1437" i="5"/>
  <c r="K1436" i="5"/>
  <c r="J1436" i="5"/>
  <c r="Z1436" i="5"/>
  <c r="Y1436" i="5"/>
  <c r="X1436" i="5"/>
  <c r="H1436" i="5"/>
  <c r="W1436" i="5" s="1"/>
  <c r="F1436" i="5"/>
  <c r="V1436" i="5"/>
  <c r="T1436" i="5"/>
  <c r="U1436" i="5"/>
  <c r="S1436" i="5"/>
  <c r="E1436" i="5"/>
  <c r="D1436" i="5"/>
  <c r="C1436" i="5"/>
  <c r="B1436" i="5"/>
  <c r="A1436" i="5"/>
  <c r="K1435" i="5"/>
  <c r="J1435" i="5"/>
  <c r="Z1435" i="5"/>
  <c r="Y1435" i="5"/>
  <c r="X1435" i="5"/>
  <c r="H1435" i="5"/>
  <c r="W1435" i="5" s="1"/>
  <c r="F1435" i="5"/>
  <c r="V1435" i="5"/>
  <c r="T1435" i="5"/>
  <c r="U1435" i="5"/>
  <c r="S1435" i="5"/>
  <c r="E1435" i="5"/>
  <c r="D1435" i="5"/>
  <c r="C1435" i="5"/>
  <c r="B1435" i="5"/>
  <c r="A1435" i="5"/>
  <c r="L1434" i="5"/>
  <c r="G1434" i="5"/>
  <c r="E1434" i="5"/>
  <c r="J1433" i="5"/>
  <c r="F1433" i="5"/>
  <c r="E1433" i="5"/>
  <c r="J1432" i="5"/>
  <c r="F1432" i="5"/>
  <c r="E1432" i="5"/>
  <c r="K1431" i="5"/>
  <c r="J1431" i="5"/>
  <c r="H1431" i="5"/>
  <c r="G1431" i="5"/>
  <c r="F1431" i="5"/>
  <c r="K1430" i="5"/>
  <c r="J1430" i="5"/>
  <c r="H1430" i="5"/>
  <c r="R1430" i="5" s="1"/>
  <c r="G1430" i="5"/>
  <c r="F1430" i="5"/>
  <c r="K1429" i="5"/>
  <c r="J1429" i="5"/>
  <c r="H1429" i="5"/>
  <c r="G1429" i="5"/>
  <c r="F1429" i="5"/>
  <c r="K1428" i="5"/>
  <c r="J1428" i="5"/>
  <c r="H1428" i="5"/>
  <c r="R1428" i="5" s="1"/>
  <c r="G1428" i="5"/>
  <c r="F1428" i="5"/>
  <c r="C1427" i="5"/>
  <c r="V1426" i="5"/>
  <c r="T1426" i="5"/>
  <c r="U1426" i="5"/>
  <c r="S1426" i="5"/>
  <c r="F1426" i="5"/>
  <c r="E1426" i="5"/>
  <c r="D1426" i="5"/>
  <c r="I1426" i="5"/>
  <c r="C1426" i="5"/>
  <c r="B1426" i="5"/>
  <c r="A1426" i="5"/>
  <c r="L1425" i="5"/>
  <c r="Q1425" i="5" s="1"/>
  <c r="Z1425" i="5"/>
  <c r="Y1425" i="5"/>
  <c r="X1425" i="5"/>
  <c r="K1424" i="5"/>
  <c r="J1424" i="5"/>
  <c r="Z1424" i="5"/>
  <c r="Y1424" i="5"/>
  <c r="X1424" i="5"/>
  <c r="H1424" i="5"/>
  <c r="W1424" i="5" s="1"/>
  <c r="F1424" i="5"/>
  <c r="V1424" i="5"/>
  <c r="T1424" i="5"/>
  <c r="U1424" i="5"/>
  <c r="S1424" i="5"/>
  <c r="E1424" i="5"/>
  <c r="D1424" i="5"/>
  <c r="C1424" i="5"/>
  <c r="B1424" i="5"/>
  <c r="A1424" i="5"/>
  <c r="K1423" i="5"/>
  <c r="J1423" i="5"/>
  <c r="Z1423" i="5"/>
  <c r="Y1423" i="5"/>
  <c r="X1423" i="5"/>
  <c r="H1423" i="5"/>
  <c r="W1423" i="5" s="1"/>
  <c r="F1423" i="5"/>
  <c r="V1423" i="5"/>
  <c r="T1423" i="5"/>
  <c r="U1423" i="5"/>
  <c r="S1423" i="5"/>
  <c r="E1423" i="5"/>
  <c r="D1423" i="5"/>
  <c r="C1423" i="5"/>
  <c r="B1423" i="5"/>
  <c r="A1423" i="5"/>
  <c r="L1422" i="5"/>
  <c r="G1422" i="5"/>
  <c r="E1422" i="5"/>
  <c r="J1421" i="5"/>
  <c r="F1421" i="5"/>
  <c r="E1421" i="5"/>
  <c r="J1420" i="5"/>
  <c r="F1420" i="5"/>
  <c r="E1420" i="5"/>
  <c r="K1419" i="5"/>
  <c r="J1419" i="5"/>
  <c r="H1419" i="5"/>
  <c r="G1419" i="5"/>
  <c r="F1419" i="5"/>
  <c r="K1418" i="5"/>
  <c r="J1418" i="5"/>
  <c r="H1418" i="5"/>
  <c r="R1418" i="5" s="1"/>
  <c r="G1418" i="5"/>
  <c r="F1418" i="5"/>
  <c r="K1417" i="5"/>
  <c r="J1417" i="5"/>
  <c r="H1417" i="5"/>
  <c r="G1417" i="5"/>
  <c r="F1417" i="5"/>
  <c r="K1416" i="5"/>
  <c r="J1416" i="5"/>
  <c r="H1416" i="5"/>
  <c r="R1416" i="5" s="1"/>
  <c r="G1416" i="5"/>
  <c r="F1416" i="5"/>
  <c r="C1415" i="5"/>
  <c r="V1414" i="5"/>
  <c r="T1414" i="5"/>
  <c r="U1414" i="5"/>
  <c r="S1414" i="5"/>
  <c r="F1414" i="5"/>
  <c r="E1414" i="5"/>
  <c r="D1414" i="5"/>
  <c r="I1414" i="5"/>
  <c r="C1414" i="5"/>
  <c r="B1414" i="5"/>
  <c r="A1414" i="5"/>
  <c r="L1413" i="5"/>
  <c r="Q1413" i="5" s="1"/>
  <c r="Z1413" i="5"/>
  <c r="Y1413" i="5"/>
  <c r="X1413" i="5"/>
  <c r="K1412" i="5"/>
  <c r="J1412" i="5"/>
  <c r="Z1412" i="5"/>
  <c r="Y1412" i="5"/>
  <c r="X1412" i="5"/>
  <c r="H1412" i="5"/>
  <c r="W1412" i="5" s="1"/>
  <c r="F1412" i="5"/>
  <c r="V1412" i="5"/>
  <c r="T1412" i="5"/>
  <c r="U1412" i="5"/>
  <c r="S1412" i="5"/>
  <c r="E1412" i="5"/>
  <c r="D1412" i="5"/>
  <c r="C1412" i="5"/>
  <c r="B1412" i="5"/>
  <c r="A1412" i="5"/>
  <c r="L1411" i="5"/>
  <c r="G1411" i="5"/>
  <c r="E1411" i="5"/>
  <c r="J1410" i="5"/>
  <c r="F1410" i="5"/>
  <c r="E1410" i="5"/>
  <c r="J1409" i="5"/>
  <c r="F1409" i="5"/>
  <c r="E1409" i="5"/>
  <c r="K1408" i="5"/>
  <c r="J1408" i="5"/>
  <c r="H1408" i="5"/>
  <c r="G1408" i="5"/>
  <c r="F1408" i="5"/>
  <c r="K1407" i="5"/>
  <c r="J1407" i="5"/>
  <c r="H1407" i="5"/>
  <c r="R1407" i="5" s="1"/>
  <c r="G1407" i="5"/>
  <c r="F1407" i="5"/>
  <c r="K1406" i="5"/>
  <c r="J1406" i="5"/>
  <c r="H1406" i="5"/>
  <c r="G1406" i="5"/>
  <c r="F1406" i="5"/>
  <c r="K1405" i="5"/>
  <c r="J1405" i="5"/>
  <c r="H1405" i="5"/>
  <c r="G1405" i="5"/>
  <c r="F1405" i="5"/>
  <c r="C1404" i="5"/>
  <c r="V1403" i="5"/>
  <c r="T1403" i="5"/>
  <c r="U1403" i="5"/>
  <c r="S1403" i="5"/>
  <c r="F1403" i="5"/>
  <c r="E1403" i="5"/>
  <c r="D1403" i="5"/>
  <c r="I1403" i="5"/>
  <c r="C1403" i="5"/>
  <c r="B1403" i="5"/>
  <c r="A1403" i="5"/>
  <c r="L1402" i="5"/>
  <c r="Q1402" i="5" s="1"/>
  <c r="Z1402" i="5"/>
  <c r="Y1402" i="5"/>
  <c r="X1402" i="5"/>
  <c r="K1401" i="5"/>
  <c r="J1401" i="5"/>
  <c r="Z1401" i="5"/>
  <c r="Y1401" i="5"/>
  <c r="X1401" i="5"/>
  <c r="H1401" i="5"/>
  <c r="W1401" i="5" s="1"/>
  <c r="F1401" i="5"/>
  <c r="V1401" i="5"/>
  <c r="T1401" i="5"/>
  <c r="U1401" i="5"/>
  <c r="S1401" i="5"/>
  <c r="E1401" i="5"/>
  <c r="D1401" i="5"/>
  <c r="C1401" i="5"/>
  <c r="B1401" i="5"/>
  <c r="A1401" i="5"/>
  <c r="K1400" i="5"/>
  <c r="J1400" i="5"/>
  <c r="Z1400" i="5"/>
  <c r="Y1400" i="5"/>
  <c r="X1400" i="5"/>
  <c r="H1400" i="5"/>
  <c r="W1400" i="5" s="1"/>
  <c r="F1400" i="5"/>
  <c r="V1400" i="5"/>
  <c r="T1400" i="5"/>
  <c r="U1400" i="5"/>
  <c r="S1400" i="5"/>
  <c r="E1400" i="5"/>
  <c r="D1400" i="5"/>
  <c r="C1400" i="5"/>
  <c r="B1400" i="5"/>
  <c r="A1400" i="5"/>
  <c r="L1399" i="5"/>
  <c r="G1399" i="5"/>
  <c r="E1399" i="5"/>
  <c r="J1398" i="5"/>
  <c r="F1398" i="5"/>
  <c r="E1398" i="5"/>
  <c r="J1397" i="5"/>
  <c r="F1397" i="5"/>
  <c r="E1397" i="5"/>
  <c r="K1396" i="5"/>
  <c r="J1396" i="5"/>
  <c r="H1396" i="5"/>
  <c r="G1396" i="5"/>
  <c r="F1396" i="5"/>
  <c r="K1395" i="5"/>
  <c r="J1395" i="5"/>
  <c r="H1395" i="5"/>
  <c r="R1395" i="5" s="1"/>
  <c r="G1395" i="5"/>
  <c r="F1395" i="5"/>
  <c r="K1394" i="5"/>
  <c r="J1394" i="5"/>
  <c r="H1394" i="5"/>
  <c r="G1394" i="5"/>
  <c r="F1394" i="5"/>
  <c r="K1393" i="5"/>
  <c r="J1393" i="5"/>
  <c r="H1393" i="5"/>
  <c r="R1393" i="5" s="1"/>
  <c r="G1393" i="5"/>
  <c r="F1393" i="5"/>
  <c r="C1392" i="5"/>
  <c r="V1391" i="5"/>
  <c r="T1391" i="5"/>
  <c r="U1391" i="5"/>
  <c r="S1391" i="5"/>
  <c r="F1391" i="5"/>
  <c r="E1391" i="5"/>
  <c r="D1391" i="5"/>
  <c r="I1391" i="5"/>
  <c r="C1391" i="5"/>
  <c r="B1391" i="5"/>
  <c r="A1391" i="5"/>
  <c r="L1390" i="5"/>
  <c r="Q1390" i="5" s="1"/>
  <c r="Z1390" i="5"/>
  <c r="Y1390" i="5"/>
  <c r="X1390" i="5"/>
  <c r="L1389" i="5"/>
  <c r="G1389" i="5"/>
  <c r="E1389" i="5"/>
  <c r="J1388" i="5"/>
  <c r="E1388" i="5"/>
  <c r="J1387" i="5"/>
  <c r="E1387" i="5"/>
  <c r="K1386" i="5"/>
  <c r="J1386" i="5"/>
  <c r="H1386" i="5"/>
  <c r="R1386" i="5" s="1"/>
  <c r="G1386" i="5"/>
  <c r="F1386" i="5"/>
  <c r="K1385" i="5"/>
  <c r="J1385" i="5"/>
  <c r="H1385" i="5"/>
  <c r="G1385" i="5"/>
  <c r="F1385" i="5"/>
  <c r="K1384" i="5"/>
  <c r="J1384" i="5"/>
  <c r="H1384" i="5"/>
  <c r="G1384" i="5"/>
  <c r="F1384" i="5"/>
  <c r="C1383" i="5"/>
  <c r="V1382" i="5"/>
  <c r="K1388" i="5" s="1"/>
  <c r="T1382" i="5"/>
  <c r="K1387" i="5" s="1"/>
  <c r="U1382" i="5"/>
  <c r="H1388" i="5" s="1"/>
  <c r="S1382" i="5"/>
  <c r="H1387" i="5" s="1"/>
  <c r="F1382" i="5"/>
  <c r="E1382" i="5"/>
  <c r="D1382" i="5"/>
  <c r="I1382" i="5"/>
  <c r="C1382" i="5"/>
  <c r="B1382" i="5"/>
  <c r="A1382" i="5"/>
  <c r="L1381" i="5"/>
  <c r="Q1381" i="5" s="1"/>
  <c r="Z1381" i="5"/>
  <c r="Y1381" i="5"/>
  <c r="X1381" i="5"/>
  <c r="L1380" i="5"/>
  <c r="G1380" i="5"/>
  <c r="E1380" i="5"/>
  <c r="J1379" i="5"/>
  <c r="F1379" i="5"/>
  <c r="E1379" i="5"/>
  <c r="J1378" i="5"/>
  <c r="F1378" i="5"/>
  <c r="E1378" i="5"/>
  <c r="K1377" i="5"/>
  <c r="J1377" i="5"/>
  <c r="H1377" i="5"/>
  <c r="R1377" i="5" s="1"/>
  <c r="G1377" i="5"/>
  <c r="F1377" i="5"/>
  <c r="K1376" i="5"/>
  <c r="J1376" i="5"/>
  <c r="H1376" i="5"/>
  <c r="G1376" i="5"/>
  <c r="F1376" i="5"/>
  <c r="K1375" i="5"/>
  <c r="J1375" i="5"/>
  <c r="H1375" i="5"/>
  <c r="G1375" i="5"/>
  <c r="F1375" i="5"/>
  <c r="C1374" i="5"/>
  <c r="V1373" i="5"/>
  <c r="K1379" i="5" s="1"/>
  <c r="T1373" i="5"/>
  <c r="K1378" i="5" s="1"/>
  <c r="U1373" i="5"/>
  <c r="H1379" i="5" s="1"/>
  <c r="S1373" i="5"/>
  <c r="H1378" i="5" s="1"/>
  <c r="F1373" i="5"/>
  <c r="E1373" i="5"/>
  <c r="D1373" i="5"/>
  <c r="I1373" i="5"/>
  <c r="C1373" i="5"/>
  <c r="B1373" i="5"/>
  <c r="A1373" i="5"/>
  <c r="L1372" i="5"/>
  <c r="Q1372" i="5" s="1"/>
  <c r="Z1372" i="5"/>
  <c r="Y1372" i="5"/>
  <c r="X1372" i="5"/>
  <c r="L1371" i="5"/>
  <c r="G1371" i="5"/>
  <c r="E1371" i="5"/>
  <c r="J1370" i="5"/>
  <c r="E1370" i="5"/>
  <c r="J1369" i="5"/>
  <c r="E1369" i="5"/>
  <c r="K1368" i="5"/>
  <c r="J1368" i="5"/>
  <c r="H1368" i="5"/>
  <c r="R1368" i="5" s="1"/>
  <c r="G1368" i="5"/>
  <c r="F1368" i="5"/>
  <c r="K1367" i="5"/>
  <c r="J1367" i="5"/>
  <c r="H1367" i="5"/>
  <c r="G1367" i="5"/>
  <c r="F1367" i="5"/>
  <c r="K1366" i="5"/>
  <c r="J1366" i="5"/>
  <c r="H1366" i="5"/>
  <c r="G1366" i="5"/>
  <c r="F1366" i="5"/>
  <c r="C1365" i="5"/>
  <c r="V1364" i="5"/>
  <c r="K1370" i="5" s="1"/>
  <c r="T1364" i="5"/>
  <c r="K1369" i="5" s="1"/>
  <c r="U1364" i="5"/>
  <c r="H1370" i="5" s="1"/>
  <c r="S1364" i="5"/>
  <c r="H1369" i="5" s="1"/>
  <c r="F1364" i="5"/>
  <c r="E1364" i="5"/>
  <c r="D1364" i="5"/>
  <c r="I1364" i="5"/>
  <c r="C1364" i="5"/>
  <c r="B1364" i="5"/>
  <c r="A1364" i="5"/>
  <c r="A1363" i="5"/>
  <c r="A1362" i="5"/>
  <c r="L1360" i="5"/>
  <c r="Q1360" i="5" s="1"/>
  <c r="Z1360" i="5"/>
  <c r="Y1360" i="5"/>
  <c r="X1360" i="5"/>
  <c r="L1359" i="5"/>
  <c r="G1359" i="5"/>
  <c r="E1359" i="5"/>
  <c r="J1358" i="5"/>
  <c r="F1358" i="5"/>
  <c r="E1358" i="5"/>
  <c r="J1357" i="5"/>
  <c r="F1357" i="5"/>
  <c r="E1357" i="5"/>
  <c r="K1356" i="5"/>
  <c r="J1356" i="5"/>
  <c r="H1356" i="5"/>
  <c r="G1356" i="5"/>
  <c r="F1356" i="5"/>
  <c r="K1355" i="5"/>
  <c r="J1355" i="5"/>
  <c r="H1355" i="5"/>
  <c r="G1355" i="5"/>
  <c r="F1355" i="5"/>
  <c r="K1354" i="5"/>
  <c r="J1354" i="5"/>
  <c r="H1354" i="5"/>
  <c r="R1354" i="5" s="1"/>
  <c r="G1354" i="5"/>
  <c r="F1354" i="5"/>
  <c r="C1353" i="5"/>
  <c r="V1352" i="5"/>
  <c r="K1358" i="5" s="1"/>
  <c r="T1352" i="5"/>
  <c r="K1357" i="5" s="1"/>
  <c r="U1352" i="5"/>
  <c r="H1358" i="5" s="1"/>
  <c r="S1352" i="5"/>
  <c r="H1357" i="5" s="1"/>
  <c r="F1352" i="5"/>
  <c r="E1352" i="5"/>
  <c r="D1352" i="5"/>
  <c r="I1352" i="5"/>
  <c r="C1352" i="5"/>
  <c r="B1352" i="5"/>
  <c r="A1352" i="5"/>
  <c r="L1351" i="5"/>
  <c r="Q1351" i="5" s="1"/>
  <c r="Z1351" i="5"/>
  <c r="Y1351" i="5"/>
  <c r="X1351" i="5"/>
  <c r="L1350" i="5"/>
  <c r="G1350" i="5"/>
  <c r="E1350" i="5"/>
  <c r="J1349" i="5"/>
  <c r="F1349" i="5"/>
  <c r="E1349" i="5"/>
  <c r="J1348" i="5"/>
  <c r="F1348" i="5"/>
  <c r="E1348" i="5"/>
  <c r="K1347" i="5"/>
  <c r="J1347" i="5"/>
  <c r="H1347" i="5"/>
  <c r="G1347" i="5"/>
  <c r="F1347" i="5"/>
  <c r="K1346" i="5"/>
  <c r="J1346" i="5"/>
  <c r="H1346" i="5"/>
  <c r="G1346" i="5"/>
  <c r="F1346" i="5"/>
  <c r="C1345" i="5"/>
  <c r="V1344" i="5"/>
  <c r="K1349" i="5" s="1"/>
  <c r="T1344" i="5"/>
  <c r="K1348" i="5" s="1"/>
  <c r="U1344" i="5"/>
  <c r="H1349" i="5" s="1"/>
  <c r="S1344" i="5"/>
  <c r="H1348" i="5" s="1"/>
  <c r="F1344" i="5"/>
  <c r="E1344" i="5"/>
  <c r="D1344" i="5"/>
  <c r="I1344" i="5"/>
  <c r="C1344" i="5"/>
  <c r="B1344" i="5"/>
  <c r="A1344" i="5"/>
  <c r="L1343" i="5"/>
  <c r="Q1343" i="5" s="1"/>
  <c r="Z1343" i="5"/>
  <c r="Y1343" i="5"/>
  <c r="X1343" i="5"/>
  <c r="K1342" i="5"/>
  <c r="J1342" i="5"/>
  <c r="Z1342" i="5"/>
  <c r="Y1342" i="5"/>
  <c r="X1342" i="5"/>
  <c r="H1342" i="5"/>
  <c r="W1342" i="5" s="1"/>
  <c r="F1342" i="5"/>
  <c r="V1342" i="5"/>
  <c r="T1342" i="5"/>
  <c r="U1342" i="5"/>
  <c r="S1342" i="5"/>
  <c r="E1342" i="5"/>
  <c r="D1342" i="5"/>
  <c r="C1342" i="5"/>
  <c r="B1342" i="5"/>
  <c r="A1342" i="5"/>
  <c r="K1341" i="5"/>
  <c r="J1341" i="5"/>
  <c r="Z1341" i="5"/>
  <c r="Y1341" i="5"/>
  <c r="X1341" i="5"/>
  <c r="H1341" i="5"/>
  <c r="W1341" i="5" s="1"/>
  <c r="F1341" i="5"/>
  <c r="V1341" i="5"/>
  <c r="T1341" i="5"/>
  <c r="U1341" i="5"/>
  <c r="S1341" i="5"/>
  <c r="E1341" i="5"/>
  <c r="D1341" i="5"/>
  <c r="C1341" i="5"/>
  <c r="B1341" i="5"/>
  <c r="A1341" i="5"/>
  <c r="K1340" i="5"/>
  <c r="J1340" i="5"/>
  <c r="Z1340" i="5"/>
  <c r="Y1340" i="5"/>
  <c r="X1340" i="5"/>
  <c r="H1340" i="5"/>
  <c r="W1340" i="5" s="1"/>
  <c r="F1340" i="5"/>
  <c r="V1340" i="5"/>
  <c r="T1340" i="5"/>
  <c r="U1340" i="5"/>
  <c r="S1340" i="5"/>
  <c r="E1340" i="5"/>
  <c r="D1340" i="5"/>
  <c r="C1340" i="5"/>
  <c r="B1340" i="5"/>
  <c r="A1340" i="5"/>
  <c r="L1339" i="5"/>
  <c r="G1339" i="5"/>
  <c r="E1339" i="5"/>
  <c r="J1338" i="5"/>
  <c r="F1338" i="5"/>
  <c r="E1338" i="5"/>
  <c r="J1337" i="5"/>
  <c r="F1337" i="5"/>
  <c r="E1337" i="5"/>
  <c r="K1336" i="5"/>
  <c r="J1336" i="5"/>
  <c r="H1336" i="5"/>
  <c r="G1336" i="5"/>
  <c r="F1336" i="5"/>
  <c r="K1335" i="5"/>
  <c r="J1335" i="5"/>
  <c r="H1335" i="5"/>
  <c r="R1335" i="5" s="1"/>
  <c r="G1335" i="5"/>
  <c r="F1335" i="5"/>
  <c r="K1334" i="5"/>
  <c r="J1334" i="5"/>
  <c r="H1334" i="5"/>
  <c r="G1334" i="5"/>
  <c r="F1334" i="5"/>
  <c r="K1333" i="5"/>
  <c r="J1333" i="5"/>
  <c r="H1333" i="5"/>
  <c r="G1333" i="5"/>
  <c r="F1333" i="5"/>
  <c r="C1332" i="5"/>
  <c r="V1331" i="5"/>
  <c r="T1331" i="5"/>
  <c r="U1331" i="5"/>
  <c r="S1331" i="5"/>
  <c r="F1331" i="5"/>
  <c r="E1331" i="5"/>
  <c r="D1331" i="5"/>
  <c r="I1331" i="5"/>
  <c r="C1331" i="5"/>
  <c r="B1331" i="5"/>
  <c r="A1331" i="5"/>
  <c r="L1330" i="5"/>
  <c r="Q1330" i="5" s="1"/>
  <c r="Z1330" i="5"/>
  <c r="Y1330" i="5"/>
  <c r="X1330" i="5"/>
  <c r="K1329" i="5"/>
  <c r="J1329" i="5"/>
  <c r="Z1329" i="5"/>
  <c r="Y1329" i="5"/>
  <c r="X1329" i="5"/>
  <c r="H1329" i="5"/>
  <c r="W1329" i="5" s="1"/>
  <c r="F1329" i="5"/>
  <c r="V1329" i="5"/>
  <c r="T1329" i="5"/>
  <c r="U1329" i="5"/>
  <c r="S1329" i="5"/>
  <c r="E1329" i="5"/>
  <c r="D1329" i="5"/>
  <c r="C1329" i="5"/>
  <c r="B1329" i="5"/>
  <c r="A1329" i="5"/>
  <c r="K1328" i="5"/>
  <c r="J1328" i="5"/>
  <c r="Z1328" i="5"/>
  <c r="Y1328" i="5"/>
  <c r="X1328" i="5"/>
  <c r="H1328" i="5"/>
  <c r="W1328" i="5" s="1"/>
  <c r="F1328" i="5"/>
  <c r="V1328" i="5"/>
  <c r="T1328" i="5"/>
  <c r="U1328" i="5"/>
  <c r="S1328" i="5"/>
  <c r="E1328" i="5"/>
  <c r="D1328" i="5"/>
  <c r="C1328" i="5"/>
  <c r="B1328" i="5"/>
  <c r="A1328" i="5"/>
  <c r="K1327" i="5"/>
  <c r="J1327" i="5"/>
  <c r="Z1327" i="5"/>
  <c r="Y1327" i="5"/>
  <c r="X1327" i="5"/>
  <c r="H1327" i="5"/>
  <c r="W1327" i="5" s="1"/>
  <c r="F1327" i="5"/>
  <c r="V1327" i="5"/>
  <c r="T1327" i="5"/>
  <c r="U1327" i="5"/>
  <c r="S1327" i="5"/>
  <c r="E1327" i="5"/>
  <c r="D1327" i="5"/>
  <c r="C1327" i="5"/>
  <c r="B1327" i="5"/>
  <c r="A1327" i="5"/>
  <c r="L1326" i="5"/>
  <c r="G1326" i="5"/>
  <c r="E1326" i="5"/>
  <c r="J1325" i="5"/>
  <c r="F1325" i="5"/>
  <c r="E1325" i="5"/>
  <c r="J1324" i="5"/>
  <c r="F1324" i="5"/>
  <c r="E1324" i="5"/>
  <c r="K1323" i="5"/>
  <c r="J1323" i="5"/>
  <c r="H1323" i="5"/>
  <c r="G1323" i="5"/>
  <c r="F1323" i="5"/>
  <c r="K1322" i="5"/>
  <c r="J1322" i="5"/>
  <c r="H1322" i="5"/>
  <c r="R1322" i="5" s="1"/>
  <c r="G1322" i="5"/>
  <c r="F1322" i="5"/>
  <c r="K1321" i="5"/>
  <c r="J1321" i="5"/>
  <c r="H1321" i="5"/>
  <c r="G1321" i="5"/>
  <c r="F1321" i="5"/>
  <c r="K1320" i="5"/>
  <c r="J1320" i="5"/>
  <c r="H1320" i="5"/>
  <c r="R1320" i="5" s="1"/>
  <c r="G1320" i="5"/>
  <c r="F1320" i="5"/>
  <c r="C1319" i="5"/>
  <c r="V1318" i="5"/>
  <c r="T1318" i="5"/>
  <c r="U1318" i="5"/>
  <c r="S1318" i="5"/>
  <c r="F1318" i="5"/>
  <c r="E1318" i="5"/>
  <c r="D1318" i="5"/>
  <c r="I1318" i="5"/>
  <c r="C1318" i="5"/>
  <c r="B1318" i="5"/>
  <c r="A1318" i="5"/>
  <c r="L1317" i="5"/>
  <c r="Q1317" i="5" s="1"/>
  <c r="Z1317" i="5"/>
  <c r="Y1317" i="5"/>
  <c r="X1317" i="5"/>
  <c r="L1316" i="5"/>
  <c r="G1316" i="5"/>
  <c r="E1316" i="5"/>
  <c r="J1315" i="5"/>
  <c r="E1315" i="5"/>
  <c r="J1314" i="5"/>
  <c r="E1314" i="5"/>
  <c r="K1313" i="5"/>
  <c r="J1313" i="5"/>
  <c r="H1313" i="5"/>
  <c r="R1313" i="5" s="1"/>
  <c r="G1313" i="5"/>
  <c r="F1313" i="5"/>
  <c r="K1312" i="5"/>
  <c r="J1312" i="5"/>
  <c r="H1312" i="5"/>
  <c r="G1312" i="5"/>
  <c r="F1312" i="5"/>
  <c r="K1311" i="5"/>
  <c r="J1311" i="5"/>
  <c r="H1311" i="5"/>
  <c r="R1311" i="5" s="1"/>
  <c r="G1311" i="5"/>
  <c r="F1311" i="5"/>
  <c r="C1310" i="5"/>
  <c r="V1309" i="5"/>
  <c r="K1315" i="5" s="1"/>
  <c r="T1309" i="5"/>
  <c r="K1314" i="5" s="1"/>
  <c r="U1309" i="5"/>
  <c r="H1315" i="5" s="1"/>
  <c r="S1309" i="5"/>
  <c r="H1314" i="5" s="1"/>
  <c r="F1309" i="5"/>
  <c r="E1309" i="5"/>
  <c r="D1309" i="5"/>
  <c r="I1309" i="5"/>
  <c r="C1309" i="5"/>
  <c r="B1309" i="5"/>
  <c r="A1309" i="5"/>
  <c r="L1308" i="5"/>
  <c r="Q1308" i="5" s="1"/>
  <c r="Z1308" i="5"/>
  <c r="Y1308" i="5"/>
  <c r="X1308" i="5"/>
  <c r="L1307" i="5"/>
  <c r="G1307" i="5"/>
  <c r="E1307" i="5"/>
  <c r="J1306" i="5"/>
  <c r="E1306" i="5"/>
  <c r="J1305" i="5"/>
  <c r="E1305" i="5"/>
  <c r="K1304" i="5"/>
  <c r="J1304" i="5"/>
  <c r="H1304" i="5"/>
  <c r="R1304" i="5" s="1"/>
  <c r="G1304" i="5"/>
  <c r="F1304" i="5"/>
  <c r="K1303" i="5"/>
  <c r="J1303" i="5"/>
  <c r="H1303" i="5"/>
  <c r="G1303" i="5"/>
  <c r="F1303" i="5"/>
  <c r="K1302" i="5"/>
  <c r="J1302" i="5"/>
  <c r="H1302" i="5"/>
  <c r="R1302" i="5" s="1"/>
  <c r="G1302" i="5"/>
  <c r="F1302" i="5"/>
  <c r="C1301" i="5"/>
  <c r="V1300" i="5"/>
  <c r="K1306" i="5" s="1"/>
  <c r="T1300" i="5"/>
  <c r="K1305" i="5" s="1"/>
  <c r="U1300" i="5"/>
  <c r="H1306" i="5" s="1"/>
  <c r="S1300" i="5"/>
  <c r="H1305" i="5" s="1"/>
  <c r="F1300" i="5"/>
  <c r="E1300" i="5"/>
  <c r="D1300" i="5"/>
  <c r="I1300" i="5"/>
  <c r="C1300" i="5"/>
  <c r="B1300" i="5"/>
  <c r="A1300" i="5"/>
  <c r="A1299" i="5"/>
  <c r="A1298" i="5"/>
  <c r="L1296" i="5"/>
  <c r="Q1296" i="5" s="1"/>
  <c r="Z1296" i="5"/>
  <c r="Y1296" i="5"/>
  <c r="X1296" i="5"/>
  <c r="L1295" i="5"/>
  <c r="G1295" i="5"/>
  <c r="E1295" i="5"/>
  <c r="J1294" i="5"/>
  <c r="F1294" i="5"/>
  <c r="E1294" i="5"/>
  <c r="J1293" i="5"/>
  <c r="F1293" i="5"/>
  <c r="E1293" i="5"/>
  <c r="K1292" i="5"/>
  <c r="J1292" i="5"/>
  <c r="H1292" i="5"/>
  <c r="G1292" i="5"/>
  <c r="F1292" i="5"/>
  <c r="K1291" i="5"/>
  <c r="J1291" i="5"/>
  <c r="H1291" i="5"/>
  <c r="G1291" i="5"/>
  <c r="F1291" i="5"/>
  <c r="K1290" i="5"/>
  <c r="J1290" i="5"/>
  <c r="H1290" i="5"/>
  <c r="R1290" i="5" s="1"/>
  <c r="G1290" i="5"/>
  <c r="F1290" i="5"/>
  <c r="C1289" i="5"/>
  <c r="V1288" i="5"/>
  <c r="K1294" i="5" s="1"/>
  <c r="T1288" i="5"/>
  <c r="K1293" i="5" s="1"/>
  <c r="U1288" i="5"/>
  <c r="H1294" i="5" s="1"/>
  <c r="S1288" i="5"/>
  <c r="H1293" i="5" s="1"/>
  <c r="F1288" i="5"/>
  <c r="E1288" i="5"/>
  <c r="D1288" i="5"/>
  <c r="I1288" i="5"/>
  <c r="C1288" i="5"/>
  <c r="B1288" i="5"/>
  <c r="A1288" i="5"/>
  <c r="L1287" i="5"/>
  <c r="Q1287" i="5" s="1"/>
  <c r="Z1287" i="5"/>
  <c r="Y1287" i="5"/>
  <c r="X1287" i="5"/>
  <c r="K1286" i="5"/>
  <c r="J1286" i="5"/>
  <c r="Z1286" i="5"/>
  <c r="Y1286" i="5"/>
  <c r="X1286" i="5"/>
  <c r="H1286" i="5"/>
  <c r="W1286" i="5" s="1"/>
  <c r="F1286" i="5"/>
  <c r="V1286" i="5"/>
  <c r="T1286" i="5"/>
  <c r="U1286" i="5"/>
  <c r="S1286" i="5"/>
  <c r="E1286" i="5"/>
  <c r="D1286" i="5"/>
  <c r="C1286" i="5"/>
  <c r="B1286" i="5"/>
  <c r="A1286" i="5"/>
  <c r="K1285" i="5"/>
  <c r="J1285" i="5"/>
  <c r="Z1285" i="5"/>
  <c r="Y1285" i="5"/>
  <c r="X1285" i="5"/>
  <c r="H1285" i="5"/>
  <c r="W1285" i="5" s="1"/>
  <c r="F1285" i="5"/>
  <c r="V1285" i="5"/>
  <c r="T1285" i="5"/>
  <c r="U1285" i="5"/>
  <c r="S1285" i="5"/>
  <c r="E1285" i="5"/>
  <c r="D1285" i="5"/>
  <c r="C1285" i="5"/>
  <c r="B1285" i="5"/>
  <c r="A1285" i="5"/>
  <c r="L1284" i="5"/>
  <c r="G1284" i="5"/>
  <c r="E1284" i="5"/>
  <c r="J1283" i="5"/>
  <c r="F1283" i="5"/>
  <c r="E1283" i="5"/>
  <c r="J1282" i="5"/>
  <c r="F1282" i="5"/>
  <c r="E1282" i="5"/>
  <c r="K1281" i="5"/>
  <c r="J1281" i="5"/>
  <c r="H1281" i="5"/>
  <c r="G1281" i="5"/>
  <c r="F1281" i="5"/>
  <c r="K1280" i="5"/>
  <c r="J1280" i="5"/>
  <c r="H1280" i="5"/>
  <c r="R1280" i="5" s="1"/>
  <c r="G1280" i="5"/>
  <c r="F1280" i="5"/>
  <c r="K1279" i="5"/>
  <c r="J1279" i="5"/>
  <c r="H1279" i="5"/>
  <c r="G1279" i="5"/>
  <c r="F1279" i="5"/>
  <c r="K1278" i="5"/>
  <c r="J1278" i="5"/>
  <c r="H1278" i="5"/>
  <c r="G1278" i="5"/>
  <c r="F1278" i="5"/>
  <c r="C1277" i="5"/>
  <c r="V1276" i="5"/>
  <c r="T1276" i="5"/>
  <c r="U1276" i="5"/>
  <c r="S1276" i="5"/>
  <c r="F1276" i="5"/>
  <c r="E1276" i="5"/>
  <c r="D1276" i="5"/>
  <c r="I1276" i="5"/>
  <c r="C1276" i="5"/>
  <c r="B1276" i="5"/>
  <c r="A1276" i="5"/>
  <c r="L1275" i="5"/>
  <c r="Q1275" i="5" s="1"/>
  <c r="Z1275" i="5"/>
  <c r="Y1275" i="5"/>
  <c r="X1275" i="5"/>
  <c r="L1274" i="5"/>
  <c r="G1274" i="5"/>
  <c r="E1274" i="5"/>
  <c r="J1273" i="5"/>
  <c r="F1273" i="5"/>
  <c r="E1273" i="5"/>
  <c r="J1272" i="5"/>
  <c r="F1272" i="5"/>
  <c r="E1272" i="5"/>
  <c r="K1271" i="5"/>
  <c r="J1271" i="5"/>
  <c r="H1271" i="5"/>
  <c r="G1271" i="5"/>
  <c r="F1271" i="5"/>
  <c r="K1270" i="5"/>
  <c r="J1270" i="5"/>
  <c r="H1270" i="5"/>
  <c r="R1270" i="5" s="1"/>
  <c r="G1270" i="5"/>
  <c r="F1270" i="5"/>
  <c r="K1269" i="5"/>
  <c r="J1269" i="5"/>
  <c r="H1269" i="5"/>
  <c r="G1269" i="5"/>
  <c r="F1269" i="5"/>
  <c r="K1268" i="5"/>
  <c r="J1268" i="5"/>
  <c r="H1268" i="5"/>
  <c r="R1268" i="5" s="1"/>
  <c r="G1268" i="5"/>
  <c r="F1268" i="5"/>
  <c r="V1267" i="5"/>
  <c r="K1273" i="5" s="1"/>
  <c r="T1267" i="5"/>
  <c r="K1272" i="5" s="1"/>
  <c r="U1267" i="5"/>
  <c r="H1273" i="5" s="1"/>
  <c r="S1267" i="5"/>
  <c r="H1272" i="5" s="1"/>
  <c r="F1267" i="5"/>
  <c r="E1267" i="5"/>
  <c r="D1267" i="5"/>
  <c r="I1267" i="5"/>
  <c r="C1267" i="5"/>
  <c r="B1267" i="5"/>
  <c r="A1267" i="5"/>
  <c r="L1266" i="5"/>
  <c r="Q1266" i="5" s="1"/>
  <c r="Z1266" i="5"/>
  <c r="Y1266" i="5"/>
  <c r="X1266" i="5"/>
  <c r="K1265" i="5"/>
  <c r="J1265" i="5"/>
  <c r="Z1265" i="5"/>
  <c r="Y1265" i="5"/>
  <c r="X1265" i="5"/>
  <c r="H1265" i="5"/>
  <c r="W1265" i="5" s="1"/>
  <c r="F1265" i="5"/>
  <c r="V1265" i="5"/>
  <c r="T1265" i="5"/>
  <c r="U1265" i="5"/>
  <c r="S1265" i="5"/>
  <c r="E1265" i="5"/>
  <c r="D1265" i="5"/>
  <c r="C1265" i="5"/>
  <c r="B1265" i="5"/>
  <c r="A1265" i="5"/>
  <c r="L1264" i="5"/>
  <c r="G1264" i="5"/>
  <c r="E1264" i="5"/>
  <c r="J1263" i="5"/>
  <c r="F1263" i="5"/>
  <c r="E1263" i="5"/>
  <c r="J1262" i="5"/>
  <c r="F1262" i="5"/>
  <c r="E1262" i="5"/>
  <c r="K1261" i="5"/>
  <c r="J1261" i="5"/>
  <c r="H1261" i="5"/>
  <c r="G1261" i="5"/>
  <c r="F1261" i="5"/>
  <c r="K1260" i="5"/>
  <c r="J1260" i="5"/>
  <c r="H1260" i="5"/>
  <c r="R1260" i="5" s="1"/>
  <c r="G1260" i="5"/>
  <c r="F1260" i="5"/>
  <c r="K1259" i="5"/>
  <c r="J1259" i="5"/>
  <c r="H1259" i="5"/>
  <c r="G1259" i="5"/>
  <c r="F1259" i="5"/>
  <c r="K1258" i="5"/>
  <c r="J1258" i="5"/>
  <c r="H1258" i="5"/>
  <c r="R1258" i="5" s="1"/>
  <c r="G1258" i="5"/>
  <c r="F1258" i="5"/>
  <c r="C1257" i="5"/>
  <c r="V1256" i="5"/>
  <c r="T1256" i="5"/>
  <c r="U1256" i="5"/>
  <c r="S1256" i="5"/>
  <c r="F1256" i="5"/>
  <c r="E1256" i="5"/>
  <c r="D1256" i="5"/>
  <c r="I1256" i="5"/>
  <c r="C1256" i="5"/>
  <c r="B1256" i="5"/>
  <c r="A1256" i="5"/>
  <c r="L1255" i="5"/>
  <c r="Q1255" i="5" s="1"/>
  <c r="Z1255" i="5"/>
  <c r="Y1255" i="5"/>
  <c r="X1255" i="5"/>
  <c r="L1254" i="5"/>
  <c r="G1254" i="5"/>
  <c r="E1254" i="5"/>
  <c r="J1253" i="5"/>
  <c r="F1253" i="5"/>
  <c r="E1253" i="5"/>
  <c r="J1252" i="5"/>
  <c r="F1252" i="5"/>
  <c r="E1252" i="5"/>
  <c r="K1251" i="5"/>
  <c r="J1251" i="5"/>
  <c r="H1251" i="5"/>
  <c r="G1251" i="5"/>
  <c r="F1251" i="5"/>
  <c r="C1250" i="5"/>
  <c r="V1249" i="5"/>
  <c r="K1253" i="5" s="1"/>
  <c r="T1249" i="5"/>
  <c r="K1252" i="5" s="1"/>
  <c r="U1249" i="5"/>
  <c r="H1253" i="5" s="1"/>
  <c r="S1249" i="5"/>
  <c r="H1252" i="5" s="1"/>
  <c r="F1249" i="5"/>
  <c r="E1249" i="5"/>
  <c r="D1249" i="5"/>
  <c r="I1249" i="5"/>
  <c r="C1249" i="5"/>
  <c r="B1249" i="5"/>
  <c r="A1249" i="5"/>
  <c r="L1248" i="5"/>
  <c r="Q1248" i="5" s="1"/>
  <c r="Z1248" i="5"/>
  <c r="Y1248" i="5"/>
  <c r="X1248" i="5"/>
  <c r="K1247" i="5"/>
  <c r="J1247" i="5"/>
  <c r="Z1247" i="5"/>
  <c r="Y1247" i="5"/>
  <c r="X1247" i="5"/>
  <c r="H1247" i="5"/>
  <c r="W1247" i="5" s="1"/>
  <c r="F1247" i="5"/>
  <c r="V1247" i="5"/>
  <c r="T1247" i="5"/>
  <c r="U1247" i="5"/>
  <c r="S1247" i="5"/>
  <c r="E1247" i="5"/>
  <c r="D1247" i="5"/>
  <c r="C1247" i="5"/>
  <c r="B1247" i="5"/>
  <c r="A1247" i="5"/>
  <c r="K1246" i="5"/>
  <c r="J1246" i="5"/>
  <c r="Z1246" i="5"/>
  <c r="Y1246" i="5"/>
  <c r="X1246" i="5"/>
  <c r="H1246" i="5"/>
  <c r="W1246" i="5" s="1"/>
  <c r="F1246" i="5"/>
  <c r="V1246" i="5"/>
  <c r="T1246" i="5"/>
  <c r="U1246" i="5"/>
  <c r="S1246" i="5"/>
  <c r="E1246" i="5"/>
  <c r="D1246" i="5"/>
  <c r="C1246" i="5"/>
  <c r="B1246" i="5"/>
  <c r="A1246" i="5"/>
  <c r="K1245" i="5"/>
  <c r="J1245" i="5"/>
  <c r="Z1245" i="5"/>
  <c r="Y1245" i="5"/>
  <c r="X1245" i="5"/>
  <c r="H1245" i="5"/>
  <c r="W1245" i="5" s="1"/>
  <c r="F1245" i="5"/>
  <c r="V1245" i="5"/>
  <c r="T1245" i="5"/>
  <c r="U1245" i="5"/>
  <c r="S1245" i="5"/>
  <c r="E1245" i="5"/>
  <c r="D1245" i="5"/>
  <c r="C1245" i="5"/>
  <c r="B1245" i="5"/>
  <c r="A1245" i="5"/>
  <c r="L1244" i="5"/>
  <c r="G1244" i="5"/>
  <c r="E1244" i="5"/>
  <c r="J1243" i="5"/>
  <c r="F1243" i="5"/>
  <c r="E1243" i="5"/>
  <c r="J1242" i="5"/>
  <c r="F1242" i="5"/>
  <c r="E1242" i="5"/>
  <c r="K1241" i="5"/>
  <c r="J1241" i="5"/>
  <c r="H1241" i="5"/>
  <c r="G1241" i="5"/>
  <c r="F1241" i="5"/>
  <c r="K1240" i="5"/>
  <c r="J1240" i="5"/>
  <c r="H1240" i="5"/>
  <c r="R1240" i="5" s="1"/>
  <c r="G1240" i="5"/>
  <c r="F1240" i="5"/>
  <c r="K1239" i="5"/>
  <c r="J1239" i="5"/>
  <c r="H1239" i="5"/>
  <c r="G1239" i="5"/>
  <c r="F1239" i="5"/>
  <c r="K1238" i="5"/>
  <c r="J1238" i="5"/>
  <c r="H1238" i="5"/>
  <c r="R1238" i="5" s="1"/>
  <c r="G1238" i="5"/>
  <c r="F1238" i="5"/>
  <c r="C1237" i="5"/>
  <c r="V1236" i="5"/>
  <c r="T1236" i="5"/>
  <c r="U1236" i="5"/>
  <c r="S1236" i="5"/>
  <c r="F1236" i="5"/>
  <c r="E1236" i="5"/>
  <c r="D1236" i="5"/>
  <c r="I1236" i="5"/>
  <c r="C1236" i="5"/>
  <c r="B1236" i="5"/>
  <c r="A1236" i="5"/>
  <c r="L1235" i="5"/>
  <c r="Q1235" i="5" s="1"/>
  <c r="Z1235" i="5"/>
  <c r="Y1235" i="5"/>
  <c r="X1235" i="5"/>
  <c r="K1234" i="5"/>
  <c r="J1234" i="5"/>
  <c r="Z1234" i="5"/>
  <c r="Y1234" i="5"/>
  <c r="X1234" i="5"/>
  <c r="H1234" i="5"/>
  <c r="W1234" i="5" s="1"/>
  <c r="F1234" i="5"/>
  <c r="V1234" i="5"/>
  <c r="T1234" i="5"/>
  <c r="U1234" i="5"/>
  <c r="S1234" i="5"/>
  <c r="E1234" i="5"/>
  <c r="D1234" i="5"/>
  <c r="C1234" i="5"/>
  <c r="B1234" i="5"/>
  <c r="A1234" i="5"/>
  <c r="K1233" i="5"/>
  <c r="J1233" i="5"/>
  <c r="Z1233" i="5"/>
  <c r="Y1233" i="5"/>
  <c r="X1233" i="5"/>
  <c r="H1233" i="5"/>
  <c r="W1233" i="5" s="1"/>
  <c r="F1233" i="5"/>
  <c r="V1233" i="5"/>
  <c r="T1233" i="5"/>
  <c r="U1233" i="5"/>
  <c r="S1233" i="5"/>
  <c r="E1233" i="5"/>
  <c r="D1233" i="5"/>
  <c r="C1233" i="5"/>
  <c r="B1233" i="5"/>
  <c r="A1233" i="5"/>
  <c r="K1232" i="5"/>
  <c r="J1232" i="5"/>
  <c r="Z1232" i="5"/>
  <c r="Y1232" i="5"/>
  <c r="X1232" i="5"/>
  <c r="H1232" i="5"/>
  <c r="W1232" i="5" s="1"/>
  <c r="F1232" i="5"/>
  <c r="V1232" i="5"/>
  <c r="T1232" i="5"/>
  <c r="U1232" i="5"/>
  <c r="S1232" i="5"/>
  <c r="E1232" i="5"/>
  <c r="D1232" i="5"/>
  <c r="C1232" i="5"/>
  <c r="B1232" i="5"/>
  <c r="A1232" i="5"/>
  <c r="K1231" i="5"/>
  <c r="J1231" i="5"/>
  <c r="Z1231" i="5"/>
  <c r="Y1231" i="5"/>
  <c r="X1231" i="5"/>
  <c r="H1231" i="5"/>
  <c r="W1231" i="5" s="1"/>
  <c r="F1231" i="5"/>
  <c r="V1231" i="5"/>
  <c r="T1231" i="5"/>
  <c r="U1231" i="5"/>
  <c r="S1231" i="5"/>
  <c r="E1231" i="5"/>
  <c r="D1231" i="5"/>
  <c r="C1231" i="5"/>
  <c r="B1231" i="5"/>
  <c r="A1231" i="5"/>
  <c r="L1230" i="5"/>
  <c r="G1230" i="5"/>
  <c r="E1230" i="5"/>
  <c r="J1229" i="5"/>
  <c r="F1229" i="5"/>
  <c r="E1229" i="5"/>
  <c r="J1228" i="5"/>
  <c r="F1228" i="5"/>
  <c r="E1228" i="5"/>
  <c r="K1227" i="5"/>
  <c r="J1227" i="5"/>
  <c r="H1227" i="5"/>
  <c r="G1227" i="5"/>
  <c r="F1227" i="5"/>
  <c r="K1226" i="5"/>
  <c r="J1226" i="5"/>
  <c r="H1226" i="5"/>
  <c r="R1226" i="5" s="1"/>
  <c r="G1226" i="5"/>
  <c r="F1226" i="5"/>
  <c r="K1225" i="5"/>
  <c r="J1225" i="5"/>
  <c r="H1225" i="5"/>
  <c r="G1225" i="5"/>
  <c r="F1225" i="5"/>
  <c r="K1224" i="5"/>
  <c r="J1224" i="5"/>
  <c r="H1224" i="5"/>
  <c r="G1224" i="5"/>
  <c r="F1224" i="5"/>
  <c r="C1223" i="5"/>
  <c r="V1222" i="5"/>
  <c r="T1222" i="5"/>
  <c r="U1222" i="5"/>
  <c r="S1222" i="5"/>
  <c r="F1222" i="5"/>
  <c r="E1222" i="5"/>
  <c r="D1222" i="5"/>
  <c r="I1222" i="5"/>
  <c r="C1222" i="5"/>
  <c r="B1222" i="5"/>
  <c r="A1222" i="5"/>
  <c r="L1221" i="5"/>
  <c r="Q1221" i="5" s="1"/>
  <c r="Z1221" i="5"/>
  <c r="Y1221" i="5"/>
  <c r="X1221" i="5"/>
  <c r="L1220" i="5"/>
  <c r="G1220" i="5"/>
  <c r="E1220" i="5"/>
  <c r="J1219" i="5"/>
  <c r="E1219" i="5"/>
  <c r="J1218" i="5"/>
  <c r="E1218" i="5"/>
  <c r="K1217" i="5"/>
  <c r="J1217" i="5"/>
  <c r="H1217" i="5"/>
  <c r="R1217" i="5" s="1"/>
  <c r="G1217" i="5"/>
  <c r="F1217" i="5"/>
  <c r="K1216" i="5"/>
  <c r="J1216" i="5"/>
  <c r="H1216" i="5"/>
  <c r="G1216" i="5"/>
  <c r="F1216" i="5"/>
  <c r="K1215" i="5"/>
  <c r="J1215" i="5"/>
  <c r="H1215" i="5"/>
  <c r="R1215" i="5" s="1"/>
  <c r="G1215" i="5"/>
  <c r="F1215" i="5"/>
  <c r="C1214" i="5"/>
  <c r="V1213" i="5"/>
  <c r="K1219" i="5" s="1"/>
  <c r="T1213" i="5"/>
  <c r="K1218" i="5" s="1"/>
  <c r="U1213" i="5"/>
  <c r="H1219" i="5" s="1"/>
  <c r="S1213" i="5"/>
  <c r="H1218" i="5" s="1"/>
  <c r="F1213" i="5"/>
  <c r="E1213" i="5"/>
  <c r="D1213" i="5"/>
  <c r="I1213" i="5"/>
  <c r="C1213" i="5"/>
  <c r="B1213" i="5"/>
  <c r="A1213" i="5"/>
  <c r="L1212" i="5"/>
  <c r="Q1212" i="5" s="1"/>
  <c r="Z1212" i="5"/>
  <c r="Y1212" i="5"/>
  <c r="X1212" i="5"/>
  <c r="L1211" i="5"/>
  <c r="G1211" i="5"/>
  <c r="E1211" i="5"/>
  <c r="J1210" i="5"/>
  <c r="E1210" i="5"/>
  <c r="J1209" i="5"/>
  <c r="E1209" i="5"/>
  <c r="K1208" i="5"/>
  <c r="J1208" i="5"/>
  <c r="H1208" i="5"/>
  <c r="R1208" i="5" s="1"/>
  <c r="G1208" i="5"/>
  <c r="F1208" i="5"/>
  <c r="K1207" i="5"/>
  <c r="J1207" i="5"/>
  <c r="H1207" i="5"/>
  <c r="G1207" i="5"/>
  <c r="F1207" i="5"/>
  <c r="K1206" i="5"/>
  <c r="J1206" i="5"/>
  <c r="H1206" i="5"/>
  <c r="G1206" i="5"/>
  <c r="F1206" i="5"/>
  <c r="C1205" i="5"/>
  <c r="V1204" i="5"/>
  <c r="K1210" i="5" s="1"/>
  <c r="T1204" i="5"/>
  <c r="K1209" i="5" s="1"/>
  <c r="U1204" i="5"/>
  <c r="H1210" i="5" s="1"/>
  <c r="S1204" i="5"/>
  <c r="H1209" i="5" s="1"/>
  <c r="F1204" i="5"/>
  <c r="E1204" i="5"/>
  <c r="D1204" i="5"/>
  <c r="I1204" i="5"/>
  <c r="C1204" i="5"/>
  <c r="B1204" i="5"/>
  <c r="A1204" i="5"/>
  <c r="A1203" i="5"/>
  <c r="A1202" i="5"/>
  <c r="L1200" i="5"/>
  <c r="Q1200" i="5" s="1"/>
  <c r="Z1200" i="5"/>
  <c r="Y1200" i="5"/>
  <c r="W1200" i="5"/>
  <c r="K1199" i="5"/>
  <c r="J1199" i="5"/>
  <c r="Z1199" i="5"/>
  <c r="Y1199" i="5"/>
  <c r="W1199" i="5"/>
  <c r="H1199" i="5"/>
  <c r="X1199" i="5" s="1"/>
  <c r="F1199" i="5"/>
  <c r="V1199" i="5"/>
  <c r="T1199" i="5"/>
  <c r="U1199" i="5"/>
  <c r="S1199" i="5"/>
  <c r="E1199" i="5"/>
  <c r="D1199" i="5"/>
  <c r="C1199" i="5"/>
  <c r="B1199" i="5"/>
  <c r="A1199" i="5"/>
  <c r="L1198" i="5"/>
  <c r="G1198" i="5"/>
  <c r="E1198" i="5"/>
  <c r="J1197" i="5"/>
  <c r="E1197" i="5"/>
  <c r="J1196" i="5"/>
  <c r="E1196" i="5"/>
  <c r="K1195" i="5"/>
  <c r="J1195" i="5"/>
  <c r="H1195" i="5"/>
  <c r="G1195" i="5"/>
  <c r="F1195" i="5"/>
  <c r="K1194" i="5"/>
  <c r="J1194" i="5"/>
  <c r="H1194" i="5"/>
  <c r="R1194" i="5" s="1"/>
  <c r="G1194" i="5"/>
  <c r="F1194" i="5"/>
  <c r="K1193" i="5"/>
  <c r="J1193" i="5"/>
  <c r="H1193" i="5"/>
  <c r="G1193" i="5"/>
  <c r="F1193" i="5"/>
  <c r="K1192" i="5"/>
  <c r="J1192" i="5"/>
  <c r="H1192" i="5"/>
  <c r="G1192" i="5"/>
  <c r="F1192" i="5"/>
  <c r="C1191" i="5"/>
  <c r="V1190" i="5"/>
  <c r="T1190" i="5"/>
  <c r="U1190" i="5"/>
  <c r="S1190" i="5"/>
  <c r="F1190" i="5"/>
  <c r="E1190" i="5"/>
  <c r="D1190" i="5"/>
  <c r="I1190" i="5"/>
  <c r="C1190" i="5"/>
  <c r="B1190" i="5"/>
  <c r="A1190" i="5"/>
  <c r="L1189" i="5"/>
  <c r="Q1189" i="5" s="1"/>
  <c r="Z1189" i="5"/>
  <c r="Y1189" i="5"/>
  <c r="W1189" i="5"/>
  <c r="K1188" i="5"/>
  <c r="J1188" i="5"/>
  <c r="Z1188" i="5"/>
  <c r="Y1188" i="5"/>
  <c r="W1188" i="5"/>
  <c r="H1188" i="5"/>
  <c r="X1188" i="5" s="1"/>
  <c r="F1188" i="5"/>
  <c r="V1188" i="5"/>
  <c r="T1188" i="5"/>
  <c r="U1188" i="5"/>
  <c r="S1188" i="5"/>
  <c r="E1188" i="5"/>
  <c r="D1188" i="5"/>
  <c r="C1188" i="5"/>
  <c r="B1188" i="5"/>
  <c r="A1188" i="5"/>
  <c r="L1187" i="5"/>
  <c r="G1187" i="5"/>
  <c r="E1187" i="5"/>
  <c r="J1186" i="5"/>
  <c r="E1186" i="5"/>
  <c r="J1185" i="5"/>
  <c r="E1185" i="5"/>
  <c r="K1184" i="5"/>
  <c r="J1184" i="5"/>
  <c r="H1184" i="5"/>
  <c r="G1184" i="5"/>
  <c r="F1184" i="5"/>
  <c r="K1183" i="5"/>
  <c r="J1183" i="5"/>
  <c r="H1183" i="5"/>
  <c r="R1183" i="5" s="1"/>
  <c r="G1183" i="5"/>
  <c r="F1183" i="5"/>
  <c r="K1182" i="5"/>
  <c r="J1182" i="5"/>
  <c r="H1182" i="5"/>
  <c r="G1182" i="5"/>
  <c r="F1182" i="5"/>
  <c r="K1181" i="5"/>
  <c r="J1181" i="5"/>
  <c r="H1181" i="5"/>
  <c r="R1181" i="5" s="1"/>
  <c r="G1181" i="5"/>
  <c r="F1181" i="5"/>
  <c r="C1180" i="5"/>
  <c r="V1179" i="5"/>
  <c r="T1179" i="5"/>
  <c r="U1179" i="5"/>
  <c r="S1179" i="5"/>
  <c r="F1179" i="5"/>
  <c r="E1179" i="5"/>
  <c r="D1179" i="5"/>
  <c r="I1179" i="5"/>
  <c r="C1179" i="5"/>
  <c r="B1179" i="5"/>
  <c r="A1179" i="5"/>
  <c r="L1178" i="5"/>
  <c r="Q1178" i="5" s="1"/>
  <c r="Z1178" i="5"/>
  <c r="Y1178" i="5"/>
  <c r="X1178" i="5"/>
  <c r="L1177" i="5"/>
  <c r="G1177" i="5"/>
  <c r="E1177" i="5"/>
  <c r="J1176" i="5"/>
  <c r="E1176" i="5"/>
  <c r="J1175" i="5"/>
  <c r="E1175" i="5"/>
  <c r="K1174" i="5"/>
  <c r="J1174" i="5"/>
  <c r="H1174" i="5"/>
  <c r="R1174" i="5" s="1"/>
  <c r="G1174" i="5"/>
  <c r="F1174" i="5"/>
  <c r="C1173" i="5"/>
  <c r="V1172" i="5"/>
  <c r="K1176" i="5" s="1"/>
  <c r="T1172" i="5"/>
  <c r="K1175" i="5" s="1"/>
  <c r="U1172" i="5"/>
  <c r="H1176" i="5" s="1"/>
  <c r="S1172" i="5"/>
  <c r="H1175" i="5" s="1"/>
  <c r="F1172" i="5"/>
  <c r="E1172" i="5"/>
  <c r="D1172" i="5"/>
  <c r="I1172" i="5"/>
  <c r="C1172" i="5"/>
  <c r="B1172" i="5"/>
  <c r="A1172" i="5"/>
  <c r="L1171" i="5"/>
  <c r="Q1171" i="5" s="1"/>
  <c r="Z1171" i="5"/>
  <c r="Y1171" i="5"/>
  <c r="W1171" i="5"/>
  <c r="K1170" i="5"/>
  <c r="J1170" i="5"/>
  <c r="Z1170" i="5"/>
  <c r="Y1170" i="5"/>
  <c r="W1170" i="5"/>
  <c r="H1170" i="5"/>
  <c r="X1170" i="5" s="1"/>
  <c r="F1170" i="5"/>
  <c r="V1170" i="5"/>
  <c r="T1170" i="5"/>
  <c r="U1170" i="5"/>
  <c r="S1170" i="5"/>
  <c r="E1170" i="5"/>
  <c r="D1170" i="5"/>
  <c r="C1170" i="5"/>
  <c r="B1170" i="5"/>
  <c r="A1170" i="5"/>
  <c r="L1169" i="5"/>
  <c r="G1169" i="5"/>
  <c r="E1169" i="5"/>
  <c r="J1168" i="5"/>
  <c r="E1168" i="5"/>
  <c r="J1167" i="5"/>
  <c r="E1167" i="5"/>
  <c r="K1166" i="5"/>
  <c r="J1166" i="5"/>
  <c r="H1166" i="5"/>
  <c r="G1166" i="5"/>
  <c r="F1166" i="5"/>
  <c r="K1165" i="5"/>
  <c r="J1165" i="5"/>
  <c r="H1165" i="5"/>
  <c r="R1165" i="5" s="1"/>
  <c r="G1165" i="5"/>
  <c r="F1165" i="5"/>
  <c r="K1164" i="5"/>
  <c r="J1164" i="5"/>
  <c r="H1164" i="5"/>
  <c r="G1164" i="5"/>
  <c r="F1164" i="5"/>
  <c r="K1163" i="5"/>
  <c r="J1163" i="5"/>
  <c r="H1163" i="5"/>
  <c r="R1163" i="5" s="1"/>
  <c r="G1163" i="5"/>
  <c r="F1163" i="5"/>
  <c r="C1162" i="5"/>
  <c r="V1161" i="5"/>
  <c r="T1161" i="5"/>
  <c r="U1161" i="5"/>
  <c r="S1161" i="5"/>
  <c r="F1161" i="5"/>
  <c r="E1161" i="5"/>
  <c r="D1161" i="5"/>
  <c r="I1161" i="5"/>
  <c r="C1161" i="5"/>
  <c r="B1161" i="5"/>
  <c r="A1161" i="5"/>
  <c r="L1160" i="5"/>
  <c r="Q1160" i="5" s="1"/>
  <c r="Z1160" i="5"/>
  <c r="Y1160" i="5"/>
  <c r="W1160" i="5"/>
  <c r="K1159" i="5"/>
  <c r="J1159" i="5"/>
  <c r="Z1159" i="5"/>
  <c r="Y1159" i="5"/>
  <c r="W1159" i="5"/>
  <c r="H1159" i="5"/>
  <c r="X1159" i="5" s="1"/>
  <c r="F1159" i="5"/>
  <c r="V1159" i="5"/>
  <c r="T1159" i="5"/>
  <c r="U1159" i="5"/>
  <c r="S1159" i="5"/>
  <c r="E1159" i="5"/>
  <c r="D1159" i="5"/>
  <c r="C1159" i="5"/>
  <c r="B1159" i="5"/>
  <c r="A1159" i="5"/>
  <c r="L1158" i="5"/>
  <c r="G1158" i="5"/>
  <c r="E1158" i="5"/>
  <c r="J1157" i="5"/>
  <c r="E1157" i="5"/>
  <c r="J1156" i="5"/>
  <c r="E1156" i="5"/>
  <c r="K1155" i="5"/>
  <c r="J1155" i="5"/>
  <c r="H1155" i="5"/>
  <c r="G1155" i="5"/>
  <c r="F1155" i="5"/>
  <c r="K1154" i="5"/>
  <c r="J1154" i="5"/>
  <c r="H1154" i="5"/>
  <c r="R1154" i="5" s="1"/>
  <c r="G1154" i="5"/>
  <c r="F1154" i="5"/>
  <c r="K1153" i="5"/>
  <c r="J1153" i="5"/>
  <c r="H1153" i="5"/>
  <c r="G1153" i="5"/>
  <c r="F1153" i="5"/>
  <c r="K1152" i="5"/>
  <c r="J1152" i="5"/>
  <c r="H1152" i="5"/>
  <c r="R1152" i="5" s="1"/>
  <c r="G1152" i="5"/>
  <c r="F1152" i="5"/>
  <c r="C1151" i="5"/>
  <c r="V1150" i="5"/>
  <c r="T1150" i="5"/>
  <c r="U1150" i="5"/>
  <c r="S1150" i="5"/>
  <c r="F1150" i="5"/>
  <c r="E1150" i="5"/>
  <c r="D1150" i="5"/>
  <c r="I1150" i="5"/>
  <c r="C1150" i="5"/>
  <c r="B1150" i="5"/>
  <c r="A1150" i="5"/>
  <c r="A1149" i="5"/>
  <c r="A1148" i="5"/>
  <c r="L1146" i="5"/>
  <c r="Q1146" i="5" s="1"/>
  <c r="Z1146" i="5"/>
  <c r="Y1146" i="5"/>
  <c r="W1146" i="5"/>
  <c r="L1145" i="5"/>
  <c r="G1145" i="5"/>
  <c r="E1145" i="5"/>
  <c r="J1144" i="5"/>
  <c r="E1144" i="5"/>
  <c r="J1143" i="5"/>
  <c r="E1143" i="5"/>
  <c r="K1142" i="5"/>
  <c r="J1142" i="5"/>
  <c r="H1142" i="5"/>
  <c r="G1142" i="5"/>
  <c r="F1142" i="5"/>
  <c r="K1141" i="5"/>
  <c r="J1141" i="5"/>
  <c r="H1141" i="5"/>
  <c r="G1141" i="5"/>
  <c r="F1141" i="5"/>
  <c r="V1140" i="5"/>
  <c r="K1144" i="5" s="1"/>
  <c r="T1140" i="5"/>
  <c r="K1143" i="5" s="1"/>
  <c r="U1140" i="5"/>
  <c r="H1144" i="5" s="1"/>
  <c r="S1140" i="5"/>
  <c r="H1143" i="5" s="1"/>
  <c r="F1140" i="5"/>
  <c r="E1140" i="5"/>
  <c r="D1140" i="5"/>
  <c r="I1140" i="5"/>
  <c r="C1140" i="5"/>
  <c r="B1140" i="5"/>
  <c r="A1140" i="5"/>
  <c r="L1139" i="5"/>
  <c r="Q1139" i="5" s="1"/>
  <c r="Z1139" i="5"/>
  <c r="Y1139" i="5"/>
  <c r="W1139" i="5"/>
  <c r="K1138" i="5"/>
  <c r="J1138" i="5"/>
  <c r="Z1138" i="5"/>
  <c r="Y1138" i="5"/>
  <c r="W1138" i="5"/>
  <c r="H1138" i="5"/>
  <c r="X1138" i="5" s="1"/>
  <c r="F1138" i="5"/>
  <c r="V1138" i="5"/>
  <c r="T1138" i="5"/>
  <c r="U1138" i="5"/>
  <c r="S1138" i="5"/>
  <c r="E1138" i="5"/>
  <c r="D1138" i="5"/>
  <c r="C1138" i="5"/>
  <c r="B1138" i="5"/>
  <c r="A1138" i="5"/>
  <c r="L1137" i="5"/>
  <c r="G1137" i="5"/>
  <c r="E1137" i="5"/>
  <c r="J1136" i="5"/>
  <c r="E1136" i="5"/>
  <c r="J1135" i="5"/>
  <c r="E1135" i="5"/>
  <c r="K1134" i="5"/>
  <c r="J1134" i="5"/>
  <c r="H1134" i="5"/>
  <c r="G1134" i="5"/>
  <c r="F1134" i="5"/>
  <c r="K1133" i="5"/>
  <c r="J1133" i="5"/>
  <c r="H1133" i="5"/>
  <c r="R1133" i="5" s="1"/>
  <c r="G1133" i="5"/>
  <c r="F1133" i="5"/>
  <c r="K1132" i="5"/>
  <c r="J1132" i="5"/>
  <c r="H1132" i="5"/>
  <c r="G1132" i="5"/>
  <c r="F1132" i="5"/>
  <c r="K1131" i="5"/>
  <c r="J1131" i="5"/>
  <c r="H1131" i="5"/>
  <c r="R1131" i="5" s="1"/>
  <c r="G1131" i="5"/>
  <c r="F1131" i="5"/>
  <c r="C1130" i="5"/>
  <c r="V1129" i="5"/>
  <c r="T1129" i="5"/>
  <c r="U1129" i="5"/>
  <c r="S1129" i="5"/>
  <c r="F1129" i="5"/>
  <c r="E1129" i="5"/>
  <c r="D1129" i="5"/>
  <c r="I1129" i="5"/>
  <c r="C1129" i="5"/>
  <c r="B1129" i="5"/>
  <c r="A1129" i="5"/>
  <c r="L1128" i="5"/>
  <c r="Q1128" i="5" s="1"/>
  <c r="Z1128" i="5"/>
  <c r="Y1128" i="5"/>
  <c r="W1128" i="5"/>
  <c r="K1127" i="5"/>
  <c r="J1127" i="5"/>
  <c r="Z1127" i="5"/>
  <c r="Y1127" i="5"/>
  <c r="W1127" i="5"/>
  <c r="H1127" i="5"/>
  <c r="X1127" i="5" s="1"/>
  <c r="F1127" i="5"/>
  <c r="V1127" i="5"/>
  <c r="T1127" i="5"/>
  <c r="U1127" i="5"/>
  <c r="S1127" i="5"/>
  <c r="E1127" i="5"/>
  <c r="D1127" i="5"/>
  <c r="C1127" i="5"/>
  <c r="B1127" i="5"/>
  <c r="A1127" i="5"/>
  <c r="L1126" i="5"/>
  <c r="G1126" i="5"/>
  <c r="E1126" i="5"/>
  <c r="J1125" i="5"/>
  <c r="E1125" i="5"/>
  <c r="J1124" i="5"/>
  <c r="E1124" i="5"/>
  <c r="K1123" i="5"/>
  <c r="J1123" i="5"/>
  <c r="H1123" i="5"/>
  <c r="G1123" i="5"/>
  <c r="F1123" i="5"/>
  <c r="K1122" i="5"/>
  <c r="J1122" i="5"/>
  <c r="H1122" i="5"/>
  <c r="R1122" i="5" s="1"/>
  <c r="G1122" i="5"/>
  <c r="F1122" i="5"/>
  <c r="C1121" i="5"/>
  <c r="V1120" i="5"/>
  <c r="T1120" i="5"/>
  <c r="U1120" i="5"/>
  <c r="S1120" i="5"/>
  <c r="F1120" i="5"/>
  <c r="E1120" i="5"/>
  <c r="D1120" i="5"/>
  <c r="I1120" i="5"/>
  <c r="C1120" i="5"/>
  <c r="B1120" i="5"/>
  <c r="A1120" i="5"/>
  <c r="L1119" i="5"/>
  <c r="Q1119" i="5" s="1"/>
  <c r="Z1119" i="5"/>
  <c r="Y1119" i="5"/>
  <c r="W1119" i="5"/>
  <c r="K1118" i="5"/>
  <c r="J1118" i="5"/>
  <c r="Z1118" i="5"/>
  <c r="Y1118" i="5"/>
  <c r="W1118" i="5"/>
  <c r="H1118" i="5"/>
  <c r="X1118" i="5" s="1"/>
  <c r="F1118" i="5"/>
  <c r="V1118" i="5"/>
  <c r="T1118" i="5"/>
  <c r="U1118" i="5"/>
  <c r="S1118" i="5"/>
  <c r="E1118" i="5"/>
  <c r="D1118" i="5"/>
  <c r="C1118" i="5"/>
  <c r="B1118" i="5"/>
  <c r="A1118" i="5"/>
  <c r="L1117" i="5"/>
  <c r="G1117" i="5"/>
  <c r="E1117" i="5"/>
  <c r="J1116" i="5"/>
  <c r="E1116" i="5"/>
  <c r="J1115" i="5"/>
  <c r="E1115" i="5"/>
  <c r="K1114" i="5"/>
  <c r="J1114" i="5"/>
  <c r="H1114" i="5"/>
  <c r="G1114" i="5"/>
  <c r="F1114" i="5"/>
  <c r="K1113" i="5"/>
  <c r="J1113" i="5"/>
  <c r="H1113" i="5"/>
  <c r="G1113" i="5"/>
  <c r="F1113" i="5"/>
  <c r="V1112" i="5"/>
  <c r="T1112" i="5"/>
  <c r="U1112" i="5"/>
  <c r="S1112" i="5"/>
  <c r="F1112" i="5"/>
  <c r="E1112" i="5"/>
  <c r="D1112" i="5"/>
  <c r="I1112" i="5"/>
  <c r="C1112" i="5"/>
  <c r="B1112" i="5"/>
  <c r="A1112" i="5"/>
  <c r="A1111" i="5"/>
  <c r="A1110" i="5"/>
  <c r="L1108" i="5"/>
  <c r="Q1108" i="5" s="1"/>
  <c r="Y1108" i="5"/>
  <c r="X1108" i="5"/>
  <c r="W1108" i="5"/>
  <c r="L1107" i="5"/>
  <c r="G1107" i="5"/>
  <c r="E1107" i="5"/>
  <c r="J1106" i="5"/>
  <c r="E1106" i="5"/>
  <c r="J1105" i="5"/>
  <c r="E1105" i="5"/>
  <c r="K1104" i="5"/>
  <c r="J1104" i="5"/>
  <c r="H1104" i="5"/>
  <c r="R1104" i="5" s="1"/>
  <c r="G1104" i="5"/>
  <c r="F1104" i="5"/>
  <c r="V1103" i="5"/>
  <c r="K1106" i="5" s="1"/>
  <c r="T1103" i="5"/>
  <c r="K1105" i="5" s="1"/>
  <c r="U1103" i="5"/>
  <c r="H1106" i="5" s="1"/>
  <c r="S1103" i="5"/>
  <c r="H1105" i="5" s="1"/>
  <c r="F1103" i="5"/>
  <c r="E1103" i="5"/>
  <c r="D1103" i="5"/>
  <c r="I1103" i="5"/>
  <c r="C1103" i="5"/>
  <c r="B1103" i="5"/>
  <c r="A1103" i="5"/>
  <c r="L1102" i="5"/>
  <c r="Q1102" i="5" s="1"/>
  <c r="Y1102" i="5"/>
  <c r="X1102" i="5"/>
  <c r="W1102" i="5"/>
  <c r="L1101" i="5"/>
  <c r="G1101" i="5"/>
  <c r="E1101" i="5"/>
  <c r="J1100" i="5"/>
  <c r="E1100" i="5"/>
  <c r="J1099" i="5"/>
  <c r="E1099" i="5"/>
  <c r="K1098" i="5"/>
  <c r="J1098" i="5"/>
  <c r="H1098" i="5"/>
  <c r="R1098" i="5" s="1"/>
  <c r="G1098" i="5"/>
  <c r="F1098" i="5"/>
  <c r="C1097" i="5"/>
  <c r="V1096" i="5"/>
  <c r="K1100" i="5" s="1"/>
  <c r="T1096" i="5"/>
  <c r="K1099" i="5" s="1"/>
  <c r="U1096" i="5"/>
  <c r="H1100" i="5" s="1"/>
  <c r="S1096" i="5"/>
  <c r="H1099" i="5" s="1"/>
  <c r="F1096" i="5"/>
  <c r="E1096" i="5"/>
  <c r="D1096" i="5"/>
  <c r="I1096" i="5"/>
  <c r="C1096" i="5"/>
  <c r="B1096" i="5"/>
  <c r="A1096" i="5"/>
  <c r="L1095" i="5"/>
  <c r="Q1095" i="5" s="1"/>
  <c r="Y1095" i="5"/>
  <c r="X1095" i="5"/>
  <c r="W1095" i="5"/>
  <c r="L1094" i="5"/>
  <c r="G1094" i="5"/>
  <c r="E1094" i="5"/>
  <c r="J1093" i="5"/>
  <c r="E1093" i="5"/>
  <c r="J1092" i="5"/>
  <c r="E1092" i="5"/>
  <c r="K1091" i="5"/>
  <c r="J1091" i="5"/>
  <c r="H1091" i="5"/>
  <c r="G1091" i="5"/>
  <c r="F1091" i="5"/>
  <c r="V1090" i="5"/>
  <c r="K1093" i="5" s="1"/>
  <c r="T1090" i="5"/>
  <c r="K1092" i="5" s="1"/>
  <c r="U1090" i="5"/>
  <c r="H1093" i="5" s="1"/>
  <c r="S1090" i="5"/>
  <c r="H1092" i="5" s="1"/>
  <c r="F1090" i="5"/>
  <c r="E1090" i="5"/>
  <c r="D1090" i="5"/>
  <c r="I1090" i="5"/>
  <c r="C1090" i="5"/>
  <c r="B1090" i="5"/>
  <c r="A1090" i="5"/>
  <c r="L1089" i="5"/>
  <c r="Q1089" i="5" s="1"/>
  <c r="Y1089" i="5"/>
  <c r="X1089" i="5"/>
  <c r="W1089" i="5"/>
  <c r="L1088" i="5"/>
  <c r="G1088" i="5"/>
  <c r="E1088" i="5"/>
  <c r="J1087" i="5"/>
  <c r="E1087" i="5"/>
  <c r="J1086" i="5"/>
  <c r="E1086" i="5"/>
  <c r="K1085" i="5"/>
  <c r="J1085" i="5"/>
  <c r="H1085" i="5"/>
  <c r="R1085" i="5" s="1"/>
  <c r="G1085" i="5"/>
  <c r="F1085" i="5"/>
  <c r="V1084" i="5"/>
  <c r="K1087" i="5" s="1"/>
  <c r="T1084" i="5"/>
  <c r="K1086" i="5" s="1"/>
  <c r="U1084" i="5"/>
  <c r="H1087" i="5" s="1"/>
  <c r="S1084" i="5"/>
  <c r="H1086" i="5" s="1"/>
  <c r="F1084" i="5"/>
  <c r="E1084" i="5"/>
  <c r="D1084" i="5"/>
  <c r="I1084" i="5"/>
  <c r="C1084" i="5"/>
  <c r="B1084" i="5"/>
  <c r="A1084" i="5"/>
  <c r="A1083" i="5"/>
  <c r="A1082" i="5"/>
  <c r="A1081" i="5"/>
  <c r="L1079" i="5"/>
  <c r="Q1079" i="5" s="1"/>
  <c r="Z1079" i="5"/>
  <c r="Y1079" i="5"/>
  <c r="W1079" i="5"/>
  <c r="K1078" i="5"/>
  <c r="J1078" i="5"/>
  <c r="Z1078" i="5"/>
  <c r="Y1078" i="5"/>
  <c r="W1078" i="5"/>
  <c r="H1078" i="5"/>
  <c r="X1078" i="5" s="1"/>
  <c r="F1078" i="5"/>
  <c r="V1078" i="5"/>
  <c r="T1078" i="5"/>
  <c r="U1078" i="5"/>
  <c r="S1078" i="5"/>
  <c r="E1078" i="5"/>
  <c r="D1078" i="5"/>
  <c r="C1078" i="5"/>
  <c r="B1078" i="5"/>
  <c r="A1078" i="5"/>
  <c r="L1077" i="5"/>
  <c r="G1077" i="5"/>
  <c r="E1077" i="5"/>
  <c r="J1076" i="5"/>
  <c r="E1076" i="5"/>
  <c r="J1075" i="5"/>
  <c r="E1075" i="5"/>
  <c r="K1074" i="5"/>
  <c r="J1074" i="5"/>
  <c r="H1074" i="5"/>
  <c r="G1074" i="5"/>
  <c r="F1074" i="5"/>
  <c r="K1073" i="5"/>
  <c r="J1073" i="5"/>
  <c r="H1073" i="5"/>
  <c r="R1073" i="5" s="1"/>
  <c r="G1073" i="5"/>
  <c r="F1073" i="5"/>
  <c r="V1072" i="5"/>
  <c r="T1072" i="5"/>
  <c r="K1075" i="5" s="1"/>
  <c r="U1072" i="5"/>
  <c r="S1072" i="5"/>
  <c r="F1072" i="5"/>
  <c r="E1072" i="5"/>
  <c r="D1072" i="5"/>
  <c r="I1072" i="5"/>
  <c r="C1072" i="5"/>
  <c r="B1072" i="5"/>
  <c r="A1072" i="5"/>
  <c r="L1071" i="5"/>
  <c r="Q1071" i="5" s="1"/>
  <c r="Z1071" i="5"/>
  <c r="Y1071" i="5"/>
  <c r="W1071" i="5"/>
  <c r="K1070" i="5"/>
  <c r="J1070" i="5"/>
  <c r="Z1070" i="5"/>
  <c r="Y1070" i="5"/>
  <c r="W1070" i="5"/>
  <c r="H1070" i="5"/>
  <c r="X1070" i="5" s="1"/>
  <c r="F1070" i="5"/>
  <c r="V1070" i="5"/>
  <c r="T1070" i="5"/>
  <c r="U1070" i="5"/>
  <c r="S1070" i="5"/>
  <c r="E1070" i="5"/>
  <c r="D1070" i="5"/>
  <c r="C1070" i="5"/>
  <c r="B1070" i="5"/>
  <c r="A1070" i="5"/>
  <c r="L1069" i="5"/>
  <c r="G1069" i="5"/>
  <c r="E1069" i="5"/>
  <c r="J1068" i="5"/>
  <c r="E1068" i="5"/>
  <c r="J1067" i="5"/>
  <c r="E1067" i="5"/>
  <c r="K1066" i="5"/>
  <c r="J1066" i="5"/>
  <c r="H1066" i="5"/>
  <c r="G1066" i="5"/>
  <c r="F1066" i="5"/>
  <c r="K1065" i="5"/>
  <c r="J1065" i="5"/>
  <c r="H1065" i="5"/>
  <c r="R1065" i="5" s="1"/>
  <c r="G1065" i="5"/>
  <c r="F1065" i="5"/>
  <c r="K1064" i="5"/>
  <c r="J1064" i="5"/>
  <c r="H1064" i="5"/>
  <c r="G1064" i="5"/>
  <c r="F1064" i="5"/>
  <c r="K1063" i="5"/>
  <c r="J1063" i="5"/>
  <c r="H1063" i="5"/>
  <c r="R1063" i="5" s="1"/>
  <c r="G1063" i="5"/>
  <c r="F1063" i="5"/>
  <c r="C1062" i="5"/>
  <c r="V1061" i="5"/>
  <c r="T1061" i="5"/>
  <c r="U1061" i="5"/>
  <c r="S1061" i="5"/>
  <c r="H1067" i="5" s="1"/>
  <c r="F1061" i="5"/>
  <c r="E1061" i="5"/>
  <c r="D1061" i="5"/>
  <c r="I1061" i="5"/>
  <c r="C1061" i="5"/>
  <c r="B1061" i="5"/>
  <c r="A1061" i="5"/>
  <c r="Q1060" i="5"/>
  <c r="L1060" i="5"/>
  <c r="Z1060" i="5"/>
  <c r="Y1060" i="5"/>
  <c r="X1060" i="5"/>
  <c r="L1059" i="5"/>
  <c r="G1059" i="5"/>
  <c r="E1059" i="5"/>
  <c r="J1058" i="5"/>
  <c r="E1058" i="5"/>
  <c r="J1057" i="5"/>
  <c r="E1057" i="5"/>
  <c r="K1056" i="5"/>
  <c r="J1056" i="5"/>
  <c r="H1056" i="5"/>
  <c r="G1056" i="5"/>
  <c r="F1056" i="5"/>
  <c r="C1055" i="5"/>
  <c r="V1054" i="5"/>
  <c r="K1058" i="5" s="1"/>
  <c r="T1054" i="5"/>
  <c r="K1057" i="5" s="1"/>
  <c r="U1054" i="5"/>
  <c r="H1058" i="5" s="1"/>
  <c r="S1054" i="5"/>
  <c r="H1057" i="5" s="1"/>
  <c r="F1054" i="5"/>
  <c r="E1054" i="5"/>
  <c r="D1054" i="5"/>
  <c r="I1054" i="5"/>
  <c r="C1054" i="5"/>
  <c r="B1054" i="5"/>
  <c r="A1054" i="5"/>
  <c r="L1053" i="5"/>
  <c r="Q1053" i="5" s="1"/>
  <c r="Z1053" i="5"/>
  <c r="Y1053" i="5"/>
  <c r="W1053" i="5"/>
  <c r="K1052" i="5"/>
  <c r="J1052" i="5"/>
  <c r="Z1052" i="5"/>
  <c r="Y1052" i="5"/>
  <c r="W1052" i="5"/>
  <c r="H1052" i="5"/>
  <c r="X1052" i="5" s="1"/>
  <c r="F1052" i="5"/>
  <c r="V1052" i="5"/>
  <c r="T1052" i="5"/>
  <c r="U1052" i="5"/>
  <c r="S1052" i="5"/>
  <c r="E1052" i="5"/>
  <c r="D1052" i="5"/>
  <c r="C1052" i="5"/>
  <c r="B1052" i="5"/>
  <c r="A1052" i="5"/>
  <c r="K1051" i="5"/>
  <c r="J1051" i="5"/>
  <c r="Z1051" i="5"/>
  <c r="Y1051" i="5"/>
  <c r="W1051" i="5"/>
  <c r="H1051" i="5"/>
  <c r="X1051" i="5" s="1"/>
  <c r="F1051" i="5"/>
  <c r="V1051" i="5"/>
  <c r="T1051" i="5"/>
  <c r="U1051" i="5"/>
  <c r="S1051" i="5"/>
  <c r="E1051" i="5"/>
  <c r="D1051" i="5"/>
  <c r="C1051" i="5"/>
  <c r="B1051" i="5"/>
  <c r="A1051" i="5"/>
  <c r="K1050" i="5"/>
  <c r="J1050" i="5"/>
  <c r="Z1050" i="5"/>
  <c r="Y1050" i="5"/>
  <c r="W1050" i="5"/>
  <c r="H1050" i="5"/>
  <c r="X1050" i="5" s="1"/>
  <c r="F1050" i="5"/>
  <c r="V1050" i="5"/>
  <c r="T1050" i="5"/>
  <c r="U1050" i="5"/>
  <c r="S1050" i="5"/>
  <c r="E1050" i="5"/>
  <c r="D1050" i="5"/>
  <c r="C1050" i="5"/>
  <c r="B1050" i="5"/>
  <c r="A1050" i="5"/>
  <c r="L1049" i="5"/>
  <c r="G1049" i="5"/>
  <c r="E1049" i="5"/>
  <c r="J1048" i="5"/>
  <c r="E1048" i="5"/>
  <c r="J1047" i="5"/>
  <c r="E1047" i="5"/>
  <c r="K1046" i="5"/>
  <c r="J1046" i="5"/>
  <c r="H1046" i="5"/>
  <c r="G1046" i="5"/>
  <c r="F1046" i="5"/>
  <c r="K1045" i="5"/>
  <c r="J1045" i="5"/>
  <c r="H1045" i="5"/>
  <c r="G1045" i="5"/>
  <c r="F1045" i="5"/>
  <c r="V1044" i="5"/>
  <c r="T1044" i="5"/>
  <c r="U1044" i="5"/>
  <c r="S1044" i="5"/>
  <c r="F1044" i="5"/>
  <c r="E1044" i="5"/>
  <c r="D1044" i="5"/>
  <c r="I1044" i="5"/>
  <c r="C1044" i="5"/>
  <c r="B1044" i="5"/>
  <c r="A1044" i="5"/>
  <c r="L1043" i="5"/>
  <c r="Q1043" i="5" s="1"/>
  <c r="Z1043" i="5"/>
  <c r="Y1043" i="5"/>
  <c r="W1043" i="5"/>
  <c r="K1042" i="5"/>
  <c r="J1042" i="5"/>
  <c r="Z1042" i="5"/>
  <c r="Y1042" i="5"/>
  <c r="W1042" i="5"/>
  <c r="H1042" i="5"/>
  <c r="X1042" i="5" s="1"/>
  <c r="F1042" i="5"/>
  <c r="V1042" i="5"/>
  <c r="T1042" i="5"/>
  <c r="U1042" i="5"/>
  <c r="S1042" i="5"/>
  <c r="E1042" i="5"/>
  <c r="D1042" i="5"/>
  <c r="C1042" i="5"/>
  <c r="B1042" i="5"/>
  <c r="A1042" i="5"/>
  <c r="K1041" i="5"/>
  <c r="J1041" i="5"/>
  <c r="Z1041" i="5"/>
  <c r="Y1041" i="5"/>
  <c r="W1041" i="5"/>
  <c r="H1041" i="5"/>
  <c r="X1041" i="5" s="1"/>
  <c r="F1041" i="5"/>
  <c r="V1041" i="5"/>
  <c r="T1041" i="5"/>
  <c r="U1041" i="5"/>
  <c r="S1041" i="5"/>
  <c r="E1041" i="5"/>
  <c r="D1041" i="5"/>
  <c r="C1041" i="5"/>
  <c r="B1041" i="5"/>
  <c r="A1041" i="5"/>
  <c r="K1040" i="5"/>
  <c r="J1040" i="5"/>
  <c r="Z1040" i="5"/>
  <c r="Y1040" i="5"/>
  <c r="W1040" i="5"/>
  <c r="H1040" i="5"/>
  <c r="X1040" i="5" s="1"/>
  <c r="F1040" i="5"/>
  <c r="V1040" i="5"/>
  <c r="T1040" i="5"/>
  <c r="U1040" i="5"/>
  <c r="S1040" i="5"/>
  <c r="E1040" i="5"/>
  <c r="D1040" i="5"/>
  <c r="C1040" i="5"/>
  <c r="B1040" i="5"/>
  <c r="A1040" i="5"/>
  <c r="K1039" i="5"/>
  <c r="J1039" i="5"/>
  <c r="Z1039" i="5"/>
  <c r="Y1039" i="5"/>
  <c r="W1039" i="5"/>
  <c r="H1039" i="5"/>
  <c r="X1039" i="5" s="1"/>
  <c r="F1039" i="5"/>
  <c r="V1039" i="5"/>
  <c r="T1039" i="5"/>
  <c r="U1039" i="5"/>
  <c r="S1039" i="5"/>
  <c r="E1039" i="5"/>
  <c r="D1039" i="5"/>
  <c r="C1039" i="5"/>
  <c r="B1039" i="5"/>
  <c r="A1039" i="5"/>
  <c r="K1038" i="5"/>
  <c r="J1038" i="5"/>
  <c r="Z1038" i="5"/>
  <c r="Y1038" i="5"/>
  <c r="W1038" i="5"/>
  <c r="H1038" i="5"/>
  <c r="X1038" i="5" s="1"/>
  <c r="F1038" i="5"/>
  <c r="V1038" i="5"/>
  <c r="T1038" i="5"/>
  <c r="U1038" i="5"/>
  <c r="S1038" i="5"/>
  <c r="E1038" i="5"/>
  <c r="D1038" i="5"/>
  <c r="C1038" i="5"/>
  <c r="B1038" i="5"/>
  <c r="A1038" i="5"/>
  <c r="L1037" i="5"/>
  <c r="G1037" i="5"/>
  <c r="E1037" i="5"/>
  <c r="J1036" i="5"/>
  <c r="E1036" i="5"/>
  <c r="J1035" i="5"/>
  <c r="E1035" i="5"/>
  <c r="K1034" i="5"/>
  <c r="J1034" i="5"/>
  <c r="H1034" i="5"/>
  <c r="G1034" i="5"/>
  <c r="F1034" i="5"/>
  <c r="K1033" i="5"/>
  <c r="J1033" i="5"/>
  <c r="H1033" i="5"/>
  <c r="G1033" i="5"/>
  <c r="F1033" i="5"/>
  <c r="K1032" i="5"/>
  <c r="J1032" i="5"/>
  <c r="H1032" i="5"/>
  <c r="G1032" i="5"/>
  <c r="F1032" i="5"/>
  <c r="V1031" i="5"/>
  <c r="T1031" i="5"/>
  <c r="K1035" i="5" s="1"/>
  <c r="U1031" i="5"/>
  <c r="S1031" i="5"/>
  <c r="F1031" i="5"/>
  <c r="E1031" i="5"/>
  <c r="D1031" i="5"/>
  <c r="I1031" i="5"/>
  <c r="C1031" i="5"/>
  <c r="B1031" i="5"/>
  <c r="A1031" i="5"/>
  <c r="L1030" i="5"/>
  <c r="Q1030" i="5" s="1"/>
  <c r="Z1030" i="5"/>
  <c r="Y1030" i="5"/>
  <c r="W1030" i="5"/>
  <c r="K1029" i="5"/>
  <c r="J1029" i="5"/>
  <c r="Z1029" i="5"/>
  <c r="Y1029" i="5"/>
  <c r="W1029" i="5"/>
  <c r="H1029" i="5"/>
  <c r="X1029" i="5" s="1"/>
  <c r="F1029" i="5"/>
  <c r="V1029" i="5"/>
  <c r="T1029" i="5"/>
  <c r="U1029" i="5"/>
  <c r="S1029" i="5"/>
  <c r="E1029" i="5"/>
  <c r="D1029" i="5"/>
  <c r="C1029" i="5"/>
  <c r="B1029" i="5"/>
  <c r="A1029" i="5"/>
  <c r="L1028" i="5"/>
  <c r="G1028" i="5"/>
  <c r="E1028" i="5"/>
  <c r="J1027" i="5"/>
  <c r="E1027" i="5"/>
  <c r="J1026" i="5"/>
  <c r="E1026" i="5"/>
  <c r="K1025" i="5"/>
  <c r="J1025" i="5"/>
  <c r="H1025" i="5"/>
  <c r="G1025" i="5"/>
  <c r="F1025" i="5"/>
  <c r="K1024" i="5"/>
  <c r="J1024" i="5"/>
  <c r="H1024" i="5"/>
  <c r="R1024" i="5" s="1"/>
  <c r="G1024" i="5"/>
  <c r="F1024" i="5"/>
  <c r="K1023" i="5"/>
  <c r="J1023" i="5"/>
  <c r="H1023" i="5"/>
  <c r="G1023" i="5"/>
  <c r="F1023" i="5"/>
  <c r="K1022" i="5"/>
  <c r="J1022" i="5"/>
  <c r="H1022" i="5"/>
  <c r="G1022" i="5"/>
  <c r="F1022" i="5"/>
  <c r="V1021" i="5"/>
  <c r="T1021" i="5"/>
  <c r="K1026" i="5" s="1"/>
  <c r="U1021" i="5"/>
  <c r="H1027" i="5" s="1"/>
  <c r="S1021" i="5"/>
  <c r="F1021" i="5"/>
  <c r="E1021" i="5"/>
  <c r="D1021" i="5"/>
  <c r="I1021" i="5"/>
  <c r="C1021" i="5"/>
  <c r="B1021" i="5"/>
  <c r="A1021" i="5"/>
  <c r="L1020" i="5"/>
  <c r="Q1020" i="5" s="1"/>
  <c r="Z1020" i="5"/>
  <c r="Y1020" i="5"/>
  <c r="W1020" i="5"/>
  <c r="K1019" i="5"/>
  <c r="J1019" i="5"/>
  <c r="Z1019" i="5"/>
  <c r="Y1019" i="5"/>
  <c r="W1019" i="5"/>
  <c r="H1019" i="5"/>
  <c r="X1019" i="5" s="1"/>
  <c r="F1019" i="5"/>
  <c r="V1019" i="5"/>
  <c r="T1019" i="5"/>
  <c r="U1019" i="5"/>
  <c r="S1019" i="5"/>
  <c r="E1019" i="5"/>
  <c r="D1019" i="5"/>
  <c r="C1019" i="5"/>
  <c r="B1019" i="5"/>
  <c r="A1019" i="5"/>
  <c r="L1018" i="5"/>
  <c r="G1018" i="5"/>
  <c r="E1018" i="5"/>
  <c r="J1017" i="5"/>
  <c r="E1017" i="5"/>
  <c r="J1016" i="5"/>
  <c r="E1016" i="5"/>
  <c r="K1015" i="5"/>
  <c r="J1015" i="5"/>
  <c r="H1015" i="5"/>
  <c r="G1015" i="5"/>
  <c r="F1015" i="5"/>
  <c r="K1014" i="5"/>
  <c r="J1014" i="5"/>
  <c r="H1014" i="5"/>
  <c r="R1014" i="5" s="1"/>
  <c r="G1014" i="5"/>
  <c r="F1014" i="5"/>
  <c r="K1013" i="5"/>
  <c r="J1013" i="5"/>
  <c r="H1013" i="5"/>
  <c r="G1013" i="5"/>
  <c r="F1013" i="5"/>
  <c r="K1012" i="5"/>
  <c r="J1012" i="5"/>
  <c r="H1012" i="5"/>
  <c r="R1012" i="5" s="1"/>
  <c r="G1012" i="5"/>
  <c r="F1012" i="5"/>
  <c r="V1011" i="5"/>
  <c r="K1017" i="5" s="1"/>
  <c r="T1011" i="5"/>
  <c r="K1016" i="5" s="1"/>
  <c r="U1011" i="5"/>
  <c r="S1011" i="5"/>
  <c r="F1011" i="5"/>
  <c r="E1011" i="5"/>
  <c r="D1011" i="5"/>
  <c r="I1011" i="5"/>
  <c r="C1011" i="5"/>
  <c r="B1011" i="5"/>
  <c r="A1011" i="5"/>
  <c r="L1010" i="5"/>
  <c r="Q1010" i="5" s="1"/>
  <c r="Z1010" i="5"/>
  <c r="Y1010" i="5"/>
  <c r="W1010" i="5"/>
  <c r="K1009" i="5"/>
  <c r="J1009" i="5"/>
  <c r="Z1009" i="5"/>
  <c r="Y1009" i="5"/>
  <c r="W1009" i="5"/>
  <c r="H1009" i="5"/>
  <c r="X1009" i="5" s="1"/>
  <c r="F1009" i="5"/>
  <c r="V1009" i="5"/>
  <c r="T1009" i="5"/>
  <c r="U1009" i="5"/>
  <c r="S1009" i="5"/>
  <c r="E1009" i="5"/>
  <c r="D1009" i="5"/>
  <c r="C1009" i="5"/>
  <c r="B1009" i="5"/>
  <c r="A1009" i="5"/>
  <c r="L1008" i="5"/>
  <c r="G1008" i="5"/>
  <c r="E1008" i="5"/>
  <c r="J1007" i="5"/>
  <c r="E1007" i="5"/>
  <c r="J1006" i="5"/>
  <c r="E1006" i="5"/>
  <c r="K1005" i="5"/>
  <c r="J1005" i="5"/>
  <c r="H1005" i="5"/>
  <c r="G1005" i="5"/>
  <c r="F1005" i="5"/>
  <c r="K1004" i="5"/>
  <c r="J1004" i="5"/>
  <c r="H1004" i="5"/>
  <c r="R1004" i="5" s="1"/>
  <c r="G1004" i="5"/>
  <c r="F1004" i="5"/>
  <c r="K1003" i="5"/>
  <c r="J1003" i="5"/>
  <c r="H1003" i="5"/>
  <c r="G1003" i="5"/>
  <c r="F1003" i="5"/>
  <c r="K1002" i="5"/>
  <c r="J1002" i="5"/>
  <c r="H1002" i="5"/>
  <c r="R1002" i="5" s="1"/>
  <c r="G1002" i="5"/>
  <c r="F1002" i="5"/>
  <c r="C1001" i="5"/>
  <c r="V1000" i="5"/>
  <c r="T1000" i="5"/>
  <c r="U1000" i="5"/>
  <c r="S1000" i="5"/>
  <c r="F1000" i="5"/>
  <c r="E1000" i="5"/>
  <c r="D1000" i="5"/>
  <c r="I1000" i="5"/>
  <c r="C1000" i="5"/>
  <c r="B1000" i="5"/>
  <c r="A1000" i="5"/>
  <c r="L999" i="5"/>
  <c r="Q999" i="5" s="1"/>
  <c r="Z999" i="5"/>
  <c r="Y999" i="5"/>
  <c r="W999" i="5"/>
  <c r="K998" i="5"/>
  <c r="J998" i="5"/>
  <c r="Z998" i="5"/>
  <c r="Y998" i="5"/>
  <c r="W998" i="5"/>
  <c r="H998" i="5"/>
  <c r="X998" i="5" s="1"/>
  <c r="F998" i="5"/>
  <c r="V998" i="5"/>
  <c r="T998" i="5"/>
  <c r="U998" i="5"/>
  <c r="S998" i="5"/>
  <c r="E998" i="5"/>
  <c r="D998" i="5"/>
  <c r="C998" i="5"/>
  <c r="B998" i="5"/>
  <c r="A998" i="5"/>
  <c r="L997" i="5"/>
  <c r="G997" i="5"/>
  <c r="E997" i="5"/>
  <c r="J996" i="5"/>
  <c r="E996" i="5"/>
  <c r="J995" i="5"/>
  <c r="E995" i="5"/>
  <c r="K994" i="5"/>
  <c r="J994" i="5"/>
  <c r="H994" i="5"/>
  <c r="G994" i="5"/>
  <c r="F994" i="5"/>
  <c r="K993" i="5"/>
  <c r="J993" i="5"/>
  <c r="H993" i="5"/>
  <c r="R993" i="5" s="1"/>
  <c r="G993" i="5"/>
  <c r="F993" i="5"/>
  <c r="K992" i="5"/>
  <c r="J992" i="5"/>
  <c r="H992" i="5"/>
  <c r="G992" i="5"/>
  <c r="F992" i="5"/>
  <c r="K991" i="5"/>
  <c r="J991" i="5"/>
  <c r="H991" i="5"/>
  <c r="R991" i="5" s="1"/>
  <c r="G991" i="5"/>
  <c r="F991" i="5"/>
  <c r="C990" i="5"/>
  <c r="V989" i="5"/>
  <c r="T989" i="5"/>
  <c r="K995" i="5" s="1"/>
  <c r="U989" i="5"/>
  <c r="S989" i="5"/>
  <c r="F989" i="5"/>
  <c r="E989" i="5"/>
  <c r="D989" i="5"/>
  <c r="I989" i="5"/>
  <c r="C989" i="5"/>
  <c r="B989" i="5"/>
  <c r="A989" i="5"/>
  <c r="L988" i="5"/>
  <c r="Q988" i="5" s="1"/>
  <c r="Z988" i="5"/>
  <c r="Y988" i="5"/>
  <c r="W988" i="5"/>
  <c r="K987" i="5"/>
  <c r="J987" i="5"/>
  <c r="Z987" i="5"/>
  <c r="Y987" i="5"/>
  <c r="W987" i="5"/>
  <c r="H987" i="5"/>
  <c r="X987" i="5" s="1"/>
  <c r="F987" i="5"/>
  <c r="V987" i="5"/>
  <c r="T987" i="5"/>
  <c r="U987" i="5"/>
  <c r="S987" i="5"/>
  <c r="E987" i="5"/>
  <c r="D987" i="5"/>
  <c r="C987" i="5"/>
  <c r="B987" i="5"/>
  <c r="A987" i="5"/>
  <c r="K986" i="5"/>
  <c r="J986" i="5"/>
  <c r="Z986" i="5"/>
  <c r="Y986" i="5"/>
  <c r="W986" i="5"/>
  <c r="H986" i="5"/>
  <c r="X986" i="5" s="1"/>
  <c r="F986" i="5"/>
  <c r="V986" i="5"/>
  <c r="T986" i="5"/>
  <c r="U986" i="5"/>
  <c r="S986" i="5"/>
  <c r="E986" i="5"/>
  <c r="D986" i="5"/>
  <c r="C986" i="5"/>
  <c r="B986" i="5"/>
  <c r="A986" i="5"/>
  <c r="L985" i="5"/>
  <c r="G985" i="5"/>
  <c r="E985" i="5"/>
  <c r="J984" i="5"/>
  <c r="E984" i="5"/>
  <c r="J983" i="5"/>
  <c r="E983" i="5"/>
  <c r="K982" i="5"/>
  <c r="J982" i="5"/>
  <c r="H982" i="5"/>
  <c r="G982" i="5"/>
  <c r="F982" i="5"/>
  <c r="K981" i="5"/>
  <c r="J981" i="5"/>
  <c r="H981" i="5"/>
  <c r="R981" i="5" s="1"/>
  <c r="G981" i="5"/>
  <c r="F981" i="5"/>
  <c r="K980" i="5"/>
  <c r="J980" i="5"/>
  <c r="H980" i="5"/>
  <c r="G980" i="5"/>
  <c r="F980" i="5"/>
  <c r="K979" i="5"/>
  <c r="J979" i="5"/>
  <c r="H979" i="5"/>
  <c r="R979" i="5" s="1"/>
  <c r="G979" i="5"/>
  <c r="F979" i="5"/>
  <c r="C978" i="5"/>
  <c r="V977" i="5"/>
  <c r="T977" i="5"/>
  <c r="U977" i="5"/>
  <c r="S977" i="5"/>
  <c r="F977" i="5"/>
  <c r="E977" i="5"/>
  <c r="D977" i="5"/>
  <c r="I977" i="5"/>
  <c r="C977" i="5"/>
  <c r="B977" i="5"/>
  <c r="A977" i="5"/>
  <c r="L976" i="5"/>
  <c r="Q976" i="5" s="1"/>
  <c r="Z976" i="5"/>
  <c r="Y976" i="5"/>
  <c r="W976" i="5"/>
  <c r="K975" i="5"/>
  <c r="J975" i="5"/>
  <c r="Z975" i="5"/>
  <c r="Y975" i="5"/>
  <c r="W975" i="5"/>
  <c r="H975" i="5"/>
  <c r="X975" i="5" s="1"/>
  <c r="F975" i="5"/>
  <c r="V975" i="5"/>
  <c r="T975" i="5"/>
  <c r="U975" i="5"/>
  <c r="S975" i="5"/>
  <c r="E975" i="5"/>
  <c r="D975" i="5"/>
  <c r="C975" i="5"/>
  <c r="B975" i="5"/>
  <c r="A975" i="5"/>
  <c r="L974" i="5"/>
  <c r="G974" i="5"/>
  <c r="E974" i="5"/>
  <c r="J973" i="5"/>
  <c r="E973" i="5"/>
  <c r="J972" i="5"/>
  <c r="E972" i="5"/>
  <c r="K971" i="5"/>
  <c r="J971" i="5"/>
  <c r="H971" i="5"/>
  <c r="G971" i="5"/>
  <c r="F971" i="5"/>
  <c r="K970" i="5"/>
  <c r="J970" i="5"/>
  <c r="H970" i="5"/>
  <c r="R970" i="5" s="1"/>
  <c r="G970" i="5"/>
  <c r="F970" i="5"/>
  <c r="K969" i="5"/>
  <c r="J969" i="5"/>
  <c r="H969" i="5"/>
  <c r="G969" i="5"/>
  <c r="F969" i="5"/>
  <c r="K968" i="5"/>
  <c r="J968" i="5"/>
  <c r="H968" i="5"/>
  <c r="R968" i="5" s="1"/>
  <c r="G968" i="5"/>
  <c r="F968" i="5"/>
  <c r="C967" i="5"/>
  <c r="V966" i="5"/>
  <c r="T966" i="5"/>
  <c r="U966" i="5"/>
  <c r="S966" i="5"/>
  <c r="F966" i="5"/>
  <c r="E966" i="5"/>
  <c r="D966" i="5"/>
  <c r="I966" i="5"/>
  <c r="C966" i="5"/>
  <c r="B966" i="5"/>
  <c r="A966" i="5"/>
  <c r="L965" i="5"/>
  <c r="Q965" i="5" s="1"/>
  <c r="Z965" i="5"/>
  <c r="Y965" i="5"/>
  <c r="W965" i="5"/>
  <c r="K964" i="5"/>
  <c r="J964" i="5"/>
  <c r="Z964" i="5"/>
  <c r="Y964" i="5"/>
  <c r="W964" i="5"/>
  <c r="H964" i="5"/>
  <c r="X964" i="5" s="1"/>
  <c r="F964" i="5"/>
  <c r="V964" i="5"/>
  <c r="T964" i="5"/>
  <c r="U964" i="5"/>
  <c r="S964" i="5"/>
  <c r="E964" i="5"/>
  <c r="D964" i="5"/>
  <c r="C964" i="5"/>
  <c r="B964" i="5"/>
  <c r="A964" i="5"/>
  <c r="L963" i="5"/>
  <c r="G963" i="5"/>
  <c r="E963" i="5"/>
  <c r="J962" i="5"/>
  <c r="E962" i="5"/>
  <c r="J961" i="5"/>
  <c r="E961" i="5"/>
  <c r="K960" i="5"/>
  <c r="J960" i="5"/>
  <c r="H960" i="5"/>
  <c r="G960" i="5"/>
  <c r="F960" i="5"/>
  <c r="K959" i="5"/>
  <c r="J959" i="5"/>
  <c r="H959" i="5"/>
  <c r="R959" i="5" s="1"/>
  <c r="G959" i="5"/>
  <c r="F959" i="5"/>
  <c r="K958" i="5"/>
  <c r="J958" i="5"/>
  <c r="H958" i="5"/>
  <c r="G958" i="5"/>
  <c r="F958" i="5"/>
  <c r="K957" i="5"/>
  <c r="J957" i="5"/>
  <c r="H957" i="5"/>
  <c r="R957" i="5" s="1"/>
  <c r="G957" i="5"/>
  <c r="F957" i="5"/>
  <c r="C956" i="5"/>
  <c r="V955" i="5"/>
  <c r="T955" i="5"/>
  <c r="U955" i="5"/>
  <c r="S955" i="5"/>
  <c r="F955" i="5"/>
  <c r="E955" i="5"/>
  <c r="D955" i="5"/>
  <c r="I955" i="5"/>
  <c r="C955" i="5"/>
  <c r="B955" i="5"/>
  <c r="A955" i="5"/>
  <c r="L954" i="5"/>
  <c r="Q954" i="5" s="1"/>
  <c r="Z954" i="5"/>
  <c r="Y954" i="5"/>
  <c r="W954" i="5"/>
  <c r="K953" i="5"/>
  <c r="J953" i="5"/>
  <c r="Z953" i="5"/>
  <c r="Y953" i="5"/>
  <c r="W953" i="5"/>
  <c r="H953" i="5"/>
  <c r="X953" i="5" s="1"/>
  <c r="F953" i="5"/>
  <c r="V953" i="5"/>
  <c r="T953" i="5"/>
  <c r="U953" i="5"/>
  <c r="S953" i="5"/>
  <c r="E953" i="5"/>
  <c r="D953" i="5"/>
  <c r="C953" i="5"/>
  <c r="B953" i="5"/>
  <c r="A953" i="5"/>
  <c r="L952" i="5"/>
  <c r="G952" i="5"/>
  <c r="E952" i="5"/>
  <c r="J951" i="5"/>
  <c r="E951" i="5"/>
  <c r="J950" i="5"/>
  <c r="E950" i="5"/>
  <c r="K949" i="5"/>
  <c r="J949" i="5"/>
  <c r="H949" i="5"/>
  <c r="G949" i="5"/>
  <c r="F949" i="5"/>
  <c r="K948" i="5"/>
  <c r="J948" i="5"/>
  <c r="H948" i="5"/>
  <c r="G948" i="5"/>
  <c r="F948" i="5"/>
  <c r="C947" i="5"/>
  <c r="V946" i="5"/>
  <c r="T946" i="5"/>
  <c r="U946" i="5"/>
  <c r="S946" i="5"/>
  <c r="F946" i="5"/>
  <c r="E946" i="5"/>
  <c r="D946" i="5"/>
  <c r="I946" i="5"/>
  <c r="C946" i="5"/>
  <c r="B946" i="5"/>
  <c r="A946" i="5"/>
  <c r="L945" i="5"/>
  <c r="Q945" i="5" s="1"/>
  <c r="Z945" i="5"/>
  <c r="Y945" i="5"/>
  <c r="W945" i="5"/>
  <c r="K944" i="5"/>
  <c r="J944" i="5"/>
  <c r="Z944" i="5"/>
  <c r="Y944" i="5"/>
  <c r="W944" i="5"/>
  <c r="H944" i="5"/>
  <c r="X944" i="5" s="1"/>
  <c r="F944" i="5"/>
  <c r="V944" i="5"/>
  <c r="T944" i="5"/>
  <c r="U944" i="5"/>
  <c r="S944" i="5"/>
  <c r="E944" i="5"/>
  <c r="D944" i="5"/>
  <c r="C944" i="5"/>
  <c r="B944" i="5"/>
  <c r="A944" i="5"/>
  <c r="L943" i="5"/>
  <c r="G943" i="5"/>
  <c r="E943" i="5"/>
  <c r="J942" i="5"/>
  <c r="E942" i="5"/>
  <c r="J941" i="5"/>
  <c r="E941" i="5"/>
  <c r="K940" i="5"/>
  <c r="J940" i="5"/>
  <c r="H940" i="5"/>
  <c r="G940" i="5"/>
  <c r="F940" i="5"/>
  <c r="K939" i="5"/>
  <c r="J939" i="5"/>
  <c r="H939" i="5"/>
  <c r="R939" i="5" s="1"/>
  <c r="G939" i="5"/>
  <c r="F939" i="5"/>
  <c r="K938" i="5"/>
  <c r="J938" i="5"/>
  <c r="H938" i="5"/>
  <c r="G938" i="5"/>
  <c r="F938" i="5"/>
  <c r="K937" i="5"/>
  <c r="J937" i="5"/>
  <c r="H937" i="5"/>
  <c r="G937" i="5"/>
  <c r="F937" i="5"/>
  <c r="C936" i="5"/>
  <c r="V935" i="5"/>
  <c r="T935" i="5"/>
  <c r="U935" i="5"/>
  <c r="S935" i="5"/>
  <c r="F935" i="5"/>
  <c r="E935" i="5"/>
  <c r="D935" i="5"/>
  <c r="I935" i="5"/>
  <c r="C935" i="5"/>
  <c r="B935" i="5"/>
  <c r="A935" i="5"/>
  <c r="L934" i="5"/>
  <c r="Q934" i="5" s="1"/>
  <c r="Z934" i="5"/>
  <c r="Y934" i="5"/>
  <c r="W934" i="5"/>
  <c r="K933" i="5"/>
  <c r="J933" i="5"/>
  <c r="Z933" i="5"/>
  <c r="Y933" i="5"/>
  <c r="W933" i="5"/>
  <c r="H933" i="5"/>
  <c r="X933" i="5" s="1"/>
  <c r="F933" i="5"/>
  <c r="V933" i="5"/>
  <c r="T933" i="5"/>
  <c r="U933" i="5"/>
  <c r="S933" i="5"/>
  <c r="E933" i="5"/>
  <c r="D933" i="5"/>
  <c r="C933" i="5"/>
  <c r="B933" i="5"/>
  <c r="A933" i="5"/>
  <c r="L932" i="5"/>
  <c r="G932" i="5"/>
  <c r="E932" i="5"/>
  <c r="J931" i="5"/>
  <c r="E931" i="5"/>
  <c r="J930" i="5"/>
  <c r="E930" i="5"/>
  <c r="K929" i="5"/>
  <c r="J929" i="5"/>
  <c r="H929" i="5"/>
  <c r="G929" i="5"/>
  <c r="F929" i="5"/>
  <c r="K928" i="5"/>
  <c r="J928" i="5"/>
  <c r="H928" i="5"/>
  <c r="R928" i="5" s="1"/>
  <c r="G928" i="5"/>
  <c r="F928" i="5"/>
  <c r="K927" i="5"/>
  <c r="J927" i="5"/>
  <c r="H927" i="5"/>
  <c r="G927" i="5"/>
  <c r="F927" i="5"/>
  <c r="K926" i="5"/>
  <c r="J926" i="5"/>
  <c r="H926" i="5"/>
  <c r="R926" i="5" s="1"/>
  <c r="G926" i="5"/>
  <c r="F926" i="5"/>
  <c r="C925" i="5"/>
  <c r="V924" i="5"/>
  <c r="T924" i="5"/>
  <c r="U924" i="5"/>
  <c r="S924" i="5"/>
  <c r="F924" i="5"/>
  <c r="E924" i="5"/>
  <c r="D924" i="5"/>
  <c r="I924" i="5"/>
  <c r="C924" i="5"/>
  <c r="B924" i="5"/>
  <c r="A924" i="5"/>
  <c r="L923" i="5"/>
  <c r="Q923" i="5" s="1"/>
  <c r="Z923" i="5"/>
  <c r="Y923" i="5"/>
  <c r="W923" i="5"/>
  <c r="K922" i="5"/>
  <c r="J922" i="5"/>
  <c r="Z922" i="5"/>
  <c r="Y922" i="5"/>
  <c r="W922" i="5"/>
  <c r="H922" i="5"/>
  <c r="X922" i="5" s="1"/>
  <c r="F922" i="5"/>
  <c r="V922" i="5"/>
  <c r="T922" i="5"/>
  <c r="U922" i="5"/>
  <c r="S922" i="5"/>
  <c r="E922" i="5"/>
  <c r="D922" i="5"/>
  <c r="C922" i="5"/>
  <c r="B922" i="5"/>
  <c r="A922" i="5"/>
  <c r="K921" i="5"/>
  <c r="J921" i="5"/>
  <c r="Z921" i="5"/>
  <c r="Y921" i="5"/>
  <c r="W921" i="5"/>
  <c r="H921" i="5"/>
  <c r="X921" i="5" s="1"/>
  <c r="F921" i="5"/>
  <c r="V921" i="5"/>
  <c r="T921" i="5"/>
  <c r="U921" i="5"/>
  <c r="S921" i="5"/>
  <c r="E921" i="5"/>
  <c r="D921" i="5"/>
  <c r="C921" i="5"/>
  <c r="B921" i="5"/>
  <c r="A921" i="5"/>
  <c r="L920" i="5"/>
  <c r="G920" i="5"/>
  <c r="E920" i="5"/>
  <c r="J919" i="5"/>
  <c r="E919" i="5"/>
  <c r="J918" i="5"/>
  <c r="E918" i="5"/>
  <c r="K917" i="5"/>
  <c r="J917" i="5"/>
  <c r="H917" i="5"/>
  <c r="G917" i="5"/>
  <c r="F917" i="5"/>
  <c r="K916" i="5"/>
  <c r="J916" i="5"/>
  <c r="H916" i="5"/>
  <c r="R916" i="5" s="1"/>
  <c r="G916" i="5"/>
  <c r="F916" i="5"/>
  <c r="K915" i="5"/>
  <c r="J915" i="5"/>
  <c r="H915" i="5"/>
  <c r="G915" i="5"/>
  <c r="F915" i="5"/>
  <c r="K914" i="5"/>
  <c r="J914" i="5"/>
  <c r="H914" i="5"/>
  <c r="R914" i="5" s="1"/>
  <c r="G914" i="5"/>
  <c r="F914" i="5"/>
  <c r="C913" i="5"/>
  <c r="V912" i="5"/>
  <c r="T912" i="5"/>
  <c r="U912" i="5"/>
  <c r="S912" i="5"/>
  <c r="F912" i="5"/>
  <c r="E912" i="5"/>
  <c r="D912" i="5"/>
  <c r="I912" i="5"/>
  <c r="C912" i="5"/>
  <c r="B912" i="5"/>
  <c r="A912" i="5"/>
  <c r="L911" i="5"/>
  <c r="Q911" i="5" s="1"/>
  <c r="Z911" i="5"/>
  <c r="Y911" i="5"/>
  <c r="W911" i="5"/>
  <c r="K910" i="5"/>
  <c r="J910" i="5"/>
  <c r="Z910" i="5"/>
  <c r="Y910" i="5"/>
  <c r="W910" i="5"/>
  <c r="H910" i="5"/>
  <c r="X910" i="5" s="1"/>
  <c r="F910" i="5"/>
  <c r="V910" i="5"/>
  <c r="T910" i="5"/>
  <c r="U910" i="5"/>
  <c r="S910" i="5"/>
  <c r="E910" i="5"/>
  <c r="D910" i="5"/>
  <c r="C910" i="5"/>
  <c r="B910" i="5"/>
  <c r="A910" i="5"/>
  <c r="L909" i="5"/>
  <c r="G909" i="5"/>
  <c r="E909" i="5"/>
  <c r="J908" i="5"/>
  <c r="E908" i="5"/>
  <c r="J907" i="5"/>
  <c r="E907" i="5"/>
  <c r="K906" i="5"/>
  <c r="J906" i="5"/>
  <c r="H906" i="5"/>
  <c r="G906" i="5"/>
  <c r="F906" i="5"/>
  <c r="K905" i="5"/>
  <c r="J905" i="5"/>
  <c r="H905" i="5"/>
  <c r="R905" i="5" s="1"/>
  <c r="G905" i="5"/>
  <c r="F905" i="5"/>
  <c r="K904" i="5"/>
  <c r="J904" i="5"/>
  <c r="H904" i="5"/>
  <c r="G904" i="5"/>
  <c r="F904" i="5"/>
  <c r="K903" i="5"/>
  <c r="J903" i="5"/>
  <c r="H903" i="5"/>
  <c r="R903" i="5" s="1"/>
  <c r="G903" i="5"/>
  <c r="F903" i="5"/>
  <c r="C902" i="5"/>
  <c r="V901" i="5"/>
  <c r="T901" i="5"/>
  <c r="U901" i="5"/>
  <c r="S901" i="5"/>
  <c r="F901" i="5"/>
  <c r="E901" i="5"/>
  <c r="D901" i="5"/>
  <c r="I901" i="5"/>
  <c r="C901" i="5"/>
  <c r="B901" i="5"/>
  <c r="A901" i="5"/>
  <c r="A900" i="5"/>
  <c r="A899" i="5"/>
  <c r="L897" i="5"/>
  <c r="Q897" i="5" s="1"/>
  <c r="Z897" i="5"/>
  <c r="Y897" i="5"/>
  <c r="W897" i="5"/>
  <c r="K896" i="5"/>
  <c r="J896" i="5"/>
  <c r="Z896" i="5"/>
  <c r="Y896" i="5"/>
  <c r="W896" i="5"/>
  <c r="H896" i="5"/>
  <c r="X896" i="5" s="1"/>
  <c r="F896" i="5"/>
  <c r="V896" i="5"/>
  <c r="T896" i="5"/>
  <c r="U896" i="5"/>
  <c r="S896" i="5"/>
  <c r="E896" i="5"/>
  <c r="D896" i="5"/>
  <c r="C896" i="5"/>
  <c r="B896" i="5"/>
  <c r="A896" i="5"/>
  <c r="L895" i="5"/>
  <c r="G895" i="5"/>
  <c r="E895" i="5"/>
  <c r="J894" i="5"/>
  <c r="E894" i="5"/>
  <c r="J893" i="5"/>
  <c r="E893" i="5"/>
  <c r="K892" i="5"/>
  <c r="J892" i="5"/>
  <c r="H892" i="5"/>
  <c r="G892" i="5"/>
  <c r="F892" i="5"/>
  <c r="K891" i="5"/>
  <c r="J891" i="5"/>
  <c r="H891" i="5"/>
  <c r="R891" i="5" s="1"/>
  <c r="G891" i="5"/>
  <c r="F891" i="5"/>
  <c r="K890" i="5"/>
  <c r="J890" i="5"/>
  <c r="H890" i="5"/>
  <c r="G890" i="5"/>
  <c r="F890" i="5"/>
  <c r="K889" i="5"/>
  <c r="J889" i="5"/>
  <c r="H889" i="5"/>
  <c r="G889" i="5"/>
  <c r="F889" i="5"/>
  <c r="C888" i="5"/>
  <c r="V887" i="5"/>
  <c r="T887" i="5"/>
  <c r="U887" i="5"/>
  <c r="H894" i="5" s="1"/>
  <c r="S887" i="5"/>
  <c r="F887" i="5"/>
  <c r="E887" i="5"/>
  <c r="D887" i="5"/>
  <c r="I887" i="5"/>
  <c r="C887" i="5"/>
  <c r="B887" i="5"/>
  <c r="A887" i="5"/>
  <c r="L886" i="5"/>
  <c r="Q886" i="5" s="1"/>
  <c r="Z886" i="5"/>
  <c r="Y886" i="5"/>
  <c r="W886" i="5"/>
  <c r="K885" i="5"/>
  <c r="J885" i="5"/>
  <c r="Z885" i="5"/>
  <c r="Y885" i="5"/>
  <c r="W885" i="5"/>
  <c r="H885" i="5"/>
  <c r="X885" i="5" s="1"/>
  <c r="F885" i="5"/>
  <c r="V885" i="5"/>
  <c r="T885" i="5"/>
  <c r="U885" i="5"/>
  <c r="S885" i="5"/>
  <c r="E885" i="5"/>
  <c r="D885" i="5"/>
  <c r="C885" i="5"/>
  <c r="B885" i="5"/>
  <c r="A885" i="5"/>
  <c r="L884" i="5"/>
  <c r="G884" i="5"/>
  <c r="E884" i="5"/>
  <c r="J883" i="5"/>
  <c r="E883" i="5"/>
  <c r="J882" i="5"/>
  <c r="E882" i="5"/>
  <c r="K881" i="5"/>
  <c r="J881" i="5"/>
  <c r="H881" i="5"/>
  <c r="G881" i="5"/>
  <c r="F881" i="5"/>
  <c r="K880" i="5"/>
  <c r="J880" i="5"/>
  <c r="H880" i="5"/>
  <c r="R880" i="5" s="1"/>
  <c r="G880" i="5"/>
  <c r="F880" i="5"/>
  <c r="K879" i="5"/>
  <c r="J879" i="5"/>
  <c r="H879" i="5"/>
  <c r="G879" i="5"/>
  <c r="F879" i="5"/>
  <c r="K878" i="5"/>
  <c r="J878" i="5"/>
  <c r="H878" i="5"/>
  <c r="G878" i="5"/>
  <c r="F878" i="5"/>
  <c r="C877" i="5"/>
  <c r="V876" i="5"/>
  <c r="T876" i="5"/>
  <c r="U876" i="5"/>
  <c r="S876" i="5"/>
  <c r="F876" i="5"/>
  <c r="E876" i="5"/>
  <c r="D876" i="5"/>
  <c r="I876" i="5"/>
  <c r="C876" i="5"/>
  <c r="B876" i="5"/>
  <c r="A876" i="5"/>
  <c r="L875" i="5"/>
  <c r="Q875" i="5" s="1"/>
  <c r="Z875" i="5"/>
  <c r="Y875" i="5"/>
  <c r="W875" i="5"/>
  <c r="K874" i="5"/>
  <c r="J874" i="5"/>
  <c r="Z874" i="5"/>
  <c r="Y874" i="5"/>
  <c r="W874" i="5"/>
  <c r="H874" i="5"/>
  <c r="X874" i="5" s="1"/>
  <c r="F874" i="5"/>
  <c r="V874" i="5"/>
  <c r="T874" i="5"/>
  <c r="U874" i="5"/>
  <c r="S874" i="5"/>
  <c r="E874" i="5"/>
  <c r="D874" i="5"/>
  <c r="C874" i="5"/>
  <c r="B874" i="5"/>
  <c r="A874" i="5"/>
  <c r="K873" i="5"/>
  <c r="J873" i="5"/>
  <c r="Z873" i="5"/>
  <c r="Y873" i="5"/>
  <c r="W873" i="5"/>
  <c r="H873" i="5"/>
  <c r="X873" i="5" s="1"/>
  <c r="F873" i="5"/>
  <c r="V873" i="5"/>
  <c r="T873" i="5"/>
  <c r="U873" i="5"/>
  <c r="S873" i="5"/>
  <c r="E873" i="5"/>
  <c r="D873" i="5"/>
  <c r="C873" i="5"/>
  <c r="B873" i="5"/>
  <c r="A873" i="5"/>
  <c r="L872" i="5"/>
  <c r="G872" i="5"/>
  <c r="E872" i="5"/>
  <c r="J871" i="5"/>
  <c r="E871" i="5"/>
  <c r="J870" i="5"/>
  <c r="E870" i="5"/>
  <c r="K869" i="5"/>
  <c r="J869" i="5"/>
  <c r="H869" i="5"/>
  <c r="G869" i="5"/>
  <c r="F869" i="5"/>
  <c r="K868" i="5"/>
  <c r="J868" i="5"/>
  <c r="H868" i="5"/>
  <c r="G868" i="5"/>
  <c r="F868" i="5"/>
  <c r="V867" i="5"/>
  <c r="K871" i="5" s="1"/>
  <c r="T867" i="5"/>
  <c r="U867" i="5"/>
  <c r="S867" i="5"/>
  <c r="F867" i="5"/>
  <c r="E867" i="5"/>
  <c r="D867" i="5"/>
  <c r="I867" i="5"/>
  <c r="C867" i="5"/>
  <c r="B867" i="5"/>
  <c r="A867" i="5"/>
  <c r="L866" i="5"/>
  <c r="Q866" i="5" s="1"/>
  <c r="Z866" i="5"/>
  <c r="Y866" i="5"/>
  <c r="W866" i="5"/>
  <c r="K865" i="5"/>
  <c r="J865" i="5"/>
  <c r="Z865" i="5"/>
  <c r="Y865" i="5"/>
  <c r="W865" i="5"/>
  <c r="H865" i="5"/>
  <c r="X865" i="5" s="1"/>
  <c r="F865" i="5"/>
  <c r="V865" i="5"/>
  <c r="T865" i="5"/>
  <c r="U865" i="5"/>
  <c r="S865" i="5"/>
  <c r="E865" i="5"/>
  <c r="D865" i="5"/>
  <c r="C865" i="5"/>
  <c r="B865" i="5"/>
  <c r="A865" i="5"/>
  <c r="L864" i="5"/>
  <c r="G864" i="5"/>
  <c r="E864" i="5"/>
  <c r="J863" i="5"/>
  <c r="E863" i="5"/>
  <c r="J862" i="5"/>
  <c r="E862" i="5"/>
  <c r="K861" i="5"/>
  <c r="J861" i="5"/>
  <c r="H861" i="5"/>
  <c r="G861" i="5"/>
  <c r="F861" i="5"/>
  <c r="K860" i="5"/>
  <c r="J860" i="5"/>
  <c r="H860" i="5"/>
  <c r="G860" i="5"/>
  <c r="F860" i="5"/>
  <c r="K859" i="5"/>
  <c r="J859" i="5"/>
  <c r="H859" i="5"/>
  <c r="R859" i="5" s="1"/>
  <c r="G859" i="5"/>
  <c r="F859" i="5"/>
  <c r="V858" i="5"/>
  <c r="K863" i="5" s="1"/>
  <c r="T858" i="5"/>
  <c r="U858" i="5"/>
  <c r="S858" i="5"/>
  <c r="F858" i="5"/>
  <c r="E858" i="5"/>
  <c r="D858" i="5"/>
  <c r="I858" i="5"/>
  <c r="C858" i="5"/>
  <c r="B858" i="5"/>
  <c r="A858" i="5"/>
  <c r="L857" i="5"/>
  <c r="Q857" i="5" s="1"/>
  <c r="Z857" i="5"/>
  <c r="Y857" i="5"/>
  <c r="W857" i="5"/>
  <c r="K856" i="5"/>
  <c r="J856" i="5"/>
  <c r="Z856" i="5"/>
  <c r="Y856" i="5"/>
  <c r="W856" i="5"/>
  <c r="H856" i="5"/>
  <c r="X856" i="5" s="1"/>
  <c r="F856" i="5"/>
  <c r="V856" i="5"/>
  <c r="T856" i="5"/>
  <c r="U856" i="5"/>
  <c r="S856" i="5"/>
  <c r="E856" i="5"/>
  <c r="D856" i="5"/>
  <c r="C856" i="5"/>
  <c r="B856" i="5"/>
  <c r="A856" i="5"/>
  <c r="L855" i="5"/>
  <c r="G855" i="5"/>
  <c r="E855" i="5"/>
  <c r="J854" i="5"/>
  <c r="E854" i="5"/>
  <c r="J853" i="5"/>
  <c r="E853" i="5"/>
  <c r="K852" i="5"/>
  <c r="J852" i="5"/>
  <c r="H852" i="5"/>
  <c r="G852" i="5"/>
  <c r="F852" i="5"/>
  <c r="K851" i="5"/>
  <c r="J851" i="5"/>
  <c r="H851" i="5"/>
  <c r="R851" i="5" s="1"/>
  <c r="G851" i="5"/>
  <c r="F851" i="5"/>
  <c r="K850" i="5"/>
  <c r="J850" i="5"/>
  <c r="H850" i="5"/>
  <c r="G850" i="5"/>
  <c r="F850" i="5"/>
  <c r="K849" i="5"/>
  <c r="J849" i="5"/>
  <c r="H849" i="5"/>
  <c r="G849" i="5"/>
  <c r="F849" i="5"/>
  <c r="V848" i="5"/>
  <c r="K854" i="5" s="1"/>
  <c r="T848" i="5"/>
  <c r="U848" i="5"/>
  <c r="S848" i="5"/>
  <c r="H853" i="5" s="1"/>
  <c r="F848" i="5"/>
  <c r="E848" i="5"/>
  <c r="D848" i="5"/>
  <c r="I848" i="5"/>
  <c r="C848" i="5"/>
  <c r="B848" i="5"/>
  <c r="A848" i="5"/>
  <c r="L847" i="5"/>
  <c r="Q847" i="5" s="1"/>
  <c r="Z847" i="5"/>
  <c r="Y847" i="5"/>
  <c r="W847" i="5"/>
  <c r="K846" i="5"/>
  <c r="J846" i="5"/>
  <c r="Z846" i="5"/>
  <c r="Y846" i="5"/>
  <c r="W846" i="5"/>
  <c r="H846" i="5"/>
  <c r="X846" i="5" s="1"/>
  <c r="F846" i="5"/>
  <c r="V846" i="5"/>
  <c r="T846" i="5"/>
  <c r="U846" i="5"/>
  <c r="S846" i="5"/>
  <c r="E846" i="5"/>
  <c r="D846" i="5"/>
  <c r="C846" i="5"/>
  <c r="B846" i="5"/>
  <c r="A846" i="5"/>
  <c r="L845" i="5"/>
  <c r="G845" i="5"/>
  <c r="E845" i="5"/>
  <c r="J844" i="5"/>
  <c r="E844" i="5"/>
  <c r="J843" i="5"/>
  <c r="E843" i="5"/>
  <c r="K842" i="5"/>
  <c r="J842" i="5"/>
  <c r="H842" i="5"/>
  <c r="G842" i="5"/>
  <c r="F842" i="5"/>
  <c r="K841" i="5"/>
  <c r="J841" i="5"/>
  <c r="H841" i="5"/>
  <c r="R841" i="5" s="1"/>
  <c r="G841" i="5"/>
  <c r="F841" i="5"/>
  <c r="K840" i="5"/>
  <c r="J840" i="5"/>
  <c r="H840" i="5"/>
  <c r="G840" i="5"/>
  <c r="F840" i="5"/>
  <c r="K839" i="5"/>
  <c r="J839" i="5"/>
  <c r="H839" i="5"/>
  <c r="R839" i="5" s="1"/>
  <c r="G839" i="5"/>
  <c r="F839" i="5"/>
  <c r="C838" i="5"/>
  <c r="V837" i="5"/>
  <c r="T837" i="5"/>
  <c r="K843" i="5" s="1"/>
  <c r="U837" i="5"/>
  <c r="S837" i="5"/>
  <c r="F837" i="5"/>
  <c r="E837" i="5"/>
  <c r="D837" i="5"/>
  <c r="I837" i="5"/>
  <c r="C837" i="5"/>
  <c r="B837" i="5"/>
  <c r="A837" i="5"/>
  <c r="Q836" i="5"/>
  <c r="L836" i="5"/>
  <c r="Z836" i="5"/>
  <c r="Y836" i="5"/>
  <c r="X836" i="5"/>
  <c r="L835" i="5"/>
  <c r="G835" i="5"/>
  <c r="E835" i="5"/>
  <c r="J834" i="5"/>
  <c r="E834" i="5"/>
  <c r="J833" i="5"/>
  <c r="E833" i="5"/>
  <c r="K832" i="5"/>
  <c r="J832" i="5"/>
  <c r="H832" i="5"/>
  <c r="G832" i="5"/>
  <c r="F832" i="5"/>
  <c r="C831" i="5"/>
  <c r="V830" i="5"/>
  <c r="K834" i="5" s="1"/>
  <c r="T830" i="5"/>
  <c r="K833" i="5" s="1"/>
  <c r="U830" i="5"/>
  <c r="H834" i="5" s="1"/>
  <c r="S830" i="5"/>
  <c r="H833" i="5" s="1"/>
  <c r="F830" i="5"/>
  <c r="E830" i="5"/>
  <c r="D830" i="5"/>
  <c r="I830" i="5"/>
  <c r="C830" i="5"/>
  <c r="B830" i="5"/>
  <c r="A830" i="5"/>
  <c r="L829" i="5"/>
  <c r="Q829" i="5" s="1"/>
  <c r="Z829" i="5"/>
  <c r="Y829" i="5"/>
  <c r="W829" i="5"/>
  <c r="K828" i="5"/>
  <c r="J828" i="5"/>
  <c r="Z828" i="5"/>
  <c r="Y828" i="5"/>
  <c r="W828" i="5"/>
  <c r="H828" i="5"/>
  <c r="X828" i="5" s="1"/>
  <c r="F828" i="5"/>
  <c r="V828" i="5"/>
  <c r="T828" i="5"/>
  <c r="U828" i="5"/>
  <c r="S828" i="5"/>
  <c r="E828" i="5"/>
  <c r="D828" i="5"/>
  <c r="C828" i="5"/>
  <c r="B828" i="5"/>
  <c r="A828" i="5"/>
  <c r="L827" i="5"/>
  <c r="G827" i="5"/>
  <c r="E827" i="5"/>
  <c r="J826" i="5"/>
  <c r="E826" i="5"/>
  <c r="J825" i="5"/>
  <c r="E825" i="5"/>
  <c r="K824" i="5"/>
  <c r="J824" i="5"/>
  <c r="H824" i="5"/>
  <c r="G824" i="5"/>
  <c r="F824" i="5"/>
  <c r="K823" i="5"/>
  <c r="J823" i="5"/>
  <c r="H823" i="5"/>
  <c r="R823" i="5" s="1"/>
  <c r="G823" i="5"/>
  <c r="F823" i="5"/>
  <c r="V822" i="5"/>
  <c r="T822" i="5"/>
  <c r="K825" i="5" s="1"/>
  <c r="U822" i="5"/>
  <c r="S822" i="5"/>
  <c r="F822" i="5"/>
  <c r="E822" i="5"/>
  <c r="D822" i="5"/>
  <c r="I822" i="5"/>
  <c r="C822" i="5"/>
  <c r="B822" i="5"/>
  <c r="A822" i="5"/>
  <c r="L821" i="5"/>
  <c r="Q821" i="5" s="1"/>
  <c r="Z821" i="5"/>
  <c r="Y821" i="5"/>
  <c r="W821" i="5"/>
  <c r="K820" i="5"/>
  <c r="J820" i="5"/>
  <c r="Z820" i="5"/>
  <c r="Y820" i="5"/>
  <c r="W820" i="5"/>
  <c r="H820" i="5"/>
  <c r="X820" i="5" s="1"/>
  <c r="F820" i="5"/>
  <c r="V820" i="5"/>
  <c r="T820" i="5"/>
  <c r="U820" i="5"/>
  <c r="S820" i="5"/>
  <c r="E820" i="5"/>
  <c r="D820" i="5"/>
  <c r="C820" i="5"/>
  <c r="B820" i="5"/>
  <c r="A820" i="5"/>
  <c r="L819" i="5"/>
  <c r="G819" i="5"/>
  <c r="E819" i="5"/>
  <c r="J818" i="5"/>
  <c r="E818" i="5"/>
  <c r="J817" i="5"/>
  <c r="E817" i="5"/>
  <c r="K816" i="5"/>
  <c r="J816" i="5"/>
  <c r="H816" i="5"/>
  <c r="G816" i="5"/>
  <c r="F816" i="5"/>
  <c r="K815" i="5"/>
  <c r="J815" i="5"/>
  <c r="H815" i="5"/>
  <c r="R815" i="5" s="1"/>
  <c r="G815" i="5"/>
  <c r="F815" i="5"/>
  <c r="K814" i="5"/>
  <c r="J814" i="5"/>
  <c r="H814" i="5"/>
  <c r="G814" i="5"/>
  <c r="F814" i="5"/>
  <c r="K813" i="5"/>
  <c r="J813" i="5"/>
  <c r="H813" i="5"/>
  <c r="G813" i="5"/>
  <c r="F813" i="5"/>
  <c r="C812" i="5"/>
  <c r="V811" i="5"/>
  <c r="T811" i="5"/>
  <c r="U811" i="5"/>
  <c r="S811" i="5"/>
  <c r="F811" i="5"/>
  <c r="E811" i="5"/>
  <c r="D811" i="5"/>
  <c r="I811" i="5"/>
  <c r="C811" i="5"/>
  <c r="B811" i="5"/>
  <c r="A811" i="5"/>
  <c r="L810" i="5"/>
  <c r="Q810" i="5" s="1"/>
  <c r="Z810" i="5"/>
  <c r="Y810" i="5"/>
  <c r="W810" i="5"/>
  <c r="K809" i="5"/>
  <c r="J809" i="5"/>
  <c r="Z809" i="5"/>
  <c r="Y809" i="5"/>
  <c r="W809" i="5"/>
  <c r="H809" i="5"/>
  <c r="X809" i="5" s="1"/>
  <c r="F809" i="5"/>
  <c r="V809" i="5"/>
  <c r="T809" i="5"/>
  <c r="U809" i="5"/>
  <c r="S809" i="5"/>
  <c r="E809" i="5"/>
  <c r="D809" i="5"/>
  <c r="C809" i="5"/>
  <c r="B809" i="5"/>
  <c r="A809" i="5"/>
  <c r="L808" i="5"/>
  <c r="G808" i="5"/>
  <c r="E808" i="5"/>
  <c r="J807" i="5"/>
  <c r="E807" i="5"/>
  <c r="J806" i="5"/>
  <c r="E806" i="5"/>
  <c r="K805" i="5"/>
  <c r="J805" i="5"/>
  <c r="H805" i="5"/>
  <c r="G805" i="5"/>
  <c r="F805" i="5"/>
  <c r="K804" i="5"/>
  <c r="J804" i="5"/>
  <c r="H804" i="5"/>
  <c r="R804" i="5" s="1"/>
  <c r="G804" i="5"/>
  <c r="F804" i="5"/>
  <c r="K803" i="5"/>
  <c r="J803" i="5"/>
  <c r="H803" i="5"/>
  <c r="G803" i="5"/>
  <c r="F803" i="5"/>
  <c r="K802" i="5"/>
  <c r="J802" i="5"/>
  <c r="H802" i="5"/>
  <c r="G802" i="5"/>
  <c r="F802" i="5"/>
  <c r="C801" i="5"/>
  <c r="V800" i="5"/>
  <c r="T800" i="5"/>
  <c r="U800" i="5"/>
  <c r="H807" i="5" s="1"/>
  <c r="S800" i="5"/>
  <c r="F800" i="5"/>
  <c r="E800" i="5"/>
  <c r="D800" i="5"/>
  <c r="I800" i="5"/>
  <c r="C800" i="5"/>
  <c r="B800" i="5"/>
  <c r="A800" i="5"/>
  <c r="L799" i="5"/>
  <c r="Q799" i="5" s="1"/>
  <c r="Z799" i="5"/>
  <c r="Y799" i="5"/>
  <c r="W799" i="5"/>
  <c r="K798" i="5"/>
  <c r="J798" i="5"/>
  <c r="Z798" i="5"/>
  <c r="Y798" i="5"/>
  <c r="W798" i="5"/>
  <c r="H798" i="5"/>
  <c r="X798" i="5" s="1"/>
  <c r="F798" i="5"/>
  <c r="V798" i="5"/>
  <c r="T798" i="5"/>
  <c r="U798" i="5"/>
  <c r="S798" i="5"/>
  <c r="E798" i="5"/>
  <c r="D798" i="5"/>
  <c r="C798" i="5"/>
  <c r="B798" i="5"/>
  <c r="A798" i="5"/>
  <c r="L797" i="5"/>
  <c r="G797" i="5"/>
  <c r="E797" i="5"/>
  <c r="J796" i="5"/>
  <c r="E796" i="5"/>
  <c r="J795" i="5"/>
  <c r="E795" i="5"/>
  <c r="K794" i="5"/>
  <c r="J794" i="5"/>
  <c r="H794" i="5"/>
  <c r="G794" i="5"/>
  <c r="F794" i="5"/>
  <c r="K793" i="5"/>
  <c r="J793" i="5"/>
  <c r="H793" i="5"/>
  <c r="R793" i="5" s="1"/>
  <c r="G793" i="5"/>
  <c r="F793" i="5"/>
  <c r="K792" i="5"/>
  <c r="J792" i="5"/>
  <c r="H792" i="5"/>
  <c r="G792" i="5"/>
  <c r="F792" i="5"/>
  <c r="K791" i="5"/>
  <c r="J791" i="5"/>
  <c r="H791" i="5"/>
  <c r="G791" i="5"/>
  <c r="F791" i="5"/>
  <c r="C790" i="5"/>
  <c r="V789" i="5"/>
  <c r="T789" i="5"/>
  <c r="U789" i="5"/>
  <c r="S789" i="5"/>
  <c r="F789" i="5"/>
  <c r="E789" i="5"/>
  <c r="D789" i="5"/>
  <c r="I789" i="5"/>
  <c r="C789" i="5"/>
  <c r="B789" i="5"/>
  <c r="A789" i="5"/>
  <c r="L788" i="5"/>
  <c r="Q788" i="5" s="1"/>
  <c r="Z788" i="5"/>
  <c r="Y788" i="5"/>
  <c r="W788" i="5"/>
  <c r="K787" i="5"/>
  <c r="J787" i="5"/>
  <c r="Z787" i="5"/>
  <c r="Y787" i="5"/>
  <c r="W787" i="5"/>
  <c r="H787" i="5"/>
  <c r="X787" i="5" s="1"/>
  <c r="F787" i="5"/>
  <c r="V787" i="5"/>
  <c r="T787" i="5"/>
  <c r="U787" i="5"/>
  <c r="S787" i="5"/>
  <c r="E787" i="5"/>
  <c r="D787" i="5"/>
  <c r="C787" i="5"/>
  <c r="B787" i="5"/>
  <c r="A787" i="5"/>
  <c r="L786" i="5"/>
  <c r="G786" i="5"/>
  <c r="E786" i="5"/>
  <c r="J785" i="5"/>
  <c r="E785" i="5"/>
  <c r="J784" i="5"/>
  <c r="E784" i="5"/>
  <c r="K783" i="5"/>
  <c r="J783" i="5"/>
  <c r="H783" i="5"/>
  <c r="G783" i="5"/>
  <c r="F783" i="5"/>
  <c r="K782" i="5"/>
  <c r="J782" i="5"/>
  <c r="H782" i="5"/>
  <c r="R782" i="5" s="1"/>
  <c r="G782" i="5"/>
  <c r="F782" i="5"/>
  <c r="C781" i="5"/>
  <c r="V780" i="5"/>
  <c r="K785" i="5" s="1"/>
  <c r="T780" i="5"/>
  <c r="U780" i="5"/>
  <c r="S780" i="5"/>
  <c r="F780" i="5"/>
  <c r="E780" i="5"/>
  <c r="D780" i="5"/>
  <c r="I780" i="5"/>
  <c r="C780" i="5"/>
  <c r="B780" i="5"/>
  <c r="A780" i="5"/>
  <c r="L779" i="5"/>
  <c r="Q779" i="5" s="1"/>
  <c r="Z779" i="5"/>
  <c r="Y779" i="5"/>
  <c r="W779" i="5"/>
  <c r="K778" i="5"/>
  <c r="J778" i="5"/>
  <c r="Z778" i="5"/>
  <c r="Y778" i="5"/>
  <c r="W778" i="5"/>
  <c r="H778" i="5"/>
  <c r="X778" i="5" s="1"/>
  <c r="F778" i="5"/>
  <c r="V778" i="5"/>
  <c r="T778" i="5"/>
  <c r="U778" i="5"/>
  <c r="S778" i="5"/>
  <c r="E778" i="5"/>
  <c r="D778" i="5"/>
  <c r="C778" i="5"/>
  <c r="B778" i="5"/>
  <c r="A778" i="5"/>
  <c r="L777" i="5"/>
  <c r="G777" i="5"/>
  <c r="E777" i="5"/>
  <c r="J776" i="5"/>
  <c r="E776" i="5"/>
  <c r="J775" i="5"/>
  <c r="E775" i="5"/>
  <c r="K774" i="5"/>
  <c r="J774" i="5"/>
  <c r="H774" i="5"/>
  <c r="G774" i="5"/>
  <c r="F774" i="5"/>
  <c r="K773" i="5"/>
  <c r="J773" i="5"/>
  <c r="H773" i="5"/>
  <c r="R773" i="5" s="1"/>
  <c r="G773" i="5"/>
  <c r="F773" i="5"/>
  <c r="K772" i="5"/>
  <c r="J772" i="5"/>
  <c r="H772" i="5"/>
  <c r="G772" i="5"/>
  <c r="F772" i="5"/>
  <c r="K771" i="5"/>
  <c r="J771" i="5"/>
  <c r="H771" i="5"/>
  <c r="R771" i="5" s="1"/>
  <c r="G771" i="5"/>
  <c r="F771" i="5"/>
  <c r="C770" i="5"/>
  <c r="V769" i="5"/>
  <c r="T769" i="5"/>
  <c r="U769" i="5"/>
  <c r="S769" i="5"/>
  <c r="F769" i="5"/>
  <c r="E769" i="5"/>
  <c r="D769" i="5"/>
  <c r="I769" i="5"/>
  <c r="C769" i="5"/>
  <c r="B769" i="5"/>
  <c r="A769" i="5"/>
  <c r="L768" i="5"/>
  <c r="Q768" i="5" s="1"/>
  <c r="Z768" i="5"/>
  <c r="Y768" i="5"/>
  <c r="W768" i="5"/>
  <c r="K767" i="5"/>
  <c r="J767" i="5"/>
  <c r="Z767" i="5"/>
  <c r="Y767" i="5"/>
  <c r="W767" i="5"/>
  <c r="H767" i="5"/>
  <c r="X767" i="5" s="1"/>
  <c r="F767" i="5"/>
  <c r="V767" i="5"/>
  <c r="T767" i="5"/>
  <c r="U767" i="5"/>
  <c r="S767" i="5"/>
  <c r="E767" i="5"/>
  <c r="D767" i="5"/>
  <c r="C767" i="5"/>
  <c r="B767" i="5"/>
  <c r="A767" i="5"/>
  <c r="L766" i="5"/>
  <c r="G766" i="5"/>
  <c r="E766" i="5"/>
  <c r="J765" i="5"/>
  <c r="E765" i="5"/>
  <c r="J764" i="5"/>
  <c r="E764" i="5"/>
  <c r="K763" i="5"/>
  <c r="J763" i="5"/>
  <c r="H763" i="5"/>
  <c r="G763" i="5"/>
  <c r="F763" i="5"/>
  <c r="K762" i="5"/>
  <c r="J762" i="5"/>
  <c r="H762" i="5"/>
  <c r="R762" i="5" s="1"/>
  <c r="G762" i="5"/>
  <c r="F762" i="5"/>
  <c r="K761" i="5"/>
  <c r="J761" i="5"/>
  <c r="H761" i="5"/>
  <c r="G761" i="5"/>
  <c r="F761" i="5"/>
  <c r="K760" i="5"/>
  <c r="J760" i="5"/>
  <c r="H760" i="5"/>
  <c r="R760" i="5" s="1"/>
  <c r="G760" i="5"/>
  <c r="F760" i="5"/>
  <c r="C759" i="5"/>
  <c r="V758" i="5"/>
  <c r="T758" i="5"/>
  <c r="U758" i="5"/>
  <c r="S758" i="5"/>
  <c r="F758" i="5"/>
  <c r="E758" i="5"/>
  <c r="D758" i="5"/>
  <c r="I758" i="5"/>
  <c r="C758" i="5"/>
  <c r="B758" i="5"/>
  <c r="A758" i="5"/>
  <c r="L757" i="5"/>
  <c r="Q757" i="5" s="1"/>
  <c r="Z757" i="5"/>
  <c r="Y757" i="5"/>
  <c r="W757" i="5"/>
  <c r="K756" i="5"/>
  <c r="J756" i="5"/>
  <c r="Z756" i="5"/>
  <c r="Y756" i="5"/>
  <c r="W756" i="5"/>
  <c r="H756" i="5"/>
  <c r="X756" i="5" s="1"/>
  <c r="F756" i="5"/>
  <c r="V756" i="5"/>
  <c r="T756" i="5"/>
  <c r="U756" i="5"/>
  <c r="S756" i="5"/>
  <c r="E756" i="5"/>
  <c r="D756" i="5"/>
  <c r="C756" i="5"/>
  <c r="B756" i="5"/>
  <c r="A756" i="5"/>
  <c r="L755" i="5"/>
  <c r="G755" i="5"/>
  <c r="E755" i="5"/>
  <c r="J754" i="5"/>
  <c r="E754" i="5"/>
  <c r="J753" i="5"/>
  <c r="E753" i="5"/>
  <c r="K752" i="5"/>
  <c r="J752" i="5"/>
  <c r="H752" i="5"/>
  <c r="G752" i="5"/>
  <c r="F752" i="5"/>
  <c r="K751" i="5"/>
  <c r="J751" i="5"/>
  <c r="H751" i="5"/>
  <c r="R751" i="5" s="1"/>
  <c r="G751" i="5"/>
  <c r="F751" i="5"/>
  <c r="K750" i="5"/>
  <c r="J750" i="5"/>
  <c r="H750" i="5"/>
  <c r="G750" i="5"/>
  <c r="F750" i="5"/>
  <c r="K749" i="5"/>
  <c r="J749" i="5"/>
  <c r="H749" i="5"/>
  <c r="R749" i="5" s="1"/>
  <c r="G749" i="5"/>
  <c r="F749" i="5"/>
  <c r="C748" i="5"/>
  <c r="V747" i="5"/>
  <c r="T747" i="5"/>
  <c r="U747" i="5"/>
  <c r="S747" i="5"/>
  <c r="F747" i="5"/>
  <c r="E747" i="5"/>
  <c r="D747" i="5"/>
  <c r="I747" i="5"/>
  <c r="C747" i="5"/>
  <c r="B747" i="5"/>
  <c r="A747" i="5"/>
  <c r="L746" i="5"/>
  <c r="Q746" i="5" s="1"/>
  <c r="Z746" i="5"/>
  <c r="Y746" i="5"/>
  <c r="W746" i="5"/>
  <c r="K745" i="5"/>
  <c r="J745" i="5"/>
  <c r="Z745" i="5"/>
  <c r="Y745" i="5"/>
  <c r="W745" i="5"/>
  <c r="H745" i="5"/>
  <c r="X745" i="5" s="1"/>
  <c r="F745" i="5"/>
  <c r="V745" i="5"/>
  <c r="T745" i="5"/>
  <c r="U745" i="5"/>
  <c r="S745" i="5"/>
  <c r="E745" i="5"/>
  <c r="D745" i="5"/>
  <c r="C745" i="5"/>
  <c r="B745" i="5"/>
  <c r="A745" i="5"/>
  <c r="L744" i="5"/>
  <c r="G744" i="5"/>
  <c r="E744" i="5"/>
  <c r="J743" i="5"/>
  <c r="E743" i="5"/>
  <c r="J742" i="5"/>
  <c r="E742" i="5"/>
  <c r="K741" i="5"/>
  <c r="J741" i="5"/>
  <c r="H741" i="5"/>
  <c r="G741" i="5"/>
  <c r="F741" i="5"/>
  <c r="K740" i="5"/>
  <c r="J740" i="5"/>
  <c r="H740" i="5"/>
  <c r="R740" i="5" s="1"/>
  <c r="G740" i="5"/>
  <c r="F740" i="5"/>
  <c r="K739" i="5"/>
  <c r="J739" i="5"/>
  <c r="H739" i="5"/>
  <c r="G739" i="5"/>
  <c r="F739" i="5"/>
  <c r="K738" i="5"/>
  <c r="J738" i="5"/>
  <c r="H738" i="5"/>
  <c r="R738" i="5" s="1"/>
  <c r="G738" i="5"/>
  <c r="F738" i="5"/>
  <c r="C737" i="5"/>
  <c r="V736" i="5"/>
  <c r="T736" i="5"/>
  <c r="U736" i="5"/>
  <c r="S736" i="5"/>
  <c r="F736" i="5"/>
  <c r="E736" i="5"/>
  <c r="D736" i="5"/>
  <c r="I736" i="5"/>
  <c r="C736" i="5"/>
  <c r="B736" i="5"/>
  <c r="A736" i="5"/>
  <c r="A735" i="5"/>
  <c r="A734" i="5"/>
  <c r="L732" i="5"/>
  <c r="Q732" i="5" s="1"/>
  <c r="Z732" i="5"/>
  <c r="Y732" i="5"/>
  <c r="W732" i="5"/>
  <c r="L731" i="5"/>
  <c r="G731" i="5"/>
  <c r="E731" i="5"/>
  <c r="J730" i="5"/>
  <c r="E730" i="5"/>
  <c r="J729" i="5"/>
  <c r="E729" i="5"/>
  <c r="K728" i="5"/>
  <c r="J728" i="5"/>
  <c r="H728" i="5"/>
  <c r="R728" i="5" s="1"/>
  <c r="G728" i="5"/>
  <c r="F728" i="5"/>
  <c r="K727" i="5"/>
  <c r="J727" i="5"/>
  <c r="H727" i="5"/>
  <c r="G727" i="5"/>
  <c r="F727" i="5"/>
  <c r="K726" i="5"/>
  <c r="J726" i="5"/>
  <c r="H726" i="5"/>
  <c r="R726" i="5" s="1"/>
  <c r="G726" i="5"/>
  <c r="F726" i="5"/>
  <c r="V725" i="5"/>
  <c r="K730" i="5" s="1"/>
  <c r="T725" i="5"/>
  <c r="K729" i="5" s="1"/>
  <c r="U725" i="5"/>
  <c r="H730" i="5" s="1"/>
  <c r="S725" i="5"/>
  <c r="H729" i="5" s="1"/>
  <c r="F725" i="5"/>
  <c r="E725" i="5"/>
  <c r="D725" i="5"/>
  <c r="I725" i="5"/>
  <c r="C725" i="5"/>
  <c r="B725" i="5"/>
  <c r="A725" i="5"/>
  <c r="L724" i="5"/>
  <c r="Q724" i="5" s="1"/>
  <c r="Z724" i="5"/>
  <c r="Y724" i="5"/>
  <c r="W724" i="5"/>
  <c r="L723" i="5"/>
  <c r="G723" i="5"/>
  <c r="E723" i="5"/>
  <c r="J722" i="5"/>
  <c r="E722" i="5"/>
  <c r="J721" i="5"/>
  <c r="E721" i="5"/>
  <c r="K720" i="5"/>
  <c r="J720" i="5"/>
  <c r="H720" i="5"/>
  <c r="R720" i="5" s="1"/>
  <c r="G720" i="5"/>
  <c r="F720" i="5"/>
  <c r="K719" i="5"/>
  <c r="J719" i="5"/>
  <c r="H719" i="5"/>
  <c r="G719" i="5"/>
  <c r="F719" i="5"/>
  <c r="K718" i="5"/>
  <c r="J718" i="5"/>
  <c r="H718" i="5"/>
  <c r="G718" i="5"/>
  <c r="F718" i="5"/>
  <c r="C717" i="5"/>
  <c r="V716" i="5"/>
  <c r="K722" i="5" s="1"/>
  <c r="T716" i="5"/>
  <c r="K721" i="5" s="1"/>
  <c r="U716" i="5"/>
  <c r="H722" i="5" s="1"/>
  <c r="S716" i="5"/>
  <c r="H721" i="5" s="1"/>
  <c r="F716" i="5"/>
  <c r="E716" i="5"/>
  <c r="D716" i="5"/>
  <c r="I716" i="5"/>
  <c r="C716" i="5"/>
  <c r="B716" i="5"/>
  <c r="A716" i="5"/>
  <c r="L715" i="5"/>
  <c r="Q715" i="5" s="1"/>
  <c r="Z715" i="5"/>
  <c r="Y715" i="5"/>
  <c r="X715" i="5"/>
  <c r="L714" i="5"/>
  <c r="G714" i="5"/>
  <c r="E714" i="5"/>
  <c r="J713" i="5"/>
  <c r="E713" i="5"/>
  <c r="J712" i="5"/>
  <c r="E712" i="5"/>
  <c r="K711" i="5"/>
  <c r="J711" i="5"/>
  <c r="H711" i="5"/>
  <c r="R711" i="5" s="1"/>
  <c r="G711" i="5"/>
  <c r="F711" i="5"/>
  <c r="C710" i="5"/>
  <c r="V709" i="5"/>
  <c r="K713" i="5" s="1"/>
  <c r="T709" i="5"/>
  <c r="K712" i="5" s="1"/>
  <c r="U709" i="5"/>
  <c r="H713" i="5" s="1"/>
  <c r="S709" i="5"/>
  <c r="H712" i="5" s="1"/>
  <c r="F709" i="5"/>
  <c r="E709" i="5"/>
  <c r="D709" i="5"/>
  <c r="I709" i="5"/>
  <c r="C709" i="5"/>
  <c r="B709" i="5"/>
  <c r="A709" i="5"/>
  <c r="L708" i="5"/>
  <c r="Q708" i="5" s="1"/>
  <c r="Z708" i="5"/>
  <c r="Y708" i="5"/>
  <c r="X708" i="5"/>
  <c r="L707" i="5"/>
  <c r="G707" i="5"/>
  <c r="E707" i="5"/>
  <c r="J706" i="5"/>
  <c r="E706" i="5"/>
  <c r="J705" i="5"/>
  <c r="E705" i="5"/>
  <c r="K704" i="5"/>
  <c r="J704" i="5"/>
  <c r="H704" i="5"/>
  <c r="R704" i="5" s="1"/>
  <c r="G704" i="5"/>
  <c r="F704" i="5"/>
  <c r="K703" i="5"/>
  <c r="J703" i="5"/>
  <c r="H703" i="5"/>
  <c r="G703" i="5"/>
  <c r="F703" i="5"/>
  <c r="K702" i="5"/>
  <c r="J702" i="5"/>
  <c r="H702" i="5"/>
  <c r="G702" i="5"/>
  <c r="F702" i="5"/>
  <c r="C701" i="5"/>
  <c r="V700" i="5"/>
  <c r="K706" i="5" s="1"/>
  <c r="T700" i="5"/>
  <c r="K705" i="5" s="1"/>
  <c r="U700" i="5"/>
  <c r="H706" i="5" s="1"/>
  <c r="S700" i="5"/>
  <c r="H705" i="5" s="1"/>
  <c r="F700" i="5"/>
  <c r="E700" i="5"/>
  <c r="D700" i="5"/>
  <c r="I700" i="5"/>
  <c r="C700" i="5"/>
  <c r="B700" i="5"/>
  <c r="A700" i="5"/>
  <c r="L699" i="5"/>
  <c r="Q699" i="5" s="1"/>
  <c r="Z699" i="5"/>
  <c r="Y699" i="5"/>
  <c r="X699" i="5"/>
  <c r="L698" i="5"/>
  <c r="G698" i="5"/>
  <c r="E698" i="5"/>
  <c r="J697" i="5"/>
  <c r="E697" i="5"/>
  <c r="J696" i="5"/>
  <c r="E696" i="5"/>
  <c r="K695" i="5"/>
  <c r="J695" i="5"/>
  <c r="H695" i="5"/>
  <c r="R695" i="5" s="1"/>
  <c r="G695" i="5"/>
  <c r="F695" i="5"/>
  <c r="K694" i="5"/>
  <c r="J694" i="5"/>
  <c r="H694" i="5"/>
  <c r="G694" i="5"/>
  <c r="F694" i="5"/>
  <c r="K693" i="5"/>
  <c r="J693" i="5"/>
  <c r="H693" i="5"/>
  <c r="R693" i="5" s="1"/>
  <c r="G693" i="5"/>
  <c r="F693" i="5"/>
  <c r="C692" i="5"/>
  <c r="V691" i="5"/>
  <c r="K697" i="5" s="1"/>
  <c r="T691" i="5"/>
  <c r="K696" i="5" s="1"/>
  <c r="U691" i="5"/>
  <c r="H697" i="5" s="1"/>
  <c r="S691" i="5"/>
  <c r="H696" i="5" s="1"/>
  <c r="F691" i="5"/>
  <c r="E691" i="5"/>
  <c r="D691" i="5"/>
  <c r="I691" i="5"/>
  <c r="C691" i="5"/>
  <c r="B691" i="5"/>
  <c r="A691" i="5"/>
  <c r="A690" i="5"/>
  <c r="A688" i="5"/>
  <c r="A687" i="5"/>
  <c r="A686" i="5"/>
  <c r="L684" i="5"/>
  <c r="Q684" i="5" s="1"/>
  <c r="Z684" i="5"/>
  <c r="Y684" i="5"/>
  <c r="X684" i="5"/>
  <c r="K683" i="5"/>
  <c r="J684" i="5" s="1"/>
  <c r="P684" i="5" s="1"/>
  <c r="H683" i="5"/>
  <c r="G684" i="5" s="1"/>
  <c r="O684" i="5" s="1"/>
  <c r="J683" i="5"/>
  <c r="G683" i="5"/>
  <c r="F683" i="5"/>
  <c r="V683" i="5"/>
  <c r="T683" i="5"/>
  <c r="U683" i="5"/>
  <c r="S683" i="5"/>
  <c r="E683" i="5"/>
  <c r="D683" i="5"/>
  <c r="I683" i="5"/>
  <c r="C683" i="5"/>
  <c r="B683" i="5"/>
  <c r="A683" i="5"/>
  <c r="L682" i="5"/>
  <c r="Q682" i="5" s="1"/>
  <c r="Z682" i="5"/>
  <c r="Y682" i="5"/>
  <c r="X682" i="5"/>
  <c r="K681" i="5"/>
  <c r="J682" i="5" s="1"/>
  <c r="P682" i="5" s="1"/>
  <c r="H681" i="5"/>
  <c r="G682" i="5" s="1"/>
  <c r="O682" i="5" s="1"/>
  <c r="J681" i="5"/>
  <c r="G681" i="5"/>
  <c r="F681" i="5"/>
  <c r="V681" i="5"/>
  <c r="T681" i="5"/>
  <c r="U681" i="5"/>
  <c r="S681" i="5"/>
  <c r="E681" i="5"/>
  <c r="D681" i="5"/>
  <c r="I681" i="5"/>
  <c r="C681" i="5"/>
  <c r="B681" i="5"/>
  <c r="A681" i="5"/>
  <c r="L680" i="5"/>
  <c r="Q680" i="5" s="1"/>
  <c r="Z680" i="5"/>
  <c r="Y680" i="5"/>
  <c r="X680" i="5"/>
  <c r="L679" i="5"/>
  <c r="G679" i="5"/>
  <c r="E679" i="5"/>
  <c r="J678" i="5"/>
  <c r="E678" i="5"/>
  <c r="J677" i="5"/>
  <c r="E677" i="5"/>
  <c r="K676" i="5"/>
  <c r="J676" i="5"/>
  <c r="H676" i="5"/>
  <c r="G676" i="5"/>
  <c r="F676" i="5"/>
  <c r="K675" i="5"/>
  <c r="J675" i="5"/>
  <c r="H675" i="5"/>
  <c r="R675" i="5" s="1"/>
  <c r="G675" i="5"/>
  <c r="F675" i="5"/>
  <c r="V674" i="5"/>
  <c r="K678" i="5" s="1"/>
  <c r="T674" i="5"/>
  <c r="K677" i="5" s="1"/>
  <c r="U674" i="5"/>
  <c r="H678" i="5" s="1"/>
  <c r="S674" i="5"/>
  <c r="H677" i="5" s="1"/>
  <c r="F674" i="5"/>
  <c r="E674" i="5"/>
  <c r="D674" i="5"/>
  <c r="I674" i="5"/>
  <c r="C674" i="5"/>
  <c r="B674" i="5"/>
  <c r="A674" i="5"/>
  <c r="L673" i="5"/>
  <c r="Q673" i="5" s="1"/>
  <c r="Z673" i="5"/>
  <c r="Y673" i="5"/>
  <c r="X673" i="5"/>
  <c r="K672" i="5"/>
  <c r="J672" i="5"/>
  <c r="Z672" i="5"/>
  <c r="Y672" i="5"/>
  <c r="X672" i="5"/>
  <c r="H672" i="5"/>
  <c r="W672" i="5" s="1"/>
  <c r="F672" i="5"/>
  <c r="V672" i="5"/>
  <c r="T672" i="5"/>
  <c r="U672" i="5"/>
  <c r="S672" i="5"/>
  <c r="E672" i="5"/>
  <c r="D672" i="5"/>
  <c r="C672" i="5"/>
  <c r="B672" i="5"/>
  <c r="A672" i="5"/>
  <c r="K671" i="5"/>
  <c r="J671" i="5"/>
  <c r="Z671" i="5"/>
  <c r="Y671" i="5"/>
  <c r="X671" i="5"/>
  <c r="H671" i="5"/>
  <c r="W671" i="5" s="1"/>
  <c r="F671" i="5"/>
  <c r="V671" i="5"/>
  <c r="T671" i="5"/>
  <c r="U671" i="5"/>
  <c r="S671" i="5"/>
  <c r="E671" i="5"/>
  <c r="D671" i="5"/>
  <c r="C671" i="5"/>
  <c r="B671" i="5"/>
  <c r="A671" i="5"/>
  <c r="L670" i="5"/>
  <c r="G670" i="5"/>
  <c r="E670" i="5"/>
  <c r="J669" i="5"/>
  <c r="F669" i="5"/>
  <c r="E669" i="5"/>
  <c r="J668" i="5"/>
  <c r="F668" i="5"/>
  <c r="E668" i="5"/>
  <c r="K667" i="5"/>
  <c r="J667" i="5"/>
  <c r="H667" i="5"/>
  <c r="G667" i="5"/>
  <c r="F667" i="5"/>
  <c r="K666" i="5"/>
  <c r="J666" i="5"/>
  <c r="H666" i="5"/>
  <c r="R666" i="5" s="1"/>
  <c r="G666" i="5"/>
  <c r="F666" i="5"/>
  <c r="K665" i="5"/>
  <c r="J665" i="5"/>
  <c r="H665" i="5"/>
  <c r="G665" i="5"/>
  <c r="F665" i="5"/>
  <c r="K664" i="5"/>
  <c r="J664" i="5"/>
  <c r="H664" i="5"/>
  <c r="R664" i="5" s="1"/>
  <c r="G664" i="5"/>
  <c r="F664" i="5"/>
  <c r="V663" i="5"/>
  <c r="T663" i="5"/>
  <c r="U663" i="5"/>
  <c r="S663" i="5"/>
  <c r="F663" i="5"/>
  <c r="E663" i="5"/>
  <c r="D663" i="5"/>
  <c r="I663" i="5"/>
  <c r="C663" i="5"/>
  <c r="B663" i="5"/>
  <c r="A663" i="5"/>
  <c r="L662" i="5"/>
  <c r="Q662" i="5" s="1"/>
  <c r="Z662" i="5"/>
  <c r="Y662" i="5"/>
  <c r="X662" i="5"/>
  <c r="K661" i="5"/>
  <c r="J661" i="5"/>
  <c r="Z661" i="5"/>
  <c r="Y661" i="5"/>
  <c r="X661" i="5"/>
  <c r="H661" i="5"/>
  <c r="W661" i="5" s="1"/>
  <c r="F661" i="5"/>
  <c r="V661" i="5"/>
  <c r="T661" i="5"/>
  <c r="U661" i="5"/>
  <c r="S661" i="5"/>
  <c r="E661" i="5"/>
  <c r="D661" i="5"/>
  <c r="C661" i="5"/>
  <c r="B661" i="5"/>
  <c r="A661" i="5"/>
  <c r="K660" i="5"/>
  <c r="J660" i="5"/>
  <c r="Z660" i="5"/>
  <c r="Y660" i="5"/>
  <c r="X660" i="5"/>
  <c r="H660" i="5"/>
  <c r="W660" i="5" s="1"/>
  <c r="F660" i="5"/>
  <c r="V660" i="5"/>
  <c r="T660" i="5"/>
  <c r="U660" i="5"/>
  <c r="S660" i="5"/>
  <c r="E660" i="5"/>
  <c r="D660" i="5"/>
  <c r="C660" i="5"/>
  <c r="B660" i="5"/>
  <c r="A660" i="5"/>
  <c r="L659" i="5"/>
  <c r="G659" i="5"/>
  <c r="E659" i="5"/>
  <c r="J658" i="5"/>
  <c r="E658" i="5"/>
  <c r="J657" i="5"/>
  <c r="E657" i="5"/>
  <c r="K656" i="5"/>
  <c r="J656" i="5"/>
  <c r="H656" i="5"/>
  <c r="G656" i="5"/>
  <c r="F656" i="5"/>
  <c r="K655" i="5"/>
  <c r="J655" i="5"/>
  <c r="H655" i="5"/>
  <c r="R655" i="5" s="1"/>
  <c r="G655" i="5"/>
  <c r="F655" i="5"/>
  <c r="K654" i="5"/>
  <c r="J654" i="5"/>
  <c r="H654" i="5"/>
  <c r="G654" i="5"/>
  <c r="F654" i="5"/>
  <c r="K653" i="5"/>
  <c r="J653" i="5"/>
  <c r="H653" i="5"/>
  <c r="G653" i="5"/>
  <c r="F653" i="5"/>
  <c r="C652" i="5"/>
  <c r="V651" i="5"/>
  <c r="T651" i="5"/>
  <c r="U651" i="5"/>
  <c r="S651" i="5"/>
  <c r="F651" i="5"/>
  <c r="E651" i="5"/>
  <c r="D651" i="5"/>
  <c r="I651" i="5"/>
  <c r="C651" i="5"/>
  <c r="B651" i="5"/>
  <c r="A651" i="5"/>
  <c r="L650" i="5"/>
  <c r="Q650" i="5" s="1"/>
  <c r="Z650" i="5"/>
  <c r="Y650" i="5"/>
  <c r="X650" i="5"/>
  <c r="K649" i="5"/>
  <c r="J649" i="5"/>
  <c r="Z649" i="5"/>
  <c r="Y649" i="5"/>
  <c r="X649" i="5"/>
  <c r="H649" i="5"/>
  <c r="W649" i="5" s="1"/>
  <c r="F649" i="5"/>
  <c r="V649" i="5"/>
  <c r="T649" i="5"/>
  <c r="U649" i="5"/>
  <c r="S649" i="5"/>
  <c r="E649" i="5"/>
  <c r="D649" i="5"/>
  <c r="C649" i="5"/>
  <c r="B649" i="5"/>
  <c r="A649" i="5"/>
  <c r="K648" i="5"/>
  <c r="J648" i="5"/>
  <c r="Z648" i="5"/>
  <c r="Y648" i="5"/>
  <c r="X648" i="5"/>
  <c r="H648" i="5"/>
  <c r="W648" i="5" s="1"/>
  <c r="F648" i="5"/>
  <c r="V648" i="5"/>
  <c r="T648" i="5"/>
  <c r="U648" i="5"/>
  <c r="S648" i="5"/>
  <c r="E648" i="5"/>
  <c r="D648" i="5"/>
  <c r="C648" i="5"/>
  <c r="B648" i="5"/>
  <c r="A648" i="5"/>
  <c r="L647" i="5"/>
  <c r="G647" i="5"/>
  <c r="E647" i="5"/>
  <c r="J646" i="5"/>
  <c r="E646" i="5"/>
  <c r="J645" i="5"/>
  <c r="E645" i="5"/>
  <c r="K644" i="5"/>
  <c r="J644" i="5"/>
  <c r="H644" i="5"/>
  <c r="G644" i="5"/>
  <c r="F644" i="5"/>
  <c r="K643" i="5"/>
  <c r="J643" i="5"/>
  <c r="H643" i="5"/>
  <c r="R643" i="5" s="1"/>
  <c r="G643" i="5"/>
  <c r="F643" i="5"/>
  <c r="K642" i="5"/>
  <c r="J642" i="5"/>
  <c r="H642" i="5"/>
  <c r="G642" i="5"/>
  <c r="F642" i="5"/>
  <c r="K641" i="5"/>
  <c r="J641" i="5"/>
  <c r="H641" i="5"/>
  <c r="R641" i="5" s="1"/>
  <c r="G641" i="5"/>
  <c r="F641" i="5"/>
  <c r="C640" i="5"/>
  <c r="V639" i="5"/>
  <c r="T639" i="5"/>
  <c r="U639" i="5"/>
  <c r="S639" i="5"/>
  <c r="F639" i="5"/>
  <c r="E639" i="5"/>
  <c r="D639" i="5"/>
  <c r="I639" i="5"/>
  <c r="C639" i="5"/>
  <c r="B639" i="5"/>
  <c r="A639" i="5"/>
  <c r="L638" i="5"/>
  <c r="Q638" i="5" s="1"/>
  <c r="Z638" i="5"/>
  <c r="Y638" i="5"/>
  <c r="X638" i="5"/>
  <c r="L637" i="5"/>
  <c r="G637" i="5"/>
  <c r="E637" i="5"/>
  <c r="J636" i="5"/>
  <c r="F636" i="5"/>
  <c r="E636" i="5"/>
  <c r="J635" i="5"/>
  <c r="F635" i="5"/>
  <c r="E635" i="5"/>
  <c r="K634" i="5"/>
  <c r="J634" i="5"/>
  <c r="H634" i="5"/>
  <c r="G634" i="5"/>
  <c r="F634" i="5"/>
  <c r="K633" i="5"/>
  <c r="J633" i="5"/>
  <c r="H633" i="5"/>
  <c r="R633" i="5" s="1"/>
  <c r="G633" i="5"/>
  <c r="F633" i="5"/>
  <c r="K632" i="5"/>
  <c r="J632" i="5"/>
  <c r="H632" i="5"/>
  <c r="G632" i="5"/>
  <c r="F632" i="5"/>
  <c r="K631" i="5"/>
  <c r="J631" i="5"/>
  <c r="H631" i="5"/>
  <c r="G631" i="5"/>
  <c r="F631" i="5"/>
  <c r="C630" i="5"/>
  <c r="V629" i="5"/>
  <c r="K636" i="5" s="1"/>
  <c r="T629" i="5"/>
  <c r="K635" i="5" s="1"/>
  <c r="U629" i="5"/>
  <c r="H636" i="5" s="1"/>
  <c r="S629" i="5"/>
  <c r="H635" i="5" s="1"/>
  <c r="F629" i="5"/>
  <c r="E629" i="5"/>
  <c r="D629" i="5"/>
  <c r="I629" i="5"/>
  <c r="C629" i="5"/>
  <c r="B629" i="5"/>
  <c r="A629" i="5"/>
  <c r="L628" i="5"/>
  <c r="Q628" i="5" s="1"/>
  <c r="Z628" i="5"/>
  <c r="Y628" i="5"/>
  <c r="X628" i="5"/>
  <c r="K627" i="5"/>
  <c r="J627" i="5"/>
  <c r="Z627" i="5"/>
  <c r="Y627" i="5"/>
  <c r="X627" i="5"/>
  <c r="H627" i="5"/>
  <c r="W627" i="5" s="1"/>
  <c r="F627" i="5"/>
  <c r="V627" i="5"/>
  <c r="T627" i="5"/>
  <c r="U627" i="5"/>
  <c r="S627" i="5"/>
  <c r="E627" i="5"/>
  <c r="D627" i="5"/>
  <c r="C627" i="5"/>
  <c r="B627" i="5"/>
  <c r="A627" i="5"/>
  <c r="K626" i="5"/>
  <c r="J626" i="5"/>
  <c r="Z626" i="5"/>
  <c r="Y626" i="5"/>
  <c r="X626" i="5"/>
  <c r="H626" i="5"/>
  <c r="W626" i="5" s="1"/>
  <c r="F626" i="5"/>
  <c r="V626" i="5"/>
  <c r="T626" i="5"/>
  <c r="U626" i="5"/>
  <c r="S626" i="5"/>
  <c r="E626" i="5"/>
  <c r="D626" i="5"/>
  <c r="C626" i="5"/>
  <c r="B626" i="5"/>
  <c r="A626" i="5"/>
  <c r="L625" i="5"/>
  <c r="G625" i="5"/>
  <c r="E625" i="5"/>
  <c r="J624" i="5"/>
  <c r="E624" i="5"/>
  <c r="J623" i="5"/>
  <c r="E623" i="5"/>
  <c r="K622" i="5"/>
  <c r="J622" i="5"/>
  <c r="H622" i="5"/>
  <c r="G622" i="5"/>
  <c r="F622" i="5"/>
  <c r="K621" i="5"/>
  <c r="J621" i="5"/>
  <c r="H621" i="5"/>
  <c r="R621" i="5" s="1"/>
  <c r="G621" i="5"/>
  <c r="F621" i="5"/>
  <c r="K620" i="5"/>
  <c r="J620" i="5"/>
  <c r="H620" i="5"/>
  <c r="G620" i="5"/>
  <c r="F620" i="5"/>
  <c r="K619" i="5"/>
  <c r="J619" i="5"/>
  <c r="H619" i="5"/>
  <c r="G619" i="5"/>
  <c r="F619" i="5"/>
  <c r="C618" i="5"/>
  <c r="V617" i="5"/>
  <c r="T617" i="5"/>
  <c r="U617" i="5"/>
  <c r="S617" i="5"/>
  <c r="F617" i="5"/>
  <c r="E617" i="5"/>
  <c r="D617" i="5"/>
  <c r="I617" i="5"/>
  <c r="C617" i="5"/>
  <c r="B617" i="5"/>
  <c r="A617" i="5"/>
  <c r="L616" i="5"/>
  <c r="Q616" i="5" s="1"/>
  <c r="Z616" i="5"/>
  <c r="Y616" i="5"/>
  <c r="X616" i="5"/>
  <c r="K615" i="5"/>
  <c r="J615" i="5"/>
  <c r="Z615" i="5"/>
  <c r="Y615" i="5"/>
  <c r="X615" i="5"/>
  <c r="H615" i="5"/>
  <c r="W615" i="5" s="1"/>
  <c r="F615" i="5"/>
  <c r="V615" i="5"/>
  <c r="T615" i="5"/>
  <c r="U615" i="5"/>
  <c r="S615" i="5"/>
  <c r="E615" i="5"/>
  <c r="D615" i="5"/>
  <c r="C615" i="5"/>
  <c r="B615" i="5"/>
  <c r="A615" i="5"/>
  <c r="K614" i="5"/>
  <c r="J614" i="5"/>
  <c r="Z614" i="5"/>
  <c r="Y614" i="5"/>
  <c r="X614" i="5"/>
  <c r="H614" i="5"/>
  <c r="W614" i="5" s="1"/>
  <c r="F614" i="5"/>
  <c r="V614" i="5"/>
  <c r="T614" i="5"/>
  <c r="U614" i="5"/>
  <c r="S614" i="5"/>
  <c r="E614" i="5"/>
  <c r="D614" i="5"/>
  <c r="C614" i="5"/>
  <c r="B614" i="5"/>
  <c r="A614" i="5"/>
  <c r="L613" i="5"/>
  <c r="G613" i="5"/>
  <c r="E613" i="5"/>
  <c r="J612" i="5"/>
  <c r="E612" i="5"/>
  <c r="J611" i="5"/>
  <c r="E611" i="5"/>
  <c r="K610" i="5"/>
  <c r="J610" i="5"/>
  <c r="H610" i="5"/>
  <c r="G610" i="5"/>
  <c r="F610" i="5"/>
  <c r="K609" i="5"/>
  <c r="J609" i="5"/>
  <c r="H609" i="5"/>
  <c r="R609" i="5" s="1"/>
  <c r="G609" i="5"/>
  <c r="F609" i="5"/>
  <c r="K608" i="5"/>
  <c r="J608" i="5"/>
  <c r="H608" i="5"/>
  <c r="G608" i="5"/>
  <c r="F608" i="5"/>
  <c r="K607" i="5"/>
  <c r="J607" i="5"/>
  <c r="H607" i="5"/>
  <c r="R607" i="5" s="1"/>
  <c r="G607" i="5"/>
  <c r="F607" i="5"/>
  <c r="C606" i="5"/>
  <c r="V605" i="5"/>
  <c r="T605" i="5"/>
  <c r="U605" i="5"/>
  <c r="S605" i="5"/>
  <c r="F605" i="5"/>
  <c r="E605" i="5"/>
  <c r="D605" i="5"/>
  <c r="I605" i="5"/>
  <c r="C605" i="5"/>
  <c r="B605" i="5"/>
  <c r="A605" i="5"/>
  <c r="L604" i="5"/>
  <c r="Q604" i="5" s="1"/>
  <c r="Z604" i="5"/>
  <c r="Y604" i="5"/>
  <c r="X604" i="5"/>
  <c r="K603" i="5"/>
  <c r="J603" i="5"/>
  <c r="Z603" i="5"/>
  <c r="Y603" i="5"/>
  <c r="X603" i="5"/>
  <c r="H603" i="5"/>
  <c r="W603" i="5" s="1"/>
  <c r="F603" i="5"/>
  <c r="V603" i="5"/>
  <c r="T603" i="5"/>
  <c r="U603" i="5"/>
  <c r="S603" i="5"/>
  <c r="E603" i="5"/>
  <c r="D603" i="5"/>
  <c r="C603" i="5"/>
  <c r="B603" i="5"/>
  <c r="A603" i="5"/>
  <c r="K602" i="5"/>
  <c r="J602" i="5"/>
  <c r="Z602" i="5"/>
  <c r="Y602" i="5"/>
  <c r="X602" i="5"/>
  <c r="H602" i="5"/>
  <c r="W602" i="5" s="1"/>
  <c r="F602" i="5"/>
  <c r="V602" i="5"/>
  <c r="T602" i="5"/>
  <c r="U602" i="5"/>
  <c r="S602" i="5"/>
  <c r="E602" i="5"/>
  <c r="D602" i="5"/>
  <c r="C602" i="5"/>
  <c r="B602" i="5"/>
  <c r="A602" i="5"/>
  <c r="K601" i="5"/>
  <c r="J601" i="5"/>
  <c r="Z601" i="5"/>
  <c r="Y601" i="5"/>
  <c r="X601" i="5"/>
  <c r="H601" i="5"/>
  <c r="W601" i="5" s="1"/>
  <c r="F601" i="5"/>
  <c r="V601" i="5"/>
  <c r="T601" i="5"/>
  <c r="U601" i="5"/>
  <c r="S601" i="5"/>
  <c r="E601" i="5"/>
  <c r="D601" i="5"/>
  <c r="C601" i="5"/>
  <c r="B601" i="5"/>
  <c r="A601" i="5"/>
  <c r="L600" i="5"/>
  <c r="G600" i="5"/>
  <c r="E600" i="5"/>
  <c r="J599" i="5"/>
  <c r="F599" i="5"/>
  <c r="E599" i="5"/>
  <c r="J598" i="5"/>
  <c r="F598" i="5"/>
  <c r="E598" i="5"/>
  <c r="K597" i="5"/>
  <c r="J597" i="5"/>
  <c r="H597" i="5"/>
  <c r="G597" i="5"/>
  <c r="F597" i="5"/>
  <c r="K596" i="5"/>
  <c r="J596" i="5"/>
  <c r="H596" i="5"/>
  <c r="R596" i="5" s="1"/>
  <c r="G596" i="5"/>
  <c r="F596" i="5"/>
  <c r="K595" i="5"/>
  <c r="J595" i="5"/>
  <c r="H595" i="5"/>
  <c r="G595" i="5"/>
  <c r="F595" i="5"/>
  <c r="K594" i="5"/>
  <c r="J594" i="5"/>
  <c r="H594" i="5"/>
  <c r="R594" i="5" s="1"/>
  <c r="G594" i="5"/>
  <c r="F594" i="5"/>
  <c r="C593" i="5"/>
  <c r="V592" i="5"/>
  <c r="T592" i="5"/>
  <c r="U592" i="5"/>
  <c r="S592" i="5"/>
  <c r="H598" i="5" s="1"/>
  <c r="F592" i="5"/>
  <c r="E592" i="5"/>
  <c r="D592" i="5"/>
  <c r="I592" i="5"/>
  <c r="C592" i="5"/>
  <c r="B592" i="5"/>
  <c r="A592" i="5"/>
  <c r="L591" i="5"/>
  <c r="Q591" i="5" s="1"/>
  <c r="Z591" i="5"/>
  <c r="Y591" i="5"/>
  <c r="X591" i="5"/>
  <c r="L590" i="5"/>
  <c r="G590" i="5"/>
  <c r="E590" i="5"/>
  <c r="J589" i="5"/>
  <c r="F589" i="5"/>
  <c r="E589" i="5"/>
  <c r="J588" i="5"/>
  <c r="F588" i="5"/>
  <c r="E588" i="5"/>
  <c r="K587" i="5"/>
  <c r="J587" i="5"/>
  <c r="H587" i="5"/>
  <c r="G587" i="5"/>
  <c r="F587" i="5"/>
  <c r="K586" i="5"/>
  <c r="J586" i="5"/>
  <c r="H586" i="5"/>
  <c r="R586" i="5" s="1"/>
  <c r="G586" i="5"/>
  <c r="F586" i="5"/>
  <c r="K585" i="5"/>
  <c r="J585" i="5"/>
  <c r="H585" i="5"/>
  <c r="G585" i="5"/>
  <c r="F585" i="5"/>
  <c r="K584" i="5"/>
  <c r="J584" i="5"/>
  <c r="H584" i="5"/>
  <c r="R584" i="5" s="1"/>
  <c r="G584" i="5"/>
  <c r="F584" i="5"/>
  <c r="C583" i="5"/>
  <c r="V582" i="5"/>
  <c r="K589" i="5" s="1"/>
  <c r="T582" i="5"/>
  <c r="K588" i="5" s="1"/>
  <c r="U582" i="5"/>
  <c r="H589" i="5" s="1"/>
  <c r="S582" i="5"/>
  <c r="H588" i="5" s="1"/>
  <c r="F582" i="5"/>
  <c r="E582" i="5"/>
  <c r="D582" i="5"/>
  <c r="I582" i="5"/>
  <c r="C582" i="5"/>
  <c r="B582" i="5"/>
  <c r="A582" i="5"/>
  <c r="L581" i="5"/>
  <c r="Q581" i="5" s="1"/>
  <c r="Z581" i="5"/>
  <c r="Y581" i="5"/>
  <c r="X581" i="5"/>
  <c r="K580" i="5"/>
  <c r="J580" i="5"/>
  <c r="Z580" i="5"/>
  <c r="Y580" i="5"/>
  <c r="X580" i="5"/>
  <c r="H580" i="5"/>
  <c r="W580" i="5" s="1"/>
  <c r="F580" i="5"/>
  <c r="V580" i="5"/>
  <c r="T580" i="5"/>
  <c r="U580" i="5"/>
  <c r="S580" i="5"/>
  <c r="E580" i="5"/>
  <c r="D580" i="5"/>
  <c r="C580" i="5"/>
  <c r="B580" i="5"/>
  <c r="A580" i="5"/>
  <c r="K579" i="5"/>
  <c r="J579" i="5"/>
  <c r="Z579" i="5"/>
  <c r="Y579" i="5"/>
  <c r="X579" i="5"/>
  <c r="H579" i="5"/>
  <c r="W579" i="5" s="1"/>
  <c r="F579" i="5"/>
  <c r="V579" i="5"/>
  <c r="T579" i="5"/>
  <c r="U579" i="5"/>
  <c r="S579" i="5"/>
  <c r="E579" i="5"/>
  <c r="D579" i="5"/>
  <c r="C579" i="5"/>
  <c r="B579" i="5"/>
  <c r="A579" i="5"/>
  <c r="K578" i="5"/>
  <c r="J578" i="5"/>
  <c r="Z578" i="5"/>
  <c r="Y578" i="5"/>
  <c r="X578" i="5"/>
  <c r="H578" i="5"/>
  <c r="W578" i="5" s="1"/>
  <c r="F578" i="5"/>
  <c r="V578" i="5"/>
  <c r="T578" i="5"/>
  <c r="U578" i="5"/>
  <c r="S578" i="5"/>
  <c r="E578" i="5"/>
  <c r="D578" i="5"/>
  <c r="C578" i="5"/>
  <c r="B578" i="5"/>
  <c r="A578" i="5"/>
  <c r="L577" i="5"/>
  <c r="G577" i="5"/>
  <c r="E577" i="5"/>
  <c r="J576" i="5"/>
  <c r="F576" i="5"/>
  <c r="E576" i="5"/>
  <c r="J575" i="5"/>
  <c r="F575" i="5"/>
  <c r="E575" i="5"/>
  <c r="K574" i="5"/>
  <c r="J574" i="5"/>
  <c r="H574" i="5"/>
  <c r="G574" i="5"/>
  <c r="F574" i="5"/>
  <c r="K573" i="5"/>
  <c r="J573" i="5"/>
  <c r="H573" i="5"/>
  <c r="G573" i="5"/>
  <c r="F573" i="5"/>
  <c r="C572" i="5"/>
  <c r="V571" i="5"/>
  <c r="T571" i="5"/>
  <c r="K575" i="5" s="1"/>
  <c r="U571" i="5"/>
  <c r="S571" i="5"/>
  <c r="F571" i="5"/>
  <c r="E571" i="5"/>
  <c r="D571" i="5"/>
  <c r="I571" i="5"/>
  <c r="C571" i="5"/>
  <c r="B571" i="5"/>
  <c r="A571" i="5"/>
  <c r="L570" i="5"/>
  <c r="Q570" i="5" s="1"/>
  <c r="Z570" i="5"/>
  <c r="Y570" i="5"/>
  <c r="X570" i="5"/>
  <c r="K569" i="5"/>
  <c r="J569" i="5"/>
  <c r="Z569" i="5"/>
  <c r="Y569" i="5"/>
  <c r="X569" i="5"/>
  <c r="H569" i="5"/>
  <c r="W569" i="5" s="1"/>
  <c r="F569" i="5"/>
  <c r="V569" i="5"/>
  <c r="T569" i="5"/>
  <c r="U569" i="5"/>
  <c r="S569" i="5"/>
  <c r="E569" i="5"/>
  <c r="D569" i="5"/>
  <c r="C569" i="5"/>
  <c r="B569" i="5"/>
  <c r="A569" i="5"/>
  <c r="K568" i="5"/>
  <c r="J568" i="5"/>
  <c r="Z568" i="5"/>
  <c r="Y568" i="5"/>
  <c r="X568" i="5"/>
  <c r="H568" i="5"/>
  <c r="W568" i="5" s="1"/>
  <c r="F568" i="5"/>
  <c r="V568" i="5"/>
  <c r="T568" i="5"/>
  <c r="U568" i="5"/>
  <c r="S568" i="5"/>
  <c r="E568" i="5"/>
  <c r="D568" i="5"/>
  <c r="C568" i="5"/>
  <c r="B568" i="5"/>
  <c r="A568" i="5"/>
  <c r="L567" i="5"/>
  <c r="G567" i="5"/>
  <c r="E567" i="5"/>
  <c r="J566" i="5"/>
  <c r="F566" i="5"/>
  <c r="E566" i="5"/>
  <c r="J565" i="5"/>
  <c r="F565" i="5"/>
  <c r="E565" i="5"/>
  <c r="K564" i="5"/>
  <c r="J564" i="5"/>
  <c r="H564" i="5"/>
  <c r="R564" i="5" s="1"/>
  <c r="G564" i="5"/>
  <c r="F564" i="5"/>
  <c r="K563" i="5"/>
  <c r="J563" i="5"/>
  <c r="H563" i="5"/>
  <c r="G563" i="5"/>
  <c r="F563" i="5"/>
  <c r="K562" i="5"/>
  <c r="J562" i="5"/>
  <c r="H562" i="5"/>
  <c r="R562" i="5" s="1"/>
  <c r="G562" i="5"/>
  <c r="F562" i="5"/>
  <c r="C561" i="5"/>
  <c r="V560" i="5"/>
  <c r="T560" i="5"/>
  <c r="U560" i="5"/>
  <c r="S560" i="5"/>
  <c r="F560" i="5"/>
  <c r="E560" i="5"/>
  <c r="D560" i="5"/>
  <c r="I560" i="5"/>
  <c r="C560" i="5"/>
  <c r="B560" i="5"/>
  <c r="A560" i="5"/>
  <c r="Q559" i="5"/>
  <c r="L559" i="5"/>
  <c r="Z559" i="5"/>
  <c r="Y559" i="5"/>
  <c r="X559" i="5"/>
  <c r="K558" i="5"/>
  <c r="J558" i="5"/>
  <c r="Z558" i="5"/>
  <c r="Y558" i="5"/>
  <c r="X558" i="5"/>
  <c r="H558" i="5"/>
  <c r="W558" i="5" s="1"/>
  <c r="F558" i="5"/>
  <c r="V558" i="5"/>
  <c r="T558" i="5"/>
  <c r="U558" i="5"/>
  <c r="S558" i="5"/>
  <c r="E558" i="5"/>
  <c r="D558" i="5"/>
  <c r="C558" i="5"/>
  <c r="B558" i="5"/>
  <c r="A558" i="5"/>
  <c r="K557" i="5"/>
  <c r="J557" i="5"/>
  <c r="Z557" i="5"/>
  <c r="Y557" i="5"/>
  <c r="X557" i="5"/>
  <c r="H557" i="5"/>
  <c r="W557" i="5" s="1"/>
  <c r="F557" i="5"/>
  <c r="V557" i="5"/>
  <c r="T557" i="5"/>
  <c r="U557" i="5"/>
  <c r="S557" i="5"/>
  <c r="E557" i="5"/>
  <c r="D557" i="5"/>
  <c r="C557" i="5"/>
  <c r="B557" i="5"/>
  <c r="A557" i="5"/>
  <c r="L556" i="5"/>
  <c r="G556" i="5"/>
  <c r="E556" i="5"/>
  <c r="J555" i="5"/>
  <c r="F555" i="5"/>
  <c r="E555" i="5"/>
  <c r="J554" i="5"/>
  <c r="F554" i="5"/>
  <c r="E554" i="5"/>
  <c r="K553" i="5"/>
  <c r="J553" i="5"/>
  <c r="H553" i="5"/>
  <c r="G553" i="5"/>
  <c r="F553" i="5"/>
  <c r="K552" i="5"/>
  <c r="J552" i="5"/>
  <c r="H552" i="5"/>
  <c r="R552" i="5" s="1"/>
  <c r="G552" i="5"/>
  <c r="F552" i="5"/>
  <c r="K551" i="5"/>
  <c r="J551" i="5"/>
  <c r="H551" i="5"/>
  <c r="G551" i="5"/>
  <c r="F551" i="5"/>
  <c r="K550" i="5"/>
  <c r="J550" i="5"/>
  <c r="H550" i="5"/>
  <c r="G550" i="5"/>
  <c r="F550" i="5"/>
  <c r="C549" i="5"/>
  <c r="V548" i="5"/>
  <c r="T548" i="5"/>
  <c r="K554" i="5" s="1"/>
  <c r="U548" i="5"/>
  <c r="S548" i="5"/>
  <c r="F548" i="5"/>
  <c r="E548" i="5"/>
  <c r="D548" i="5"/>
  <c r="I548" i="5"/>
  <c r="C548" i="5"/>
  <c r="B548" i="5"/>
  <c r="A548" i="5"/>
  <c r="L547" i="5"/>
  <c r="Q547" i="5" s="1"/>
  <c r="Z547" i="5"/>
  <c r="Y547" i="5"/>
  <c r="X547" i="5"/>
  <c r="K546" i="5"/>
  <c r="J546" i="5"/>
  <c r="Z546" i="5"/>
  <c r="Y546" i="5"/>
  <c r="X546" i="5"/>
  <c r="H546" i="5"/>
  <c r="W546" i="5" s="1"/>
  <c r="F546" i="5"/>
  <c r="V546" i="5"/>
  <c r="T546" i="5"/>
  <c r="U546" i="5"/>
  <c r="S546" i="5"/>
  <c r="E546" i="5"/>
  <c r="D546" i="5"/>
  <c r="C546" i="5"/>
  <c r="B546" i="5"/>
  <c r="A546" i="5"/>
  <c r="K545" i="5"/>
  <c r="J545" i="5"/>
  <c r="Z545" i="5"/>
  <c r="Y545" i="5"/>
  <c r="X545" i="5"/>
  <c r="H545" i="5"/>
  <c r="W545" i="5" s="1"/>
  <c r="F545" i="5"/>
  <c r="V545" i="5"/>
  <c r="T545" i="5"/>
  <c r="U545" i="5"/>
  <c r="S545" i="5"/>
  <c r="E545" i="5"/>
  <c r="D545" i="5"/>
  <c r="C545" i="5"/>
  <c r="B545" i="5"/>
  <c r="A545" i="5"/>
  <c r="L544" i="5"/>
  <c r="G544" i="5"/>
  <c r="E544" i="5"/>
  <c r="J543" i="5"/>
  <c r="F543" i="5"/>
  <c r="E543" i="5"/>
  <c r="J542" i="5"/>
  <c r="F542" i="5"/>
  <c r="E542" i="5"/>
  <c r="K541" i="5"/>
  <c r="J541" i="5"/>
  <c r="H541" i="5"/>
  <c r="G541" i="5"/>
  <c r="F541" i="5"/>
  <c r="K540" i="5"/>
  <c r="J540" i="5"/>
  <c r="H540" i="5"/>
  <c r="R540" i="5" s="1"/>
  <c r="G540" i="5"/>
  <c r="F540" i="5"/>
  <c r="K539" i="5"/>
  <c r="J539" i="5"/>
  <c r="H539" i="5"/>
  <c r="G539" i="5"/>
  <c r="F539" i="5"/>
  <c r="K538" i="5"/>
  <c r="J538" i="5"/>
  <c r="H538" i="5"/>
  <c r="R538" i="5" s="1"/>
  <c r="G538" i="5"/>
  <c r="F538" i="5"/>
  <c r="C537" i="5"/>
  <c r="V536" i="5"/>
  <c r="T536" i="5"/>
  <c r="U536" i="5"/>
  <c r="S536" i="5"/>
  <c r="F536" i="5"/>
  <c r="E536" i="5"/>
  <c r="D536" i="5"/>
  <c r="I536" i="5"/>
  <c r="C536" i="5"/>
  <c r="B536" i="5"/>
  <c r="A536" i="5"/>
  <c r="L535" i="5"/>
  <c r="Q535" i="5" s="1"/>
  <c r="Z535" i="5"/>
  <c r="Y535" i="5"/>
  <c r="X535" i="5"/>
  <c r="K534" i="5"/>
  <c r="J534" i="5"/>
  <c r="Z534" i="5"/>
  <c r="Y534" i="5"/>
  <c r="X534" i="5"/>
  <c r="H534" i="5"/>
  <c r="W534" i="5" s="1"/>
  <c r="F534" i="5"/>
  <c r="V534" i="5"/>
  <c r="T534" i="5"/>
  <c r="U534" i="5"/>
  <c r="S534" i="5"/>
  <c r="E534" i="5"/>
  <c r="D534" i="5"/>
  <c r="C534" i="5"/>
  <c r="B534" i="5"/>
  <c r="A534" i="5"/>
  <c r="K533" i="5"/>
  <c r="J533" i="5"/>
  <c r="Z533" i="5"/>
  <c r="Y533" i="5"/>
  <c r="X533" i="5"/>
  <c r="H533" i="5"/>
  <c r="W533" i="5" s="1"/>
  <c r="F533" i="5"/>
  <c r="V533" i="5"/>
  <c r="T533" i="5"/>
  <c r="U533" i="5"/>
  <c r="S533" i="5"/>
  <c r="E533" i="5"/>
  <c r="D533" i="5"/>
  <c r="C533" i="5"/>
  <c r="B533" i="5"/>
  <c r="A533" i="5"/>
  <c r="K532" i="5"/>
  <c r="J532" i="5"/>
  <c r="Z532" i="5"/>
  <c r="Y532" i="5"/>
  <c r="X532" i="5"/>
  <c r="H532" i="5"/>
  <c r="W532" i="5" s="1"/>
  <c r="F532" i="5"/>
  <c r="V532" i="5"/>
  <c r="T532" i="5"/>
  <c r="U532" i="5"/>
  <c r="S532" i="5"/>
  <c r="E532" i="5"/>
  <c r="D532" i="5"/>
  <c r="C532" i="5"/>
  <c r="B532" i="5"/>
  <c r="A532" i="5"/>
  <c r="K531" i="5"/>
  <c r="J531" i="5"/>
  <c r="Z531" i="5"/>
  <c r="Y531" i="5"/>
  <c r="X531" i="5"/>
  <c r="H531" i="5"/>
  <c r="W531" i="5" s="1"/>
  <c r="F531" i="5"/>
  <c r="V531" i="5"/>
  <c r="T531" i="5"/>
  <c r="U531" i="5"/>
  <c r="S531" i="5"/>
  <c r="E531" i="5"/>
  <c r="D531" i="5"/>
  <c r="C531" i="5"/>
  <c r="B531" i="5"/>
  <c r="A531" i="5"/>
  <c r="L530" i="5"/>
  <c r="G530" i="5"/>
  <c r="E530" i="5"/>
  <c r="J529" i="5"/>
  <c r="F529" i="5"/>
  <c r="E529" i="5"/>
  <c r="J528" i="5"/>
  <c r="F528" i="5"/>
  <c r="E528" i="5"/>
  <c r="K527" i="5"/>
  <c r="J527" i="5"/>
  <c r="H527" i="5"/>
  <c r="G527" i="5"/>
  <c r="F527" i="5"/>
  <c r="K526" i="5"/>
  <c r="J526" i="5"/>
  <c r="H526" i="5"/>
  <c r="R526" i="5" s="1"/>
  <c r="G526" i="5"/>
  <c r="F526" i="5"/>
  <c r="K525" i="5"/>
  <c r="J525" i="5"/>
  <c r="H525" i="5"/>
  <c r="G525" i="5"/>
  <c r="F525" i="5"/>
  <c r="K524" i="5"/>
  <c r="J524" i="5"/>
  <c r="H524" i="5"/>
  <c r="G524" i="5"/>
  <c r="F524" i="5"/>
  <c r="C523" i="5"/>
  <c r="V522" i="5"/>
  <c r="T522" i="5"/>
  <c r="U522" i="5"/>
  <c r="S522" i="5"/>
  <c r="H528" i="5" s="1"/>
  <c r="F522" i="5"/>
  <c r="E522" i="5"/>
  <c r="D522" i="5"/>
  <c r="I522" i="5"/>
  <c r="C522" i="5"/>
  <c r="B522" i="5"/>
  <c r="A522" i="5"/>
  <c r="Q521" i="5"/>
  <c r="L521" i="5"/>
  <c r="Z521" i="5"/>
  <c r="Y521" i="5"/>
  <c r="X521" i="5"/>
  <c r="L520" i="5"/>
  <c r="G520" i="5"/>
  <c r="E520" i="5"/>
  <c r="J519" i="5"/>
  <c r="F519" i="5"/>
  <c r="E519" i="5"/>
  <c r="J518" i="5"/>
  <c r="F518" i="5"/>
  <c r="E518" i="5"/>
  <c r="K517" i="5"/>
  <c r="J517" i="5"/>
  <c r="H517" i="5"/>
  <c r="G517" i="5"/>
  <c r="F517" i="5"/>
  <c r="K516" i="5"/>
  <c r="J516" i="5"/>
  <c r="H516" i="5"/>
  <c r="R516" i="5" s="1"/>
  <c r="G516" i="5"/>
  <c r="F516" i="5"/>
  <c r="K515" i="5"/>
  <c r="J515" i="5"/>
  <c r="H515" i="5"/>
  <c r="G515" i="5"/>
  <c r="F515" i="5"/>
  <c r="K514" i="5"/>
  <c r="J514" i="5"/>
  <c r="H514" i="5"/>
  <c r="R514" i="5" s="1"/>
  <c r="G514" i="5"/>
  <c r="F514" i="5"/>
  <c r="C513" i="5"/>
  <c r="V512" i="5"/>
  <c r="K519" i="5" s="1"/>
  <c r="T512" i="5"/>
  <c r="K518" i="5" s="1"/>
  <c r="U512" i="5"/>
  <c r="H519" i="5" s="1"/>
  <c r="S512" i="5"/>
  <c r="H518" i="5" s="1"/>
  <c r="F512" i="5"/>
  <c r="E512" i="5"/>
  <c r="D512" i="5"/>
  <c r="I512" i="5"/>
  <c r="C512" i="5"/>
  <c r="B512" i="5"/>
  <c r="A512" i="5"/>
  <c r="L511" i="5"/>
  <c r="Q511" i="5" s="1"/>
  <c r="Z511" i="5"/>
  <c r="Y511" i="5"/>
  <c r="X511" i="5"/>
  <c r="K510" i="5"/>
  <c r="J510" i="5"/>
  <c r="Z510" i="5"/>
  <c r="Y510" i="5"/>
  <c r="X510" i="5"/>
  <c r="H510" i="5"/>
  <c r="W510" i="5" s="1"/>
  <c r="F510" i="5"/>
  <c r="V510" i="5"/>
  <c r="T510" i="5"/>
  <c r="U510" i="5"/>
  <c r="S510" i="5"/>
  <c r="E510" i="5"/>
  <c r="D510" i="5"/>
  <c r="C510" i="5"/>
  <c r="B510" i="5"/>
  <c r="A510" i="5"/>
  <c r="K509" i="5"/>
  <c r="J509" i="5"/>
  <c r="Z509" i="5"/>
  <c r="Y509" i="5"/>
  <c r="X509" i="5"/>
  <c r="H509" i="5"/>
  <c r="W509" i="5" s="1"/>
  <c r="F509" i="5"/>
  <c r="V509" i="5"/>
  <c r="T509" i="5"/>
  <c r="U509" i="5"/>
  <c r="S509" i="5"/>
  <c r="E509" i="5"/>
  <c r="D509" i="5"/>
  <c r="C509" i="5"/>
  <c r="B509" i="5"/>
  <c r="A509" i="5"/>
  <c r="L508" i="5"/>
  <c r="G508" i="5"/>
  <c r="E508" i="5"/>
  <c r="J507" i="5"/>
  <c r="F507" i="5"/>
  <c r="E507" i="5"/>
  <c r="J506" i="5"/>
  <c r="F506" i="5"/>
  <c r="E506" i="5"/>
  <c r="K505" i="5"/>
  <c r="J505" i="5"/>
  <c r="H505" i="5"/>
  <c r="G505" i="5"/>
  <c r="F505" i="5"/>
  <c r="K504" i="5"/>
  <c r="J504" i="5"/>
  <c r="H504" i="5"/>
  <c r="R504" i="5" s="1"/>
  <c r="G504" i="5"/>
  <c r="F504" i="5"/>
  <c r="K503" i="5"/>
  <c r="J503" i="5"/>
  <c r="H503" i="5"/>
  <c r="G503" i="5"/>
  <c r="F503" i="5"/>
  <c r="K502" i="5"/>
  <c r="J502" i="5"/>
  <c r="H502" i="5"/>
  <c r="R502" i="5" s="1"/>
  <c r="G502" i="5"/>
  <c r="F502" i="5"/>
  <c r="C501" i="5"/>
  <c r="V500" i="5"/>
  <c r="T500" i="5"/>
  <c r="U500" i="5"/>
  <c r="S500" i="5"/>
  <c r="F500" i="5"/>
  <c r="E500" i="5"/>
  <c r="D500" i="5"/>
  <c r="I500" i="5"/>
  <c r="C500" i="5"/>
  <c r="B500" i="5"/>
  <c r="A500" i="5"/>
  <c r="L499" i="5"/>
  <c r="Q499" i="5" s="1"/>
  <c r="Z499" i="5"/>
  <c r="Y499" i="5"/>
  <c r="X499" i="5"/>
  <c r="L498" i="5"/>
  <c r="G498" i="5"/>
  <c r="E498" i="5"/>
  <c r="J497" i="5"/>
  <c r="F497" i="5"/>
  <c r="E497" i="5"/>
  <c r="J496" i="5"/>
  <c r="F496" i="5"/>
  <c r="E496" i="5"/>
  <c r="K495" i="5"/>
  <c r="J495" i="5"/>
  <c r="H495" i="5"/>
  <c r="G495" i="5"/>
  <c r="F495" i="5"/>
  <c r="K494" i="5"/>
  <c r="J494" i="5"/>
  <c r="H494" i="5"/>
  <c r="R494" i="5" s="1"/>
  <c r="G494" i="5"/>
  <c r="F494" i="5"/>
  <c r="K493" i="5"/>
  <c r="J493" i="5"/>
  <c r="H493" i="5"/>
  <c r="G493" i="5"/>
  <c r="F493" i="5"/>
  <c r="K492" i="5"/>
  <c r="J492" i="5"/>
  <c r="H492" i="5"/>
  <c r="R492" i="5" s="1"/>
  <c r="G492" i="5"/>
  <c r="F492" i="5"/>
  <c r="C491" i="5"/>
  <c r="V490" i="5"/>
  <c r="K497" i="5" s="1"/>
  <c r="T490" i="5"/>
  <c r="K496" i="5" s="1"/>
  <c r="U490" i="5"/>
  <c r="H497" i="5" s="1"/>
  <c r="S490" i="5"/>
  <c r="H496" i="5" s="1"/>
  <c r="F490" i="5"/>
  <c r="E490" i="5"/>
  <c r="D490" i="5"/>
  <c r="I490" i="5"/>
  <c r="C490" i="5"/>
  <c r="B490" i="5"/>
  <c r="A490" i="5"/>
  <c r="L489" i="5"/>
  <c r="Q489" i="5" s="1"/>
  <c r="Z489" i="5"/>
  <c r="Y489" i="5"/>
  <c r="X489" i="5"/>
  <c r="K488" i="5"/>
  <c r="J488" i="5"/>
  <c r="Z488" i="5"/>
  <c r="Y488" i="5"/>
  <c r="X488" i="5"/>
  <c r="H488" i="5"/>
  <c r="W488" i="5" s="1"/>
  <c r="F488" i="5"/>
  <c r="V488" i="5"/>
  <c r="T488" i="5"/>
  <c r="U488" i="5"/>
  <c r="S488" i="5"/>
  <c r="E488" i="5"/>
  <c r="D488" i="5"/>
  <c r="C488" i="5"/>
  <c r="B488" i="5"/>
  <c r="A488" i="5"/>
  <c r="K487" i="5"/>
  <c r="J487" i="5"/>
  <c r="Z487" i="5"/>
  <c r="Y487" i="5"/>
  <c r="X487" i="5"/>
  <c r="H487" i="5"/>
  <c r="W487" i="5" s="1"/>
  <c r="F487" i="5"/>
  <c r="V487" i="5"/>
  <c r="T487" i="5"/>
  <c r="U487" i="5"/>
  <c r="S487" i="5"/>
  <c r="E487" i="5"/>
  <c r="D487" i="5"/>
  <c r="C487" i="5"/>
  <c r="B487" i="5"/>
  <c r="A487" i="5"/>
  <c r="K486" i="5"/>
  <c r="J486" i="5"/>
  <c r="Z486" i="5"/>
  <c r="Y486" i="5"/>
  <c r="X486" i="5"/>
  <c r="H486" i="5"/>
  <c r="W486" i="5" s="1"/>
  <c r="F486" i="5"/>
  <c r="V486" i="5"/>
  <c r="T486" i="5"/>
  <c r="U486" i="5"/>
  <c r="S486" i="5"/>
  <c r="E486" i="5"/>
  <c r="D486" i="5"/>
  <c r="C486" i="5"/>
  <c r="B486" i="5"/>
  <c r="A486" i="5"/>
  <c r="K485" i="5"/>
  <c r="J485" i="5"/>
  <c r="Z485" i="5"/>
  <c r="Y485" i="5"/>
  <c r="X485" i="5"/>
  <c r="H485" i="5"/>
  <c r="W485" i="5" s="1"/>
  <c r="F485" i="5"/>
  <c r="V485" i="5"/>
  <c r="T485" i="5"/>
  <c r="U485" i="5"/>
  <c r="S485" i="5"/>
  <c r="E485" i="5"/>
  <c r="D485" i="5"/>
  <c r="C485" i="5"/>
  <c r="B485" i="5"/>
  <c r="A485" i="5"/>
  <c r="K484" i="5"/>
  <c r="J484" i="5"/>
  <c r="Z484" i="5"/>
  <c r="Y484" i="5"/>
  <c r="X484" i="5"/>
  <c r="H484" i="5"/>
  <c r="W484" i="5" s="1"/>
  <c r="F484" i="5"/>
  <c r="V484" i="5"/>
  <c r="T484" i="5"/>
  <c r="U484" i="5"/>
  <c r="S484" i="5"/>
  <c r="E484" i="5"/>
  <c r="D484" i="5"/>
  <c r="C484" i="5"/>
  <c r="B484" i="5"/>
  <c r="A484" i="5"/>
  <c r="L483" i="5"/>
  <c r="G483" i="5"/>
  <c r="E483" i="5"/>
  <c r="J482" i="5"/>
  <c r="E482" i="5"/>
  <c r="J481" i="5"/>
  <c r="E481" i="5"/>
  <c r="K480" i="5"/>
  <c r="J480" i="5"/>
  <c r="H480" i="5"/>
  <c r="G480" i="5"/>
  <c r="F480" i="5"/>
  <c r="K479" i="5"/>
  <c r="J479" i="5"/>
  <c r="H479" i="5"/>
  <c r="G479" i="5"/>
  <c r="F479" i="5"/>
  <c r="K478" i="5"/>
  <c r="J478" i="5"/>
  <c r="H478" i="5"/>
  <c r="R478" i="5" s="1"/>
  <c r="G478" i="5"/>
  <c r="F478" i="5"/>
  <c r="C477" i="5"/>
  <c r="V476" i="5"/>
  <c r="T476" i="5"/>
  <c r="U476" i="5"/>
  <c r="S476" i="5"/>
  <c r="F476" i="5"/>
  <c r="E476" i="5"/>
  <c r="D476" i="5"/>
  <c r="I476" i="5"/>
  <c r="C476" i="5"/>
  <c r="B476" i="5"/>
  <c r="A476" i="5"/>
  <c r="L475" i="5"/>
  <c r="Q475" i="5" s="1"/>
  <c r="Z475" i="5"/>
  <c r="Y475" i="5"/>
  <c r="X475" i="5"/>
  <c r="L474" i="5"/>
  <c r="G474" i="5"/>
  <c r="E474" i="5"/>
  <c r="J473" i="5"/>
  <c r="F473" i="5"/>
  <c r="E473" i="5"/>
  <c r="J472" i="5"/>
  <c r="F472" i="5"/>
  <c r="E472" i="5"/>
  <c r="K471" i="5"/>
  <c r="J471" i="5"/>
  <c r="H471" i="5"/>
  <c r="G471" i="5"/>
  <c r="F471" i="5"/>
  <c r="K470" i="5"/>
  <c r="J470" i="5"/>
  <c r="H470" i="5"/>
  <c r="R470" i="5" s="1"/>
  <c r="G470" i="5"/>
  <c r="F470" i="5"/>
  <c r="K469" i="5"/>
  <c r="J469" i="5"/>
  <c r="H469" i="5"/>
  <c r="G469" i="5"/>
  <c r="F469" i="5"/>
  <c r="K468" i="5"/>
  <c r="J468" i="5"/>
  <c r="H468" i="5"/>
  <c r="R468" i="5" s="1"/>
  <c r="G468" i="5"/>
  <c r="F468" i="5"/>
  <c r="C467" i="5"/>
  <c r="V466" i="5"/>
  <c r="K473" i="5" s="1"/>
  <c r="T466" i="5"/>
  <c r="K472" i="5" s="1"/>
  <c r="U466" i="5"/>
  <c r="H473" i="5" s="1"/>
  <c r="S466" i="5"/>
  <c r="H472" i="5" s="1"/>
  <c r="F466" i="5"/>
  <c r="E466" i="5"/>
  <c r="D466" i="5"/>
  <c r="I466" i="5"/>
  <c r="C466" i="5"/>
  <c r="B466" i="5"/>
  <c r="A466" i="5"/>
  <c r="L465" i="5"/>
  <c r="Q465" i="5" s="1"/>
  <c r="Z465" i="5"/>
  <c r="Y465" i="5"/>
  <c r="X465" i="5"/>
  <c r="L464" i="5"/>
  <c r="G464" i="5"/>
  <c r="E464" i="5"/>
  <c r="J463" i="5"/>
  <c r="F463" i="5"/>
  <c r="E463" i="5"/>
  <c r="J462" i="5"/>
  <c r="F462" i="5"/>
  <c r="E462" i="5"/>
  <c r="K461" i="5"/>
  <c r="J461" i="5"/>
  <c r="H461" i="5"/>
  <c r="G461" i="5"/>
  <c r="F461" i="5"/>
  <c r="K460" i="5"/>
  <c r="J460" i="5"/>
  <c r="H460" i="5"/>
  <c r="R460" i="5" s="1"/>
  <c r="G460" i="5"/>
  <c r="F460" i="5"/>
  <c r="K459" i="5"/>
  <c r="J459" i="5"/>
  <c r="H459" i="5"/>
  <c r="G459" i="5"/>
  <c r="F459" i="5"/>
  <c r="K458" i="5"/>
  <c r="J458" i="5"/>
  <c r="H458" i="5"/>
  <c r="G458" i="5"/>
  <c r="F458" i="5"/>
  <c r="C457" i="5"/>
  <c r="V456" i="5"/>
  <c r="K463" i="5" s="1"/>
  <c r="T456" i="5"/>
  <c r="K462" i="5" s="1"/>
  <c r="U456" i="5"/>
  <c r="H463" i="5" s="1"/>
  <c r="S456" i="5"/>
  <c r="H462" i="5" s="1"/>
  <c r="F456" i="5"/>
  <c r="E456" i="5"/>
  <c r="D456" i="5"/>
  <c r="I456" i="5"/>
  <c r="C456" i="5"/>
  <c r="B456" i="5"/>
  <c r="A456" i="5"/>
  <c r="L455" i="5"/>
  <c r="Q455" i="5" s="1"/>
  <c r="Z455" i="5"/>
  <c r="Y455" i="5"/>
  <c r="X455" i="5"/>
  <c r="K454" i="5"/>
  <c r="J454" i="5"/>
  <c r="Z454" i="5"/>
  <c r="Y454" i="5"/>
  <c r="X454" i="5"/>
  <c r="H454" i="5"/>
  <c r="W454" i="5" s="1"/>
  <c r="F454" i="5"/>
  <c r="V454" i="5"/>
  <c r="T454" i="5"/>
  <c r="U454" i="5"/>
  <c r="S454" i="5"/>
  <c r="E454" i="5"/>
  <c r="D454" i="5"/>
  <c r="C454" i="5"/>
  <c r="B454" i="5"/>
  <c r="A454" i="5"/>
  <c r="K453" i="5"/>
  <c r="J453" i="5"/>
  <c r="Z453" i="5"/>
  <c r="Y453" i="5"/>
  <c r="X453" i="5"/>
  <c r="H453" i="5"/>
  <c r="W453" i="5" s="1"/>
  <c r="F453" i="5"/>
  <c r="V453" i="5"/>
  <c r="T453" i="5"/>
  <c r="U453" i="5"/>
  <c r="S453" i="5"/>
  <c r="E453" i="5"/>
  <c r="D453" i="5"/>
  <c r="C453" i="5"/>
  <c r="B453" i="5"/>
  <c r="A453" i="5"/>
  <c r="L452" i="5"/>
  <c r="G452" i="5"/>
  <c r="E452" i="5"/>
  <c r="J451" i="5"/>
  <c r="F451" i="5"/>
  <c r="E451" i="5"/>
  <c r="J450" i="5"/>
  <c r="F450" i="5"/>
  <c r="E450" i="5"/>
  <c r="K449" i="5"/>
  <c r="J449" i="5"/>
  <c r="H449" i="5"/>
  <c r="R449" i="5" s="1"/>
  <c r="G449" i="5"/>
  <c r="F449" i="5"/>
  <c r="K448" i="5"/>
  <c r="J448" i="5"/>
  <c r="H448" i="5"/>
  <c r="G448" i="5"/>
  <c r="F448" i="5"/>
  <c r="K447" i="5"/>
  <c r="J447" i="5"/>
  <c r="H447" i="5"/>
  <c r="R447" i="5" s="1"/>
  <c r="G447" i="5"/>
  <c r="F447" i="5"/>
  <c r="C446" i="5"/>
  <c r="V445" i="5"/>
  <c r="T445" i="5"/>
  <c r="U445" i="5"/>
  <c r="S445" i="5"/>
  <c r="F445" i="5"/>
  <c r="E445" i="5"/>
  <c r="D445" i="5"/>
  <c r="I445" i="5"/>
  <c r="C445" i="5"/>
  <c r="B445" i="5"/>
  <c r="A445" i="5"/>
  <c r="L444" i="5"/>
  <c r="Q444" i="5" s="1"/>
  <c r="Z444" i="5"/>
  <c r="Y444" i="5"/>
  <c r="X444" i="5"/>
  <c r="K443" i="5"/>
  <c r="J443" i="5"/>
  <c r="Z443" i="5"/>
  <c r="Y443" i="5"/>
  <c r="X443" i="5"/>
  <c r="H443" i="5"/>
  <c r="W443" i="5" s="1"/>
  <c r="F443" i="5"/>
  <c r="V443" i="5"/>
  <c r="T443" i="5"/>
  <c r="U443" i="5"/>
  <c r="S443" i="5"/>
  <c r="E443" i="5"/>
  <c r="D443" i="5"/>
  <c r="C443" i="5"/>
  <c r="B443" i="5"/>
  <c r="A443" i="5"/>
  <c r="K442" i="5"/>
  <c r="J442" i="5"/>
  <c r="Z442" i="5"/>
  <c r="Y442" i="5"/>
  <c r="X442" i="5"/>
  <c r="H442" i="5"/>
  <c r="W442" i="5" s="1"/>
  <c r="F442" i="5"/>
  <c r="V442" i="5"/>
  <c r="T442" i="5"/>
  <c r="U442" i="5"/>
  <c r="S442" i="5"/>
  <c r="E442" i="5"/>
  <c r="D442" i="5"/>
  <c r="C442" i="5"/>
  <c r="B442" i="5"/>
  <c r="A442" i="5"/>
  <c r="L441" i="5"/>
  <c r="G441" i="5"/>
  <c r="E441" i="5"/>
  <c r="J440" i="5"/>
  <c r="F440" i="5"/>
  <c r="E440" i="5"/>
  <c r="J439" i="5"/>
  <c r="F439" i="5"/>
  <c r="E439" i="5"/>
  <c r="K438" i="5"/>
  <c r="J438" i="5"/>
  <c r="H438" i="5"/>
  <c r="G438" i="5"/>
  <c r="F438" i="5"/>
  <c r="K437" i="5"/>
  <c r="J437" i="5"/>
  <c r="H437" i="5"/>
  <c r="R437" i="5" s="1"/>
  <c r="G437" i="5"/>
  <c r="F437" i="5"/>
  <c r="K436" i="5"/>
  <c r="J436" i="5"/>
  <c r="H436" i="5"/>
  <c r="G436" i="5"/>
  <c r="F436" i="5"/>
  <c r="K435" i="5"/>
  <c r="J435" i="5"/>
  <c r="H435" i="5"/>
  <c r="R435" i="5" s="1"/>
  <c r="G435" i="5"/>
  <c r="F435" i="5"/>
  <c r="C434" i="5"/>
  <c r="V433" i="5"/>
  <c r="T433" i="5"/>
  <c r="U433" i="5"/>
  <c r="S433" i="5"/>
  <c r="F433" i="5"/>
  <c r="E433" i="5"/>
  <c r="D433" i="5"/>
  <c r="I433" i="5"/>
  <c r="C433" i="5"/>
  <c r="B433" i="5"/>
  <c r="A433" i="5"/>
  <c r="L432" i="5"/>
  <c r="Q432" i="5" s="1"/>
  <c r="Z432" i="5"/>
  <c r="Y432" i="5"/>
  <c r="X432" i="5"/>
  <c r="K431" i="5"/>
  <c r="J431" i="5"/>
  <c r="Z431" i="5"/>
  <c r="Y431" i="5"/>
  <c r="X431" i="5"/>
  <c r="H431" i="5"/>
  <c r="W431" i="5" s="1"/>
  <c r="F431" i="5"/>
  <c r="V431" i="5"/>
  <c r="T431" i="5"/>
  <c r="U431" i="5"/>
  <c r="S431" i="5"/>
  <c r="E431" i="5"/>
  <c r="D431" i="5"/>
  <c r="C431" i="5"/>
  <c r="B431" i="5"/>
  <c r="A431" i="5"/>
  <c r="K430" i="5"/>
  <c r="J430" i="5"/>
  <c r="Z430" i="5"/>
  <c r="Y430" i="5"/>
  <c r="X430" i="5"/>
  <c r="H430" i="5"/>
  <c r="W430" i="5" s="1"/>
  <c r="F430" i="5"/>
  <c r="V430" i="5"/>
  <c r="T430" i="5"/>
  <c r="U430" i="5"/>
  <c r="S430" i="5"/>
  <c r="E430" i="5"/>
  <c r="D430" i="5"/>
  <c r="C430" i="5"/>
  <c r="B430" i="5"/>
  <c r="A430" i="5"/>
  <c r="L429" i="5"/>
  <c r="G429" i="5"/>
  <c r="E429" i="5"/>
  <c r="J428" i="5"/>
  <c r="F428" i="5"/>
  <c r="E428" i="5"/>
  <c r="J427" i="5"/>
  <c r="F427" i="5"/>
  <c r="E427" i="5"/>
  <c r="K426" i="5"/>
  <c r="J426" i="5"/>
  <c r="H426" i="5"/>
  <c r="G426" i="5"/>
  <c r="F426" i="5"/>
  <c r="K425" i="5"/>
  <c r="J425" i="5"/>
  <c r="H425" i="5"/>
  <c r="R425" i="5" s="1"/>
  <c r="G425" i="5"/>
  <c r="F425" i="5"/>
  <c r="K424" i="5"/>
  <c r="J424" i="5"/>
  <c r="H424" i="5"/>
  <c r="G424" i="5"/>
  <c r="F424" i="5"/>
  <c r="K423" i="5"/>
  <c r="J423" i="5"/>
  <c r="H423" i="5"/>
  <c r="G423" i="5"/>
  <c r="F423" i="5"/>
  <c r="V422" i="5"/>
  <c r="T422" i="5"/>
  <c r="U422" i="5"/>
  <c r="S422" i="5"/>
  <c r="F422" i="5"/>
  <c r="E422" i="5"/>
  <c r="D422" i="5"/>
  <c r="I422" i="5"/>
  <c r="C422" i="5"/>
  <c r="B422" i="5"/>
  <c r="A422" i="5"/>
  <c r="L421" i="5"/>
  <c r="Q421" i="5" s="1"/>
  <c r="Z421" i="5"/>
  <c r="Y421" i="5"/>
  <c r="X421" i="5"/>
  <c r="K420" i="5"/>
  <c r="J420" i="5"/>
  <c r="Z420" i="5"/>
  <c r="Y420" i="5"/>
  <c r="X420" i="5"/>
  <c r="H420" i="5"/>
  <c r="W420" i="5" s="1"/>
  <c r="F420" i="5"/>
  <c r="V420" i="5"/>
  <c r="T420" i="5"/>
  <c r="U420" i="5"/>
  <c r="S420" i="5"/>
  <c r="E420" i="5"/>
  <c r="D420" i="5"/>
  <c r="C420" i="5"/>
  <c r="B420" i="5"/>
  <c r="A420" i="5"/>
  <c r="K419" i="5"/>
  <c r="J419" i="5"/>
  <c r="Z419" i="5"/>
  <c r="Y419" i="5"/>
  <c r="X419" i="5"/>
  <c r="H419" i="5"/>
  <c r="W419" i="5" s="1"/>
  <c r="F419" i="5"/>
  <c r="V419" i="5"/>
  <c r="T419" i="5"/>
  <c r="U419" i="5"/>
  <c r="S419" i="5"/>
  <c r="E419" i="5"/>
  <c r="D419" i="5"/>
  <c r="C419" i="5"/>
  <c r="B419" i="5"/>
  <c r="A419" i="5"/>
  <c r="K418" i="5"/>
  <c r="J418" i="5"/>
  <c r="Z418" i="5"/>
  <c r="Y418" i="5"/>
  <c r="X418" i="5"/>
  <c r="H418" i="5"/>
  <c r="W418" i="5" s="1"/>
  <c r="F418" i="5"/>
  <c r="V418" i="5"/>
  <c r="T418" i="5"/>
  <c r="U418" i="5"/>
  <c r="S418" i="5"/>
  <c r="E418" i="5"/>
  <c r="D418" i="5"/>
  <c r="C418" i="5"/>
  <c r="B418" i="5"/>
  <c r="A418" i="5"/>
  <c r="K417" i="5"/>
  <c r="J417" i="5"/>
  <c r="Z417" i="5"/>
  <c r="Y417" i="5"/>
  <c r="X417" i="5"/>
  <c r="H417" i="5"/>
  <c r="W417" i="5" s="1"/>
  <c r="F417" i="5"/>
  <c r="V417" i="5"/>
  <c r="T417" i="5"/>
  <c r="U417" i="5"/>
  <c r="S417" i="5"/>
  <c r="E417" i="5"/>
  <c r="D417" i="5"/>
  <c r="C417" i="5"/>
  <c r="B417" i="5"/>
  <c r="A417" i="5"/>
  <c r="K416" i="5"/>
  <c r="J416" i="5"/>
  <c r="Z416" i="5"/>
  <c r="Y416" i="5"/>
  <c r="X416" i="5"/>
  <c r="H416" i="5"/>
  <c r="W416" i="5" s="1"/>
  <c r="F416" i="5"/>
  <c r="V416" i="5"/>
  <c r="T416" i="5"/>
  <c r="U416" i="5"/>
  <c r="S416" i="5"/>
  <c r="E416" i="5"/>
  <c r="D416" i="5"/>
  <c r="C416" i="5"/>
  <c r="B416" i="5"/>
  <c r="A416" i="5"/>
  <c r="K415" i="5"/>
  <c r="J415" i="5"/>
  <c r="Z415" i="5"/>
  <c r="Y415" i="5"/>
  <c r="X415" i="5"/>
  <c r="H415" i="5"/>
  <c r="W415" i="5" s="1"/>
  <c r="F415" i="5"/>
  <c r="V415" i="5"/>
  <c r="T415" i="5"/>
  <c r="U415" i="5"/>
  <c r="S415" i="5"/>
  <c r="E415" i="5"/>
  <c r="D415" i="5"/>
  <c r="C415" i="5"/>
  <c r="B415" i="5"/>
  <c r="A415" i="5"/>
  <c r="L414" i="5"/>
  <c r="G414" i="5"/>
  <c r="E414" i="5"/>
  <c r="J413" i="5"/>
  <c r="F413" i="5"/>
  <c r="E413" i="5"/>
  <c r="J412" i="5"/>
  <c r="F412" i="5"/>
  <c r="E412" i="5"/>
  <c r="K411" i="5"/>
  <c r="J411" i="5"/>
  <c r="H411" i="5"/>
  <c r="G411" i="5"/>
  <c r="F411" i="5"/>
  <c r="K410" i="5"/>
  <c r="J410" i="5"/>
  <c r="H410" i="5"/>
  <c r="R410" i="5" s="1"/>
  <c r="G410" i="5"/>
  <c r="F410" i="5"/>
  <c r="K409" i="5"/>
  <c r="J409" i="5"/>
  <c r="H409" i="5"/>
  <c r="G409" i="5"/>
  <c r="F409" i="5"/>
  <c r="K408" i="5"/>
  <c r="J408" i="5"/>
  <c r="H408" i="5"/>
  <c r="G408" i="5"/>
  <c r="F408" i="5"/>
  <c r="C407" i="5"/>
  <c r="V406" i="5"/>
  <c r="T406" i="5"/>
  <c r="U406" i="5"/>
  <c r="S406" i="5"/>
  <c r="F406" i="5"/>
  <c r="E406" i="5"/>
  <c r="D406" i="5"/>
  <c r="I406" i="5"/>
  <c r="C406" i="5"/>
  <c r="B406" i="5"/>
  <c r="A406" i="5"/>
  <c r="L405" i="5"/>
  <c r="Q405" i="5" s="1"/>
  <c r="Z405" i="5"/>
  <c r="Y405" i="5"/>
  <c r="X405" i="5"/>
  <c r="K404" i="5"/>
  <c r="J404" i="5"/>
  <c r="Z404" i="5"/>
  <c r="Y404" i="5"/>
  <c r="X404" i="5"/>
  <c r="H404" i="5"/>
  <c r="W404" i="5" s="1"/>
  <c r="F404" i="5"/>
  <c r="V404" i="5"/>
  <c r="T404" i="5"/>
  <c r="U404" i="5"/>
  <c r="S404" i="5"/>
  <c r="E404" i="5"/>
  <c r="D404" i="5"/>
  <c r="C404" i="5"/>
  <c r="B404" i="5"/>
  <c r="A404" i="5"/>
  <c r="K403" i="5"/>
  <c r="J403" i="5"/>
  <c r="Z403" i="5"/>
  <c r="Y403" i="5"/>
  <c r="X403" i="5"/>
  <c r="H403" i="5"/>
  <c r="W403" i="5" s="1"/>
  <c r="F403" i="5"/>
  <c r="V403" i="5"/>
  <c r="T403" i="5"/>
  <c r="U403" i="5"/>
  <c r="S403" i="5"/>
  <c r="E403" i="5"/>
  <c r="D403" i="5"/>
  <c r="C403" i="5"/>
  <c r="B403" i="5"/>
  <c r="A403" i="5"/>
  <c r="L402" i="5"/>
  <c r="G402" i="5"/>
  <c r="E402" i="5"/>
  <c r="J401" i="5"/>
  <c r="F401" i="5"/>
  <c r="E401" i="5"/>
  <c r="J400" i="5"/>
  <c r="F400" i="5"/>
  <c r="E400" i="5"/>
  <c r="K399" i="5"/>
  <c r="J399" i="5"/>
  <c r="H399" i="5"/>
  <c r="G399" i="5"/>
  <c r="F399" i="5"/>
  <c r="K398" i="5"/>
  <c r="J398" i="5"/>
  <c r="H398" i="5"/>
  <c r="R398" i="5" s="1"/>
  <c r="G398" i="5"/>
  <c r="F398" i="5"/>
  <c r="K397" i="5"/>
  <c r="J397" i="5"/>
  <c r="H397" i="5"/>
  <c r="G397" i="5"/>
  <c r="F397" i="5"/>
  <c r="K396" i="5"/>
  <c r="J396" i="5"/>
  <c r="H396" i="5"/>
  <c r="R396" i="5" s="1"/>
  <c r="G396" i="5"/>
  <c r="F396" i="5"/>
  <c r="C395" i="5"/>
  <c r="V394" i="5"/>
  <c r="T394" i="5"/>
  <c r="U394" i="5"/>
  <c r="S394" i="5"/>
  <c r="F394" i="5"/>
  <c r="E394" i="5"/>
  <c r="D394" i="5"/>
  <c r="I394" i="5"/>
  <c r="C394" i="5"/>
  <c r="B394" i="5"/>
  <c r="A394" i="5"/>
  <c r="L393" i="5"/>
  <c r="Q393" i="5" s="1"/>
  <c r="Z393" i="5"/>
  <c r="Y393" i="5"/>
  <c r="X393" i="5"/>
  <c r="L392" i="5"/>
  <c r="G392" i="5"/>
  <c r="E392" i="5"/>
  <c r="J391" i="5"/>
  <c r="F391" i="5"/>
  <c r="E391" i="5"/>
  <c r="J390" i="5"/>
  <c r="F390" i="5"/>
  <c r="E390" i="5"/>
  <c r="K389" i="5"/>
  <c r="J389" i="5"/>
  <c r="H389" i="5"/>
  <c r="G389" i="5"/>
  <c r="F389" i="5"/>
  <c r="K388" i="5"/>
  <c r="J388" i="5"/>
  <c r="H388" i="5"/>
  <c r="R388" i="5" s="1"/>
  <c r="G388" i="5"/>
  <c r="F388" i="5"/>
  <c r="K387" i="5"/>
  <c r="J387" i="5"/>
  <c r="H387" i="5"/>
  <c r="G387" i="5"/>
  <c r="F387" i="5"/>
  <c r="K386" i="5"/>
  <c r="J386" i="5"/>
  <c r="H386" i="5"/>
  <c r="R386" i="5" s="1"/>
  <c r="G386" i="5"/>
  <c r="F386" i="5"/>
  <c r="C385" i="5"/>
  <c r="V384" i="5"/>
  <c r="K391" i="5" s="1"/>
  <c r="T384" i="5"/>
  <c r="K390" i="5" s="1"/>
  <c r="U384" i="5"/>
  <c r="H391" i="5" s="1"/>
  <c r="S384" i="5"/>
  <c r="H390" i="5" s="1"/>
  <c r="F384" i="5"/>
  <c r="E384" i="5"/>
  <c r="D384" i="5"/>
  <c r="I384" i="5"/>
  <c r="C384" i="5"/>
  <c r="B384" i="5"/>
  <c r="A384" i="5"/>
  <c r="L383" i="5"/>
  <c r="Q383" i="5" s="1"/>
  <c r="Z383" i="5"/>
  <c r="Y383" i="5"/>
  <c r="X383" i="5"/>
  <c r="K382" i="5"/>
  <c r="J382" i="5"/>
  <c r="Z382" i="5"/>
  <c r="Y382" i="5"/>
  <c r="X382" i="5"/>
  <c r="H382" i="5"/>
  <c r="W382" i="5" s="1"/>
  <c r="F382" i="5"/>
  <c r="V382" i="5"/>
  <c r="T382" i="5"/>
  <c r="U382" i="5"/>
  <c r="S382" i="5"/>
  <c r="E382" i="5"/>
  <c r="D382" i="5"/>
  <c r="C382" i="5"/>
  <c r="B382" i="5"/>
  <c r="A382" i="5"/>
  <c r="K381" i="5"/>
  <c r="J381" i="5"/>
  <c r="Z381" i="5"/>
  <c r="Y381" i="5"/>
  <c r="X381" i="5"/>
  <c r="H381" i="5"/>
  <c r="W381" i="5" s="1"/>
  <c r="F381" i="5"/>
  <c r="V381" i="5"/>
  <c r="T381" i="5"/>
  <c r="U381" i="5"/>
  <c r="S381" i="5"/>
  <c r="E381" i="5"/>
  <c r="D381" i="5"/>
  <c r="C381" i="5"/>
  <c r="B381" i="5"/>
  <c r="A381" i="5"/>
  <c r="L380" i="5"/>
  <c r="G380" i="5"/>
  <c r="E380" i="5"/>
  <c r="J379" i="5"/>
  <c r="F379" i="5"/>
  <c r="E379" i="5"/>
  <c r="J378" i="5"/>
  <c r="F378" i="5"/>
  <c r="E378" i="5"/>
  <c r="K377" i="5"/>
  <c r="J377" i="5"/>
  <c r="H377" i="5"/>
  <c r="G377" i="5"/>
  <c r="F377" i="5"/>
  <c r="C376" i="5"/>
  <c r="V375" i="5"/>
  <c r="K379" i="5" s="1"/>
  <c r="T375" i="5"/>
  <c r="U375" i="5"/>
  <c r="H379" i="5" s="1"/>
  <c r="S375" i="5"/>
  <c r="H378" i="5" s="1"/>
  <c r="F375" i="5"/>
  <c r="E375" i="5"/>
  <c r="D375" i="5"/>
  <c r="I375" i="5"/>
  <c r="C375" i="5"/>
  <c r="B375" i="5"/>
  <c r="A375" i="5"/>
  <c r="L374" i="5"/>
  <c r="Q374" i="5" s="1"/>
  <c r="Z374" i="5"/>
  <c r="Y374" i="5"/>
  <c r="X374" i="5"/>
  <c r="K373" i="5"/>
  <c r="J373" i="5"/>
  <c r="Z373" i="5"/>
  <c r="Y373" i="5"/>
  <c r="X373" i="5"/>
  <c r="H373" i="5"/>
  <c r="W373" i="5" s="1"/>
  <c r="F373" i="5"/>
  <c r="V373" i="5"/>
  <c r="T373" i="5"/>
  <c r="U373" i="5"/>
  <c r="S373" i="5"/>
  <c r="E373" i="5"/>
  <c r="D373" i="5"/>
  <c r="C373" i="5"/>
  <c r="B373" i="5"/>
  <c r="A373" i="5"/>
  <c r="L372" i="5"/>
  <c r="G372" i="5"/>
  <c r="E372" i="5"/>
  <c r="J371" i="5"/>
  <c r="F371" i="5"/>
  <c r="E371" i="5"/>
  <c r="J370" i="5"/>
  <c r="F370" i="5"/>
  <c r="E370" i="5"/>
  <c r="K369" i="5"/>
  <c r="J369" i="5"/>
  <c r="H369" i="5"/>
  <c r="G369" i="5"/>
  <c r="F369" i="5"/>
  <c r="K368" i="5"/>
  <c r="J368" i="5"/>
  <c r="H368" i="5"/>
  <c r="R368" i="5" s="1"/>
  <c r="G368" i="5"/>
  <c r="F368" i="5"/>
  <c r="K367" i="5"/>
  <c r="J367" i="5"/>
  <c r="H367" i="5"/>
  <c r="G367" i="5"/>
  <c r="F367" i="5"/>
  <c r="K366" i="5"/>
  <c r="J366" i="5"/>
  <c r="H366" i="5"/>
  <c r="R366" i="5" s="1"/>
  <c r="G366" i="5"/>
  <c r="F366" i="5"/>
  <c r="C365" i="5"/>
  <c r="V364" i="5"/>
  <c r="T364" i="5"/>
  <c r="U364" i="5"/>
  <c r="S364" i="5"/>
  <c r="F364" i="5"/>
  <c r="E364" i="5"/>
  <c r="D364" i="5"/>
  <c r="I364" i="5"/>
  <c r="C364" i="5"/>
  <c r="B364" i="5"/>
  <c r="A364" i="5"/>
  <c r="L363" i="5"/>
  <c r="Q363" i="5" s="1"/>
  <c r="Z363" i="5"/>
  <c r="Y363" i="5"/>
  <c r="X363" i="5"/>
  <c r="K362" i="5"/>
  <c r="J362" i="5"/>
  <c r="Z362" i="5"/>
  <c r="Y362" i="5"/>
  <c r="X362" i="5"/>
  <c r="H362" i="5"/>
  <c r="W362" i="5" s="1"/>
  <c r="F362" i="5"/>
  <c r="V362" i="5"/>
  <c r="T362" i="5"/>
  <c r="U362" i="5"/>
  <c r="S362" i="5"/>
  <c r="E362" i="5"/>
  <c r="D362" i="5"/>
  <c r="C362" i="5"/>
  <c r="B362" i="5"/>
  <c r="A362" i="5"/>
  <c r="K361" i="5"/>
  <c r="J361" i="5"/>
  <c r="Z361" i="5"/>
  <c r="Y361" i="5"/>
  <c r="X361" i="5"/>
  <c r="H361" i="5"/>
  <c r="W361" i="5" s="1"/>
  <c r="F361" i="5"/>
  <c r="V361" i="5"/>
  <c r="T361" i="5"/>
  <c r="U361" i="5"/>
  <c r="S361" i="5"/>
  <c r="E361" i="5"/>
  <c r="D361" i="5"/>
  <c r="C361" i="5"/>
  <c r="B361" i="5"/>
  <c r="A361" i="5"/>
  <c r="L360" i="5"/>
  <c r="G360" i="5"/>
  <c r="E360" i="5"/>
  <c r="J359" i="5"/>
  <c r="E359" i="5"/>
  <c r="J358" i="5"/>
  <c r="E358" i="5"/>
  <c r="K357" i="5"/>
  <c r="J357" i="5"/>
  <c r="H357" i="5"/>
  <c r="G357" i="5"/>
  <c r="F357" i="5"/>
  <c r="K356" i="5"/>
  <c r="J356" i="5"/>
  <c r="H356" i="5"/>
  <c r="R356" i="5" s="1"/>
  <c r="G356" i="5"/>
  <c r="F356" i="5"/>
  <c r="K355" i="5"/>
  <c r="J355" i="5"/>
  <c r="H355" i="5"/>
  <c r="G355" i="5"/>
  <c r="F355" i="5"/>
  <c r="K354" i="5"/>
  <c r="J354" i="5"/>
  <c r="H354" i="5"/>
  <c r="G354" i="5"/>
  <c r="F354" i="5"/>
  <c r="C353" i="5"/>
  <c r="V352" i="5"/>
  <c r="T352" i="5"/>
  <c r="U352" i="5"/>
  <c r="S352" i="5"/>
  <c r="F352" i="5"/>
  <c r="E352" i="5"/>
  <c r="D352" i="5"/>
  <c r="I352" i="5"/>
  <c r="C352" i="5"/>
  <c r="B352" i="5"/>
  <c r="A352" i="5"/>
  <c r="L351" i="5"/>
  <c r="Q351" i="5" s="1"/>
  <c r="Z351" i="5"/>
  <c r="Y351" i="5"/>
  <c r="X351" i="5"/>
  <c r="L350" i="5"/>
  <c r="G350" i="5"/>
  <c r="E350" i="5"/>
  <c r="J349" i="5"/>
  <c r="F349" i="5"/>
  <c r="E349" i="5"/>
  <c r="J348" i="5"/>
  <c r="F348" i="5"/>
  <c r="E348" i="5"/>
  <c r="K347" i="5"/>
  <c r="J347" i="5"/>
  <c r="H347" i="5"/>
  <c r="G347" i="5"/>
  <c r="F347" i="5"/>
  <c r="K346" i="5"/>
  <c r="J346" i="5"/>
  <c r="H346" i="5"/>
  <c r="R346" i="5" s="1"/>
  <c r="G346" i="5"/>
  <c r="F346" i="5"/>
  <c r="K345" i="5"/>
  <c r="J345" i="5"/>
  <c r="H345" i="5"/>
  <c r="G345" i="5"/>
  <c r="F345" i="5"/>
  <c r="K344" i="5"/>
  <c r="J344" i="5"/>
  <c r="H344" i="5"/>
  <c r="R344" i="5" s="1"/>
  <c r="G344" i="5"/>
  <c r="F344" i="5"/>
  <c r="C343" i="5"/>
  <c r="V342" i="5"/>
  <c r="K349" i="5" s="1"/>
  <c r="T342" i="5"/>
  <c r="K348" i="5" s="1"/>
  <c r="U342" i="5"/>
  <c r="H349" i="5" s="1"/>
  <c r="S342" i="5"/>
  <c r="H348" i="5" s="1"/>
  <c r="F342" i="5"/>
  <c r="E342" i="5"/>
  <c r="D342" i="5"/>
  <c r="I342" i="5"/>
  <c r="C342" i="5"/>
  <c r="B342" i="5"/>
  <c r="A342" i="5"/>
  <c r="L341" i="5"/>
  <c r="Q341" i="5" s="1"/>
  <c r="Z341" i="5"/>
  <c r="Y341" i="5"/>
  <c r="X341" i="5"/>
  <c r="K340" i="5"/>
  <c r="J340" i="5"/>
  <c r="Z340" i="5"/>
  <c r="Y340" i="5"/>
  <c r="X340" i="5"/>
  <c r="H340" i="5"/>
  <c r="W340" i="5" s="1"/>
  <c r="F340" i="5"/>
  <c r="V340" i="5"/>
  <c r="T340" i="5"/>
  <c r="U340" i="5"/>
  <c r="S340" i="5"/>
  <c r="E340" i="5"/>
  <c r="D340" i="5"/>
  <c r="C340" i="5"/>
  <c r="B340" i="5"/>
  <c r="A340" i="5"/>
  <c r="K339" i="5"/>
  <c r="J339" i="5"/>
  <c r="Z339" i="5"/>
  <c r="Y339" i="5"/>
  <c r="X339" i="5"/>
  <c r="H339" i="5"/>
  <c r="W339" i="5" s="1"/>
  <c r="F339" i="5"/>
  <c r="V339" i="5"/>
  <c r="T339" i="5"/>
  <c r="U339" i="5"/>
  <c r="S339" i="5"/>
  <c r="E339" i="5"/>
  <c r="D339" i="5"/>
  <c r="C339" i="5"/>
  <c r="B339" i="5"/>
  <c r="A339" i="5"/>
  <c r="L338" i="5"/>
  <c r="G338" i="5"/>
  <c r="E338" i="5"/>
  <c r="J337" i="5"/>
  <c r="E337" i="5"/>
  <c r="J336" i="5"/>
  <c r="E336" i="5"/>
  <c r="K335" i="5"/>
  <c r="J335" i="5"/>
  <c r="H335" i="5"/>
  <c r="G335" i="5"/>
  <c r="F335" i="5"/>
  <c r="K334" i="5"/>
  <c r="J334" i="5"/>
  <c r="H334" i="5"/>
  <c r="R334" i="5" s="1"/>
  <c r="G334" i="5"/>
  <c r="F334" i="5"/>
  <c r="K333" i="5"/>
  <c r="J333" i="5"/>
  <c r="H333" i="5"/>
  <c r="G333" i="5"/>
  <c r="F333" i="5"/>
  <c r="K332" i="5"/>
  <c r="J332" i="5"/>
  <c r="H332" i="5"/>
  <c r="R332" i="5" s="1"/>
  <c r="G332" i="5"/>
  <c r="F332" i="5"/>
  <c r="C331" i="5"/>
  <c r="V330" i="5"/>
  <c r="T330" i="5"/>
  <c r="U330" i="5"/>
  <c r="S330" i="5"/>
  <c r="H336" i="5" s="1"/>
  <c r="F330" i="5"/>
  <c r="E330" i="5"/>
  <c r="D330" i="5"/>
  <c r="I330" i="5"/>
  <c r="C330" i="5"/>
  <c r="B330" i="5"/>
  <c r="A330" i="5"/>
  <c r="L329" i="5"/>
  <c r="Q329" i="5" s="1"/>
  <c r="Z329" i="5"/>
  <c r="Y329" i="5"/>
  <c r="X329" i="5"/>
  <c r="K328" i="5"/>
  <c r="J328" i="5"/>
  <c r="Z328" i="5"/>
  <c r="Y328" i="5"/>
  <c r="X328" i="5"/>
  <c r="H328" i="5"/>
  <c r="W328" i="5" s="1"/>
  <c r="F328" i="5"/>
  <c r="V328" i="5"/>
  <c r="T328" i="5"/>
  <c r="U328" i="5"/>
  <c r="S328" i="5"/>
  <c r="E328" i="5"/>
  <c r="D328" i="5"/>
  <c r="C328" i="5"/>
  <c r="B328" i="5"/>
  <c r="A328" i="5"/>
  <c r="K327" i="5"/>
  <c r="J327" i="5"/>
  <c r="Z327" i="5"/>
  <c r="Y327" i="5"/>
  <c r="X327" i="5"/>
  <c r="H327" i="5"/>
  <c r="W327" i="5" s="1"/>
  <c r="F327" i="5"/>
  <c r="V327" i="5"/>
  <c r="T327" i="5"/>
  <c r="U327" i="5"/>
  <c r="S327" i="5"/>
  <c r="E327" i="5"/>
  <c r="D327" i="5"/>
  <c r="C327" i="5"/>
  <c r="B327" i="5"/>
  <c r="A327" i="5"/>
  <c r="L326" i="5"/>
  <c r="G326" i="5"/>
  <c r="E326" i="5"/>
  <c r="J325" i="5"/>
  <c r="F325" i="5"/>
  <c r="E325" i="5"/>
  <c r="J324" i="5"/>
  <c r="F324" i="5"/>
  <c r="E324" i="5"/>
  <c r="K323" i="5"/>
  <c r="J323" i="5"/>
  <c r="H323" i="5"/>
  <c r="G323" i="5"/>
  <c r="F323" i="5"/>
  <c r="K322" i="5"/>
  <c r="J322" i="5"/>
  <c r="H322" i="5"/>
  <c r="R322" i="5" s="1"/>
  <c r="G322" i="5"/>
  <c r="F322" i="5"/>
  <c r="K321" i="5"/>
  <c r="J321" i="5"/>
  <c r="H321" i="5"/>
  <c r="G321" i="5"/>
  <c r="F321" i="5"/>
  <c r="K320" i="5"/>
  <c r="J320" i="5"/>
  <c r="H320" i="5"/>
  <c r="R320" i="5" s="1"/>
  <c r="G320" i="5"/>
  <c r="F320" i="5"/>
  <c r="C319" i="5"/>
  <c r="V318" i="5"/>
  <c r="T318" i="5"/>
  <c r="U318" i="5"/>
  <c r="S318" i="5"/>
  <c r="F318" i="5"/>
  <c r="E318" i="5"/>
  <c r="D318" i="5"/>
  <c r="I318" i="5"/>
  <c r="C318" i="5"/>
  <c r="B318" i="5"/>
  <c r="A318" i="5"/>
  <c r="L317" i="5"/>
  <c r="Q317" i="5" s="1"/>
  <c r="Z317" i="5"/>
  <c r="Y317" i="5"/>
  <c r="X317" i="5"/>
  <c r="K316" i="5"/>
  <c r="J316" i="5"/>
  <c r="Z316" i="5"/>
  <c r="Y316" i="5"/>
  <c r="X316" i="5"/>
  <c r="H316" i="5"/>
  <c r="W316" i="5" s="1"/>
  <c r="F316" i="5"/>
  <c r="V316" i="5"/>
  <c r="T316" i="5"/>
  <c r="U316" i="5"/>
  <c r="S316" i="5"/>
  <c r="E316" i="5"/>
  <c r="D316" i="5"/>
  <c r="C316" i="5"/>
  <c r="B316" i="5"/>
  <c r="A316" i="5"/>
  <c r="K315" i="5"/>
  <c r="J315" i="5"/>
  <c r="Z315" i="5"/>
  <c r="Y315" i="5"/>
  <c r="X315" i="5"/>
  <c r="H315" i="5"/>
  <c r="W315" i="5" s="1"/>
  <c r="F315" i="5"/>
  <c r="V315" i="5"/>
  <c r="T315" i="5"/>
  <c r="U315" i="5"/>
  <c r="S315" i="5"/>
  <c r="E315" i="5"/>
  <c r="D315" i="5"/>
  <c r="C315" i="5"/>
  <c r="B315" i="5"/>
  <c r="A315" i="5"/>
  <c r="L314" i="5"/>
  <c r="G314" i="5"/>
  <c r="E314" i="5"/>
  <c r="J313" i="5"/>
  <c r="F313" i="5"/>
  <c r="E313" i="5"/>
  <c r="J312" i="5"/>
  <c r="F312" i="5"/>
  <c r="E312" i="5"/>
  <c r="K311" i="5"/>
  <c r="J311" i="5"/>
  <c r="H311" i="5"/>
  <c r="G311" i="5"/>
  <c r="F311" i="5"/>
  <c r="K310" i="5"/>
  <c r="J310" i="5"/>
  <c r="H310" i="5"/>
  <c r="G310" i="5"/>
  <c r="F310" i="5"/>
  <c r="K309" i="5"/>
  <c r="J309" i="5"/>
  <c r="H309" i="5"/>
  <c r="R309" i="5" s="1"/>
  <c r="G309" i="5"/>
  <c r="F309" i="5"/>
  <c r="V308" i="5"/>
  <c r="T308" i="5"/>
  <c r="U308" i="5"/>
  <c r="S308" i="5"/>
  <c r="H312" i="5" s="1"/>
  <c r="F308" i="5"/>
  <c r="E308" i="5"/>
  <c r="D308" i="5"/>
  <c r="I308" i="5"/>
  <c r="C308" i="5"/>
  <c r="B308" i="5"/>
  <c r="A308" i="5"/>
  <c r="L307" i="5"/>
  <c r="Q307" i="5" s="1"/>
  <c r="Z307" i="5"/>
  <c r="Y307" i="5"/>
  <c r="X307" i="5"/>
  <c r="K306" i="5"/>
  <c r="J306" i="5"/>
  <c r="Z306" i="5"/>
  <c r="Y306" i="5"/>
  <c r="X306" i="5"/>
  <c r="H306" i="5"/>
  <c r="W306" i="5" s="1"/>
  <c r="F306" i="5"/>
  <c r="V306" i="5"/>
  <c r="T306" i="5"/>
  <c r="U306" i="5"/>
  <c r="S306" i="5"/>
  <c r="E306" i="5"/>
  <c r="D306" i="5"/>
  <c r="C306" i="5"/>
  <c r="B306" i="5"/>
  <c r="A306" i="5"/>
  <c r="K305" i="5"/>
  <c r="J305" i="5"/>
  <c r="Z305" i="5"/>
  <c r="Y305" i="5"/>
  <c r="X305" i="5"/>
  <c r="H305" i="5"/>
  <c r="W305" i="5" s="1"/>
  <c r="F305" i="5"/>
  <c r="V305" i="5"/>
  <c r="T305" i="5"/>
  <c r="U305" i="5"/>
  <c r="S305" i="5"/>
  <c r="E305" i="5"/>
  <c r="D305" i="5"/>
  <c r="C305" i="5"/>
  <c r="B305" i="5"/>
  <c r="A305" i="5"/>
  <c r="K304" i="5"/>
  <c r="J304" i="5"/>
  <c r="Z304" i="5"/>
  <c r="Y304" i="5"/>
  <c r="X304" i="5"/>
  <c r="H304" i="5"/>
  <c r="W304" i="5" s="1"/>
  <c r="F304" i="5"/>
  <c r="V304" i="5"/>
  <c r="T304" i="5"/>
  <c r="U304" i="5"/>
  <c r="S304" i="5"/>
  <c r="E304" i="5"/>
  <c r="D304" i="5"/>
  <c r="C304" i="5"/>
  <c r="B304" i="5"/>
  <c r="A304" i="5"/>
  <c r="K303" i="5"/>
  <c r="J303" i="5"/>
  <c r="Z303" i="5"/>
  <c r="Y303" i="5"/>
  <c r="X303" i="5"/>
  <c r="H303" i="5"/>
  <c r="W303" i="5" s="1"/>
  <c r="F303" i="5"/>
  <c r="V303" i="5"/>
  <c r="T303" i="5"/>
  <c r="U303" i="5"/>
  <c r="S303" i="5"/>
  <c r="E303" i="5"/>
  <c r="D303" i="5"/>
  <c r="C303" i="5"/>
  <c r="B303" i="5"/>
  <c r="A303" i="5"/>
  <c r="L302" i="5"/>
  <c r="G302" i="5"/>
  <c r="E302" i="5"/>
  <c r="J301" i="5"/>
  <c r="F301" i="5"/>
  <c r="E301" i="5"/>
  <c r="J300" i="5"/>
  <c r="F300" i="5"/>
  <c r="E300" i="5"/>
  <c r="K299" i="5"/>
  <c r="J299" i="5"/>
  <c r="H299" i="5"/>
  <c r="G299" i="5"/>
  <c r="F299" i="5"/>
  <c r="K298" i="5"/>
  <c r="J298" i="5"/>
  <c r="H298" i="5"/>
  <c r="R298" i="5" s="1"/>
  <c r="G298" i="5"/>
  <c r="F298" i="5"/>
  <c r="K297" i="5"/>
  <c r="J297" i="5"/>
  <c r="H297" i="5"/>
  <c r="G297" i="5"/>
  <c r="F297" i="5"/>
  <c r="K296" i="5"/>
  <c r="J296" i="5"/>
  <c r="H296" i="5"/>
  <c r="R296" i="5" s="1"/>
  <c r="G296" i="5"/>
  <c r="F296" i="5"/>
  <c r="C295" i="5"/>
  <c r="V294" i="5"/>
  <c r="T294" i="5"/>
  <c r="U294" i="5"/>
  <c r="S294" i="5"/>
  <c r="F294" i="5"/>
  <c r="E294" i="5"/>
  <c r="D294" i="5"/>
  <c r="I294" i="5"/>
  <c r="C294" i="5"/>
  <c r="B294" i="5"/>
  <c r="A294" i="5"/>
  <c r="L293" i="5"/>
  <c r="Q293" i="5" s="1"/>
  <c r="Z293" i="5"/>
  <c r="Y293" i="5"/>
  <c r="X293" i="5"/>
  <c r="K292" i="5"/>
  <c r="J292" i="5"/>
  <c r="Z292" i="5"/>
  <c r="Y292" i="5"/>
  <c r="X292" i="5"/>
  <c r="H292" i="5"/>
  <c r="W292" i="5" s="1"/>
  <c r="F292" i="5"/>
  <c r="V292" i="5"/>
  <c r="T292" i="5"/>
  <c r="U292" i="5"/>
  <c r="S292" i="5"/>
  <c r="E292" i="5"/>
  <c r="D292" i="5"/>
  <c r="C292" i="5"/>
  <c r="B292" i="5"/>
  <c r="A292" i="5"/>
  <c r="K291" i="5"/>
  <c r="J291" i="5"/>
  <c r="Z291" i="5"/>
  <c r="Y291" i="5"/>
  <c r="X291" i="5"/>
  <c r="H291" i="5"/>
  <c r="W291" i="5" s="1"/>
  <c r="F291" i="5"/>
  <c r="V291" i="5"/>
  <c r="T291" i="5"/>
  <c r="U291" i="5"/>
  <c r="S291" i="5"/>
  <c r="E291" i="5"/>
  <c r="D291" i="5"/>
  <c r="C291" i="5"/>
  <c r="B291" i="5"/>
  <c r="A291" i="5"/>
  <c r="K290" i="5"/>
  <c r="J290" i="5"/>
  <c r="Z290" i="5"/>
  <c r="Y290" i="5"/>
  <c r="X290" i="5"/>
  <c r="H290" i="5"/>
  <c r="W290" i="5" s="1"/>
  <c r="F290" i="5"/>
  <c r="V290" i="5"/>
  <c r="T290" i="5"/>
  <c r="U290" i="5"/>
  <c r="S290" i="5"/>
  <c r="E290" i="5"/>
  <c r="D290" i="5"/>
  <c r="C290" i="5"/>
  <c r="B290" i="5"/>
  <c r="A290" i="5"/>
  <c r="K289" i="5"/>
  <c r="J289" i="5"/>
  <c r="Z289" i="5"/>
  <c r="Y289" i="5"/>
  <c r="X289" i="5"/>
  <c r="H289" i="5"/>
  <c r="W289" i="5" s="1"/>
  <c r="F289" i="5"/>
  <c r="V289" i="5"/>
  <c r="T289" i="5"/>
  <c r="U289" i="5"/>
  <c r="S289" i="5"/>
  <c r="E289" i="5"/>
  <c r="D289" i="5"/>
  <c r="C289" i="5"/>
  <c r="B289" i="5"/>
  <c r="A289" i="5"/>
  <c r="K288" i="5"/>
  <c r="J288" i="5"/>
  <c r="Z288" i="5"/>
  <c r="Y288" i="5"/>
  <c r="X288" i="5"/>
  <c r="H288" i="5"/>
  <c r="W288" i="5" s="1"/>
  <c r="F288" i="5"/>
  <c r="V288" i="5"/>
  <c r="T288" i="5"/>
  <c r="U288" i="5"/>
  <c r="S288" i="5"/>
  <c r="E288" i="5"/>
  <c r="D288" i="5"/>
  <c r="C288" i="5"/>
  <c r="B288" i="5"/>
  <c r="A288" i="5"/>
  <c r="K287" i="5"/>
  <c r="J287" i="5"/>
  <c r="Z287" i="5"/>
  <c r="Y287" i="5"/>
  <c r="X287" i="5"/>
  <c r="H287" i="5"/>
  <c r="W287" i="5" s="1"/>
  <c r="F287" i="5"/>
  <c r="V287" i="5"/>
  <c r="T287" i="5"/>
  <c r="U287" i="5"/>
  <c r="S287" i="5"/>
  <c r="E287" i="5"/>
  <c r="D287" i="5"/>
  <c r="C287" i="5"/>
  <c r="B287" i="5"/>
  <c r="A287" i="5"/>
  <c r="L286" i="5"/>
  <c r="G286" i="5"/>
  <c r="E286" i="5"/>
  <c r="J285" i="5"/>
  <c r="E285" i="5"/>
  <c r="J284" i="5"/>
  <c r="E284" i="5"/>
  <c r="K283" i="5"/>
  <c r="J283" i="5"/>
  <c r="H283" i="5"/>
  <c r="G283" i="5"/>
  <c r="F283" i="5"/>
  <c r="K282" i="5"/>
  <c r="J282" i="5"/>
  <c r="H282" i="5"/>
  <c r="R282" i="5" s="1"/>
  <c r="G282" i="5"/>
  <c r="F282" i="5"/>
  <c r="K281" i="5"/>
  <c r="J281" i="5"/>
  <c r="H281" i="5"/>
  <c r="G281" i="5"/>
  <c r="F281" i="5"/>
  <c r="K280" i="5"/>
  <c r="J280" i="5"/>
  <c r="H280" i="5"/>
  <c r="R280" i="5" s="1"/>
  <c r="G280" i="5"/>
  <c r="F280" i="5"/>
  <c r="V279" i="5"/>
  <c r="T279" i="5"/>
  <c r="U279" i="5"/>
  <c r="S279" i="5"/>
  <c r="H284" i="5" s="1"/>
  <c r="F279" i="5"/>
  <c r="E279" i="5"/>
  <c r="D279" i="5"/>
  <c r="I279" i="5"/>
  <c r="C279" i="5"/>
  <c r="B279" i="5"/>
  <c r="A279" i="5"/>
  <c r="L278" i="5"/>
  <c r="Q278" i="5" s="1"/>
  <c r="Z278" i="5"/>
  <c r="Y278" i="5"/>
  <c r="X278" i="5"/>
  <c r="K277" i="5"/>
  <c r="J277" i="5"/>
  <c r="Z277" i="5"/>
  <c r="Y277" i="5"/>
  <c r="X277" i="5"/>
  <c r="H277" i="5"/>
  <c r="W277" i="5" s="1"/>
  <c r="F277" i="5"/>
  <c r="V277" i="5"/>
  <c r="T277" i="5"/>
  <c r="U277" i="5"/>
  <c r="S277" i="5"/>
  <c r="E277" i="5"/>
  <c r="D277" i="5"/>
  <c r="C277" i="5"/>
  <c r="B277" i="5"/>
  <c r="A277" i="5"/>
  <c r="L276" i="5"/>
  <c r="G276" i="5"/>
  <c r="E276" i="5"/>
  <c r="J275" i="5"/>
  <c r="E275" i="5"/>
  <c r="J274" i="5"/>
  <c r="E274" i="5"/>
  <c r="K273" i="5"/>
  <c r="J273" i="5"/>
  <c r="H273" i="5"/>
  <c r="G273" i="5"/>
  <c r="F273" i="5"/>
  <c r="K272" i="5"/>
  <c r="J272" i="5"/>
  <c r="H272" i="5"/>
  <c r="R272" i="5" s="1"/>
  <c r="G272" i="5"/>
  <c r="F272" i="5"/>
  <c r="K271" i="5"/>
  <c r="J271" i="5"/>
  <c r="H271" i="5"/>
  <c r="G271" i="5"/>
  <c r="F271" i="5"/>
  <c r="K270" i="5"/>
  <c r="J270" i="5"/>
  <c r="H270" i="5"/>
  <c r="R270" i="5" s="1"/>
  <c r="G270" i="5"/>
  <c r="F270" i="5"/>
  <c r="C269" i="5"/>
  <c r="V268" i="5"/>
  <c r="T268" i="5"/>
  <c r="U268" i="5"/>
  <c r="S268" i="5"/>
  <c r="F268" i="5"/>
  <c r="E268" i="5"/>
  <c r="D268" i="5"/>
  <c r="I268" i="5"/>
  <c r="C268" i="5"/>
  <c r="B268" i="5"/>
  <c r="A268" i="5"/>
  <c r="L267" i="5"/>
  <c r="Q267" i="5" s="1"/>
  <c r="Z267" i="5"/>
  <c r="Y267" i="5"/>
  <c r="X267" i="5"/>
  <c r="L266" i="5"/>
  <c r="G266" i="5"/>
  <c r="E266" i="5"/>
  <c r="J265" i="5"/>
  <c r="F265" i="5"/>
  <c r="E265" i="5"/>
  <c r="J264" i="5"/>
  <c r="F264" i="5"/>
  <c r="E264" i="5"/>
  <c r="K263" i="5"/>
  <c r="J263" i="5"/>
  <c r="H263" i="5"/>
  <c r="G263" i="5"/>
  <c r="F263" i="5"/>
  <c r="K262" i="5"/>
  <c r="J262" i="5"/>
  <c r="H262" i="5"/>
  <c r="G262" i="5"/>
  <c r="F262" i="5"/>
  <c r="C261" i="5"/>
  <c r="V260" i="5"/>
  <c r="K265" i="5" s="1"/>
  <c r="T260" i="5"/>
  <c r="K264" i="5" s="1"/>
  <c r="U260" i="5"/>
  <c r="H265" i="5" s="1"/>
  <c r="S260" i="5"/>
  <c r="H264" i="5" s="1"/>
  <c r="F260" i="5"/>
  <c r="E260" i="5"/>
  <c r="D260" i="5"/>
  <c r="I260" i="5"/>
  <c r="C260" i="5"/>
  <c r="B260" i="5"/>
  <c r="A260" i="5"/>
  <c r="L259" i="5"/>
  <c r="Q259" i="5" s="1"/>
  <c r="Z259" i="5"/>
  <c r="Y259" i="5"/>
  <c r="X259" i="5"/>
  <c r="K258" i="5"/>
  <c r="J258" i="5"/>
  <c r="Z258" i="5"/>
  <c r="Y258" i="5"/>
  <c r="X258" i="5"/>
  <c r="H258" i="5"/>
  <c r="W258" i="5" s="1"/>
  <c r="F258" i="5"/>
  <c r="V258" i="5"/>
  <c r="T258" i="5"/>
  <c r="U258" i="5"/>
  <c r="S258" i="5"/>
  <c r="E258" i="5"/>
  <c r="D258" i="5"/>
  <c r="C258" i="5"/>
  <c r="B258" i="5"/>
  <c r="A258" i="5"/>
  <c r="K257" i="5"/>
  <c r="J257" i="5"/>
  <c r="Z257" i="5"/>
  <c r="Y257" i="5"/>
  <c r="X257" i="5"/>
  <c r="H257" i="5"/>
  <c r="W257" i="5" s="1"/>
  <c r="F257" i="5"/>
  <c r="V257" i="5"/>
  <c r="T257" i="5"/>
  <c r="U257" i="5"/>
  <c r="S257" i="5"/>
  <c r="E257" i="5"/>
  <c r="D257" i="5"/>
  <c r="C257" i="5"/>
  <c r="B257" i="5"/>
  <c r="A257" i="5"/>
  <c r="K256" i="5"/>
  <c r="J256" i="5"/>
  <c r="Z256" i="5"/>
  <c r="Y256" i="5"/>
  <c r="X256" i="5"/>
  <c r="H256" i="5"/>
  <c r="W256" i="5" s="1"/>
  <c r="F256" i="5"/>
  <c r="V256" i="5"/>
  <c r="T256" i="5"/>
  <c r="U256" i="5"/>
  <c r="S256" i="5"/>
  <c r="E256" i="5"/>
  <c r="D256" i="5"/>
  <c r="C256" i="5"/>
  <c r="B256" i="5"/>
  <c r="A256" i="5"/>
  <c r="K255" i="5"/>
  <c r="J255" i="5"/>
  <c r="Z255" i="5"/>
  <c r="Y255" i="5"/>
  <c r="X255" i="5"/>
  <c r="H255" i="5"/>
  <c r="W255" i="5" s="1"/>
  <c r="F255" i="5"/>
  <c r="V255" i="5"/>
  <c r="T255" i="5"/>
  <c r="U255" i="5"/>
  <c r="S255" i="5"/>
  <c r="E255" i="5"/>
  <c r="D255" i="5"/>
  <c r="C255" i="5"/>
  <c r="B255" i="5"/>
  <c r="A255" i="5"/>
  <c r="L254" i="5"/>
  <c r="G254" i="5"/>
  <c r="E254" i="5"/>
  <c r="J253" i="5"/>
  <c r="F253" i="5"/>
  <c r="E253" i="5"/>
  <c r="J252" i="5"/>
  <c r="F252" i="5"/>
  <c r="E252" i="5"/>
  <c r="K251" i="5"/>
  <c r="J251" i="5"/>
  <c r="H251" i="5"/>
  <c r="G251" i="5"/>
  <c r="F251" i="5"/>
  <c r="K250" i="5"/>
  <c r="J250" i="5"/>
  <c r="H250" i="5"/>
  <c r="R250" i="5" s="1"/>
  <c r="G250" i="5"/>
  <c r="F250" i="5"/>
  <c r="K249" i="5"/>
  <c r="J249" i="5"/>
  <c r="H249" i="5"/>
  <c r="G249" i="5"/>
  <c r="F249" i="5"/>
  <c r="K248" i="5"/>
  <c r="J248" i="5"/>
  <c r="H248" i="5"/>
  <c r="G248" i="5"/>
  <c r="F248" i="5"/>
  <c r="C247" i="5"/>
  <c r="V246" i="5"/>
  <c r="T246" i="5"/>
  <c r="U246" i="5"/>
  <c r="S246" i="5"/>
  <c r="F246" i="5"/>
  <c r="E246" i="5"/>
  <c r="D246" i="5"/>
  <c r="I246" i="5"/>
  <c r="C246" i="5"/>
  <c r="B246" i="5"/>
  <c r="A246" i="5"/>
  <c r="L245" i="5"/>
  <c r="Q245" i="5" s="1"/>
  <c r="Z245" i="5"/>
  <c r="Y245" i="5"/>
  <c r="X245" i="5"/>
  <c r="K244" i="5"/>
  <c r="J244" i="5"/>
  <c r="Z244" i="5"/>
  <c r="Y244" i="5"/>
  <c r="X244" i="5"/>
  <c r="H244" i="5"/>
  <c r="W244" i="5" s="1"/>
  <c r="F244" i="5"/>
  <c r="V244" i="5"/>
  <c r="T244" i="5"/>
  <c r="U244" i="5"/>
  <c r="S244" i="5"/>
  <c r="E244" i="5"/>
  <c r="D244" i="5"/>
  <c r="C244" i="5"/>
  <c r="B244" i="5"/>
  <c r="A244" i="5"/>
  <c r="L243" i="5"/>
  <c r="G243" i="5"/>
  <c r="E243" i="5"/>
  <c r="J242" i="5"/>
  <c r="F242" i="5"/>
  <c r="E242" i="5"/>
  <c r="J241" i="5"/>
  <c r="F241" i="5"/>
  <c r="E241" i="5"/>
  <c r="K240" i="5"/>
  <c r="J240" i="5"/>
  <c r="H240" i="5"/>
  <c r="G240" i="5"/>
  <c r="F240" i="5"/>
  <c r="K239" i="5"/>
  <c r="J239" i="5"/>
  <c r="H239" i="5"/>
  <c r="G239" i="5"/>
  <c r="F239" i="5"/>
  <c r="K238" i="5"/>
  <c r="J238" i="5"/>
  <c r="H238" i="5"/>
  <c r="R238" i="5" s="1"/>
  <c r="G238" i="5"/>
  <c r="F238" i="5"/>
  <c r="V237" i="5"/>
  <c r="T237" i="5"/>
  <c r="U237" i="5"/>
  <c r="S237" i="5"/>
  <c r="F237" i="5"/>
  <c r="E237" i="5"/>
  <c r="D237" i="5"/>
  <c r="I237" i="5"/>
  <c r="C237" i="5"/>
  <c r="B237" i="5"/>
  <c r="A237" i="5"/>
  <c r="L236" i="5"/>
  <c r="Q236" i="5" s="1"/>
  <c r="Z236" i="5"/>
  <c r="Y236" i="5"/>
  <c r="X236" i="5"/>
  <c r="K235" i="5"/>
  <c r="J235" i="5"/>
  <c r="Z235" i="5"/>
  <c r="Y235" i="5"/>
  <c r="X235" i="5"/>
  <c r="H235" i="5"/>
  <c r="W235" i="5" s="1"/>
  <c r="F235" i="5"/>
  <c r="V235" i="5"/>
  <c r="T235" i="5"/>
  <c r="U235" i="5"/>
  <c r="S235" i="5"/>
  <c r="E235" i="5"/>
  <c r="D235" i="5"/>
  <c r="C235" i="5"/>
  <c r="B235" i="5"/>
  <c r="A235" i="5"/>
  <c r="K234" i="5"/>
  <c r="J234" i="5"/>
  <c r="Z234" i="5"/>
  <c r="Y234" i="5"/>
  <c r="X234" i="5"/>
  <c r="H234" i="5"/>
  <c r="W234" i="5" s="1"/>
  <c r="F234" i="5"/>
  <c r="V234" i="5"/>
  <c r="T234" i="5"/>
  <c r="U234" i="5"/>
  <c r="S234" i="5"/>
  <c r="E234" i="5"/>
  <c r="D234" i="5"/>
  <c r="C234" i="5"/>
  <c r="B234" i="5"/>
  <c r="A234" i="5"/>
  <c r="K233" i="5"/>
  <c r="J233" i="5"/>
  <c r="Z233" i="5"/>
  <c r="Y233" i="5"/>
  <c r="X233" i="5"/>
  <c r="H233" i="5"/>
  <c r="W233" i="5" s="1"/>
  <c r="F233" i="5"/>
  <c r="V233" i="5"/>
  <c r="T233" i="5"/>
  <c r="U233" i="5"/>
  <c r="S233" i="5"/>
  <c r="E233" i="5"/>
  <c r="D233" i="5"/>
  <c r="C233" i="5"/>
  <c r="B233" i="5"/>
  <c r="A233" i="5"/>
  <c r="L232" i="5"/>
  <c r="G232" i="5"/>
  <c r="E232" i="5"/>
  <c r="J231" i="5"/>
  <c r="F231" i="5"/>
  <c r="E231" i="5"/>
  <c r="J230" i="5"/>
  <c r="F230" i="5"/>
  <c r="E230" i="5"/>
  <c r="K229" i="5"/>
  <c r="J229" i="5"/>
  <c r="H229" i="5"/>
  <c r="G229" i="5"/>
  <c r="F229" i="5"/>
  <c r="K228" i="5"/>
  <c r="J228" i="5"/>
  <c r="H228" i="5"/>
  <c r="R228" i="5" s="1"/>
  <c r="G228" i="5"/>
  <c r="F228" i="5"/>
  <c r="K227" i="5"/>
  <c r="J227" i="5"/>
  <c r="H227" i="5"/>
  <c r="G227" i="5"/>
  <c r="F227" i="5"/>
  <c r="K226" i="5"/>
  <c r="J226" i="5"/>
  <c r="H226" i="5"/>
  <c r="G226" i="5"/>
  <c r="F226" i="5"/>
  <c r="V225" i="5"/>
  <c r="T225" i="5"/>
  <c r="U225" i="5"/>
  <c r="S225" i="5"/>
  <c r="F225" i="5"/>
  <c r="E225" i="5"/>
  <c r="D225" i="5"/>
  <c r="I225" i="5"/>
  <c r="C225" i="5"/>
  <c r="B225" i="5"/>
  <c r="A225" i="5"/>
  <c r="L224" i="5"/>
  <c r="Q224" i="5" s="1"/>
  <c r="Z224" i="5"/>
  <c r="Y224" i="5"/>
  <c r="X224" i="5"/>
  <c r="K223" i="5"/>
  <c r="J223" i="5"/>
  <c r="Z223" i="5"/>
  <c r="Y223" i="5"/>
  <c r="X223" i="5"/>
  <c r="H223" i="5"/>
  <c r="W223" i="5" s="1"/>
  <c r="F223" i="5"/>
  <c r="V223" i="5"/>
  <c r="T223" i="5"/>
  <c r="U223" i="5"/>
  <c r="S223" i="5"/>
  <c r="E223" i="5"/>
  <c r="D223" i="5"/>
  <c r="C223" i="5"/>
  <c r="B223" i="5"/>
  <c r="A223" i="5"/>
  <c r="K222" i="5"/>
  <c r="J222" i="5"/>
  <c r="Z222" i="5"/>
  <c r="Y222" i="5"/>
  <c r="X222" i="5"/>
  <c r="H222" i="5"/>
  <c r="W222" i="5" s="1"/>
  <c r="F222" i="5"/>
  <c r="V222" i="5"/>
  <c r="T222" i="5"/>
  <c r="U222" i="5"/>
  <c r="S222" i="5"/>
  <c r="E222" i="5"/>
  <c r="D222" i="5"/>
  <c r="C222" i="5"/>
  <c r="B222" i="5"/>
  <c r="A222" i="5"/>
  <c r="L221" i="5"/>
  <c r="G221" i="5"/>
  <c r="E221" i="5"/>
  <c r="J220" i="5"/>
  <c r="F220" i="5"/>
  <c r="E220" i="5"/>
  <c r="J219" i="5"/>
  <c r="F219" i="5"/>
  <c r="E219" i="5"/>
  <c r="K218" i="5"/>
  <c r="J218" i="5"/>
  <c r="H218" i="5"/>
  <c r="G218" i="5"/>
  <c r="F218" i="5"/>
  <c r="K217" i="5"/>
  <c r="J217" i="5"/>
  <c r="H217" i="5"/>
  <c r="R217" i="5" s="1"/>
  <c r="G217" i="5"/>
  <c r="F217" i="5"/>
  <c r="K216" i="5"/>
  <c r="J216" i="5"/>
  <c r="H216" i="5"/>
  <c r="G216" i="5"/>
  <c r="F216" i="5"/>
  <c r="K215" i="5"/>
  <c r="J215" i="5"/>
  <c r="H215" i="5"/>
  <c r="R215" i="5" s="1"/>
  <c r="G215" i="5"/>
  <c r="F215" i="5"/>
  <c r="C214" i="5"/>
  <c r="V213" i="5"/>
  <c r="T213" i="5"/>
  <c r="U213" i="5"/>
  <c r="S213" i="5"/>
  <c r="F213" i="5"/>
  <c r="E213" i="5"/>
  <c r="D213" i="5"/>
  <c r="I213" i="5"/>
  <c r="C213" i="5"/>
  <c r="B213" i="5"/>
  <c r="A213" i="5"/>
  <c r="L212" i="5"/>
  <c r="Q212" i="5" s="1"/>
  <c r="Z212" i="5"/>
  <c r="Y212" i="5"/>
  <c r="X212" i="5"/>
  <c r="L211" i="5"/>
  <c r="G211" i="5"/>
  <c r="E211" i="5"/>
  <c r="J210" i="5"/>
  <c r="F210" i="5"/>
  <c r="E210" i="5"/>
  <c r="J209" i="5"/>
  <c r="F209" i="5"/>
  <c r="E209" i="5"/>
  <c r="K208" i="5"/>
  <c r="J208" i="5"/>
  <c r="H208" i="5"/>
  <c r="G208" i="5"/>
  <c r="F208" i="5"/>
  <c r="K207" i="5"/>
  <c r="J207" i="5"/>
  <c r="H207" i="5"/>
  <c r="R207" i="5" s="1"/>
  <c r="G207" i="5"/>
  <c r="F207" i="5"/>
  <c r="K206" i="5"/>
  <c r="J206" i="5"/>
  <c r="H206" i="5"/>
  <c r="G206" i="5"/>
  <c r="F206" i="5"/>
  <c r="K205" i="5"/>
  <c r="J205" i="5"/>
  <c r="H205" i="5"/>
  <c r="R205" i="5" s="1"/>
  <c r="G205" i="5"/>
  <c r="F205" i="5"/>
  <c r="C204" i="5"/>
  <c r="V203" i="5"/>
  <c r="K210" i="5" s="1"/>
  <c r="T203" i="5"/>
  <c r="K209" i="5" s="1"/>
  <c r="U203" i="5"/>
  <c r="H210" i="5" s="1"/>
  <c r="S203" i="5"/>
  <c r="H209" i="5" s="1"/>
  <c r="F203" i="5"/>
  <c r="E203" i="5"/>
  <c r="D203" i="5"/>
  <c r="I203" i="5"/>
  <c r="C203" i="5"/>
  <c r="B203" i="5"/>
  <c r="A203" i="5"/>
  <c r="L202" i="5"/>
  <c r="Q202" i="5" s="1"/>
  <c r="Z202" i="5"/>
  <c r="Y202" i="5"/>
  <c r="X202" i="5"/>
  <c r="K201" i="5"/>
  <c r="J201" i="5"/>
  <c r="Z201" i="5"/>
  <c r="Y201" i="5"/>
  <c r="X201" i="5"/>
  <c r="H201" i="5"/>
  <c r="W201" i="5" s="1"/>
  <c r="F201" i="5"/>
  <c r="V201" i="5"/>
  <c r="T201" i="5"/>
  <c r="U201" i="5"/>
  <c r="S201" i="5"/>
  <c r="E201" i="5"/>
  <c r="D201" i="5"/>
  <c r="C201" i="5"/>
  <c r="B201" i="5"/>
  <c r="A201" i="5"/>
  <c r="L200" i="5"/>
  <c r="G200" i="5"/>
  <c r="E200" i="5"/>
  <c r="J199" i="5"/>
  <c r="F199" i="5"/>
  <c r="E199" i="5"/>
  <c r="J198" i="5"/>
  <c r="F198" i="5"/>
  <c r="E198" i="5"/>
  <c r="K197" i="5"/>
  <c r="J197" i="5"/>
  <c r="H197" i="5"/>
  <c r="G197" i="5"/>
  <c r="F197" i="5"/>
  <c r="K196" i="5"/>
  <c r="J196" i="5"/>
  <c r="H196" i="5"/>
  <c r="R196" i="5" s="1"/>
  <c r="G196" i="5"/>
  <c r="F196" i="5"/>
  <c r="K195" i="5"/>
  <c r="J195" i="5"/>
  <c r="H195" i="5"/>
  <c r="G195" i="5"/>
  <c r="F195" i="5"/>
  <c r="K194" i="5"/>
  <c r="J194" i="5"/>
  <c r="H194" i="5"/>
  <c r="R194" i="5" s="1"/>
  <c r="G194" i="5"/>
  <c r="F194" i="5"/>
  <c r="C193" i="5"/>
  <c r="V192" i="5"/>
  <c r="T192" i="5"/>
  <c r="U192" i="5"/>
  <c r="S192" i="5"/>
  <c r="F192" i="5"/>
  <c r="E192" i="5"/>
  <c r="D192" i="5"/>
  <c r="I192" i="5"/>
  <c r="C192" i="5"/>
  <c r="B192" i="5"/>
  <c r="A192" i="5"/>
  <c r="L191" i="5"/>
  <c r="Q191" i="5" s="1"/>
  <c r="Z191" i="5"/>
  <c r="Y191" i="5"/>
  <c r="X191" i="5"/>
  <c r="L190" i="5"/>
  <c r="G190" i="5"/>
  <c r="E190" i="5"/>
  <c r="J189" i="5"/>
  <c r="F189" i="5"/>
  <c r="E189" i="5"/>
  <c r="J188" i="5"/>
  <c r="F188" i="5"/>
  <c r="E188" i="5"/>
  <c r="K187" i="5"/>
  <c r="J187" i="5"/>
  <c r="H187" i="5"/>
  <c r="G187" i="5"/>
  <c r="F187" i="5"/>
  <c r="K186" i="5"/>
  <c r="J186" i="5"/>
  <c r="H186" i="5"/>
  <c r="R186" i="5" s="1"/>
  <c r="G186" i="5"/>
  <c r="F186" i="5"/>
  <c r="K185" i="5"/>
  <c r="J185" i="5"/>
  <c r="H185" i="5"/>
  <c r="G185" i="5"/>
  <c r="F185" i="5"/>
  <c r="K184" i="5"/>
  <c r="J184" i="5"/>
  <c r="H184" i="5"/>
  <c r="R184" i="5" s="1"/>
  <c r="G184" i="5"/>
  <c r="F184" i="5"/>
  <c r="C183" i="5"/>
  <c r="V182" i="5"/>
  <c r="K189" i="5" s="1"/>
  <c r="T182" i="5"/>
  <c r="K188" i="5" s="1"/>
  <c r="U182" i="5"/>
  <c r="H189" i="5" s="1"/>
  <c r="S182" i="5"/>
  <c r="H188" i="5" s="1"/>
  <c r="F182" i="5"/>
  <c r="E182" i="5"/>
  <c r="D182" i="5"/>
  <c r="I182" i="5"/>
  <c r="C182" i="5"/>
  <c r="B182" i="5"/>
  <c r="A182" i="5"/>
  <c r="L181" i="5"/>
  <c r="Q181" i="5" s="1"/>
  <c r="Z181" i="5"/>
  <c r="Y181" i="5"/>
  <c r="X181" i="5"/>
  <c r="K180" i="5"/>
  <c r="J180" i="5"/>
  <c r="Z180" i="5"/>
  <c r="Y180" i="5"/>
  <c r="X180" i="5"/>
  <c r="H180" i="5"/>
  <c r="W180" i="5" s="1"/>
  <c r="F180" i="5"/>
  <c r="V180" i="5"/>
  <c r="T180" i="5"/>
  <c r="U180" i="5"/>
  <c r="S180" i="5"/>
  <c r="E180" i="5"/>
  <c r="D180" i="5"/>
  <c r="C180" i="5"/>
  <c r="B180" i="5"/>
  <c r="A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L178" i="5"/>
  <c r="G178" i="5"/>
  <c r="E178" i="5"/>
  <c r="J177" i="5"/>
  <c r="F177" i="5"/>
  <c r="E177" i="5"/>
  <c r="J176" i="5"/>
  <c r="F176" i="5"/>
  <c r="E176" i="5"/>
  <c r="K175" i="5"/>
  <c r="J175" i="5"/>
  <c r="H175" i="5"/>
  <c r="G175" i="5"/>
  <c r="F175" i="5"/>
  <c r="K174" i="5"/>
  <c r="J174" i="5"/>
  <c r="H174" i="5"/>
  <c r="R174" i="5" s="1"/>
  <c r="G174" i="5"/>
  <c r="F174" i="5"/>
  <c r="K173" i="5"/>
  <c r="J173" i="5"/>
  <c r="H173" i="5"/>
  <c r="G173" i="5"/>
  <c r="F173" i="5"/>
  <c r="K172" i="5"/>
  <c r="J172" i="5"/>
  <c r="H172" i="5"/>
  <c r="R172" i="5" s="1"/>
  <c r="G172" i="5"/>
  <c r="F172" i="5"/>
  <c r="C171" i="5"/>
  <c r="V170" i="5"/>
  <c r="T170" i="5"/>
  <c r="U170" i="5"/>
  <c r="S170" i="5"/>
  <c r="F170" i="5"/>
  <c r="E170" i="5"/>
  <c r="D170" i="5"/>
  <c r="I170" i="5"/>
  <c r="C170" i="5"/>
  <c r="B170" i="5"/>
  <c r="A170" i="5"/>
  <c r="L169" i="5"/>
  <c r="Q169" i="5" s="1"/>
  <c r="Z169" i="5"/>
  <c r="Y169" i="5"/>
  <c r="X169" i="5"/>
  <c r="K168" i="5"/>
  <c r="J168" i="5"/>
  <c r="Z168" i="5"/>
  <c r="Y168" i="5"/>
  <c r="X168" i="5"/>
  <c r="H168" i="5"/>
  <c r="W168" i="5" s="1"/>
  <c r="F168" i="5"/>
  <c r="V168" i="5"/>
  <c r="T168" i="5"/>
  <c r="U168" i="5"/>
  <c r="S168" i="5"/>
  <c r="E168" i="5"/>
  <c r="D168" i="5"/>
  <c r="C168" i="5"/>
  <c r="B168" i="5"/>
  <c r="A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L166" i="5"/>
  <c r="G166" i="5"/>
  <c r="E166" i="5"/>
  <c r="J165" i="5"/>
  <c r="F165" i="5"/>
  <c r="E165" i="5"/>
  <c r="J164" i="5"/>
  <c r="F164" i="5"/>
  <c r="E164" i="5"/>
  <c r="K163" i="5"/>
  <c r="J163" i="5"/>
  <c r="H163" i="5"/>
  <c r="G163" i="5"/>
  <c r="F163" i="5"/>
  <c r="K162" i="5"/>
  <c r="J162" i="5"/>
  <c r="H162" i="5"/>
  <c r="R162" i="5" s="1"/>
  <c r="G162" i="5"/>
  <c r="F162" i="5"/>
  <c r="K161" i="5"/>
  <c r="J161" i="5"/>
  <c r="H161" i="5"/>
  <c r="G161" i="5"/>
  <c r="F161" i="5"/>
  <c r="K160" i="5"/>
  <c r="J160" i="5"/>
  <c r="H160" i="5"/>
  <c r="G160" i="5"/>
  <c r="F160" i="5"/>
  <c r="C159" i="5"/>
  <c r="V158" i="5"/>
  <c r="T158" i="5"/>
  <c r="U158" i="5"/>
  <c r="S158" i="5"/>
  <c r="F158" i="5"/>
  <c r="E158" i="5"/>
  <c r="D158" i="5"/>
  <c r="I158" i="5"/>
  <c r="C158" i="5"/>
  <c r="B158" i="5"/>
  <c r="A158" i="5"/>
  <c r="A157" i="5"/>
  <c r="A156" i="5"/>
  <c r="L154" i="5"/>
  <c r="Q154" i="5" s="1"/>
  <c r="Z154" i="5"/>
  <c r="Y154" i="5"/>
  <c r="X154" i="5"/>
  <c r="L153" i="5"/>
  <c r="G153" i="5"/>
  <c r="E153" i="5"/>
  <c r="J152" i="5"/>
  <c r="E152" i="5"/>
  <c r="J151" i="5"/>
  <c r="E151" i="5"/>
  <c r="K150" i="5"/>
  <c r="J150" i="5"/>
  <c r="H150" i="5"/>
  <c r="G150" i="5"/>
  <c r="F150" i="5"/>
  <c r="C149" i="5"/>
  <c r="V148" i="5"/>
  <c r="K152" i="5" s="1"/>
  <c r="T148" i="5"/>
  <c r="K151" i="5" s="1"/>
  <c r="U148" i="5"/>
  <c r="H152" i="5" s="1"/>
  <c r="S148" i="5"/>
  <c r="H151" i="5" s="1"/>
  <c r="F148" i="5"/>
  <c r="E148" i="5"/>
  <c r="D148" i="5"/>
  <c r="I148" i="5"/>
  <c r="C148" i="5"/>
  <c r="B148" i="5"/>
  <c r="A148" i="5"/>
  <c r="L147" i="5"/>
  <c r="Q147" i="5" s="1"/>
  <c r="Z147" i="5"/>
  <c r="Y147" i="5"/>
  <c r="X147" i="5"/>
  <c r="L146" i="5"/>
  <c r="G146" i="5"/>
  <c r="E146" i="5"/>
  <c r="J145" i="5"/>
  <c r="F145" i="5"/>
  <c r="E145" i="5"/>
  <c r="J144" i="5"/>
  <c r="F144" i="5"/>
  <c r="E144" i="5"/>
  <c r="K143" i="5"/>
  <c r="J143" i="5"/>
  <c r="H143" i="5"/>
  <c r="R143" i="5" s="1"/>
  <c r="G143" i="5"/>
  <c r="F143" i="5"/>
  <c r="K142" i="5"/>
  <c r="J142" i="5"/>
  <c r="H142" i="5"/>
  <c r="G142" i="5"/>
  <c r="F142" i="5"/>
  <c r="K141" i="5"/>
  <c r="J141" i="5"/>
  <c r="H141" i="5"/>
  <c r="G141" i="5"/>
  <c r="F141" i="5"/>
  <c r="V140" i="5"/>
  <c r="K145" i="5" s="1"/>
  <c r="T140" i="5"/>
  <c r="K144" i="5" s="1"/>
  <c r="U140" i="5"/>
  <c r="H145" i="5" s="1"/>
  <c r="S140" i="5"/>
  <c r="H144" i="5" s="1"/>
  <c r="F140" i="5"/>
  <c r="E140" i="5"/>
  <c r="D140" i="5"/>
  <c r="I140" i="5"/>
  <c r="C140" i="5"/>
  <c r="B140" i="5"/>
  <c r="A140" i="5"/>
  <c r="L139" i="5"/>
  <c r="Q139" i="5" s="1"/>
  <c r="Z139" i="5"/>
  <c r="Y139" i="5"/>
  <c r="X139" i="5"/>
  <c r="L138" i="5"/>
  <c r="G138" i="5"/>
  <c r="E138" i="5"/>
  <c r="J137" i="5"/>
  <c r="E137" i="5"/>
  <c r="J136" i="5"/>
  <c r="E136" i="5"/>
  <c r="K135" i="5"/>
  <c r="J135" i="5"/>
  <c r="H135" i="5"/>
  <c r="R135" i="5" s="1"/>
  <c r="G135" i="5"/>
  <c r="F135" i="5"/>
  <c r="K134" i="5"/>
  <c r="J134" i="5"/>
  <c r="H134" i="5"/>
  <c r="G134" i="5"/>
  <c r="F134" i="5"/>
  <c r="K133" i="5"/>
  <c r="J133" i="5"/>
  <c r="H133" i="5"/>
  <c r="G133" i="5"/>
  <c r="F133" i="5"/>
  <c r="C132" i="5"/>
  <c r="V131" i="5"/>
  <c r="K137" i="5" s="1"/>
  <c r="T131" i="5"/>
  <c r="K136" i="5" s="1"/>
  <c r="U131" i="5"/>
  <c r="H137" i="5" s="1"/>
  <c r="S131" i="5"/>
  <c r="H136" i="5" s="1"/>
  <c r="F131" i="5"/>
  <c r="E131" i="5"/>
  <c r="D131" i="5"/>
  <c r="I131" i="5"/>
  <c r="C131" i="5"/>
  <c r="B131" i="5"/>
  <c r="A131" i="5"/>
  <c r="L130" i="5"/>
  <c r="Q130" i="5" s="1"/>
  <c r="Z130" i="5"/>
  <c r="Y130" i="5"/>
  <c r="X130" i="5"/>
  <c r="L129" i="5"/>
  <c r="G129" i="5"/>
  <c r="E129" i="5"/>
  <c r="J128" i="5"/>
  <c r="E128" i="5"/>
  <c r="J127" i="5"/>
  <c r="E127" i="5"/>
  <c r="K126" i="5"/>
  <c r="J126" i="5"/>
  <c r="H126" i="5"/>
  <c r="R126" i="5" s="1"/>
  <c r="G126" i="5"/>
  <c r="F126" i="5"/>
  <c r="K125" i="5"/>
  <c r="J125" i="5"/>
  <c r="H125" i="5"/>
  <c r="G125" i="5"/>
  <c r="F125" i="5"/>
  <c r="K124" i="5"/>
  <c r="J124" i="5"/>
  <c r="H124" i="5"/>
  <c r="R124" i="5" s="1"/>
  <c r="G124" i="5"/>
  <c r="F124" i="5"/>
  <c r="C123" i="5"/>
  <c r="V122" i="5"/>
  <c r="K128" i="5" s="1"/>
  <c r="T122" i="5"/>
  <c r="K127" i="5" s="1"/>
  <c r="U122" i="5"/>
  <c r="H128" i="5" s="1"/>
  <c r="S122" i="5"/>
  <c r="H127" i="5" s="1"/>
  <c r="F122" i="5"/>
  <c r="E122" i="5"/>
  <c r="D122" i="5"/>
  <c r="I122" i="5"/>
  <c r="C122" i="5"/>
  <c r="B122" i="5"/>
  <c r="A122" i="5"/>
  <c r="L121" i="5"/>
  <c r="Q121" i="5" s="1"/>
  <c r="Z121" i="5"/>
  <c r="Y121" i="5"/>
  <c r="X121" i="5"/>
  <c r="L120" i="5"/>
  <c r="G120" i="5"/>
  <c r="E120" i="5"/>
  <c r="J119" i="5"/>
  <c r="E119" i="5"/>
  <c r="J118" i="5"/>
  <c r="E118" i="5"/>
  <c r="K117" i="5"/>
  <c r="J117" i="5"/>
  <c r="H117" i="5"/>
  <c r="R117" i="5" s="1"/>
  <c r="G117" i="5"/>
  <c r="F117" i="5"/>
  <c r="C116" i="5"/>
  <c r="V115" i="5"/>
  <c r="K119" i="5" s="1"/>
  <c r="T115" i="5"/>
  <c r="K118" i="5" s="1"/>
  <c r="U115" i="5"/>
  <c r="H119" i="5" s="1"/>
  <c r="S115" i="5"/>
  <c r="H118" i="5" s="1"/>
  <c r="F115" i="5"/>
  <c r="E115" i="5"/>
  <c r="D115" i="5"/>
  <c r="I115" i="5"/>
  <c r="C115" i="5"/>
  <c r="B115" i="5"/>
  <c r="A115" i="5"/>
  <c r="L114" i="5"/>
  <c r="Q114" i="5" s="1"/>
  <c r="Z114" i="5"/>
  <c r="Y114" i="5"/>
  <c r="X114" i="5"/>
  <c r="K113" i="5"/>
  <c r="J113" i="5"/>
  <c r="Z113" i="5"/>
  <c r="Y113" i="5"/>
  <c r="X113" i="5"/>
  <c r="H113" i="5"/>
  <c r="W113" i="5" s="1"/>
  <c r="F113" i="5"/>
  <c r="V113" i="5"/>
  <c r="T113" i="5"/>
  <c r="U113" i="5"/>
  <c r="S113" i="5"/>
  <c r="E113" i="5"/>
  <c r="D113" i="5"/>
  <c r="C113" i="5"/>
  <c r="B113" i="5"/>
  <c r="A113" i="5"/>
  <c r="L112" i="5"/>
  <c r="G112" i="5"/>
  <c r="E112" i="5"/>
  <c r="J111" i="5"/>
  <c r="E111" i="5"/>
  <c r="J110" i="5"/>
  <c r="E110" i="5"/>
  <c r="K109" i="5"/>
  <c r="J109" i="5"/>
  <c r="H109" i="5"/>
  <c r="R109" i="5" s="1"/>
  <c r="G109" i="5"/>
  <c r="F109" i="5"/>
  <c r="K108" i="5"/>
  <c r="J108" i="5"/>
  <c r="H108" i="5"/>
  <c r="G108" i="5"/>
  <c r="F108" i="5"/>
  <c r="K107" i="5"/>
  <c r="J107" i="5"/>
  <c r="H107" i="5"/>
  <c r="R107" i="5" s="1"/>
  <c r="G107" i="5"/>
  <c r="F107" i="5"/>
  <c r="C106" i="5"/>
  <c r="V105" i="5"/>
  <c r="K111" i="5" s="1"/>
  <c r="T105" i="5"/>
  <c r="U105" i="5"/>
  <c r="S105" i="5"/>
  <c r="H110" i="5" s="1"/>
  <c r="F105" i="5"/>
  <c r="E105" i="5"/>
  <c r="D105" i="5"/>
  <c r="I105" i="5"/>
  <c r="C105" i="5"/>
  <c r="B105" i="5"/>
  <c r="A105" i="5"/>
  <c r="L104" i="5"/>
  <c r="Q104" i="5" s="1"/>
  <c r="Z104" i="5"/>
  <c r="Y104" i="5"/>
  <c r="X104" i="5"/>
  <c r="L103" i="5"/>
  <c r="G103" i="5"/>
  <c r="E103" i="5"/>
  <c r="J102" i="5"/>
  <c r="E102" i="5"/>
  <c r="J101" i="5"/>
  <c r="E101" i="5"/>
  <c r="K100" i="5"/>
  <c r="J100" i="5"/>
  <c r="H100" i="5"/>
  <c r="G100" i="5"/>
  <c r="F100" i="5"/>
  <c r="C99" i="5"/>
  <c r="V98" i="5"/>
  <c r="K102" i="5" s="1"/>
  <c r="T98" i="5"/>
  <c r="K101" i="5" s="1"/>
  <c r="U98" i="5"/>
  <c r="H102" i="5" s="1"/>
  <c r="S98" i="5"/>
  <c r="H101" i="5" s="1"/>
  <c r="F98" i="5"/>
  <c r="E98" i="5"/>
  <c r="D98" i="5"/>
  <c r="I98" i="5"/>
  <c r="C98" i="5"/>
  <c r="B98" i="5"/>
  <c r="A98" i="5"/>
  <c r="L97" i="5"/>
  <c r="Q97" i="5" s="1"/>
  <c r="Z97" i="5"/>
  <c r="Y97" i="5"/>
  <c r="W97" i="5"/>
  <c r="L96" i="5"/>
  <c r="G96" i="5"/>
  <c r="E96" i="5"/>
  <c r="J95" i="5"/>
  <c r="E95" i="5"/>
  <c r="J94" i="5"/>
  <c r="E94" i="5"/>
  <c r="K93" i="5"/>
  <c r="J93" i="5"/>
  <c r="H93" i="5"/>
  <c r="R93" i="5" s="1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K95" i="5" s="1"/>
  <c r="T89" i="5"/>
  <c r="K94" i="5" s="1"/>
  <c r="U89" i="5"/>
  <c r="H95" i="5" s="1"/>
  <c r="S89" i="5"/>
  <c r="H94" i="5" s="1"/>
  <c r="F89" i="5"/>
  <c r="E89" i="5"/>
  <c r="D89" i="5"/>
  <c r="I89" i="5"/>
  <c r="C89" i="5"/>
  <c r="B89" i="5"/>
  <c r="A89" i="5"/>
  <c r="L88" i="5"/>
  <c r="Q88" i="5" s="1"/>
  <c r="Z88" i="5"/>
  <c r="Y88" i="5"/>
  <c r="X88" i="5"/>
  <c r="K87" i="5"/>
  <c r="J87" i="5"/>
  <c r="Z87" i="5"/>
  <c r="Y87" i="5"/>
  <c r="X87" i="5"/>
  <c r="H87" i="5"/>
  <c r="W87" i="5" s="1"/>
  <c r="F87" i="5"/>
  <c r="V87" i="5"/>
  <c r="T87" i="5"/>
  <c r="U87" i="5"/>
  <c r="S87" i="5"/>
  <c r="E87" i="5"/>
  <c r="D87" i="5"/>
  <c r="C87" i="5"/>
  <c r="B87" i="5"/>
  <c r="A87" i="5"/>
  <c r="K86" i="5"/>
  <c r="J86" i="5"/>
  <c r="Z86" i="5"/>
  <c r="Y86" i="5"/>
  <c r="X86" i="5"/>
  <c r="H86" i="5"/>
  <c r="W86" i="5" s="1"/>
  <c r="F86" i="5"/>
  <c r="V86" i="5"/>
  <c r="T86" i="5"/>
  <c r="U86" i="5"/>
  <c r="S86" i="5"/>
  <c r="E86" i="5"/>
  <c r="D86" i="5"/>
  <c r="C86" i="5"/>
  <c r="B86" i="5"/>
  <c r="A86" i="5"/>
  <c r="L85" i="5"/>
  <c r="G85" i="5"/>
  <c r="E85" i="5"/>
  <c r="J84" i="5"/>
  <c r="E84" i="5"/>
  <c r="J83" i="5"/>
  <c r="E83" i="5"/>
  <c r="K82" i="5"/>
  <c r="J82" i="5"/>
  <c r="H82" i="5"/>
  <c r="G82" i="5"/>
  <c r="F82" i="5"/>
  <c r="K81" i="5"/>
  <c r="J81" i="5"/>
  <c r="H81" i="5"/>
  <c r="R81" i="5" s="1"/>
  <c r="G81" i="5"/>
  <c r="F81" i="5"/>
  <c r="K80" i="5"/>
  <c r="J80" i="5"/>
  <c r="H80" i="5"/>
  <c r="G80" i="5"/>
  <c r="F80" i="5"/>
  <c r="K79" i="5"/>
  <c r="J79" i="5"/>
  <c r="H79" i="5"/>
  <c r="R79" i="5" s="1"/>
  <c r="G79" i="5"/>
  <c r="F79" i="5"/>
  <c r="C78" i="5"/>
  <c r="V77" i="5"/>
  <c r="T77" i="5"/>
  <c r="U77" i="5"/>
  <c r="S77" i="5"/>
  <c r="F77" i="5"/>
  <c r="E77" i="5"/>
  <c r="D77" i="5"/>
  <c r="I77" i="5"/>
  <c r="C77" i="5"/>
  <c r="B77" i="5"/>
  <c r="A77" i="5"/>
  <c r="L76" i="5"/>
  <c r="Q76" i="5" s="1"/>
  <c r="Z76" i="5"/>
  <c r="Y76" i="5"/>
  <c r="X76" i="5"/>
  <c r="L75" i="5"/>
  <c r="G75" i="5"/>
  <c r="E75" i="5"/>
  <c r="J74" i="5"/>
  <c r="F74" i="5"/>
  <c r="E74" i="5"/>
  <c r="J73" i="5"/>
  <c r="F73" i="5"/>
  <c r="E73" i="5"/>
  <c r="K72" i="5"/>
  <c r="J72" i="5"/>
  <c r="H72" i="5"/>
  <c r="R72" i="5" s="1"/>
  <c r="G72" i="5"/>
  <c r="F72" i="5"/>
  <c r="K71" i="5"/>
  <c r="J71" i="5"/>
  <c r="H71" i="5"/>
  <c r="G71" i="5"/>
  <c r="F71" i="5"/>
  <c r="K70" i="5"/>
  <c r="J70" i="5"/>
  <c r="H70" i="5"/>
  <c r="G70" i="5"/>
  <c r="F70" i="5"/>
  <c r="V69" i="5"/>
  <c r="K74" i="5" s="1"/>
  <c r="T69" i="5"/>
  <c r="K73" i="5" s="1"/>
  <c r="U69" i="5"/>
  <c r="H74" i="5" s="1"/>
  <c r="S69" i="5"/>
  <c r="H73" i="5" s="1"/>
  <c r="F69" i="5"/>
  <c r="E69" i="5"/>
  <c r="D69" i="5"/>
  <c r="I69" i="5"/>
  <c r="C69" i="5"/>
  <c r="B69" i="5"/>
  <c r="A69" i="5"/>
  <c r="L68" i="5"/>
  <c r="Q68" i="5" s="1"/>
  <c r="Z68" i="5"/>
  <c r="Y68" i="5"/>
  <c r="X68" i="5"/>
  <c r="L67" i="5"/>
  <c r="G67" i="5"/>
  <c r="E67" i="5"/>
  <c r="J66" i="5"/>
  <c r="F66" i="5"/>
  <c r="E66" i="5"/>
  <c r="J65" i="5"/>
  <c r="F65" i="5"/>
  <c r="E65" i="5"/>
  <c r="K64" i="5"/>
  <c r="J64" i="5"/>
  <c r="H64" i="5"/>
  <c r="R64" i="5" s="1"/>
  <c r="G64" i="5"/>
  <c r="F64" i="5"/>
  <c r="C63" i="5"/>
  <c r="V62" i="5"/>
  <c r="K66" i="5" s="1"/>
  <c r="T62" i="5"/>
  <c r="K65" i="5" s="1"/>
  <c r="U62" i="5"/>
  <c r="H66" i="5" s="1"/>
  <c r="S62" i="5"/>
  <c r="H65" i="5" s="1"/>
  <c r="F62" i="5"/>
  <c r="E62" i="5"/>
  <c r="D62" i="5"/>
  <c r="I62" i="5"/>
  <c r="C62" i="5"/>
  <c r="B62" i="5"/>
  <c r="A62" i="5"/>
  <c r="L61" i="5"/>
  <c r="Q61" i="5" s="1"/>
  <c r="Z61" i="5"/>
  <c r="Y61" i="5"/>
  <c r="X61" i="5"/>
  <c r="L60" i="5"/>
  <c r="G60" i="5"/>
  <c r="E60" i="5"/>
  <c r="J59" i="5"/>
  <c r="F59" i="5"/>
  <c r="E59" i="5"/>
  <c r="J58" i="5"/>
  <c r="F58" i="5"/>
  <c r="E58" i="5"/>
  <c r="K57" i="5"/>
  <c r="J57" i="5"/>
  <c r="H57" i="5"/>
  <c r="R57" i="5" s="1"/>
  <c r="G57" i="5"/>
  <c r="F57" i="5"/>
  <c r="K56" i="5"/>
  <c r="J56" i="5"/>
  <c r="H56" i="5"/>
  <c r="G56" i="5"/>
  <c r="F56" i="5"/>
  <c r="K55" i="5"/>
  <c r="J55" i="5"/>
  <c r="H55" i="5"/>
  <c r="R55" i="5" s="1"/>
  <c r="G55" i="5"/>
  <c r="F55" i="5"/>
  <c r="C54" i="5"/>
  <c r="V53" i="5"/>
  <c r="K59" i="5" s="1"/>
  <c r="T53" i="5"/>
  <c r="K58" i="5" s="1"/>
  <c r="U53" i="5"/>
  <c r="H59" i="5" s="1"/>
  <c r="S53" i="5"/>
  <c r="H58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E50" i="5"/>
  <c r="J49" i="5"/>
  <c r="E49" i="5"/>
  <c r="K48" i="5"/>
  <c r="J48" i="5"/>
  <c r="H48" i="5"/>
  <c r="G48" i="5"/>
  <c r="F48" i="5"/>
  <c r="K47" i="5"/>
  <c r="J47" i="5"/>
  <c r="H47" i="5"/>
  <c r="R47" i="5" s="1"/>
  <c r="G47" i="5"/>
  <c r="F47" i="5"/>
  <c r="C46" i="5"/>
  <c r="V45" i="5"/>
  <c r="K50" i="5" s="1"/>
  <c r="T45" i="5"/>
  <c r="K49" i="5" s="1"/>
  <c r="U45" i="5"/>
  <c r="H50" i="5" s="1"/>
  <c r="S45" i="5"/>
  <c r="H49" i="5" s="1"/>
  <c r="F45" i="5"/>
  <c r="E45" i="5"/>
  <c r="D45" i="5"/>
  <c r="I45" i="5"/>
  <c r="C45" i="5"/>
  <c r="B45" i="5"/>
  <c r="A45" i="5"/>
  <c r="L44" i="5"/>
  <c r="Q44" i="5" s="1"/>
  <c r="Z44" i="5"/>
  <c r="Y44" i="5"/>
  <c r="X44" i="5"/>
  <c r="L43" i="5"/>
  <c r="G43" i="5"/>
  <c r="E43" i="5"/>
  <c r="J42" i="5"/>
  <c r="F42" i="5"/>
  <c r="E42" i="5"/>
  <c r="J41" i="5"/>
  <c r="F41" i="5"/>
  <c r="E41" i="5"/>
  <c r="K40" i="5"/>
  <c r="J40" i="5"/>
  <c r="H40" i="5"/>
  <c r="R40" i="5" s="1"/>
  <c r="G40" i="5"/>
  <c r="F40" i="5"/>
  <c r="K39" i="5"/>
  <c r="J39" i="5"/>
  <c r="H39" i="5"/>
  <c r="G39" i="5"/>
  <c r="F39" i="5"/>
  <c r="K38" i="5"/>
  <c r="J38" i="5"/>
  <c r="H38" i="5"/>
  <c r="R38" i="5" s="1"/>
  <c r="G38" i="5"/>
  <c r="F38" i="5"/>
  <c r="C37" i="5"/>
  <c r="V36" i="5"/>
  <c r="K42" i="5" s="1"/>
  <c r="T36" i="5"/>
  <c r="K41" i="5" s="1"/>
  <c r="U36" i="5"/>
  <c r="H42" i="5" s="1"/>
  <c r="S36" i="5"/>
  <c r="H41" i="5" s="1"/>
  <c r="F36" i="5"/>
  <c r="E36" i="5"/>
  <c r="D36" i="5"/>
  <c r="I36" i="5"/>
  <c r="C36" i="5"/>
  <c r="B36" i="5"/>
  <c r="A36" i="5"/>
  <c r="L35" i="5"/>
  <c r="Q35" i="5" s="1"/>
  <c r="Z35" i="5"/>
  <c r="Y35" i="5"/>
  <c r="X35" i="5"/>
  <c r="L34" i="5"/>
  <c r="G34" i="5"/>
  <c r="E34" i="5"/>
  <c r="J33" i="5"/>
  <c r="F33" i="5"/>
  <c r="E33" i="5"/>
  <c r="J32" i="5"/>
  <c r="F32" i="5"/>
  <c r="E32" i="5"/>
  <c r="K31" i="5"/>
  <c r="J31" i="5"/>
  <c r="H31" i="5"/>
  <c r="R31" i="5" s="1"/>
  <c r="G31" i="5"/>
  <c r="F31" i="5"/>
  <c r="K30" i="5"/>
  <c r="J30" i="5"/>
  <c r="H30" i="5"/>
  <c r="G30" i="5"/>
  <c r="F30" i="5"/>
  <c r="K29" i="5"/>
  <c r="J29" i="5"/>
  <c r="H29" i="5"/>
  <c r="R29" i="5" s="1"/>
  <c r="G29" i="5"/>
  <c r="F29" i="5"/>
  <c r="C28" i="5"/>
  <c r="V27" i="5"/>
  <c r="K33" i="5" s="1"/>
  <c r="T27" i="5"/>
  <c r="K32" i="5" s="1"/>
  <c r="U27" i="5"/>
  <c r="H33" i="5" s="1"/>
  <c r="S27" i="5"/>
  <c r="H32" i="5" s="1"/>
  <c r="F27" i="5"/>
  <c r="E27" i="5"/>
  <c r="D27" i="5"/>
  <c r="I27" i="5"/>
  <c r="C27" i="5"/>
  <c r="B27" i="5"/>
  <c r="A27" i="5"/>
  <c r="A26" i="5"/>
  <c r="A25" i="5"/>
  <c r="B6" i="5"/>
  <c r="A1" i="5"/>
  <c r="H624" i="5" l="1"/>
  <c r="H646" i="5"/>
  <c r="H742" i="5"/>
  <c r="K275" i="5"/>
  <c r="K198" i="5"/>
  <c r="H219" i="5"/>
  <c r="W224" i="5" s="1"/>
  <c r="K301" i="5"/>
  <c r="K325" i="5"/>
  <c r="K164" i="5"/>
  <c r="H176" i="5"/>
  <c r="G181" i="5" s="1"/>
  <c r="O181" i="5" s="1"/>
  <c r="K951" i="5"/>
  <c r="G17" i="5"/>
  <c r="K84" i="5"/>
  <c r="J154" i="5"/>
  <c r="P154" i="5" s="1"/>
  <c r="H198" i="5"/>
  <c r="H242" i="5"/>
  <c r="K252" i="5"/>
  <c r="H941" i="5"/>
  <c r="H961" i="5"/>
  <c r="H1337" i="5"/>
  <c r="H371" i="5"/>
  <c r="H400" i="5"/>
  <c r="W405" i="5" s="1"/>
  <c r="H84" i="5"/>
  <c r="J121" i="5"/>
  <c r="P121" i="5" s="1"/>
  <c r="H231" i="5"/>
  <c r="H275" i="5"/>
  <c r="H565" i="5"/>
  <c r="K919" i="5"/>
  <c r="K542" i="5"/>
  <c r="H668" i="5"/>
  <c r="H785" i="5"/>
  <c r="K566" i="5"/>
  <c r="J570" i="5" s="1"/>
  <c r="P570" i="5" s="1"/>
  <c r="K646" i="5"/>
  <c r="H657" i="5"/>
  <c r="K242" i="5"/>
  <c r="H252" i="5"/>
  <c r="W259" i="5" s="1"/>
  <c r="H575" i="5"/>
  <c r="H765" i="5"/>
  <c r="X768" i="5" s="1"/>
  <c r="K775" i="5"/>
  <c r="K795" i="5"/>
  <c r="K907" i="5"/>
  <c r="H1007" i="5"/>
  <c r="H301" i="5"/>
  <c r="H1136" i="5"/>
  <c r="X1139" i="5" s="1"/>
  <c r="H1156" i="5"/>
  <c r="H1124" i="5"/>
  <c r="K1196" i="5"/>
  <c r="H1075" i="5"/>
  <c r="X1079" i="5" s="1"/>
  <c r="H451" i="5"/>
  <c r="K1410" i="5"/>
  <c r="K1420" i="5"/>
  <c r="H1432" i="5"/>
  <c r="G1437" i="5" s="1"/>
  <c r="O1437" i="5" s="1"/>
  <c r="K1445" i="5"/>
  <c r="K565" i="5"/>
  <c r="K669" i="5"/>
  <c r="H826" i="5"/>
  <c r="X829" i="5" s="1"/>
  <c r="K83" i="5"/>
  <c r="K165" i="5"/>
  <c r="J169" i="5" s="1"/>
  <c r="P169" i="5" s="1"/>
  <c r="H199" i="5"/>
  <c r="K230" i="5"/>
  <c r="K285" i="5"/>
  <c r="H300" i="5"/>
  <c r="G307" i="5" s="1"/>
  <c r="O307" i="5" s="1"/>
  <c r="H324" i="5"/>
  <c r="K401" i="5"/>
  <c r="J405" i="5" s="1"/>
  <c r="P405" i="5" s="1"/>
  <c r="H440" i="5"/>
  <c r="H450" i="5"/>
  <c r="W455" i="5" s="1"/>
  <c r="K611" i="5"/>
  <c r="K623" i="5"/>
  <c r="K658" i="5"/>
  <c r="K753" i="5"/>
  <c r="H784" i="5"/>
  <c r="G788" i="5" s="1"/>
  <c r="O788" i="5" s="1"/>
  <c r="H844" i="5"/>
  <c r="H862" i="5"/>
  <c r="H930" i="5"/>
  <c r="K950" i="5"/>
  <c r="H973" i="5"/>
  <c r="K1068" i="5"/>
  <c r="K1076" i="5"/>
  <c r="J1079" i="5" s="1"/>
  <c r="P1079" i="5" s="1"/>
  <c r="K1135" i="5"/>
  <c r="H83" i="5"/>
  <c r="W88" i="5" s="1"/>
  <c r="H165" i="5"/>
  <c r="K177" i="5"/>
  <c r="K199" i="5"/>
  <c r="J202" i="5" s="1"/>
  <c r="P202" i="5" s="1"/>
  <c r="H220" i="5"/>
  <c r="G224" i="5" s="1"/>
  <c r="O224" i="5" s="1"/>
  <c r="K241" i="5"/>
  <c r="K253" i="5"/>
  <c r="J259" i="5" s="1"/>
  <c r="P259" i="5" s="1"/>
  <c r="H274" i="5"/>
  <c r="H285" i="5"/>
  <c r="G293" i="5" s="1"/>
  <c r="O293" i="5" s="1"/>
  <c r="H313" i="5"/>
  <c r="H337" i="5"/>
  <c r="G341" i="5" s="1"/>
  <c r="O341" i="5" s="1"/>
  <c r="H412" i="5"/>
  <c r="K506" i="5"/>
  <c r="K529" i="5"/>
  <c r="H543" i="5"/>
  <c r="W547" i="5" s="1"/>
  <c r="H611" i="5"/>
  <c r="H623" i="5"/>
  <c r="G628" i="5" s="1"/>
  <c r="O628" i="5" s="1"/>
  <c r="H764" i="5"/>
  <c r="K784" i="5"/>
  <c r="H796" i="5"/>
  <c r="K818" i="5"/>
  <c r="K862" i="5"/>
  <c r="J866" i="5" s="1"/>
  <c r="P866" i="5" s="1"/>
  <c r="H883" i="5"/>
  <c r="K918" i="5"/>
  <c r="K942" i="5"/>
  <c r="J945" i="5" s="1"/>
  <c r="P945" i="5" s="1"/>
  <c r="H983" i="5"/>
  <c r="H996" i="5"/>
  <c r="H1135" i="5"/>
  <c r="H1185" i="5"/>
  <c r="H1262" i="5"/>
  <c r="K1124" i="5"/>
  <c r="J1128" i="5" s="1"/>
  <c r="P1128" i="5" s="1"/>
  <c r="H863" i="5"/>
  <c r="G866" i="5" s="1"/>
  <c r="O866" i="5" s="1"/>
  <c r="K1156" i="5"/>
  <c r="K337" i="5"/>
  <c r="H1076" i="5"/>
  <c r="H1116" i="5"/>
  <c r="H1125" i="5"/>
  <c r="X1128" i="5" s="1"/>
  <c r="K1136" i="5"/>
  <c r="H1157" i="5"/>
  <c r="K1167" i="5"/>
  <c r="H1242" i="5"/>
  <c r="W1248" i="5" s="1"/>
  <c r="K612" i="5"/>
  <c r="K1067" i="5"/>
  <c r="K1115" i="5"/>
  <c r="K358" i="5"/>
  <c r="H428" i="5"/>
  <c r="K370" i="5"/>
  <c r="H401" i="5"/>
  <c r="K576" i="5"/>
  <c r="J581" i="5" s="1"/>
  <c r="P581" i="5" s="1"/>
  <c r="K1229" i="5"/>
  <c r="H1282" i="5"/>
  <c r="G1287" i="5" s="1"/>
  <c r="O1287" i="5" s="1"/>
  <c r="K1006" i="5"/>
  <c r="J1060" i="5"/>
  <c r="P1060" i="5" s="1"/>
  <c r="K359" i="5"/>
  <c r="H658" i="5"/>
  <c r="G662" i="5" s="1"/>
  <c r="O662" i="5" s="1"/>
  <c r="G465" i="5"/>
  <c r="O465" i="5" s="1"/>
  <c r="L899" i="5"/>
  <c r="K1125" i="5"/>
  <c r="J1212" i="5"/>
  <c r="P1212" i="5" s="1"/>
  <c r="K1325" i="5"/>
  <c r="H1338" i="5"/>
  <c r="H1410" i="5"/>
  <c r="H1445" i="5"/>
  <c r="K1186" i="5"/>
  <c r="K1197" i="5"/>
  <c r="H871" i="5"/>
  <c r="H1168" i="5"/>
  <c r="G1171" i="5" s="1"/>
  <c r="O1171" i="5" s="1"/>
  <c r="K313" i="5"/>
  <c r="H359" i="5"/>
  <c r="H413" i="5"/>
  <c r="H439" i="5"/>
  <c r="H566" i="5"/>
  <c r="H795" i="5"/>
  <c r="G799" i="5" s="1"/>
  <c r="O799" i="5" s="1"/>
  <c r="H825" i="5"/>
  <c r="K883" i="5"/>
  <c r="K894" i="5"/>
  <c r="K930" i="5"/>
  <c r="J1108" i="5"/>
  <c r="P1108" i="5" s="1"/>
  <c r="H1243" i="5"/>
  <c r="K1283" i="5"/>
  <c r="H1398" i="5"/>
  <c r="K1421" i="5"/>
  <c r="H1433" i="5"/>
  <c r="K412" i="5"/>
  <c r="K764" i="5"/>
  <c r="J768" i="5" s="1"/>
  <c r="P768" i="5" s="1"/>
  <c r="K973" i="5"/>
  <c r="X1146" i="5"/>
  <c r="W684" i="5"/>
  <c r="K743" i="5"/>
  <c r="K765" i="5"/>
  <c r="K882" i="5"/>
  <c r="J886" i="5" s="1"/>
  <c r="P886" i="5" s="1"/>
  <c r="K893" i="5"/>
  <c r="J897" i="5" s="1"/>
  <c r="P897" i="5" s="1"/>
  <c r="H931" i="5"/>
  <c r="X934" i="5" s="1"/>
  <c r="H1047" i="5"/>
  <c r="K1263" i="5"/>
  <c r="K1398" i="5"/>
  <c r="H1421" i="5"/>
  <c r="K1433" i="5"/>
  <c r="K1444" i="5"/>
  <c r="H325" i="5"/>
  <c r="G329" i="5" s="1"/>
  <c r="O329" i="5" s="1"/>
  <c r="H358" i="5"/>
  <c r="G363" i="5" s="1"/>
  <c r="O363" i="5" s="1"/>
  <c r="K427" i="5"/>
  <c r="K450" i="5"/>
  <c r="K941" i="5"/>
  <c r="K1116" i="5"/>
  <c r="J1119" i="5" s="1"/>
  <c r="P1119" i="5" s="1"/>
  <c r="J1178" i="5"/>
  <c r="P1178" i="5" s="1"/>
  <c r="G1255" i="5"/>
  <c r="O1255" i="5" s="1"/>
  <c r="H164" i="5"/>
  <c r="H241" i="5"/>
  <c r="G245" i="5" s="1"/>
  <c r="O245" i="5" s="1"/>
  <c r="H253" i="5"/>
  <c r="K300" i="5"/>
  <c r="H370" i="5"/>
  <c r="G374" i="5" s="1"/>
  <c r="O374" i="5" s="1"/>
  <c r="R408" i="5"/>
  <c r="K413" i="5"/>
  <c r="H427" i="5"/>
  <c r="K451" i="5"/>
  <c r="K481" i="5"/>
  <c r="H481" i="5"/>
  <c r="H507" i="5"/>
  <c r="H506" i="5"/>
  <c r="K528" i="5"/>
  <c r="H542" i="5"/>
  <c r="H555" i="5"/>
  <c r="H554" i="5"/>
  <c r="H576" i="5"/>
  <c r="G581" i="5" s="1"/>
  <c r="O581" i="5" s="1"/>
  <c r="K599" i="5"/>
  <c r="K598" i="5"/>
  <c r="H612" i="5"/>
  <c r="K624" i="5"/>
  <c r="H645" i="5"/>
  <c r="K645" i="5"/>
  <c r="J650" i="5" s="1"/>
  <c r="P650" i="5" s="1"/>
  <c r="K657" i="5"/>
  <c r="J662" i="5" s="1"/>
  <c r="P662" i="5" s="1"/>
  <c r="L1451" i="5"/>
  <c r="J76" i="5"/>
  <c r="P76" i="5" s="1"/>
  <c r="H111" i="5"/>
  <c r="W114" i="5" s="1"/>
  <c r="K176" i="5"/>
  <c r="H177" i="5"/>
  <c r="W181" i="5" s="1"/>
  <c r="K219" i="5"/>
  <c r="K400" i="5"/>
  <c r="K482" i="5"/>
  <c r="G76" i="5"/>
  <c r="O76" i="5" s="1"/>
  <c r="J104" i="5"/>
  <c r="P104" i="5" s="1"/>
  <c r="K110" i="5"/>
  <c r="J114" i="5" s="1"/>
  <c r="P114" i="5" s="1"/>
  <c r="G139" i="5"/>
  <c r="O139" i="5" s="1"/>
  <c r="G147" i="5"/>
  <c r="O147" i="5" s="1"/>
  <c r="K220" i="5"/>
  <c r="K231" i="5"/>
  <c r="G267" i="5"/>
  <c r="O267" i="5" s="1"/>
  <c r="K274" i="5"/>
  <c r="J278" i="5" s="1"/>
  <c r="P278" i="5" s="1"/>
  <c r="K284" i="5"/>
  <c r="J293" i="5" s="1"/>
  <c r="P293" i="5" s="1"/>
  <c r="K312" i="5"/>
  <c r="G383" i="5"/>
  <c r="O383" i="5" s="1"/>
  <c r="K378" i="5"/>
  <c r="J383" i="5" s="1"/>
  <c r="P383" i="5" s="1"/>
  <c r="K440" i="5"/>
  <c r="K439" i="5"/>
  <c r="G499" i="5"/>
  <c r="O499" i="5" s="1"/>
  <c r="K507" i="5"/>
  <c r="J511" i="5" s="1"/>
  <c r="P511" i="5" s="1"/>
  <c r="H529" i="5"/>
  <c r="G535" i="5" s="1"/>
  <c r="O535" i="5" s="1"/>
  <c r="K555" i="5"/>
  <c r="J559" i="5" s="1"/>
  <c r="P559" i="5" s="1"/>
  <c r="H599" i="5"/>
  <c r="G604" i="5" s="1"/>
  <c r="O604" i="5" s="1"/>
  <c r="G44" i="5"/>
  <c r="O44" i="5" s="1"/>
  <c r="R70" i="5"/>
  <c r="X97" i="5"/>
  <c r="J130" i="5"/>
  <c r="P130" i="5" s="1"/>
  <c r="R133" i="5"/>
  <c r="H230" i="5"/>
  <c r="W236" i="5" s="1"/>
  <c r="K324" i="5"/>
  <c r="K336" i="5"/>
  <c r="K371" i="5"/>
  <c r="R377" i="5"/>
  <c r="K428" i="5"/>
  <c r="K543" i="5"/>
  <c r="J547" i="5" s="1"/>
  <c r="P547" i="5" s="1"/>
  <c r="H669" i="5"/>
  <c r="G673" i="5" s="1"/>
  <c r="O673" i="5" s="1"/>
  <c r="K668" i="5"/>
  <c r="X724" i="5"/>
  <c r="J732" i="5"/>
  <c r="P732" i="5" s="1"/>
  <c r="K742" i="5"/>
  <c r="H753" i="5"/>
  <c r="H775" i="5"/>
  <c r="K796" i="5"/>
  <c r="K806" i="5"/>
  <c r="H806" i="5"/>
  <c r="G810" i="5" s="1"/>
  <c r="O810" i="5" s="1"/>
  <c r="H818" i="5"/>
  <c r="K844" i="5"/>
  <c r="H907" i="5"/>
  <c r="H918" i="5"/>
  <c r="K931" i="5"/>
  <c r="H942" i="5"/>
  <c r="H951" i="5"/>
  <c r="H962" i="5"/>
  <c r="K962" i="5"/>
  <c r="K983" i="5"/>
  <c r="H995" i="5"/>
  <c r="G999" i="5" s="1"/>
  <c r="O999" i="5" s="1"/>
  <c r="H1006" i="5"/>
  <c r="H1016" i="5"/>
  <c r="X1020" i="5" s="1"/>
  <c r="K1027" i="5"/>
  <c r="J1030" i="5" s="1"/>
  <c r="P1030" i="5" s="1"/>
  <c r="H1035" i="5"/>
  <c r="X1043" i="5" s="1"/>
  <c r="H1115" i="5"/>
  <c r="K1157" i="5"/>
  <c r="H1167" i="5"/>
  <c r="K1185" i="5"/>
  <c r="J1189" i="5" s="1"/>
  <c r="P1189" i="5" s="1"/>
  <c r="H1197" i="5"/>
  <c r="H1229" i="5"/>
  <c r="K1243" i="5"/>
  <c r="K1262" i="5"/>
  <c r="H1283" i="5"/>
  <c r="H1325" i="5"/>
  <c r="G1330" i="5" s="1"/>
  <c r="O1330" i="5" s="1"/>
  <c r="K1338" i="5"/>
  <c r="H1397" i="5"/>
  <c r="G1402" i="5" s="1"/>
  <c r="O1402" i="5" s="1"/>
  <c r="H1409" i="5"/>
  <c r="K1432" i="5"/>
  <c r="J680" i="5"/>
  <c r="P680" i="5" s="1"/>
  <c r="G708" i="5"/>
  <c r="O708" i="5" s="1"/>
  <c r="H754" i="5"/>
  <c r="K754" i="5"/>
  <c r="H776" i="5"/>
  <c r="K776" i="5"/>
  <c r="K807" i="5"/>
  <c r="K817" i="5"/>
  <c r="H817" i="5"/>
  <c r="H843" i="5"/>
  <c r="K853" i="5"/>
  <c r="J857" i="5" s="1"/>
  <c r="P857" i="5" s="1"/>
  <c r="H854" i="5"/>
  <c r="X857" i="5" s="1"/>
  <c r="K870" i="5"/>
  <c r="H908" i="5"/>
  <c r="K908" i="5"/>
  <c r="J911" i="5" s="1"/>
  <c r="P911" i="5" s="1"/>
  <c r="H919" i="5"/>
  <c r="G923" i="5" s="1"/>
  <c r="O923" i="5" s="1"/>
  <c r="K961" i="5"/>
  <c r="H972" i="5"/>
  <c r="H1017" i="5"/>
  <c r="H1026" i="5"/>
  <c r="G1030" i="5" s="1"/>
  <c r="O1030" i="5" s="1"/>
  <c r="H1036" i="5"/>
  <c r="J1089" i="5"/>
  <c r="P1089" i="5" s="1"/>
  <c r="G1089" i="5"/>
  <c r="O1089" i="5" s="1"/>
  <c r="L1148" i="5"/>
  <c r="J1146" i="5"/>
  <c r="P1146" i="5" s="1"/>
  <c r="K1228" i="5"/>
  <c r="K1282" i="5"/>
  <c r="K1324" i="5"/>
  <c r="J1330" i="5" s="1"/>
  <c r="P1330" i="5" s="1"/>
  <c r="H1444" i="5"/>
  <c r="G1275" i="5"/>
  <c r="O1275" i="5" s="1"/>
  <c r="K1397" i="5"/>
  <c r="K1409" i="5"/>
  <c r="J1413" i="5" s="1"/>
  <c r="P1413" i="5" s="1"/>
  <c r="H1420" i="5"/>
  <c r="K826" i="5"/>
  <c r="J829" i="5" s="1"/>
  <c r="P829" i="5" s="1"/>
  <c r="H870" i="5"/>
  <c r="X875" i="5" s="1"/>
  <c r="H882" i="5"/>
  <c r="H893" i="5"/>
  <c r="X897" i="5" s="1"/>
  <c r="H950" i="5"/>
  <c r="H984" i="5"/>
  <c r="K996" i="5"/>
  <c r="J999" i="5" s="1"/>
  <c r="P999" i="5" s="1"/>
  <c r="K1007" i="5"/>
  <c r="K1036" i="5"/>
  <c r="J1043" i="5" s="1"/>
  <c r="P1043" i="5" s="1"/>
  <c r="K1048" i="5"/>
  <c r="H1068" i="5"/>
  <c r="G1071" i="5" s="1"/>
  <c r="O1071" i="5" s="1"/>
  <c r="Z1089" i="5"/>
  <c r="R1141" i="5"/>
  <c r="K1168" i="5"/>
  <c r="H1186" i="5"/>
  <c r="H1196" i="5"/>
  <c r="X1200" i="5" s="1"/>
  <c r="R1192" i="5"/>
  <c r="H1228" i="5"/>
  <c r="K1242" i="5"/>
  <c r="H1263" i="5"/>
  <c r="L1362" i="5"/>
  <c r="H1324" i="5"/>
  <c r="K1337" i="5"/>
  <c r="J1351" i="5"/>
  <c r="P1351" i="5" s="1"/>
  <c r="G1381" i="5"/>
  <c r="O1381" i="5" s="1"/>
  <c r="J35" i="5"/>
  <c r="P35" i="5" s="1"/>
  <c r="J52" i="5"/>
  <c r="P52" i="5" s="1"/>
  <c r="G61" i="5"/>
  <c r="O61" i="5" s="1"/>
  <c r="J88" i="5"/>
  <c r="P88" i="5" s="1"/>
  <c r="G104" i="5"/>
  <c r="O104" i="5" s="1"/>
  <c r="J147" i="5"/>
  <c r="P147" i="5" s="1"/>
  <c r="G191" i="5"/>
  <c r="O191" i="5" s="1"/>
  <c r="J267" i="5"/>
  <c r="P267" i="5" s="1"/>
  <c r="G351" i="5"/>
  <c r="O351" i="5" s="1"/>
  <c r="G475" i="5"/>
  <c r="O475" i="5" s="1"/>
  <c r="J44" i="5"/>
  <c r="P44" i="5" s="1"/>
  <c r="G68" i="5"/>
  <c r="O68" i="5" s="1"/>
  <c r="W68" i="5"/>
  <c r="J191" i="5"/>
  <c r="P191" i="5" s="1"/>
  <c r="L1452" i="5"/>
  <c r="L687" i="5"/>
  <c r="L156" i="5"/>
  <c r="G35" i="5"/>
  <c r="O35" i="5" s="1"/>
  <c r="G52" i="5"/>
  <c r="O52" i="5" s="1"/>
  <c r="J68" i="5"/>
  <c r="P68" i="5" s="1"/>
  <c r="G97" i="5"/>
  <c r="O97" i="5" s="1"/>
  <c r="G121" i="5"/>
  <c r="O121" i="5" s="1"/>
  <c r="J139" i="5"/>
  <c r="P139" i="5" s="1"/>
  <c r="G154" i="5"/>
  <c r="O154" i="5" s="1"/>
  <c r="G212" i="5"/>
  <c r="O212" i="5" s="1"/>
  <c r="J393" i="5"/>
  <c r="P393" i="5" s="1"/>
  <c r="J465" i="5"/>
  <c r="P465" i="5" s="1"/>
  <c r="J97" i="5"/>
  <c r="P97" i="5" s="1"/>
  <c r="G130" i="5"/>
  <c r="O130" i="5" s="1"/>
  <c r="J212" i="5"/>
  <c r="P212" i="5" s="1"/>
  <c r="G317" i="5"/>
  <c r="O317" i="5" s="1"/>
  <c r="G393" i="5"/>
  <c r="O393" i="5" s="1"/>
  <c r="G455" i="5"/>
  <c r="O455" i="5" s="1"/>
  <c r="J61" i="5"/>
  <c r="P61" i="5" s="1"/>
  <c r="G88" i="5"/>
  <c r="O88" i="5" s="1"/>
  <c r="J351" i="5"/>
  <c r="P351" i="5" s="1"/>
  <c r="W35" i="5"/>
  <c r="W44" i="5"/>
  <c r="W52" i="5"/>
  <c r="W61" i="5"/>
  <c r="W76" i="5"/>
  <c r="R100" i="5"/>
  <c r="W121" i="5"/>
  <c r="W139" i="5"/>
  <c r="R141" i="5"/>
  <c r="R150" i="5"/>
  <c r="R160" i="5"/>
  <c r="G202" i="5"/>
  <c r="O202" i="5" s="1"/>
  <c r="R226" i="5"/>
  <c r="R262" i="5"/>
  <c r="R354" i="5"/>
  <c r="W421" i="5"/>
  <c r="R423" i="5"/>
  <c r="R458" i="5"/>
  <c r="W465" i="5"/>
  <c r="W535" i="5"/>
  <c r="R524" i="5"/>
  <c r="J591" i="5"/>
  <c r="P591" i="5" s="1"/>
  <c r="J638" i="5"/>
  <c r="P638" i="5" s="1"/>
  <c r="J699" i="5"/>
  <c r="P699" i="5" s="1"/>
  <c r="J715" i="5"/>
  <c r="P715" i="5" s="1"/>
  <c r="X732" i="5"/>
  <c r="G114" i="5"/>
  <c r="O114" i="5" s="1"/>
  <c r="W212" i="5"/>
  <c r="W267" i="5"/>
  <c r="W278" i="5"/>
  <c r="W383" i="5"/>
  <c r="W444" i="5"/>
  <c r="W475" i="5"/>
  <c r="H482" i="5"/>
  <c r="J499" i="5"/>
  <c r="P499" i="5" s="1"/>
  <c r="W499" i="5"/>
  <c r="J521" i="5"/>
  <c r="P521" i="5" s="1"/>
  <c r="W521" i="5"/>
  <c r="G521" i="5"/>
  <c r="O521" i="5" s="1"/>
  <c r="J616" i="5"/>
  <c r="P616" i="5" s="1"/>
  <c r="W104" i="5"/>
  <c r="W130" i="5"/>
  <c r="W154" i="5"/>
  <c r="W169" i="5"/>
  <c r="W191" i="5"/>
  <c r="W307" i="5"/>
  <c r="W317" i="5"/>
  <c r="W341" i="5"/>
  <c r="W393" i="5"/>
  <c r="W432" i="5"/>
  <c r="G591" i="5"/>
  <c r="O591" i="5" s="1"/>
  <c r="G638" i="5"/>
  <c r="O638" i="5" s="1"/>
  <c r="L1082" i="5"/>
  <c r="L734" i="5"/>
  <c r="J724" i="5"/>
  <c r="P724" i="5" s="1"/>
  <c r="W147" i="5"/>
  <c r="L686" i="5"/>
  <c r="R248" i="5"/>
  <c r="W351" i="5"/>
  <c r="J475" i="5"/>
  <c r="P475" i="5" s="1"/>
  <c r="J673" i="5"/>
  <c r="P673" i="5" s="1"/>
  <c r="R550" i="5"/>
  <c r="R619" i="5"/>
  <c r="W628" i="5"/>
  <c r="W680" i="5"/>
  <c r="G680" i="5"/>
  <c r="O680" i="5" s="1"/>
  <c r="W699" i="5"/>
  <c r="G699" i="5"/>
  <c r="O699" i="5" s="1"/>
  <c r="R702" i="5"/>
  <c r="W708" i="5"/>
  <c r="R718" i="5"/>
  <c r="H743" i="5"/>
  <c r="X746" i="5" s="1"/>
  <c r="J836" i="5"/>
  <c r="P836" i="5" s="1"/>
  <c r="L1081" i="5"/>
  <c r="R573" i="5"/>
  <c r="R631" i="5"/>
  <c r="W638" i="5"/>
  <c r="W682" i="5"/>
  <c r="G732" i="5"/>
  <c r="O732" i="5" s="1"/>
  <c r="G768" i="5"/>
  <c r="O768" i="5" s="1"/>
  <c r="G836" i="5"/>
  <c r="O836" i="5" s="1"/>
  <c r="G886" i="5"/>
  <c r="O886" i="5" s="1"/>
  <c r="J954" i="5"/>
  <c r="P954" i="5" s="1"/>
  <c r="W591" i="5"/>
  <c r="W604" i="5"/>
  <c r="W650" i="5"/>
  <c r="J708" i="5"/>
  <c r="P708" i="5" s="1"/>
  <c r="X866" i="5"/>
  <c r="W616" i="5"/>
  <c r="R653" i="5"/>
  <c r="W662" i="5"/>
  <c r="W715" i="5"/>
  <c r="G715" i="5"/>
  <c r="O715" i="5" s="1"/>
  <c r="G724" i="5"/>
  <c r="O724" i="5" s="1"/>
  <c r="J788" i="5"/>
  <c r="P788" i="5" s="1"/>
  <c r="J847" i="5"/>
  <c r="P847" i="5" s="1"/>
  <c r="J875" i="5"/>
  <c r="P875" i="5" s="1"/>
  <c r="R791" i="5"/>
  <c r="R802" i="5"/>
  <c r="R813" i="5"/>
  <c r="R832" i="5"/>
  <c r="R878" i="5"/>
  <c r="R889" i="5"/>
  <c r="K984" i="5"/>
  <c r="J988" i="5" s="1"/>
  <c r="P988" i="5" s="1"/>
  <c r="J1020" i="5"/>
  <c r="P1020" i="5" s="1"/>
  <c r="R1022" i="5"/>
  <c r="J1071" i="5"/>
  <c r="P1071" i="5" s="1"/>
  <c r="L1110" i="5"/>
  <c r="J1095" i="5"/>
  <c r="P1095" i="5" s="1"/>
  <c r="G1095" i="5"/>
  <c r="O1095" i="5" s="1"/>
  <c r="G1128" i="5"/>
  <c r="O1128" i="5" s="1"/>
  <c r="G1160" i="5"/>
  <c r="O1160" i="5" s="1"/>
  <c r="G945" i="5"/>
  <c r="O945" i="5" s="1"/>
  <c r="R1056" i="5"/>
  <c r="G1060" i="5"/>
  <c r="O1060" i="5" s="1"/>
  <c r="W1060" i="5"/>
  <c r="G1108" i="5"/>
  <c r="O1108" i="5" s="1"/>
  <c r="Z1108" i="5"/>
  <c r="X1160" i="5"/>
  <c r="W836" i="5"/>
  <c r="R849" i="5"/>
  <c r="R868" i="5"/>
  <c r="R937" i="5"/>
  <c r="R948" i="5"/>
  <c r="R1032" i="5"/>
  <c r="H1048" i="5"/>
  <c r="G1053" i="5" s="1"/>
  <c r="O1053" i="5" s="1"/>
  <c r="Z1095" i="5"/>
  <c r="X965" i="5"/>
  <c r="K972" i="5"/>
  <c r="J976" i="5" s="1"/>
  <c r="P976" i="5" s="1"/>
  <c r="K1047" i="5"/>
  <c r="J1102" i="5"/>
  <c r="P1102" i="5" s="1"/>
  <c r="G1020" i="5"/>
  <c r="O1020" i="5" s="1"/>
  <c r="R1045" i="5"/>
  <c r="R1091" i="5"/>
  <c r="Z1102" i="5"/>
  <c r="R1113" i="5"/>
  <c r="G1146" i="5"/>
  <c r="O1146" i="5" s="1"/>
  <c r="G1178" i="5"/>
  <c r="O1178" i="5" s="1"/>
  <c r="W1178" i="5"/>
  <c r="G1212" i="5"/>
  <c r="O1212" i="5" s="1"/>
  <c r="L1298" i="5"/>
  <c r="J1235" i="5"/>
  <c r="P1235" i="5" s="1"/>
  <c r="J1255" i="5"/>
  <c r="P1255" i="5" s="1"/>
  <c r="J1360" i="5"/>
  <c r="P1360" i="5" s="1"/>
  <c r="G1372" i="5"/>
  <c r="O1372" i="5" s="1"/>
  <c r="G1390" i="5"/>
  <c r="O1390" i="5" s="1"/>
  <c r="G1102" i="5"/>
  <c r="O1102" i="5" s="1"/>
  <c r="J1221" i="5"/>
  <c r="P1221" i="5" s="1"/>
  <c r="J1275" i="5"/>
  <c r="P1275" i="5" s="1"/>
  <c r="J1296" i="5"/>
  <c r="P1296" i="5" s="1"/>
  <c r="J1308" i="5"/>
  <c r="P1308" i="5" s="1"/>
  <c r="J1317" i="5"/>
  <c r="P1317" i="5" s="1"/>
  <c r="G1351" i="5"/>
  <c r="O1351" i="5" s="1"/>
  <c r="G1360" i="5"/>
  <c r="O1360" i="5" s="1"/>
  <c r="J1381" i="5"/>
  <c r="P1381" i="5" s="1"/>
  <c r="L1202" i="5"/>
  <c r="G1266" i="5"/>
  <c r="O1266" i="5" s="1"/>
  <c r="G1296" i="5"/>
  <c r="O1296" i="5" s="1"/>
  <c r="G1308" i="5"/>
  <c r="O1308" i="5" s="1"/>
  <c r="G1317" i="5"/>
  <c r="O1317" i="5" s="1"/>
  <c r="J1372" i="5"/>
  <c r="P1372" i="5" s="1"/>
  <c r="J1390" i="5"/>
  <c r="P1390" i="5" s="1"/>
  <c r="J1449" i="5"/>
  <c r="P1449" i="5" s="1"/>
  <c r="W1221" i="5"/>
  <c r="G1221" i="5"/>
  <c r="O1221" i="5" s="1"/>
  <c r="W1275" i="5"/>
  <c r="R1333" i="5"/>
  <c r="R1346" i="5"/>
  <c r="W1360" i="5"/>
  <c r="R1375" i="5"/>
  <c r="R1384" i="5"/>
  <c r="R1206" i="5"/>
  <c r="R1224" i="5"/>
  <c r="W1235" i="5"/>
  <c r="R1278" i="5"/>
  <c r="W1308" i="5"/>
  <c r="W1351" i="5"/>
  <c r="W1390" i="5"/>
  <c r="R1405" i="5"/>
  <c r="W1425" i="5"/>
  <c r="R1440" i="5"/>
  <c r="W1212" i="5"/>
  <c r="R1251" i="5"/>
  <c r="W1255" i="5"/>
  <c r="W1296" i="5"/>
  <c r="R1366" i="5"/>
  <c r="W1413" i="5"/>
  <c r="W1287" i="5"/>
  <c r="W1317" i="5"/>
  <c r="W1372" i="5"/>
  <c r="W1381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1" i="3"/>
  <c r="CY1" i="3"/>
  <c r="CZ1" i="3"/>
  <c r="DA1" i="3"/>
  <c r="DB1" i="3"/>
  <c r="DC1" i="3"/>
  <c r="A2" i="3"/>
  <c r="CY2" i="3"/>
  <c r="CZ2" i="3"/>
  <c r="DB2" i="3" s="1"/>
  <c r="DA2" i="3"/>
  <c r="DC2" i="3"/>
  <c r="A3" i="3"/>
  <c r="CX3" i="3"/>
  <c r="CY3" i="3"/>
  <c r="CZ3" i="3"/>
  <c r="DB3" i="3" s="1"/>
  <c r="DA3" i="3"/>
  <c r="DC3" i="3"/>
  <c r="A4" i="3"/>
  <c r="CX4" i="3"/>
  <c r="CY4" i="3"/>
  <c r="CZ4" i="3"/>
  <c r="DA4" i="3"/>
  <c r="DB4" i="3"/>
  <c r="DC4" i="3"/>
  <c r="A5" i="3"/>
  <c r="CX5" i="3"/>
  <c r="CY5" i="3"/>
  <c r="CZ5" i="3"/>
  <c r="DA5" i="3"/>
  <c r="DB5" i="3"/>
  <c r="DC5" i="3"/>
  <c r="A6" i="3"/>
  <c r="CX6" i="3"/>
  <c r="CY6" i="3"/>
  <c r="CZ6" i="3"/>
  <c r="DB6" i="3" s="1"/>
  <c r="DA6" i="3"/>
  <c r="DC6" i="3"/>
  <c r="A7" i="3"/>
  <c r="CX7" i="3"/>
  <c r="CY7" i="3"/>
  <c r="CZ7" i="3"/>
  <c r="DB7" i="3" s="1"/>
  <c r="DA7" i="3"/>
  <c r="DC7" i="3"/>
  <c r="A8" i="3"/>
  <c r="CX8" i="3"/>
  <c r="CY8" i="3"/>
  <c r="CZ8" i="3"/>
  <c r="DA8" i="3"/>
  <c r="DB8" i="3"/>
  <c r="DC8" i="3"/>
  <c r="A9" i="3"/>
  <c r="CX9" i="3"/>
  <c r="CY9" i="3"/>
  <c r="CZ9" i="3"/>
  <c r="DA9" i="3"/>
  <c r="DB9" i="3"/>
  <c r="DC9" i="3"/>
  <c r="A10" i="3"/>
  <c r="CX10" i="3"/>
  <c r="CY10" i="3"/>
  <c r="CZ10" i="3"/>
  <c r="DB10" i="3" s="1"/>
  <c r="DA10" i="3"/>
  <c r="DC10" i="3"/>
  <c r="A11" i="3"/>
  <c r="CY11" i="3"/>
  <c r="CZ11" i="3"/>
  <c r="DB11" i="3" s="1"/>
  <c r="DA11" i="3"/>
  <c r="DC11" i="3"/>
  <c r="A12" i="3"/>
  <c r="CY12" i="3"/>
  <c r="CZ12" i="3"/>
  <c r="DA12" i="3"/>
  <c r="DB12" i="3"/>
  <c r="DC12" i="3"/>
  <c r="A13" i="3"/>
  <c r="CY13" i="3"/>
  <c r="CZ13" i="3"/>
  <c r="DA13" i="3"/>
  <c r="DB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A17" i="3"/>
  <c r="DB17" i="3"/>
  <c r="DC17" i="3"/>
  <c r="A18" i="3"/>
  <c r="CY18" i="3"/>
  <c r="CZ18" i="3"/>
  <c r="DB18" i="3" s="1"/>
  <c r="DA18" i="3"/>
  <c r="DC18" i="3"/>
  <c r="A19" i="3"/>
  <c r="CY19" i="3"/>
  <c r="CZ19" i="3"/>
  <c r="DB19" i="3" s="1"/>
  <c r="DA19" i="3"/>
  <c r="DC19" i="3"/>
  <c r="A20" i="3"/>
  <c r="CY20" i="3"/>
  <c r="CZ20" i="3"/>
  <c r="DA20" i="3"/>
  <c r="DB20" i="3"/>
  <c r="DC20" i="3"/>
  <c r="A21" i="3"/>
  <c r="CY21" i="3"/>
  <c r="CZ21" i="3"/>
  <c r="DA21" i="3"/>
  <c r="DB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A25" i="3"/>
  <c r="DB25" i="3"/>
  <c r="DC25" i="3"/>
  <c r="A26" i="3"/>
  <c r="CY26" i="3"/>
  <c r="CZ26" i="3"/>
  <c r="DB26" i="3" s="1"/>
  <c r="DA26" i="3"/>
  <c r="DC26" i="3"/>
  <c r="A27" i="3"/>
  <c r="CY27" i="3"/>
  <c r="CZ27" i="3"/>
  <c r="DB27" i="3" s="1"/>
  <c r="DA27" i="3"/>
  <c r="DC27" i="3"/>
  <c r="A28" i="3"/>
  <c r="CY28" i="3"/>
  <c r="CZ28" i="3"/>
  <c r="DA28" i="3"/>
  <c r="DB28" i="3"/>
  <c r="DC28" i="3"/>
  <c r="A29" i="3"/>
  <c r="CY29" i="3"/>
  <c r="CZ29" i="3"/>
  <c r="DA29" i="3"/>
  <c r="DB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A33" i="3"/>
  <c r="DB33" i="3"/>
  <c r="DC33" i="3"/>
  <c r="A34" i="3"/>
  <c r="CY34" i="3"/>
  <c r="CZ34" i="3"/>
  <c r="DB34" i="3" s="1"/>
  <c r="DA34" i="3"/>
  <c r="DC34" i="3"/>
  <c r="A35" i="3"/>
  <c r="CY35" i="3"/>
  <c r="CZ35" i="3"/>
  <c r="DB35" i="3" s="1"/>
  <c r="DA35" i="3"/>
  <c r="DC35" i="3"/>
  <c r="A36" i="3"/>
  <c r="CY36" i="3"/>
  <c r="CZ36" i="3"/>
  <c r="DA36" i="3"/>
  <c r="DB36" i="3"/>
  <c r="DC36" i="3"/>
  <c r="A37" i="3"/>
  <c r="CY37" i="3"/>
  <c r="CZ37" i="3"/>
  <c r="DA37" i="3"/>
  <c r="DB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X41" i="3"/>
  <c r="CY41" i="3"/>
  <c r="CZ41" i="3"/>
  <c r="DA41" i="3"/>
  <c r="DB41" i="3"/>
  <c r="DC41" i="3"/>
  <c r="A42" i="3"/>
  <c r="CX42" i="3"/>
  <c r="CY42" i="3"/>
  <c r="CZ42" i="3"/>
  <c r="DB42" i="3" s="1"/>
  <c r="DA42" i="3"/>
  <c r="DC42" i="3"/>
  <c r="A43" i="3"/>
  <c r="CX43" i="3"/>
  <c r="CY43" i="3"/>
  <c r="CZ43" i="3"/>
  <c r="DB43" i="3" s="1"/>
  <c r="DA43" i="3"/>
  <c r="DC43" i="3"/>
  <c r="A44" i="3"/>
  <c r="CX44" i="3"/>
  <c r="CY44" i="3"/>
  <c r="CZ44" i="3"/>
  <c r="DA44" i="3"/>
  <c r="DB44" i="3"/>
  <c r="DC44" i="3"/>
  <c r="A45" i="3"/>
  <c r="CX45" i="3"/>
  <c r="CY45" i="3"/>
  <c r="CZ45" i="3"/>
  <c r="DA45" i="3"/>
  <c r="DB45" i="3"/>
  <c r="DC45" i="3"/>
  <c r="A46" i="3"/>
  <c r="CX46" i="3"/>
  <c r="CY46" i="3"/>
  <c r="CZ46" i="3"/>
  <c r="DB46" i="3" s="1"/>
  <c r="DA46" i="3"/>
  <c r="DC46" i="3"/>
  <c r="A47" i="3"/>
  <c r="CX47" i="3"/>
  <c r="CY47" i="3"/>
  <c r="CZ47" i="3"/>
  <c r="DB47" i="3" s="1"/>
  <c r="DA47" i="3"/>
  <c r="DC47" i="3"/>
  <c r="A48" i="3"/>
  <c r="CX48" i="3"/>
  <c r="CY48" i="3"/>
  <c r="CZ48" i="3"/>
  <c r="DA48" i="3"/>
  <c r="DB48" i="3"/>
  <c r="DC48" i="3"/>
  <c r="A49" i="3"/>
  <c r="CX49" i="3"/>
  <c r="CY49" i="3"/>
  <c r="CZ49" i="3"/>
  <c r="DA49" i="3"/>
  <c r="DB49" i="3"/>
  <c r="DC49" i="3"/>
  <c r="A50" i="3"/>
  <c r="CX50" i="3"/>
  <c r="CY50" i="3"/>
  <c r="CZ50" i="3"/>
  <c r="DB50" i="3" s="1"/>
  <c r="DA50" i="3"/>
  <c r="DC50" i="3"/>
  <c r="A51" i="3"/>
  <c r="CX51" i="3"/>
  <c r="CY51" i="3"/>
  <c r="CZ51" i="3"/>
  <c r="DB51" i="3" s="1"/>
  <c r="DA51" i="3"/>
  <c r="DC51" i="3"/>
  <c r="A52" i="3"/>
  <c r="CX52" i="3"/>
  <c r="CY52" i="3"/>
  <c r="CZ52" i="3"/>
  <c r="DA52" i="3"/>
  <c r="DB52" i="3"/>
  <c r="DC52" i="3"/>
  <c r="A53" i="3"/>
  <c r="CX53" i="3"/>
  <c r="CY53" i="3"/>
  <c r="CZ53" i="3"/>
  <c r="DA53" i="3"/>
  <c r="DB53" i="3"/>
  <c r="DC53" i="3"/>
  <c r="A54" i="3"/>
  <c r="CX54" i="3"/>
  <c r="CY54" i="3"/>
  <c r="CZ54" i="3"/>
  <c r="DB54" i="3" s="1"/>
  <c r="DA54" i="3"/>
  <c r="DC54" i="3"/>
  <c r="A55" i="3"/>
  <c r="CX55" i="3"/>
  <c r="CY55" i="3"/>
  <c r="CZ55" i="3"/>
  <c r="DB55" i="3" s="1"/>
  <c r="DA55" i="3"/>
  <c r="DC55" i="3"/>
  <c r="A56" i="3"/>
  <c r="CX56" i="3"/>
  <c r="CY56" i="3"/>
  <c r="CZ56" i="3"/>
  <c r="DA56" i="3"/>
  <c r="DB56" i="3"/>
  <c r="DC56" i="3"/>
  <c r="A57" i="3"/>
  <c r="CX57" i="3"/>
  <c r="CY57" i="3"/>
  <c r="CZ57" i="3"/>
  <c r="DA57" i="3"/>
  <c r="DB57" i="3"/>
  <c r="DC57" i="3"/>
  <c r="A58" i="3"/>
  <c r="CX58" i="3"/>
  <c r="CY58" i="3"/>
  <c r="CZ58" i="3"/>
  <c r="DB58" i="3" s="1"/>
  <c r="DA58" i="3"/>
  <c r="DC58" i="3"/>
  <c r="A59" i="3"/>
  <c r="CY59" i="3"/>
  <c r="CZ59" i="3"/>
  <c r="DB59" i="3" s="1"/>
  <c r="DA59" i="3"/>
  <c r="DC59" i="3"/>
  <c r="A60" i="3"/>
  <c r="CY60" i="3"/>
  <c r="CZ60" i="3"/>
  <c r="DA60" i="3"/>
  <c r="DB60" i="3"/>
  <c r="DC60" i="3"/>
  <c r="A61" i="3"/>
  <c r="CY61" i="3"/>
  <c r="CZ61" i="3"/>
  <c r="DA61" i="3"/>
  <c r="DB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Y65" i="3"/>
  <c r="CZ65" i="3"/>
  <c r="DA65" i="3"/>
  <c r="DB65" i="3"/>
  <c r="DC65" i="3"/>
  <c r="A66" i="3"/>
  <c r="CY66" i="3"/>
  <c r="CZ66" i="3"/>
  <c r="DB66" i="3" s="1"/>
  <c r="DA66" i="3"/>
  <c r="DC66" i="3"/>
  <c r="A67" i="3"/>
  <c r="CY67" i="3"/>
  <c r="CZ67" i="3"/>
  <c r="DB67" i="3" s="1"/>
  <c r="DA67" i="3"/>
  <c r="DC67" i="3"/>
  <c r="A68" i="3"/>
  <c r="CY68" i="3"/>
  <c r="CZ68" i="3"/>
  <c r="DA68" i="3"/>
  <c r="DB68" i="3"/>
  <c r="DC68" i="3"/>
  <c r="A69" i="3"/>
  <c r="CY69" i="3"/>
  <c r="CZ69" i="3"/>
  <c r="DA69" i="3"/>
  <c r="DB69" i="3"/>
  <c r="DC69" i="3"/>
  <c r="A70" i="3"/>
  <c r="CY70" i="3"/>
  <c r="CZ70" i="3"/>
  <c r="DB70" i="3" s="1"/>
  <c r="DA70" i="3"/>
  <c r="DC70" i="3"/>
  <c r="A71" i="3"/>
  <c r="CY71" i="3"/>
  <c r="CZ71" i="3"/>
  <c r="DB71" i="3" s="1"/>
  <c r="DA71" i="3"/>
  <c r="DC71" i="3"/>
  <c r="A72" i="3"/>
  <c r="CY72" i="3"/>
  <c r="CZ72" i="3"/>
  <c r="DA72" i="3"/>
  <c r="DB72" i="3"/>
  <c r="DC72" i="3"/>
  <c r="A73" i="3"/>
  <c r="CY73" i="3"/>
  <c r="CZ73" i="3"/>
  <c r="DA73" i="3"/>
  <c r="DB73" i="3"/>
  <c r="DC73" i="3"/>
  <c r="A74" i="3"/>
  <c r="CY74" i="3"/>
  <c r="CZ74" i="3"/>
  <c r="DB74" i="3" s="1"/>
  <c r="DA74" i="3"/>
  <c r="DC74" i="3"/>
  <c r="A75" i="3"/>
  <c r="CY75" i="3"/>
  <c r="CZ75" i="3"/>
  <c r="DB75" i="3" s="1"/>
  <c r="DA75" i="3"/>
  <c r="DC75" i="3"/>
  <c r="A76" i="3"/>
  <c r="CY76" i="3"/>
  <c r="CZ76" i="3"/>
  <c r="DA76" i="3"/>
  <c r="DB76" i="3"/>
  <c r="DC76" i="3"/>
  <c r="A77" i="3"/>
  <c r="CY77" i="3"/>
  <c r="CZ77" i="3"/>
  <c r="DA77" i="3"/>
  <c r="DB77" i="3"/>
  <c r="DC77" i="3"/>
  <c r="A78" i="3"/>
  <c r="CY78" i="3"/>
  <c r="CZ78" i="3"/>
  <c r="DB78" i="3" s="1"/>
  <c r="DA78" i="3"/>
  <c r="DC78" i="3"/>
  <c r="A79" i="3"/>
  <c r="CY79" i="3"/>
  <c r="CZ79" i="3"/>
  <c r="DB79" i="3" s="1"/>
  <c r="DA79" i="3"/>
  <c r="DC79" i="3"/>
  <c r="A80" i="3"/>
  <c r="CY80" i="3"/>
  <c r="CZ80" i="3"/>
  <c r="DA80" i="3"/>
  <c r="DB80" i="3"/>
  <c r="DC80" i="3"/>
  <c r="A81" i="3"/>
  <c r="CY81" i="3"/>
  <c r="CZ81" i="3"/>
  <c r="DA81" i="3"/>
  <c r="DB81" i="3"/>
  <c r="DC81" i="3"/>
  <c r="A82" i="3"/>
  <c r="CY82" i="3"/>
  <c r="CZ82" i="3"/>
  <c r="DB82" i="3" s="1"/>
  <c r="DA82" i="3"/>
  <c r="DC82" i="3"/>
  <c r="A83" i="3"/>
  <c r="CY83" i="3"/>
  <c r="CZ83" i="3"/>
  <c r="DB83" i="3" s="1"/>
  <c r="DA83" i="3"/>
  <c r="DC83" i="3"/>
  <c r="A84" i="3"/>
  <c r="CY84" i="3"/>
  <c r="CZ84" i="3"/>
  <c r="DA84" i="3"/>
  <c r="DB84" i="3"/>
  <c r="DC84" i="3"/>
  <c r="A85" i="3"/>
  <c r="CY85" i="3"/>
  <c r="CZ85" i="3"/>
  <c r="DA85" i="3"/>
  <c r="DB85" i="3"/>
  <c r="DC85" i="3"/>
  <c r="A86" i="3"/>
  <c r="CY86" i="3"/>
  <c r="CZ86" i="3"/>
  <c r="DB86" i="3" s="1"/>
  <c r="DA86" i="3"/>
  <c r="DC86" i="3"/>
  <c r="A87" i="3"/>
  <c r="CY87" i="3"/>
  <c r="CZ87" i="3"/>
  <c r="DB87" i="3" s="1"/>
  <c r="DA87" i="3"/>
  <c r="DC87" i="3"/>
  <c r="A88" i="3"/>
  <c r="CY88" i="3"/>
  <c r="CZ88" i="3"/>
  <c r="DA88" i="3"/>
  <c r="DB88" i="3"/>
  <c r="DC88" i="3"/>
  <c r="A89" i="3"/>
  <c r="CY89" i="3"/>
  <c r="CZ89" i="3"/>
  <c r="DA89" i="3"/>
  <c r="DB89" i="3"/>
  <c r="DC89" i="3"/>
  <c r="A90" i="3"/>
  <c r="CY90" i="3"/>
  <c r="CZ90" i="3"/>
  <c r="DB90" i="3" s="1"/>
  <c r="DA90" i="3"/>
  <c r="DC90" i="3"/>
  <c r="A91" i="3"/>
  <c r="CY91" i="3"/>
  <c r="CZ91" i="3"/>
  <c r="DB91" i="3" s="1"/>
  <c r="DA91" i="3"/>
  <c r="DC91" i="3"/>
  <c r="A92" i="3"/>
  <c r="CY92" i="3"/>
  <c r="CZ92" i="3"/>
  <c r="DA92" i="3"/>
  <c r="DB92" i="3"/>
  <c r="DC92" i="3"/>
  <c r="A93" i="3"/>
  <c r="CY93" i="3"/>
  <c r="CZ93" i="3"/>
  <c r="DA93" i="3"/>
  <c r="DB93" i="3"/>
  <c r="DC93" i="3"/>
  <c r="A94" i="3"/>
  <c r="CY94" i="3"/>
  <c r="CZ94" i="3"/>
  <c r="DB94" i="3" s="1"/>
  <c r="DA94" i="3"/>
  <c r="DC94" i="3"/>
  <c r="A95" i="3"/>
  <c r="CY95" i="3"/>
  <c r="CZ95" i="3"/>
  <c r="DB95" i="3" s="1"/>
  <c r="DA95" i="3"/>
  <c r="DC95" i="3"/>
  <c r="A96" i="3"/>
  <c r="CY96" i="3"/>
  <c r="CZ96" i="3"/>
  <c r="DA96" i="3"/>
  <c r="DB96" i="3"/>
  <c r="DC96" i="3"/>
  <c r="A97" i="3"/>
  <c r="CY97" i="3"/>
  <c r="CZ97" i="3"/>
  <c r="DA97" i="3"/>
  <c r="DB97" i="3"/>
  <c r="DC97" i="3"/>
  <c r="A98" i="3"/>
  <c r="CY98" i="3"/>
  <c r="CZ98" i="3"/>
  <c r="DB98" i="3" s="1"/>
  <c r="DA98" i="3"/>
  <c r="DC98" i="3"/>
  <c r="A99" i="3"/>
  <c r="CY99" i="3"/>
  <c r="CZ99" i="3"/>
  <c r="DB99" i="3" s="1"/>
  <c r="DA99" i="3"/>
  <c r="DC99" i="3"/>
  <c r="A100" i="3"/>
  <c r="CY100" i="3"/>
  <c r="CZ100" i="3"/>
  <c r="DA100" i="3"/>
  <c r="DB100" i="3"/>
  <c r="DC100" i="3"/>
  <c r="A101" i="3"/>
  <c r="CY101" i="3"/>
  <c r="CZ101" i="3"/>
  <c r="DA101" i="3"/>
  <c r="DB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A105" i="3"/>
  <c r="DB105" i="3"/>
  <c r="DC105" i="3"/>
  <c r="A106" i="3"/>
  <c r="CY106" i="3"/>
  <c r="CZ106" i="3"/>
  <c r="DB106" i="3" s="1"/>
  <c r="DA106" i="3"/>
  <c r="DC106" i="3"/>
  <c r="A107" i="3"/>
  <c r="CY107" i="3"/>
  <c r="CZ107" i="3"/>
  <c r="DB107" i="3" s="1"/>
  <c r="DA107" i="3"/>
  <c r="DC107" i="3"/>
  <c r="A108" i="3"/>
  <c r="CY108" i="3"/>
  <c r="CZ108" i="3"/>
  <c r="DA108" i="3"/>
  <c r="DB108" i="3"/>
  <c r="DC108" i="3"/>
  <c r="A109" i="3"/>
  <c r="CY109" i="3"/>
  <c r="CZ109" i="3"/>
  <c r="DA109" i="3"/>
  <c r="DB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X113" i="3"/>
  <c r="CY113" i="3"/>
  <c r="CZ113" i="3"/>
  <c r="DA113" i="3"/>
  <c r="DB113" i="3"/>
  <c r="DC113" i="3"/>
  <c r="A114" i="3"/>
  <c r="CX114" i="3"/>
  <c r="CY114" i="3"/>
  <c r="CZ114" i="3"/>
  <c r="DB114" i="3" s="1"/>
  <c r="DA114" i="3"/>
  <c r="DC114" i="3"/>
  <c r="A115" i="3"/>
  <c r="CX115" i="3"/>
  <c r="CY115" i="3"/>
  <c r="CZ115" i="3"/>
  <c r="DB115" i="3" s="1"/>
  <c r="DA115" i="3"/>
  <c r="DC115" i="3"/>
  <c r="A116" i="3"/>
  <c r="CX116" i="3"/>
  <c r="CY116" i="3"/>
  <c r="CZ116" i="3"/>
  <c r="DA116" i="3"/>
  <c r="DB116" i="3"/>
  <c r="DC116" i="3"/>
  <c r="A117" i="3"/>
  <c r="CX117" i="3"/>
  <c r="CY117" i="3"/>
  <c r="CZ117" i="3"/>
  <c r="DA117" i="3"/>
  <c r="DB117" i="3"/>
  <c r="DC117" i="3"/>
  <c r="A118" i="3"/>
  <c r="CX118" i="3"/>
  <c r="CY118" i="3"/>
  <c r="CZ118" i="3"/>
  <c r="DB118" i="3" s="1"/>
  <c r="DA118" i="3"/>
  <c r="DC118" i="3"/>
  <c r="A119" i="3"/>
  <c r="CX119" i="3"/>
  <c r="CY119" i="3"/>
  <c r="CZ119" i="3"/>
  <c r="DB119" i="3" s="1"/>
  <c r="DA119" i="3"/>
  <c r="DC119" i="3"/>
  <c r="A120" i="3"/>
  <c r="CX120" i="3"/>
  <c r="CY120" i="3"/>
  <c r="CZ120" i="3"/>
  <c r="DA120" i="3"/>
  <c r="DB120" i="3"/>
  <c r="DC120" i="3"/>
  <c r="A121" i="3"/>
  <c r="CX121" i="3"/>
  <c r="CY121" i="3"/>
  <c r="CZ121" i="3"/>
  <c r="DA121" i="3"/>
  <c r="DB121" i="3"/>
  <c r="DC121" i="3"/>
  <c r="A122" i="3"/>
  <c r="CX122" i="3"/>
  <c r="CY122" i="3"/>
  <c r="CZ122" i="3"/>
  <c r="DB122" i="3" s="1"/>
  <c r="DA122" i="3"/>
  <c r="DC122" i="3"/>
  <c r="A123" i="3"/>
  <c r="CX123" i="3"/>
  <c r="CY123" i="3"/>
  <c r="CZ123" i="3"/>
  <c r="DB123" i="3" s="1"/>
  <c r="DA123" i="3"/>
  <c r="DC123" i="3"/>
  <c r="A124" i="3"/>
  <c r="CX124" i="3"/>
  <c r="CY124" i="3"/>
  <c r="CZ124" i="3"/>
  <c r="DA124" i="3"/>
  <c r="DB124" i="3"/>
  <c r="DC124" i="3"/>
  <c r="A125" i="3"/>
  <c r="CX125" i="3"/>
  <c r="CY125" i="3"/>
  <c r="CZ125" i="3"/>
  <c r="DA125" i="3"/>
  <c r="DB125" i="3"/>
  <c r="DC125" i="3"/>
  <c r="A126" i="3"/>
  <c r="CX126" i="3"/>
  <c r="CY126" i="3"/>
  <c r="CZ126" i="3"/>
  <c r="DB126" i="3" s="1"/>
  <c r="DA126" i="3"/>
  <c r="DC126" i="3"/>
  <c r="A127" i="3"/>
  <c r="CX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A129" i="3"/>
  <c r="DB129" i="3"/>
  <c r="DC129" i="3"/>
  <c r="A130" i="3"/>
  <c r="CY130" i="3"/>
  <c r="CZ130" i="3"/>
  <c r="DB130" i="3" s="1"/>
  <c r="DA130" i="3"/>
  <c r="DC130" i="3"/>
  <c r="A131" i="3"/>
  <c r="CY131" i="3"/>
  <c r="CZ131" i="3"/>
  <c r="DB131" i="3" s="1"/>
  <c r="DA131" i="3"/>
  <c r="DC131" i="3"/>
  <c r="A132" i="3"/>
  <c r="CY132" i="3"/>
  <c r="CZ132" i="3"/>
  <c r="DA132" i="3"/>
  <c r="DB132" i="3"/>
  <c r="DC132" i="3"/>
  <c r="A133" i="3"/>
  <c r="CY133" i="3"/>
  <c r="CZ133" i="3"/>
  <c r="DA133" i="3"/>
  <c r="DB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A137" i="3"/>
  <c r="DB137" i="3"/>
  <c r="DC137" i="3"/>
  <c r="A138" i="3"/>
  <c r="CY138" i="3"/>
  <c r="CZ138" i="3"/>
  <c r="DB138" i="3" s="1"/>
  <c r="DA138" i="3"/>
  <c r="DC138" i="3"/>
  <c r="A139" i="3"/>
  <c r="CY139" i="3"/>
  <c r="CZ139" i="3"/>
  <c r="DB139" i="3" s="1"/>
  <c r="DA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B143" i="3" s="1"/>
  <c r="DA143" i="3"/>
  <c r="DC143" i="3"/>
  <c r="A144" i="3"/>
  <c r="CY144" i="3"/>
  <c r="CZ144" i="3"/>
  <c r="DA144" i="3"/>
  <c r="DB144" i="3"/>
  <c r="DC144" i="3"/>
  <c r="A145" i="3"/>
  <c r="CY145" i="3"/>
  <c r="CZ145" i="3"/>
  <c r="DA145" i="3"/>
  <c r="DB145" i="3"/>
  <c r="DC145" i="3"/>
  <c r="A146" i="3"/>
  <c r="CY146" i="3"/>
  <c r="CZ146" i="3"/>
  <c r="DB146" i="3" s="1"/>
  <c r="DA146" i="3"/>
  <c r="DC146" i="3"/>
  <c r="A147" i="3"/>
  <c r="CY147" i="3"/>
  <c r="CZ147" i="3"/>
  <c r="DB147" i="3" s="1"/>
  <c r="DA147" i="3"/>
  <c r="DC147" i="3"/>
  <c r="A148" i="3"/>
  <c r="CX148" i="3"/>
  <c r="CY148" i="3"/>
  <c r="CZ148" i="3"/>
  <c r="DA148" i="3"/>
  <c r="DB148" i="3"/>
  <c r="DC148" i="3"/>
  <c r="A149" i="3"/>
  <c r="CX149" i="3"/>
  <c r="CY149" i="3"/>
  <c r="CZ149" i="3"/>
  <c r="DA149" i="3"/>
  <c r="DB149" i="3"/>
  <c r="DC149" i="3"/>
  <c r="A150" i="3"/>
  <c r="CX150" i="3"/>
  <c r="CY150" i="3"/>
  <c r="CZ150" i="3"/>
  <c r="DB150" i="3" s="1"/>
  <c r="DA150" i="3"/>
  <c r="DC150" i="3"/>
  <c r="A151" i="3"/>
  <c r="CX151" i="3"/>
  <c r="CY151" i="3"/>
  <c r="CZ151" i="3"/>
  <c r="DB151" i="3" s="1"/>
  <c r="DA151" i="3"/>
  <c r="DC151" i="3"/>
  <c r="A152" i="3"/>
  <c r="CX152" i="3"/>
  <c r="CY152" i="3"/>
  <c r="CZ152" i="3"/>
  <c r="DA152" i="3"/>
  <c r="DB152" i="3"/>
  <c r="DC152" i="3"/>
  <c r="A153" i="3"/>
  <c r="CX153" i="3"/>
  <c r="CY153" i="3"/>
  <c r="CZ153" i="3"/>
  <c r="DA153" i="3"/>
  <c r="DB153" i="3"/>
  <c r="DC153" i="3"/>
  <c r="A154" i="3"/>
  <c r="CX154" i="3"/>
  <c r="CY154" i="3"/>
  <c r="CZ154" i="3"/>
  <c r="DB154" i="3" s="1"/>
  <c r="DA154" i="3"/>
  <c r="DC154" i="3"/>
  <c r="A155" i="3"/>
  <c r="CX155" i="3"/>
  <c r="CY155" i="3"/>
  <c r="CZ155" i="3"/>
  <c r="DB155" i="3" s="1"/>
  <c r="DA155" i="3"/>
  <c r="DC155" i="3"/>
  <c r="A156" i="3"/>
  <c r="CX156" i="3"/>
  <c r="CY156" i="3"/>
  <c r="CZ156" i="3"/>
  <c r="DA156" i="3"/>
  <c r="DB156" i="3"/>
  <c r="DC156" i="3"/>
  <c r="A157" i="3"/>
  <c r="CX157" i="3"/>
  <c r="CY157" i="3"/>
  <c r="CZ157" i="3"/>
  <c r="DA157" i="3"/>
  <c r="DB157" i="3"/>
  <c r="DC157" i="3"/>
  <c r="A158" i="3"/>
  <c r="CX158" i="3"/>
  <c r="CY158" i="3"/>
  <c r="CZ158" i="3"/>
  <c r="DB158" i="3" s="1"/>
  <c r="DA158" i="3"/>
  <c r="DC158" i="3"/>
  <c r="A159" i="3"/>
  <c r="CX159" i="3"/>
  <c r="CY159" i="3"/>
  <c r="CZ159" i="3"/>
  <c r="DB159" i="3" s="1"/>
  <c r="DA159" i="3"/>
  <c r="DC159" i="3"/>
  <c r="A160" i="3"/>
  <c r="CX160" i="3"/>
  <c r="CY160" i="3"/>
  <c r="CZ160" i="3"/>
  <c r="DA160" i="3"/>
  <c r="DB160" i="3"/>
  <c r="DC160" i="3"/>
  <c r="A161" i="3"/>
  <c r="CX161" i="3"/>
  <c r="CY161" i="3"/>
  <c r="CZ161" i="3"/>
  <c r="DA161" i="3"/>
  <c r="DB161" i="3"/>
  <c r="DC161" i="3"/>
  <c r="A162" i="3"/>
  <c r="CY162" i="3"/>
  <c r="CZ162" i="3"/>
  <c r="DB162" i="3" s="1"/>
  <c r="DA162" i="3"/>
  <c r="DC162" i="3"/>
  <c r="A163" i="3"/>
  <c r="CY163" i="3"/>
  <c r="CZ163" i="3"/>
  <c r="DB163" i="3" s="1"/>
  <c r="DA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B166" i="3" s="1"/>
  <c r="DA166" i="3"/>
  <c r="DC166" i="3"/>
  <c r="A167" i="3"/>
  <c r="CY167" i="3"/>
  <c r="CZ167" i="3"/>
  <c r="DB167" i="3" s="1"/>
  <c r="DA167" i="3"/>
  <c r="DC167" i="3"/>
  <c r="A168" i="3"/>
  <c r="CY168" i="3"/>
  <c r="CZ168" i="3"/>
  <c r="DA168" i="3"/>
  <c r="DB168" i="3"/>
  <c r="DC168" i="3"/>
  <c r="A169" i="3"/>
  <c r="CY169" i="3"/>
  <c r="CZ169" i="3"/>
  <c r="DA169" i="3"/>
  <c r="DB169" i="3"/>
  <c r="DC169" i="3"/>
  <c r="A170" i="3"/>
  <c r="CY170" i="3"/>
  <c r="CZ170" i="3"/>
  <c r="DB170" i="3" s="1"/>
  <c r="DA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X174" i="3"/>
  <c r="CY174" i="3"/>
  <c r="CZ174" i="3"/>
  <c r="DB174" i="3" s="1"/>
  <c r="DA174" i="3"/>
  <c r="DC174" i="3"/>
  <c r="A175" i="3"/>
  <c r="CX175" i="3"/>
  <c r="CY175" i="3"/>
  <c r="CZ175" i="3"/>
  <c r="DB175" i="3" s="1"/>
  <c r="DA175" i="3"/>
  <c r="DC175" i="3"/>
  <c r="A176" i="3"/>
  <c r="CX176" i="3"/>
  <c r="CY176" i="3"/>
  <c r="CZ176" i="3"/>
  <c r="DA176" i="3"/>
  <c r="DB176" i="3"/>
  <c r="DC176" i="3"/>
  <c r="A177" i="3"/>
  <c r="CX177" i="3"/>
  <c r="CY177" i="3"/>
  <c r="CZ177" i="3"/>
  <c r="DA177" i="3"/>
  <c r="DB177" i="3"/>
  <c r="DC177" i="3"/>
  <c r="A178" i="3"/>
  <c r="CX178" i="3"/>
  <c r="CY178" i="3"/>
  <c r="CZ178" i="3"/>
  <c r="DB178" i="3" s="1"/>
  <c r="DA178" i="3"/>
  <c r="DC178" i="3"/>
  <c r="A179" i="3"/>
  <c r="CY179" i="3"/>
  <c r="CZ179" i="3"/>
  <c r="DB179" i="3" s="1"/>
  <c r="DA179" i="3"/>
  <c r="DC179" i="3"/>
  <c r="A180" i="3"/>
  <c r="CY180" i="3"/>
  <c r="CZ180" i="3"/>
  <c r="DA180" i="3"/>
  <c r="DB180" i="3"/>
  <c r="DC180" i="3"/>
  <c r="A181" i="3"/>
  <c r="CY181" i="3"/>
  <c r="CZ181" i="3"/>
  <c r="DA181" i="3"/>
  <c r="DB181" i="3"/>
  <c r="DC181" i="3"/>
  <c r="A182" i="3"/>
  <c r="CY182" i="3"/>
  <c r="CZ182" i="3"/>
  <c r="DB182" i="3" s="1"/>
  <c r="DA182" i="3"/>
  <c r="DC182" i="3"/>
  <c r="A183" i="3"/>
  <c r="CY183" i="3"/>
  <c r="CZ183" i="3"/>
  <c r="DB183" i="3" s="1"/>
  <c r="DA183" i="3"/>
  <c r="DC183" i="3"/>
  <c r="A184" i="3"/>
  <c r="CY184" i="3"/>
  <c r="CZ184" i="3"/>
  <c r="DA184" i="3"/>
  <c r="DB184" i="3"/>
  <c r="DC184" i="3"/>
  <c r="A185" i="3"/>
  <c r="CY185" i="3"/>
  <c r="CZ185" i="3"/>
  <c r="DA185" i="3"/>
  <c r="DB185" i="3"/>
  <c r="DC185" i="3"/>
  <c r="A186" i="3"/>
  <c r="CY186" i="3"/>
  <c r="CZ186" i="3"/>
  <c r="DB186" i="3" s="1"/>
  <c r="DA186" i="3"/>
  <c r="DC186" i="3"/>
  <c r="A187" i="3"/>
  <c r="CY187" i="3"/>
  <c r="CZ187" i="3"/>
  <c r="DB187" i="3" s="1"/>
  <c r="DA187" i="3"/>
  <c r="DC187" i="3"/>
  <c r="A188" i="3"/>
  <c r="CY188" i="3"/>
  <c r="CZ188" i="3"/>
  <c r="DA188" i="3"/>
  <c r="DB188" i="3"/>
  <c r="DC188" i="3"/>
  <c r="A189" i="3"/>
  <c r="CY189" i="3"/>
  <c r="CZ189" i="3"/>
  <c r="DA189" i="3"/>
  <c r="DB189" i="3"/>
  <c r="DC189" i="3"/>
  <c r="A190" i="3"/>
  <c r="CY190" i="3"/>
  <c r="CZ190" i="3"/>
  <c r="DB190" i="3" s="1"/>
  <c r="DA190" i="3"/>
  <c r="DC190" i="3"/>
  <c r="A191" i="3"/>
  <c r="CY191" i="3"/>
  <c r="CZ191" i="3"/>
  <c r="DB191" i="3" s="1"/>
  <c r="DA191" i="3"/>
  <c r="DC191" i="3"/>
  <c r="A192" i="3"/>
  <c r="CY192" i="3"/>
  <c r="CZ192" i="3"/>
  <c r="DA192" i="3"/>
  <c r="DB192" i="3"/>
  <c r="DC192" i="3"/>
  <c r="A193" i="3"/>
  <c r="CY193" i="3"/>
  <c r="CZ193" i="3"/>
  <c r="DA193" i="3"/>
  <c r="DB193" i="3"/>
  <c r="DC193" i="3"/>
  <c r="A194" i="3"/>
  <c r="CY194" i="3"/>
  <c r="CZ194" i="3"/>
  <c r="DB194" i="3" s="1"/>
  <c r="DA194" i="3"/>
  <c r="DC194" i="3"/>
  <c r="A195" i="3"/>
  <c r="CY195" i="3"/>
  <c r="CZ195" i="3"/>
  <c r="DB195" i="3" s="1"/>
  <c r="DA195" i="3"/>
  <c r="DC195" i="3"/>
  <c r="A196" i="3"/>
  <c r="CY196" i="3"/>
  <c r="CZ196" i="3"/>
  <c r="DA196" i="3"/>
  <c r="DB196" i="3"/>
  <c r="DC196" i="3"/>
  <c r="A197" i="3"/>
  <c r="CY197" i="3"/>
  <c r="CZ197" i="3"/>
  <c r="DA197" i="3"/>
  <c r="DB197" i="3"/>
  <c r="DC197" i="3"/>
  <c r="A198" i="3"/>
  <c r="CY198" i="3"/>
  <c r="CZ198" i="3"/>
  <c r="DB198" i="3" s="1"/>
  <c r="DA198" i="3"/>
  <c r="DC198" i="3"/>
  <c r="A199" i="3"/>
  <c r="CY199" i="3"/>
  <c r="CZ199" i="3"/>
  <c r="DB199" i="3" s="1"/>
  <c r="DA199" i="3"/>
  <c r="DC199" i="3"/>
  <c r="A200" i="3"/>
  <c r="CY200" i="3"/>
  <c r="CZ200" i="3"/>
  <c r="DA200" i="3"/>
  <c r="DB200" i="3"/>
  <c r="DC200" i="3"/>
  <c r="A201" i="3"/>
  <c r="CY201" i="3"/>
  <c r="CZ201" i="3"/>
  <c r="DA201" i="3"/>
  <c r="DB201" i="3"/>
  <c r="DC201" i="3"/>
  <c r="A202" i="3"/>
  <c r="CY202" i="3"/>
  <c r="CZ202" i="3"/>
  <c r="DA202" i="3"/>
  <c r="DB202" i="3"/>
  <c r="DC202" i="3"/>
  <c r="A203" i="3"/>
  <c r="CY203" i="3"/>
  <c r="CZ203" i="3"/>
  <c r="DB203" i="3" s="1"/>
  <c r="DA203" i="3"/>
  <c r="DC203" i="3"/>
  <c r="A204" i="3"/>
  <c r="CY204" i="3"/>
  <c r="CZ204" i="3"/>
  <c r="DB204" i="3" s="1"/>
  <c r="DA204" i="3"/>
  <c r="DC204" i="3"/>
  <c r="A205" i="3"/>
  <c r="CY205" i="3"/>
  <c r="CZ205" i="3"/>
  <c r="DA205" i="3"/>
  <c r="DB205" i="3"/>
  <c r="DC205" i="3"/>
  <c r="A206" i="3"/>
  <c r="CY206" i="3"/>
  <c r="CZ206" i="3"/>
  <c r="DA206" i="3"/>
  <c r="DB206" i="3"/>
  <c r="DC206" i="3"/>
  <c r="A207" i="3"/>
  <c r="CY207" i="3"/>
  <c r="CZ207" i="3"/>
  <c r="DB207" i="3" s="1"/>
  <c r="DA207" i="3"/>
  <c r="DC207" i="3"/>
  <c r="A208" i="3"/>
  <c r="CY208" i="3"/>
  <c r="CZ208" i="3"/>
  <c r="DB208" i="3" s="1"/>
  <c r="DA208" i="3"/>
  <c r="DC208" i="3"/>
  <c r="A209" i="3"/>
  <c r="CY209" i="3"/>
  <c r="CZ209" i="3"/>
  <c r="DA209" i="3"/>
  <c r="DB209" i="3"/>
  <c r="DC209" i="3"/>
  <c r="A210" i="3"/>
  <c r="CY210" i="3"/>
  <c r="CZ210" i="3"/>
  <c r="DA210" i="3"/>
  <c r="DB210" i="3"/>
  <c r="DC210" i="3"/>
  <c r="A211" i="3"/>
  <c r="CY211" i="3"/>
  <c r="CZ211" i="3"/>
  <c r="DB211" i="3" s="1"/>
  <c r="DA211" i="3"/>
  <c r="DC211" i="3"/>
  <c r="A212" i="3"/>
  <c r="CY212" i="3"/>
  <c r="CZ212" i="3"/>
  <c r="DB212" i="3" s="1"/>
  <c r="DA212" i="3"/>
  <c r="DC212" i="3"/>
  <c r="A213" i="3"/>
  <c r="CY213" i="3"/>
  <c r="CZ213" i="3"/>
  <c r="DA213" i="3"/>
  <c r="DB213" i="3"/>
  <c r="DC213" i="3"/>
  <c r="A214" i="3"/>
  <c r="CY214" i="3"/>
  <c r="CZ214" i="3"/>
  <c r="DA214" i="3"/>
  <c r="DB214" i="3"/>
  <c r="DC214" i="3"/>
  <c r="A215" i="3"/>
  <c r="CY215" i="3"/>
  <c r="CZ215" i="3"/>
  <c r="DB215" i="3" s="1"/>
  <c r="DA215" i="3"/>
  <c r="DC215" i="3"/>
  <c r="A216" i="3"/>
  <c r="CY216" i="3"/>
  <c r="CZ216" i="3"/>
  <c r="DB216" i="3" s="1"/>
  <c r="DA216" i="3"/>
  <c r="DC216" i="3"/>
  <c r="A217" i="3"/>
  <c r="CY217" i="3"/>
  <c r="CZ217" i="3"/>
  <c r="DA217" i="3"/>
  <c r="DB217" i="3"/>
  <c r="DC217" i="3"/>
  <c r="A218" i="3"/>
  <c r="CY218" i="3"/>
  <c r="CZ218" i="3"/>
  <c r="DA218" i="3"/>
  <c r="DB218" i="3"/>
  <c r="DC218" i="3"/>
  <c r="A219" i="3"/>
  <c r="CY219" i="3"/>
  <c r="CZ219" i="3"/>
  <c r="DB219" i="3" s="1"/>
  <c r="DA219" i="3"/>
  <c r="DC219" i="3"/>
  <c r="A220" i="3"/>
  <c r="CY220" i="3"/>
  <c r="CZ220" i="3"/>
  <c r="DB220" i="3" s="1"/>
  <c r="DA220" i="3"/>
  <c r="DC220" i="3"/>
  <c r="A221" i="3"/>
  <c r="CY221" i="3"/>
  <c r="CZ221" i="3"/>
  <c r="DA221" i="3"/>
  <c r="DB221" i="3"/>
  <c r="DC221" i="3"/>
  <c r="A222" i="3"/>
  <c r="CY222" i="3"/>
  <c r="CZ222" i="3"/>
  <c r="DA222" i="3"/>
  <c r="DB222" i="3"/>
  <c r="DC222" i="3"/>
  <c r="A223" i="3"/>
  <c r="CY223" i="3"/>
  <c r="CZ223" i="3"/>
  <c r="DB223" i="3" s="1"/>
  <c r="DA223" i="3"/>
  <c r="DC223" i="3"/>
  <c r="A224" i="3"/>
  <c r="CY224" i="3"/>
  <c r="CZ224" i="3"/>
  <c r="DB224" i="3" s="1"/>
  <c r="DA224" i="3"/>
  <c r="DC224" i="3"/>
  <c r="A225" i="3"/>
  <c r="CY225" i="3"/>
  <c r="CZ225" i="3"/>
  <c r="DA225" i="3"/>
  <c r="DB225" i="3"/>
  <c r="DC225" i="3"/>
  <c r="A226" i="3"/>
  <c r="CY226" i="3"/>
  <c r="CZ226" i="3"/>
  <c r="DA226" i="3"/>
  <c r="DB226" i="3"/>
  <c r="DC226" i="3"/>
  <c r="A227" i="3"/>
  <c r="CY227" i="3"/>
  <c r="CZ227" i="3"/>
  <c r="DB227" i="3" s="1"/>
  <c r="DA227" i="3"/>
  <c r="DC227" i="3"/>
  <c r="A228" i="3"/>
  <c r="CY228" i="3"/>
  <c r="CZ228" i="3"/>
  <c r="DB228" i="3" s="1"/>
  <c r="DA228" i="3"/>
  <c r="DC228" i="3"/>
  <c r="A229" i="3"/>
  <c r="CY229" i="3"/>
  <c r="CZ229" i="3"/>
  <c r="DA229" i="3"/>
  <c r="DB229" i="3"/>
  <c r="DC229" i="3"/>
  <c r="A230" i="3"/>
  <c r="CY230" i="3"/>
  <c r="CZ230" i="3"/>
  <c r="DA230" i="3"/>
  <c r="DB230" i="3"/>
  <c r="DC230" i="3"/>
  <c r="A231" i="3"/>
  <c r="CY231" i="3"/>
  <c r="CZ231" i="3"/>
  <c r="DB231" i="3" s="1"/>
  <c r="DA231" i="3"/>
  <c r="DC231" i="3"/>
  <c r="A232" i="3"/>
  <c r="CY232" i="3"/>
  <c r="CZ232" i="3"/>
  <c r="DB232" i="3" s="1"/>
  <c r="DA232" i="3"/>
  <c r="DC232" i="3"/>
  <c r="A233" i="3"/>
  <c r="CY233" i="3"/>
  <c r="CZ233" i="3"/>
  <c r="DA233" i="3"/>
  <c r="DB233" i="3"/>
  <c r="DC233" i="3"/>
  <c r="A234" i="3"/>
  <c r="CY234" i="3"/>
  <c r="CZ234" i="3"/>
  <c r="DA234" i="3"/>
  <c r="DB234" i="3"/>
  <c r="DC234" i="3"/>
  <c r="A235" i="3"/>
  <c r="CY235" i="3"/>
  <c r="CZ235" i="3"/>
  <c r="DB235" i="3" s="1"/>
  <c r="DA235" i="3"/>
  <c r="DC235" i="3"/>
  <c r="A236" i="3"/>
  <c r="CY236" i="3"/>
  <c r="CZ236" i="3"/>
  <c r="DB236" i="3" s="1"/>
  <c r="DA236" i="3"/>
  <c r="DC236" i="3"/>
  <c r="A237" i="3"/>
  <c r="CY237" i="3"/>
  <c r="CZ237" i="3"/>
  <c r="DA237" i="3"/>
  <c r="DB237" i="3"/>
  <c r="DC237" i="3"/>
  <c r="A238" i="3"/>
  <c r="CY238" i="3"/>
  <c r="CZ238" i="3"/>
  <c r="DA238" i="3"/>
  <c r="DB238" i="3"/>
  <c r="DC238" i="3"/>
  <c r="A239" i="3"/>
  <c r="CY239" i="3"/>
  <c r="CZ239" i="3"/>
  <c r="DB239" i="3" s="1"/>
  <c r="DA239" i="3"/>
  <c r="DC239" i="3"/>
  <c r="A240" i="3"/>
  <c r="CY240" i="3"/>
  <c r="CZ240" i="3"/>
  <c r="DB240" i="3" s="1"/>
  <c r="DA240" i="3"/>
  <c r="DC240" i="3"/>
  <c r="A241" i="3"/>
  <c r="CY241" i="3"/>
  <c r="CZ241" i="3"/>
  <c r="DA241" i="3"/>
  <c r="DB241" i="3"/>
  <c r="DC241" i="3"/>
  <c r="A242" i="3"/>
  <c r="CY242" i="3"/>
  <c r="CZ242" i="3"/>
  <c r="DA242" i="3"/>
  <c r="DB242" i="3"/>
  <c r="DC242" i="3"/>
  <c r="A243" i="3"/>
  <c r="CY243" i="3"/>
  <c r="CZ243" i="3"/>
  <c r="DB243" i="3" s="1"/>
  <c r="DA243" i="3"/>
  <c r="DC243" i="3"/>
  <c r="A244" i="3"/>
  <c r="CY244" i="3"/>
  <c r="CZ244" i="3"/>
  <c r="DB244" i="3" s="1"/>
  <c r="DA244" i="3"/>
  <c r="DC244" i="3"/>
  <c r="A245" i="3"/>
  <c r="CY245" i="3"/>
  <c r="CZ245" i="3"/>
  <c r="DA245" i="3"/>
  <c r="DB245" i="3"/>
  <c r="DC245" i="3"/>
  <c r="A246" i="3"/>
  <c r="CY246" i="3"/>
  <c r="CZ246" i="3"/>
  <c r="DA246" i="3"/>
  <c r="DB246" i="3"/>
  <c r="DC246" i="3"/>
  <c r="A247" i="3"/>
  <c r="CY247" i="3"/>
  <c r="CZ247" i="3"/>
  <c r="DB247" i="3" s="1"/>
  <c r="DA247" i="3"/>
  <c r="DC247" i="3"/>
  <c r="A248" i="3"/>
  <c r="CY248" i="3"/>
  <c r="CZ248" i="3"/>
  <c r="DB248" i="3" s="1"/>
  <c r="DA248" i="3"/>
  <c r="DC248" i="3"/>
  <c r="A249" i="3"/>
  <c r="CY249" i="3"/>
  <c r="CZ249" i="3"/>
  <c r="DA249" i="3"/>
  <c r="DB249" i="3"/>
  <c r="DC249" i="3"/>
  <c r="A250" i="3"/>
  <c r="CY250" i="3"/>
  <c r="CZ250" i="3"/>
  <c r="DA250" i="3"/>
  <c r="DB250" i="3"/>
  <c r="DC250" i="3"/>
  <c r="A251" i="3"/>
  <c r="CY251" i="3"/>
  <c r="CZ251" i="3"/>
  <c r="DB251" i="3" s="1"/>
  <c r="DA251" i="3"/>
  <c r="DC251" i="3"/>
  <c r="A252" i="3"/>
  <c r="CY252" i="3"/>
  <c r="CZ252" i="3"/>
  <c r="DB252" i="3" s="1"/>
  <c r="DA252" i="3"/>
  <c r="DC252" i="3"/>
  <c r="A253" i="3"/>
  <c r="CY253" i="3"/>
  <c r="CZ253" i="3"/>
  <c r="DA253" i="3"/>
  <c r="DB253" i="3"/>
  <c r="DC253" i="3"/>
  <c r="A254" i="3"/>
  <c r="CY254" i="3"/>
  <c r="CZ254" i="3"/>
  <c r="DA254" i="3"/>
  <c r="DB254" i="3"/>
  <c r="DC254" i="3"/>
  <c r="A255" i="3"/>
  <c r="CY255" i="3"/>
  <c r="CZ255" i="3"/>
  <c r="DB255" i="3" s="1"/>
  <c r="DA255" i="3"/>
  <c r="DC255" i="3"/>
  <c r="A256" i="3"/>
  <c r="CX256" i="3"/>
  <c r="CY256" i="3"/>
  <c r="CZ256" i="3"/>
  <c r="DB256" i="3" s="1"/>
  <c r="DA256" i="3"/>
  <c r="DC256" i="3"/>
  <c r="A257" i="3"/>
  <c r="CX257" i="3"/>
  <c r="CY257" i="3"/>
  <c r="CZ257" i="3"/>
  <c r="DA257" i="3"/>
  <c r="DB257" i="3"/>
  <c r="DC257" i="3"/>
  <c r="A258" i="3"/>
  <c r="CX258" i="3"/>
  <c r="CY258" i="3"/>
  <c r="CZ258" i="3"/>
  <c r="DA258" i="3"/>
  <c r="DB258" i="3"/>
  <c r="DC258" i="3"/>
  <c r="A259" i="3"/>
  <c r="CX259" i="3"/>
  <c r="CY259" i="3"/>
  <c r="CZ259" i="3"/>
  <c r="DB259" i="3" s="1"/>
  <c r="DA259" i="3"/>
  <c r="DC259" i="3"/>
  <c r="A260" i="3"/>
  <c r="CX260" i="3"/>
  <c r="CY260" i="3"/>
  <c r="CZ260" i="3"/>
  <c r="DB260" i="3" s="1"/>
  <c r="DA260" i="3"/>
  <c r="DC260" i="3"/>
  <c r="A261" i="3"/>
  <c r="CX261" i="3"/>
  <c r="CY261" i="3"/>
  <c r="CZ261" i="3"/>
  <c r="DA261" i="3"/>
  <c r="DB261" i="3"/>
  <c r="DC261" i="3"/>
  <c r="A262" i="3"/>
  <c r="CX262" i="3"/>
  <c r="CY262" i="3"/>
  <c r="CZ262" i="3"/>
  <c r="DA262" i="3"/>
  <c r="DB262" i="3"/>
  <c r="DC262" i="3"/>
  <c r="A263" i="3"/>
  <c r="CX263" i="3"/>
  <c r="CY263" i="3"/>
  <c r="CZ263" i="3"/>
  <c r="DB263" i="3" s="1"/>
  <c r="DA263" i="3"/>
  <c r="DC263" i="3"/>
  <c r="A264" i="3"/>
  <c r="CY264" i="3"/>
  <c r="CZ264" i="3"/>
  <c r="DB264" i="3" s="1"/>
  <c r="DA264" i="3"/>
  <c r="DC264" i="3"/>
  <c r="A265" i="3"/>
  <c r="CY265" i="3"/>
  <c r="CZ265" i="3"/>
  <c r="DA265" i="3"/>
  <c r="DB265" i="3"/>
  <c r="DC265" i="3"/>
  <c r="A266" i="3"/>
  <c r="CY266" i="3"/>
  <c r="CZ266" i="3"/>
  <c r="DA266" i="3"/>
  <c r="DB266" i="3"/>
  <c r="DC266" i="3"/>
  <c r="A267" i="3"/>
  <c r="CY267" i="3"/>
  <c r="CZ267" i="3"/>
  <c r="DB267" i="3" s="1"/>
  <c r="DA267" i="3"/>
  <c r="DC267" i="3"/>
  <c r="A268" i="3"/>
  <c r="CY268" i="3"/>
  <c r="CZ268" i="3"/>
  <c r="DB268" i="3" s="1"/>
  <c r="DA268" i="3"/>
  <c r="DC268" i="3"/>
  <c r="A269" i="3"/>
  <c r="CY269" i="3"/>
  <c r="CZ269" i="3"/>
  <c r="DA269" i="3"/>
  <c r="DB269" i="3"/>
  <c r="DC269" i="3"/>
  <c r="A270" i="3"/>
  <c r="CY270" i="3"/>
  <c r="CZ270" i="3"/>
  <c r="DA270" i="3"/>
  <c r="DB270" i="3"/>
  <c r="DC270" i="3"/>
  <c r="A271" i="3"/>
  <c r="CY271" i="3"/>
  <c r="CZ271" i="3"/>
  <c r="DB271" i="3" s="1"/>
  <c r="DA271" i="3"/>
  <c r="DC271" i="3"/>
  <c r="A272" i="3"/>
  <c r="CY272" i="3"/>
  <c r="CZ272" i="3"/>
  <c r="DB272" i="3" s="1"/>
  <c r="DA272" i="3"/>
  <c r="DC272" i="3"/>
  <c r="A273" i="3"/>
  <c r="CY273" i="3"/>
  <c r="CZ273" i="3"/>
  <c r="DA273" i="3"/>
  <c r="DB273" i="3"/>
  <c r="DC273" i="3"/>
  <c r="A274" i="3"/>
  <c r="CY274" i="3"/>
  <c r="CZ274" i="3"/>
  <c r="DA274" i="3"/>
  <c r="DB274" i="3"/>
  <c r="DC274" i="3"/>
  <c r="A275" i="3"/>
  <c r="CY275" i="3"/>
  <c r="CZ275" i="3"/>
  <c r="DB275" i="3" s="1"/>
  <c r="DA275" i="3"/>
  <c r="DC275" i="3"/>
  <c r="A276" i="3"/>
  <c r="CY276" i="3"/>
  <c r="CZ276" i="3"/>
  <c r="DB276" i="3" s="1"/>
  <c r="DA276" i="3"/>
  <c r="DC276" i="3"/>
  <c r="A277" i="3"/>
  <c r="CY277" i="3"/>
  <c r="CZ277" i="3"/>
  <c r="DA277" i="3"/>
  <c r="DB277" i="3"/>
  <c r="DC277" i="3"/>
  <c r="A278" i="3"/>
  <c r="CY278" i="3"/>
  <c r="CZ278" i="3"/>
  <c r="DA278" i="3"/>
  <c r="DB278" i="3"/>
  <c r="DC278" i="3"/>
  <c r="A279" i="3"/>
  <c r="CY279" i="3"/>
  <c r="CZ279" i="3"/>
  <c r="DB279" i="3" s="1"/>
  <c r="DA279" i="3"/>
  <c r="DC279" i="3"/>
  <c r="A280" i="3"/>
  <c r="CY280" i="3"/>
  <c r="CZ280" i="3"/>
  <c r="DB280" i="3" s="1"/>
  <c r="DA280" i="3"/>
  <c r="DC280" i="3"/>
  <c r="A281" i="3"/>
  <c r="CY281" i="3"/>
  <c r="CZ281" i="3"/>
  <c r="DA281" i="3"/>
  <c r="DB281" i="3"/>
  <c r="DC281" i="3"/>
  <c r="A282" i="3"/>
  <c r="CY282" i="3"/>
  <c r="CZ282" i="3"/>
  <c r="DA282" i="3"/>
  <c r="DB282" i="3"/>
  <c r="DC282" i="3"/>
  <c r="A283" i="3"/>
  <c r="CY283" i="3"/>
  <c r="CZ283" i="3"/>
  <c r="DB283" i="3" s="1"/>
  <c r="DA283" i="3"/>
  <c r="DC283" i="3"/>
  <c r="A284" i="3"/>
  <c r="CY284" i="3"/>
  <c r="CZ284" i="3"/>
  <c r="DB284" i="3" s="1"/>
  <c r="DA284" i="3"/>
  <c r="DC284" i="3"/>
  <c r="A285" i="3"/>
  <c r="CY285" i="3"/>
  <c r="CZ285" i="3"/>
  <c r="DA285" i="3"/>
  <c r="DB285" i="3"/>
  <c r="DC285" i="3"/>
  <c r="A286" i="3"/>
  <c r="CY286" i="3"/>
  <c r="CZ286" i="3"/>
  <c r="DA286" i="3"/>
  <c r="DB286" i="3"/>
  <c r="DC286" i="3"/>
  <c r="A287" i="3"/>
  <c r="CY287" i="3"/>
  <c r="CZ287" i="3"/>
  <c r="DB287" i="3" s="1"/>
  <c r="DA287" i="3"/>
  <c r="DC287" i="3"/>
  <c r="A288" i="3"/>
  <c r="CY288" i="3"/>
  <c r="CZ288" i="3"/>
  <c r="DA288" i="3"/>
  <c r="DB288" i="3"/>
  <c r="DC288" i="3"/>
  <c r="A289" i="3"/>
  <c r="CY289" i="3"/>
  <c r="CZ289" i="3"/>
  <c r="DA289" i="3"/>
  <c r="DB289" i="3"/>
  <c r="DC289" i="3"/>
  <c r="A290" i="3"/>
  <c r="CY290" i="3"/>
  <c r="CZ290" i="3"/>
  <c r="DB290" i="3" s="1"/>
  <c r="DA290" i="3"/>
  <c r="DC290" i="3"/>
  <c r="A291" i="3"/>
  <c r="CY291" i="3"/>
  <c r="CZ291" i="3"/>
  <c r="DB291" i="3" s="1"/>
  <c r="DA291" i="3"/>
  <c r="DC291" i="3"/>
  <c r="A292" i="3"/>
  <c r="CY292" i="3"/>
  <c r="CZ292" i="3"/>
  <c r="DB292" i="3" s="1"/>
  <c r="DA292" i="3"/>
  <c r="DC292" i="3"/>
  <c r="A293" i="3"/>
  <c r="CY293" i="3"/>
  <c r="CZ293" i="3"/>
  <c r="DA293" i="3"/>
  <c r="DB293" i="3"/>
  <c r="DC293" i="3"/>
  <c r="A294" i="3"/>
  <c r="CY294" i="3"/>
  <c r="CZ294" i="3"/>
  <c r="DA294" i="3"/>
  <c r="DB294" i="3"/>
  <c r="DC294" i="3"/>
  <c r="A295" i="3"/>
  <c r="CY295" i="3"/>
  <c r="CZ295" i="3"/>
  <c r="DB295" i="3" s="1"/>
  <c r="DA295" i="3"/>
  <c r="DC295" i="3"/>
  <c r="A296" i="3"/>
  <c r="CY296" i="3"/>
  <c r="CZ296" i="3"/>
  <c r="DA296" i="3"/>
  <c r="DB296" i="3"/>
  <c r="DC296" i="3"/>
  <c r="A297" i="3"/>
  <c r="CY297" i="3"/>
  <c r="CZ297" i="3"/>
  <c r="DA297" i="3"/>
  <c r="DB297" i="3"/>
  <c r="DC297" i="3"/>
  <c r="A298" i="3"/>
  <c r="CY298" i="3"/>
  <c r="CZ298" i="3"/>
  <c r="DB298" i="3" s="1"/>
  <c r="DA298" i="3"/>
  <c r="DC298" i="3"/>
  <c r="A299" i="3"/>
  <c r="CY299" i="3"/>
  <c r="CZ299" i="3"/>
  <c r="DB299" i="3" s="1"/>
  <c r="DA299" i="3"/>
  <c r="DC299" i="3"/>
  <c r="A300" i="3"/>
  <c r="CY300" i="3"/>
  <c r="CZ300" i="3"/>
  <c r="DB300" i="3" s="1"/>
  <c r="DA300" i="3"/>
  <c r="DC300" i="3"/>
  <c r="A301" i="3"/>
  <c r="CY301" i="3"/>
  <c r="CZ301" i="3"/>
  <c r="DA301" i="3"/>
  <c r="DB301" i="3"/>
  <c r="DC301" i="3"/>
  <c r="A302" i="3"/>
  <c r="CY302" i="3"/>
  <c r="CZ302" i="3"/>
  <c r="DA302" i="3"/>
  <c r="DB302" i="3"/>
  <c r="DC302" i="3"/>
  <c r="A303" i="3"/>
  <c r="CY303" i="3"/>
  <c r="CZ303" i="3"/>
  <c r="DB303" i="3" s="1"/>
  <c r="DA303" i="3"/>
  <c r="DC303" i="3"/>
  <c r="A304" i="3"/>
  <c r="CY304" i="3"/>
  <c r="CZ304" i="3"/>
  <c r="DA304" i="3"/>
  <c r="DB304" i="3"/>
  <c r="DC304" i="3"/>
  <c r="A305" i="3"/>
  <c r="CY305" i="3"/>
  <c r="CZ305" i="3"/>
  <c r="DA305" i="3"/>
  <c r="DB305" i="3"/>
  <c r="DC305" i="3"/>
  <c r="A306" i="3"/>
  <c r="CY306" i="3"/>
  <c r="CZ306" i="3"/>
  <c r="DB306" i="3" s="1"/>
  <c r="DA306" i="3"/>
  <c r="DC306" i="3"/>
  <c r="A307" i="3"/>
  <c r="CY307" i="3"/>
  <c r="CZ307" i="3"/>
  <c r="DB307" i="3" s="1"/>
  <c r="DA307" i="3"/>
  <c r="DC307" i="3"/>
  <c r="A308" i="3"/>
  <c r="CY308" i="3"/>
  <c r="CZ308" i="3"/>
  <c r="DB308" i="3" s="1"/>
  <c r="DA308" i="3"/>
  <c r="DC308" i="3"/>
  <c r="A309" i="3"/>
  <c r="CY309" i="3"/>
  <c r="CZ309" i="3"/>
  <c r="DA309" i="3"/>
  <c r="DB309" i="3"/>
  <c r="DC309" i="3"/>
  <c r="A310" i="3"/>
  <c r="CY310" i="3"/>
  <c r="CZ310" i="3"/>
  <c r="DA310" i="3"/>
  <c r="DB310" i="3"/>
  <c r="DC310" i="3"/>
  <c r="A311" i="3"/>
  <c r="CY311" i="3"/>
  <c r="CZ311" i="3"/>
  <c r="DB311" i="3" s="1"/>
  <c r="DA311" i="3"/>
  <c r="DC311" i="3"/>
  <c r="A312" i="3"/>
  <c r="CY312" i="3"/>
  <c r="CZ312" i="3"/>
  <c r="DA312" i="3"/>
  <c r="DB312" i="3"/>
  <c r="DC312" i="3"/>
  <c r="A313" i="3"/>
  <c r="CY313" i="3"/>
  <c r="CZ313" i="3"/>
  <c r="DA313" i="3"/>
  <c r="DB313" i="3"/>
  <c r="DC313" i="3"/>
  <c r="A314" i="3"/>
  <c r="CY314" i="3"/>
  <c r="CZ314" i="3"/>
  <c r="DB314" i="3" s="1"/>
  <c r="DA314" i="3"/>
  <c r="DC314" i="3"/>
  <c r="A315" i="3"/>
  <c r="CY315" i="3"/>
  <c r="CZ315" i="3"/>
  <c r="DB315" i="3" s="1"/>
  <c r="DA315" i="3"/>
  <c r="DC315" i="3"/>
  <c r="A316" i="3"/>
  <c r="CY316" i="3"/>
  <c r="CZ316" i="3"/>
  <c r="DB316" i="3" s="1"/>
  <c r="DA316" i="3"/>
  <c r="DC316" i="3"/>
  <c r="A317" i="3"/>
  <c r="CY317" i="3"/>
  <c r="CZ317" i="3"/>
  <c r="DA317" i="3"/>
  <c r="DB317" i="3"/>
  <c r="DC317" i="3"/>
  <c r="A318" i="3"/>
  <c r="CY318" i="3"/>
  <c r="CZ318" i="3"/>
  <c r="DA318" i="3"/>
  <c r="DB318" i="3"/>
  <c r="DC318" i="3"/>
  <c r="A319" i="3"/>
  <c r="CY319" i="3"/>
  <c r="CZ319" i="3"/>
  <c r="DB319" i="3" s="1"/>
  <c r="DA319" i="3"/>
  <c r="DC319" i="3"/>
  <c r="A320" i="3"/>
  <c r="CY320" i="3"/>
  <c r="CZ320" i="3"/>
  <c r="DA320" i="3"/>
  <c r="DB320" i="3"/>
  <c r="DC320" i="3"/>
  <c r="A321" i="3"/>
  <c r="CY321" i="3"/>
  <c r="CZ321" i="3"/>
  <c r="DA321" i="3"/>
  <c r="DB321" i="3"/>
  <c r="DC321" i="3"/>
  <c r="A322" i="3"/>
  <c r="CY322" i="3"/>
  <c r="CZ322" i="3"/>
  <c r="DB322" i="3" s="1"/>
  <c r="DA322" i="3"/>
  <c r="DC322" i="3"/>
  <c r="A323" i="3"/>
  <c r="CY323" i="3"/>
  <c r="CZ323" i="3"/>
  <c r="DB323" i="3" s="1"/>
  <c r="DA323" i="3"/>
  <c r="DC323" i="3"/>
  <c r="A324" i="3"/>
  <c r="CY324" i="3"/>
  <c r="CZ324" i="3"/>
  <c r="DB324" i="3" s="1"/>
  <c r="DA324" i="3"/>
  <c r="DC324" i="3"/>
  <c r="A325" i="3"/>
  <c r="CY325" i="3"/>
  <c r="CZ325" i="3"/>
  <c r="DA325" i="3"/>
  <c r="DB325" i="3"/>
  <c r="DC325" i="3"/>
  <c r="A326" i="3"/>
  <c r="CY326" i="3"/>
  <c r="CZ326" i="3"/>
  <c r="DA326" i="3"/>
  <c r="DB326" i="3"/>
  <c r="DC326" i="3"/>
  <c r="A327" i="3"/>
  <c r="CY327" i="3"/>
  <c r="CZ327" i="3"/>
  <c r="DB327" i="3" s="1"/>
  <c r="DA327" i="3"/>
  <c r="DC327" i="3"/>
  <c r="A328" i="3"/>
  <c r="CY328" i="3"/>
  <c r="CZ328" i="3"/>
  <c r="DA328" i="3"/>
  <c r="DB328" i="3"/>
  <c r="DC328" i="3"/>
  <c r="A329" i="3"/>
  <c r="CY329" i="3"/>
  <c r="CZ329" i="3"/>
  <c r="DA329" i="3"/>
  <c r="DB329" i="3"/>
  <c r="DC329" i="3"/>
  <c r="A330" i="3"/>
  <c r="CY330" i="3"/>
  <c r="CZ330" i="3"/>
  <c r="DB330" i="3" s="1"/>
  <c r="DA330" i="3"/>
  <c r="DC330" i="3"/>
  <c r="A331" i="3"/>
  <c r="CY331" i="3"/>
  <c r="CZ331" i="3"/>
  <c r="DB331" i="3" s="1"/>
  <c r="DA331" i="3"/>
  <c r="DC331" i="3"/>
  <c r="A332" i="3"/>
  <c r="CY332" i="3"/>
  <c r="CZ332" i="3"/>
  <c r="DB332" i="3" s="1"/>
  <c r="DA332" i="3"/>
  <c r="DC332" i="3"/>
  <c r="A333" i="3"/>
  <c r="CY333" i="3"/>
  <c r="CZ333" i="3"/>
  <c r="DA333" i="3"/>
  <c r="DB333" i="3"/>
  <c r="DC333" i="3"/>
  <c r="A334" i="3"/>
  <c r="CY334" i="3"/>
  <c r="CZ334" i="3"/>
  <c r="DA334" i="3"/>
  <c r="DB334" i="3"/>
  <c r="DC334" i="3"/>
  <c r="A335" i="3"/>
  <c r="CY335" i="3"/>
  <c r="CZ335" i="3"/>
  <c r="DB335" i="3" s="1"/>
  <c r="DA335" i="3"/>
  <c r="DC335" i="3"/>
  <c r="A336" i="3"/>
  <c r="CY336" i="3"/>
  <c r="CZ336" i="3"/>
  <c r="DA336" i="3"/>
  <c r="DB336" i="3"/>
  <c r="DC336" i="3"/>
  <c r="A337" i="3"/>
  <c r="CY337" i="3"/>
  <c r="CZ337" i="3"/>
  <c r="DA337" i="3"/>
  <c r="DB337" i="3"/>
  <c r="DC337" i="3"/>
  <c r="A338" i="3"/>
  <c r="CY338" i="3"/>
  <c r="CZ338" i="3"/>
  <c r="DB338" i="3" s="1"/>
  <c r="DA338" i="3"/>
  <c r="DC338" i="3"/>
  <c r="A339" i="3"/>
  <c r="CY339" i="3"/>
  <c r="CZ339" i="3"/>
  <c r="DB339" i="3" s="1"/>
  <c r="DA339" i="3"/>
  <c r="DC339" i="3"/>
  <c r="A340" i="3"/>
  <c r="CY340" i="3"/>
  <c r="CZ340" i="3"/>
  <c r="DB340" i="3" s="1"/>
  <c r="DA340" i="3"/>
  <c r="DC340" i="3"/>
  <c r="A341" i="3"/>
  <c r="CY341" i="3"/>
  <c r="CZ341" i="3"/>
  <c r="DA341" i="3"/>
  <c r="DB341" i="3"/>
  <c r="DC341" i="3"/>
  <c r="A342" i="3"/>
  <c r="CY342" i="3"/>
  <c r="CZ342" i="3"/>
  <c r="DA342" i="3"/>
  <c r="DB342" i="3"/>
  <c r="DC342" i="3"/>
  <c r="A343" i="3"/>
  <c r="CY343" i="3"/>
  <c r="CZ343" i="3"/>
  <c r="DB343" i="3" s="1"/>
  <c r="DA343" i="3"/>
  <c r="DC343" i="3"/>
  <c r="A344" i="3"/>
  <c r="CY344" i="3"/>
  <c r="CZ344" i="3"/>
  <c r="DA344" i="3"/>
  <c r="DB344" i="3"/>
  <c r="DC344" i="3"/>
  <c r="A345" i="3"/>
  <c r="CY345" i="3"/>
  <c r="CZ345" i="3"/>
  <c r="DA345" i="3"/>
  <c r="DB345" i="3"/>
  <c r="DC345" i="3"/>
  <c r="A346" i="3"/>
  <c r="CY346" i="3"/>
  <c r="CZ346" i="3"/>
  <c r="DB346" i="3" s="1"/>
  <c r="DA346" i="3"/>
  <c r="DC346" i="3"/>
  <c r="A347" i="3"/>
  <c r="CY347" i="3"/>
  <c r="CZ347" i="3"/>
  <c r="DB347" i="3" s="1"/>
  <c r="DA347" i="3"/>
  <c r="DC347" i="3"/>
  <c r="A348" i="3"/>
  <c r="CY348" i="3"/>
  <c r="CZ348" i="3"/>
  <c r="DB348" i="3" s="1"/>
  <c r="DA348" i="3"/>
  <c r="DC348" i="3"/>
  <c r="A349" i="3"/>
  <c r="CY349" i="3"/>
  <c r="CZ349" i="3"/>
  <c r="DA349" i="3"/>
  <c r="DB349" i="3"/>
  <c r="DC349" i="3"/>
  <c r="A350" i="3"/>
  <c r="CY350" i="3"/>
  <c r="CZ350" i="3"/>
  <c r="DA350" i="3"/>
  <c r="DB350" i="3"/>
  <c r="DC350" i="3"/>
  <c r="A351" i="3"/>
  <c r="CY351" i="3"/>
  <c r="CZ351" i="3"/>
  <c r="DB351" i="3" s="1"/>
  <c r="DA351" i="3"/>
  <c r="DC351" i="3"/>
  <c r="A352" i="3"/>
  <c r="CY352" i="3"/>
  <c r="CZ352" i="3"/>
  <c r="DA352" i="3"/>
  <c r="DB352" i="3"/>
  <c r="DC352" i="3"/>
  <c r="A353" i="3"/>
  <c r="CY353" i="3"/>
  <c r="CZ353" i="3"/>
  <c r="DA353" i="3"/>
  <c r="DB353" i="3"/>
  <c r="DC353" i="3"/>
  <c r="A354" i="3"/>
  <c r="CY354" i="3"/>
  <c r="CZ354" i="3"/>
  <c r="DB354" i="3" s="1"/>
  <c r="DA354" i="3"/>
  <c r="DC354" i="3"/>
  <c r="A355" i="3"/>
  <c r="CY355" i="3"/>
  <c r="CZ355" i="3"/>
  <c r="DB355" i="3" s="1"/>
  <c r="DA355" i="3"/>
  <c r="DC355" i="3"/>
  <c r="A356" i="3"/>
  <c r="CY356" i="3"/>
  <c r="CZ356" i="3"/>
  <c r="DB356" i="3" s="1"/>
  <c r="DA356" i="3"/>
  <c r="DC356" i="3"/>
  <c r="A357" i="3"/>
  <c r="CY357" i="3"/>
  <c r="CZ357" i="3"/>
  <c r="DA357" i="3"/>
  <c r="DB357" i="3"/>
  <c r="DC357" i="3"/>
  <c r="A358" i="3"/>
  <c r="CY358" i="3"/>
  <c r="CZ358" i="3"/>
  <c r="DA358" i="3"/>
  <c r="DB358" i="3"/>
  <c r="DC358" i="3"/>
  <c r="A359" i="3"/>
  <c r="CY359" i="3"/>
  <c r="CZ359" i="3"/>
  <c r="DB359" i="3" s="1"/>
  <c r="DA359" i="3"/>
  <c r="DC359" i="3"/>
  <c r="A360" i="3"/>
  <c r="CY360" i="3"/>
  <c r="CZ360" i="3"/>
  <c r="DA360" i="3"/>
  <c r="DB360" i="3"/>
  <c r="DC360" i="3"/>
  <c r="A361" i="3"/>
  <c r="CY361" i="3"/>
  <c r="CZ361" i="3"/>
  <c r="DA361" i="3"/>
  <c r="DB361" i="3"/>
  <c r="DC361" i="3"/>
  <c r="A362" i="3"/>
  <c r="CY362" i="3"/>
  <c r="CZ362" i="3"/>
  <c r="DB362" i="3" s="1"/>
  <c r="DA362" i="3"/>
  <c r="DC362" i="3"/>
  <c r="A363" i="3"/>
  <c r="CY363" i="3"/>
  <c r="CZ363" i="3"/>
  <c r="DB363" i="3" s="1"/>
  <c r="DA363" i="3"/>
  <c r="DC363" i="3"/>
  <c r="A364" i="3"/>
  <c r="CY364" i="3"/>
  <c r="CZ364" i="3"/>
  <c r="DB364" i="3" s="1"/>
  <c r="DA364" i="3"/>
  <c r="DC364" i="3"/>
  <c r="A365" i="3"/>
  <c r="CY365" i="3"/>
  <c r="CZ365" i="3"/>
  <c r="DA365" i="3"/>
  <c r="DB365" i="3"/>
  <c r="DC365" i="3"/>
  <c r="A366" i="3"/>
  <c r="CY366" i="3"/>
  <c r="CZ366" i="3"/>
  <c r="DA366" i="3"/>
  <c r="DB366" i="3"/>
  <c r="DC366" i="3"/>
  <c r="A367" i="3"/>
  <c r="CY367" i="3"/>
  <c r="CZ367" i="3"/>
  <c r="DB367" i="3" s="1"/>
  <c r="DA367" i="3"/>
  <c r="DC367" i="3"/>
  <c r="A368" i="3"/>
  <c r="CY368" i="3"/>
  <c r="CZ368" i="3"/>
  <c r="DA368" i="3"/>
  <c r="DB368" i="3"/>
  <c r="DC368" i="3"/>
  <c r="A369" i="3"/>
  <c r="CY369" i="3"/>
  <c r="CZ369" i="3"/>
  <c r="DA369" i="3"/>
  <c r="DB369" i="3"/>
  <c r="DC369" i="3"/>
  <c r="A370" i="3"/>
  <c r="CY370" i="3"/>
  <c r="CZ370" i="3"/>
  <c r="DB370" i="3" s="1"/>
  <c r="DA370" i="3"/>
  <c r="DC370" i="3"/>
  <c r="A371" i="3"/>
  <c r="CY371" i="3"/>
  <c r="CZ371" i="3"/>
  <c r="DB371" i="3" s="1"/>
  <c r="DA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A375" i="3"/>
  <c r="DB375" i="3"/>
  <c r="DC375" i="3"/>
  <c r="A376" i="3"/>
  <c r="CY376" i="3"/>
  <c r="CZ376" i="3"/>
  <c r="DB376" i="3" s="1"/>
  <c r="DA376" i="3"/>
  <c r="DC376" i="3"/>
  <c r="A377" i="3"/>
  <c r="CY377" i="3"/>
  <c r="CZ377" i="3"/>
  <c r="DB377" i="3" s="1"/>
  <c r="DA377" i="3"/>
  <c r="DC377" i="3"/>
  <c r="A378" i="3"/>
  <c r="CY378" i="3"/>
  <c r="CZ378" i="3"/>
  <c r="DA378" i="3"/>
  <c r="DB378" i="3"/>
  <c r="DC378" i="3"/>
  <c r="A379" i="3"/>
  <c r="CY379" i="3"/>
  <c r="CZ379" i="3"/>
  <c r="DA379" i="3"/>
  <c r="DB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A383" i="3"/>
  <c r="DB383" i="3"/>
  <c r="DC383" i="3"/>
  <c r="A384" i="3"/>
  <c r="CY384" i="3"/>
  <c r="CZ384" i="3"/>
  <c r="DB384" i="3" s="1"/>
  <c r="DA384" i="3"/>
  <c r="DC384" i="3"/>
  <c r="A385" i="3"/>
  <c r="CY385" i="3"/>
  <c r="CZ385" i="3"/>
  <c r="DB385" i="3" s="1"/>
  <c r="DA385" i="3"/>
  <c r="DC385" i="3"/>
  <c r="A386" i="3"/>
  <c r="CY386" i="3"/>
  <c r="CZ386" i="3"/>
  <c r="DA386" i="3"/>
  <c r="DB386" i="3"/>
  <c r="DC386" i="3"/>
  <c r="A387" i="3"/>
  <c r="CY387" i="3"/>
  <c r="CZ387" i="3"/>
  <c r="DA387" i="3"/>
  <c r="DB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A391" i="3"/>
  <c r="DB391" i="3"/>
  <c r="DC391" i="3"/>
  <c r="A392" i="3"/>
  <c r="CY392" i="3"/>
  <c r="CZ392" i="3"/>
  <c r="DB392" i="3" s="1"/>
  <c r="DA392" i="3"/>
  <c r="DC392" i="3"/>
  <c r="A393" i="3"/>
  <c r="CY393" i="3"/>
  <c r="CZ393" i="3"/>
  <c r="DB393" i="3" s="1"/>
  <c r="DA393" i="3"/>
  <c r="DC393" i="3"/>
  <c r="A394" i="3"/>
  <c r="CY394" i="3"/>
  <c r="CZ394" i="3"/>
  <c r="DA394" i="3"/>
  <c r="DB394" i="3"/>
  <c r="DC394" i="3"/>
  <c r="A395" i="3"/>
  <c r="CY395" i="3"/>
  <c r="CZ395" i="3"/>
  <c r="DA395" i="3"/>
  <c r="DB395" i="3"/>
  <c r="DC395" i="3"/>
  <c r="A396" i="3"/>
  <c r="CY396" i="3"/>
  <c r="CZ396" i="3"/>
  <c r="DB396" i="3" s="1"/>
  <c r="DA396" i="3"/>
  <c r="DC396" i="3"/>
  <c r="A397" i="3"/>
  <c r="CY397" i="3"/>
  <c r="CZ397" i="3"/>
  <c r="DB397" i="3" s="1"/>
  <c r="DA397" i="3"/>
  <c r="DC397" i="3"/>
  <c r="A398" i="3"/>
  <c r="CY398" i="3"/>
  <c r="CZ398" i="3"/>
  <c r="DA398" i="3"/>
  <c r="DB398" i="3"/>
  <c r="DC398" i="3"/>
  <c r="A399" i="3"/>
  <c r="CY399" i="3"/>
  <c r="CZ399" i="3"/>
  <c r="DA399" i="3"/>
  <c r="DB399" i="3"/>
  <c r="DC399" i="3"/>
  <c r="A400" i="3"/>
  <c r="CY400" i="3"/>
  <c r="CZ400" i="3"/>
  <c r="DB400" i="3" s="1"/>
  <c r="DA400" i="3"/>
  <c r="DC400" i="3"/>
  <c r="A401" i="3"/>
  <c r="CY401" i="3"/>
  <c r="CZ401" i="3"/>
  <c r="DB401" i="3" s="1"/>
  <c r="DA401" i="3"/>
  <c r="DC401" i="3"/>
  <c r="A402" i="3"/>
  <c r="CY402" i="3"/>
  <c r="CZ402" i="3"/>
  <c r="DA402" i="3"/>
  <c r="DB402" i="3"/>
  <c r="DC402" i="3"/>
  <c r="A403" i="3"/>
  <c r="CY403" i="3"/>
  <c r="CZ403" i="3"/>
  <c r="DA403" i="3"/>
  <c r="DB403" i="3"/>
  <c r="DC403" i="3"/>
  <c r="A404" i="3"/>
  <c r="CY404" i="3"/>
  <c r="CZ404" i="3"/>
  <c r="DB404" i="3" s="1"/>
  <c r="DA404" i="3"/>
  <c r="DC404" i="3"/>
  <c r="A405" i="3"/>
  <c r="CY405" i="3"/>
  <c r="CZ405" i="3"/>
  <c r="DB405" i="3" s="1"/>
  <c r="DA405" i="3"/>
  <c r="DC405" i="3"/>
  <c r="A406" i="3"/>
  <c r="CY406" i="3"/>
  <c r="CZ406" i="3"/>
  <c r="DA406" i="3"/>
  <c r="DB406" i="3"/>
  <c r="DC406" i="3"/>
  <c r="A407" i="3"/>
  <c r="CY407" i="3"/>
  <c r="CZ407" i="3"/>
  <c r="DA407" i="3"/>
  <c r="DB407" i="3"/>
  <c r="DC407" i="3"/>
  <c r="A408" i="3"/>
  <c r="CY408" i="3"/>
  <c r="CZ408" i="3"/>
  <c r="DB408" i="3" s="1"/>
  <c r="DA408" i="3"/>
  <c r="DC408" i="3"/>
  <c r="A409" i="3"/>
  <c r="CY409" i="3"/>
  <c r="CZ409" i="3"/>
  <c r="DB409" i="3" s="1"/>
  <c r="DA409" i="3"/>
  <c r="DC409" i="3"/>
  <c r="A410" i="3"/>
  <c r="CY410" i="3"/>
  <c r="CZ410" i="3"/>
  <c r="DA410" i="3"/>
  <c r="DB410" i="3"/>
  <c r="DC410" i="3"/>
  <c r="A411" i="3"/>
  <c r="CY411" i="3"/>
  <c r="CZ411" i="3"/>
  <c r="DA411" i="3"/>
  <c r="DB411" i="3"/>
  <c r="DC411" i="3"/>
  <c r="A412" i="3"/>
  <c r="CY412" i="3"/>
  <c r="CZ412" i="3"/>
  <c r="DB412" i="3" s="1"/>
  <c r="DA412" i="3"/>
  <c r="DC412" i="3"/>
  <c r="A413" i="3"/>
  <c r="CY413" i="3"/>
  <c r="CZ413" i="3"/>
  <c r="DB413" i="3" s="1"/>
  <c r="DA413" i="3"/>
  <c r="DC413" i="3"/>
  <c r="A414" i="3"/>
  <c r="CY414" i="3"/>
  <c r="CZ414" i="3"/>
  <c r="DA414" i="3"/>
  <c r="DB414" i="3"/>
  <c r="DC414" i="3"/>
  <c r="A415" i="3"/>
  <c r="CY415" i="3"/>
  <c r="CZ415" i="3"/>
  <c r="DA415" i="3"/>
  <c r="DB415" i="3"/>
  <c r="DC415" i="3"/>
  <c r="A416" i="3"/>
  <c r="CY416" i="3"/>
  <c r="CZ416" i="3"/>
  <c r="DB416" i="3" s="1"/>
  <c r="DA416" i="3"/>
  <c r="DC416" i="3"/>
  <c r="A417" i="3"/>
  <c r="CY417" i="3"/>
  <c r="CZ417" i="3"/>
  <c r="DB417" i="3" s="1"/>
  <c r="DA417" i="3"/>
  <c r="DC417" i="3"/>
  <c r="A418" i="3"/>
  <c r="CY418" i="3"/>
  <c r="CZ418" i="3"/>
  <c r="DA418" i="3"/>
  <c r="DB418" i="3"/>
  <c r="DC418" i="3"/>
  <c r="A419" i="3"/>
  <c r="CY419" i="3"/>
  <c r="CZ419" i="3"/>
  <c r="DA419" i="3"/>
  <c r="DB419" i="3"/>
  <c r="DC419" i="3"/>
  <c r="A420" i="3"/>
  <c r="CX420" i="3"/>
  <c r="CY420" i="3"/>
  <c r="CZ420" i="3"/>
  <c r="DB420" i="3" s="1"/>
  <c r="DA420" i="3"/>
  <c r="DC420" i="3"/>
  <c r="A421" i="3"/>
  <c r="CX421" i="3"/>
  <c r="CY421" i="3"/>
  <c r="CZ421" i="3"/>
  <c r="DB421" i="3" s="1"/>
  <c r="DA421" i="3"/>
  <c r="DC421" i="3"/>
  <c r="A422" i="3"/>
  <c r="CX422" i="3"/>
  <c r="CY422" i="3"/>
  <c r="CZ422" i="3"/>
  <c r="DA422" i="3"/>
  <c r="DB422" i="3"/>
  <c r="DC422" i="3"/>
  <c r="A423" i="3"/>
  <c r="CX423" i="3"/>
  <c r="CY423" i="3"/>
  <c r="CZ423" i="3"/>
  <c r="DA423" i="3"/>
  <c r="DB423" i="3"/>
  <c r="DC423" i="3"/>
  <c r="A424" i="3"/>
  <c r="CX424" i="3"/>
  <c r="CY424" i="3"/>
  <c r="CZ424" i="3"/>
  <c r="DB424" i="3" s="1"/>
  <c r="DA424" i="3"/>
  <c r="DC424" i="3"/>
  <c r="A425" i="3"/>
  <c r="CX425" i="3"/>
  <c r="CY425" i="3"/>
  <c r="CZ425" i="3"/>
  <c r="DB425" i="3" s="1"/>
  <c r="DA425" i="3"/>
  <c r="DC425" i="3"/>
  <c r="A426" i="3"/>
  <c r="CX426" i="3"/>
  <c r="CY426" i="3"/>
  <c r="CZ426" i="3"/>
  <c r="DA426" i="3"/>
  <c r="DB426" i="3"/>
  <c r="DC426" i="3"/>
  <c r="A427" i="3"/>
  <c r="CX427" i="3"/>
  <c r="CY427" i="3"/>
  <c r="CZ427" i="3"/>
  <c r="DA427" i="3"/>
  <c r="DB427" i="3"/>
  <c r="DC427" i="3"/>
  <c r="A428" i="3"/>
  <c r="CX428" i="3"/>
  <c r="CY428" i="3"/>
  <c r="CZ428" i="3"/>
  <c r="DB428" i="3" s="1"/>
  <c r="DA428" i="3"/>
  <c r="DC428" i="3"/>
  <c r="A429" i="3"/>
  <c r="CX429" i="3"/>
  <c r="CY429" i="3"/>
  <c r="CZ429" i="3"/>
  <c r="DB429" i="3" s="1"/>
  <c r="DA429" i="3"/>
  <c r="DC429" i="3"/>
  <c r="A430" i="3"/>
  <c r="CX430" i="3"/>
  <c r="CY430" i="3"/>
  <c r="CZ430" i="3"/>
  <c r="DA430" i="3"/>
  <c r="DB430" i="3"/>
  <c r="DC430" i="3"/>
  <c r="A431" i="3"/>
  <c r="CX431" i="3"/>
  <c r="CY431" i="3"/>
  <c r="CZ431" i="3"/>
  <c r="DA431" i="3"/>
  <c r="DB431" i="3"/>
  <c r="DC431" i="3"/>
  <c r="A432" i="3"/>
  <c r="CX432" i="3"/>
  <c r="CY432" i="3"/>
  <c r="CZ432" i="3"/>
  <c r="DB432" i="3" s="1"/>
  <c r="DA432" i="3"/>
  <c r="DC432" i="3"/>
  <c r="A433" i="3"/>
  <c r="CX433" i="3"/>
  <c r="CY433" i="3"/>
  <c r="CZ433" i="3"/>
  <c r="DB433" i="3" s="1"/>
  <c r="DA433" i="3"/>
  <c r="DC433" i="3"/>
  <c r="A434" i="3"/>
  <c r="CX434" i="3"/>
  <c r="CY434" i="3"/>
  <c r="CZ434" i="3"/>
  <c r="DA434" i="3"/>
  <c r="DB434" i="3"/>
  <c r="DC434" i="3"/>
  <c r="A435" i="3"/>
  <c r="CX435" i="3"/>
  <c r="CY435" i="3"/>
  <c r="CZ435" i="3"/>
  <c r="DA435" i="3"/>
  <c r="DB435" i="3"/>
  <c r="DC435" i="3"/>
  <c r="A436" i="3"/>
  <c r="CX436" i="3"/>
  <c r="CY436" i="3"/>
  <c r="CZ436" i="3"/>
  <c r="DB436" i="3" s="1"/>
  <c r="DA436" i="3"/>
  <c r="DC436" i="3"/>
  <c r="A437" i="3"/>
  <c r="CX437" i="3"/>
  <c r="CY437" i="3"/>
  <c r="CZ437" i="3"/>
  <c r="DB437" i="3" s="1"/>
  <c r="DA437" i="3"/>
  <c r="DC437" i="3"/>
  <c r="A438" i="3"/>
  <c r="CX438" i="3"/>
  <c r="CY438" i="3"/>
  <c r="CZ438" i="3"/>
  <c r="DA438" i="3"/>
  <c r="DB438" i="3"/>
  <c r="DC438" i="3"/>
  <c r="A439" i="3"/>
  <c r="CX439" i="3"/>
  <c r="CY439" i="3"/>
  <c r="CZ439" i="3"/>
  <c r="DA439" i="3"/>
  <c r="DB439" i="3"/>
  <c r="DC439" i="3"/>
  <c r="A440" i="3"/>
  <c r="CX440" i="3"/>
  <c r="CY440" i="3"/>
  <c r="CZ440" i="3"/>
  <c r="DB440" i="3" s="1"/>
  <c r="DA440" i="3"/>
  <c r="DC440" i="3"/>
  <c r="A441" i="3"/>
  <c r="CX441" i="3"/>
  <c r="CY441" i="3"/>
  <c r="CZ441" i="3"/>
  <c r="DB441" i="3" s="1"/>
  <c r="DA441" i="3"/>
  <c r="DC441" i="3"/>
  <c r="A442" i="3"/>
  <c r="CY442" i="3"/>
  <c r="CZ442" i="3"/>
  <c r="DA442" i="3"/>
  <c r="DB442" i="3"/>
  <c r="DC442" i="3"/>
  <c r="A443" i="3"/>
  <c r="CY443" i="3"/>
  <c r="CZ443" i="3"/>
  <c r="DA443" i="3"/>
  <c r="DB443" i="3"/>
  <c r="DC443" i="3"/>
  <c r="A444" i="3"/>
  <c r="CY444" i="3"/>
  <c r="CZ444" i="3"/>
  <c r="DB444" i="3" s="1"/>
  <c r="DA444" i="3"/>
  <c r="DC444" i="3"/>
  <c r="A445" i="3"/>
  <c r="CY445" i="3"/>
  <c r="CZ445" i="3"/>
  <c r="DB445" i="3" s="1"/>
  <c r="DA445" i="3"/>
  <c r="DC445" i="3"/>
  <c r="A446" i="3"/>
  <c r="CY446" i="3"/>
  <c r="CZ446" i="3"/>
  <c r="DA446" i="3"/>
  <c r="DB446" i="3"/>
  <c r="DC446" i="3"/>
  <c r="A447" i="3"/>
  <c r="CY447" i="3"/>
  <c r="CZ447" i="3"/>
  <c r="DA447" i="3"/>
  <c r="DB447" i="3"/>
  <c r="DC447" i="3"/>
  <c r="A448" i="3"/>
  <c r="CY448" i="3"/>
  <c r="CZ448" i="3"/>
  <c r="DB448" i="3" s="1"/>
  <c r="DA448" i="3"/>
  <c r="DC448" i="3"/>
  <c r="A449" i="3"/>
  <c r="CY449" i="3"/>
  <c r="CZ449" i="3"/>
  <c r="DB449" i="3" s="1"/>
  <c r="DA449" i="3"/>
  <c r="DC449" i="3"/>
  <c r="A450" i="3"/>
  <c r="CY450" i="3"/>
  <c r="CZ450" i="3"/>
  <c r="DA450" i="3"/>
  <c r="DB450" i="3"/>
  <c r="DC450" i="3"/>
  <c r="A451" i="3"/>
  <c r="CY451" i="3"/>
  <c r="CZ451" i="3"/>
  <c r="DA451" i="3"/>
  <c r="DB451" i="3"/>
  <c r="DC451" i="3"/>
  <c r="A452" i="3"/>
  <c r="CY452" i="3"/>
  <c r="CZ452" i="3"/>
  <c r="DB452" i="3" s="1"/>
  <c r="DA452" i="3"/>
  <c r="DC452" i="3"/>
  <c r="A453" i="3"/>
  <c r="CY453" i="3"/>
  <c r="CZ453" i="3"/>
  <c r="DB453" i="3" s="1"/>
  <c r="DA453" i="3"/>
  <c r="DC453" i="3"/>
  <c r="A454" i="3"/>
  <c r="CY454" i="3"/>
  <c r="CZ454" i="3"/>
  <c r="DA454" i="3"/>
  <c r="DB454" i="3"/>
  <c r="DC454" i="3"/>
  <c r="A455" i="3"/>
  <c r="CX455" i="3"/>
  <c r="CY455" i="3"/>
  <c r="CZ455" i="3"/>
  <c r="DA455" i="3"/>
  <c r="DB455" i="3"/>
  <c r="DC455" i="3"/>
  <c r="A456" i="3"/>
  <c r="CX456" i="3"/>
  <c r="CY456" i="3"/>
  <c r="CZ456" i="3"/>
  <c r="DB456" i="3" s="1"/>
  <c r="DA456" i="3"/>
  <c r="DC456" i="3"/>
  <c r="A457" i="3"/>
  <c r="CX457" i="3"/>
  <c r="CY457" i="3"/>
  <c r="CZ457" i="3"/>
  <c r="DB457" i="3" s="1"/>
  <c r="DA457" i="3"/>
  <c r="DC457" i="3"/>
  <c r="A458" i="3"/>
  <c r="CX458" i="3"/>
  <c r="CY458" i="3"/>
  <c r="CZ458" i="3"/>
  <c r="DA458" i="3"/>
  <c r="DB458" i="3"/>
  <c r="DC458" i="3"/>
  <c r="A459" i="3"/>
  <c r="CX459" i="3"/>
  <c r="CY459" i="3"/>
  <c r="CZ459" i="3"/>
  <c r="DA459" i="3"/>
  <c r="DB459" i="3"/>
  <c r="DC459" i="3"/>
  <c r="A460" i="3"/>
  <c r="CX460" i="3"/>
  <c r="CY460" i="3"/>
  <c r="CZ460" i="3"/>
  <c r="DB460" i="3" s="1"/>
  <c r="DA460" i="3"/>
  <c r="DC460" i="3"/>
  <c r="A461" i="3"/>
  <c r="CX461" i="3"/>
  <c r="CY461" i="3"/>
  <c r="CZ461" i="3"/>
  <c r="DB461" i="3" s="1"/>
  <c r="DA461" i="3"/>
  <c r="DC461" i="3"/>
  <c r="A462" i="3"/>
  <c r="CX462" i="3"/>
  <c r="CY462" i="3"/>
  <c r="CZ462" i="3"/>
  <c r="DA462" i="3"/>
  <c r="DB462" i="3"/>
  <c r="DC462" i="3"/>
  <c r="A463" i="3"/>
  <c r="CY463" i="3"/>
  <c r="CZ463" i="3"/>
  <c r="DA463" i="3"/>
  <c r="DB463" i="3"/>
  <c r="DC463" i="3"/>
  <c r="A464" i="3"/>
  <c r="CY464" i="3"/>
  <c r="CZ464" i="3"/>
  <c r="DB464" i="3" s="1"/>
  <c r="DA464" i="3"/>
  <c r="DC464" i="3"/>
  <c r="A465" i="3"/>
  <c r="CY465" i="3"/>
  <c r="CZ465" i="3"/>
  <c r="DB465" i="3" s="1"/>
  <c r="DA465" i="3"/>
  <c r="DC465" i="3"/>
  <c r="A466" i="3"/>
  <c r="CY466" i="3"/>
  <c r="CZ466" i="3"/>
  <c r="DA466" i="3"/>
  <c r="DB466" i="3"/>
  <c r="DC466" i="3"/>
  <c r="A467" i="3"/>
  <c r="CY467" i="3"/>
  <c r="CZ467" i="3"/>
  <c r="DA467" i="3"/>
  <c r="DB467" i="3"/>
  <c r="DC467" i="3"/>
  <c r="A468" i="3"/>
  <c r="CY468" i="3"/>
  <c r="CZ468" i="3"/>
  <c r="DB468" i="3" s="1"/>
  <c r="DA468" i="3"/>
  <c r="DC468" i="3"/>
  <c r="A469" i="3"/>
  <c r="CY469" i="3"/>
  <c r="CZ469" i="3"/>
  <c r="DB469" i="3" s="1"/>
  <c r="DA469" i="3"/>
  <c r="DC469" i="3"/>
  <c r="A470" i="3"/>
  <c r="CY470" i="3"/>
  <c r="CZ470" i="3"/>
  <c r="DA470" i="3"/>
  <c r="DB470" i="3"/>
  <c r="DC470" i="3"/>
  <c r="A471" i="3"/>
  <c r="CY471" i="3"/>
  <c r="CZ471" i="3"/>
  <c r="DA471" i="3"/>
  <c r="DB471" i="3"/>
  <c r="DC471" i="3"/>
  <c r="A472" i="3"/>
  <c r="CY472" i="3"/>
  <c r="CZ472" i="3"/>
  <c r="DA472" i="3"/>
  <c r="DB472" i="3"/>
  <c r="DC472" i="3"/>
  <c r="A473" i="3"/>
  <c r="CY473" i="3"/>
  <c r="CZ473" i="3"/>
  <c r="DB473" i="3" s="1"/>
  <c r="DA473" i="3"/>
  <c r="DC473" i="3"/>
  <c r="A474" i="3"/>
  <c r="CY474" i="3"/>
  <c r="CZ474" i="3"/>
  <c r="DA474" i="3"/>
  <c r="DB474" i="3"/>
  <c r="DC474" i="3"/>
  <c r="A475" i="3"/>
  <c r="CY475" i="3"/>
  <c r="CZ475" i="3"/>
  <c r="DA475" i="3"/>
  <c r="DB475" i="3"/>
  <c r="DC475" i="3"/>
  <c r="A476" i="3"/>
  <c r="CY476" i="3"/>
  <c r="CZ476" i="3"/>
  <c r="DA476" i="3"/>
  <c r="DB476" i="3"/>
  <c r="DC476" i="3"/>
  <c r="A477" i="3"/>
  <c r="CY477" i="3"/>
  <c r="CZ477" i="3"/>
  <c r="DB477" i="3" s="1"/>
  <c r="DA477" i="3"/>
  <c r="DC477" i="3"/>
  <c r="A478" i="3"/>
  <c r="CY478" i="3"/>
  <c r="CZ478" i="3"/>
  <c r="DA478" i="3"/>
  <c r="DB478" i="3"/>
  <c r="DC478" i="3"/>
  <c r="A479" i="3"/>
  <c r="CY479" i="3"/>
  <c r="CZ479" i="3"/>
  <c r="DA479" i="3"/>
  <c r="DB479" i="3"/>
  <c r="DC479" i="3"/>
  <c r="A480" i="3"/>
  <c r="CY480" i="3"/>
  <c r="CZ480" i="3"/>
  <c r="DB480" i="3" s="1"/>
  <c r="DA480" i="3"/>
  <c r="DC480" i="3"/>
  <c r="A481" i="3"/>
  <c r="CY481" i="3"/>
  <c r="CZ481" i="3"/>
  <c r="DB481" i="3" s="1"/>
  <c r="DA481" i="3"/>
  <c r="DC481" i="3"/>
  <c r="A482" i="3"/>
  <c r="CY482" i="3"/>
  <c r="CZ482" i="3"/>
  <c r="DB482" i="3" s="1"/>
  <c r="DA482" i="3"/>
  <c r="DC482" i="3"/>
  <c r="A483" i="3"/>
  <c r="CY483" i="3"/>
  <c r="CZ483" i="3"/>
  <c r="DA483" i="3"/>
  <c r="DB483" i="3"/>
  <c r="DC483" i="3"/>
  <c r="A484" i="3"/>
  <c r="CY484" i="3"/>
  <c r="CZ484" i="3"/>
  <c r="DB484" i="3" s="1"/>
  <c r="DA484" i="3"/>
  <c r="DC484" i="3"/>
  <c r="A485" i="3"/>
  <c r="CY485" i="3"/>
  <c r="CZ485" i="3"/>
  <c r="DB485" i="3" s="1"/>
  <c r="DA485" i="3"/>
  <c r="DC485" i="3"/>
  <c r="A486" i="3"/>
  <c r="CY486" i="3"/>
  <c r="CZ486" i="3"/>
  <c r="DB486" i="3" s="1"/>
  <c r="DA486" i="3"/>
  <c r="DC486" i="3"/>
  <c r="A487" i="3"/>
  <c r="CY487" i="3"/>
  <c r="CZ487" i="3"/>
  <c r="DA487" i="3"/>
  <c r="DB487" i="3"/>
  <c r="DC487" i="3"/>
  <c r="A488" i="3"/>
  <c r="CY488" i="3"/>
  <c r="CZ488" i="3"/>
  <c r="DA488" i="3"/>
  <c r="DB488" i="3"/>
  <c r="DC488" i="3"/>
  <c r="A489" i="3"/>
  <c r="CY489" i="3"/>
  <c r="CZ489" i="3"/>
  <c r="DB489" i="3" s="1"/>
  <c r="DA489" i="3"/>
  <c r="DC489" i="3"/>
  <c r="A490" i="3"/>
  <c r="CY490" i="3"/>
  <c r="CZ490" i="3"/>
  <c r="DA490" i="3"/>
  <c r="DB490" i="3"/>
  <c r="DC490" i="3"/>
  <c r="A491" i="3"/>
  <c r="CY491" i="3"/>
  <c r="CZ491" i="3"/>
  <c r="DA491" i="3"/>
  <c r="DB491" i="3"/>
  <c r="DC491" i="3"/>
  <c r="A492" i="3"/>
  <c r="CY492" i="3"/>
  <c r="CZ492" i="3"/>
  <c r="DB492" i="3" s="1"/>
  <c r="DA492" i="3"/>
  <c r="DC492" i="3"/>
  <c r="A493" i="3"/>
  <c r="CY493" i="3"/>
  <c r="CZ493" i="3"/>
  <c r="DB493" i="3" s="1"/>
  <c r="DA493" i="3"/>
  <c r="DC493" i="3"/>
  <c r="A494" i="3"/>
  <c r="CY494" i="3"/>
  <c r="CZ494" i="3"/>
  <c r="DB494" i="3" s="1"/>
  <c r="DA494" i="3"/>
  <c r="DC494" i="3"/>
  <c r="A495" i="3"/>
  <c r="CY495" i="3"/>
  <c r="CZ495" i="3"/>
  <c r="DA495" i="3"/>
  <c r="DB495" i="3"/>
  <c r="DC495" i="3"/>
  <c r="A496" i="3"/>
  <c r="CY496" i="3"/>
  <c r="CZ496" i="3"/>
  <c r="DA496" i="3"/>
  <c r="DB496" i="3"/>
  <c r="DC496" i="3"/>
  <c r="A497" i="3"/>
  <c r="CY497" i="3"/>
  <c r="CZ497" i="3"/>
  <c r="DB497" i="3" s="1"/>
  <c r="DA497" i="3"/>
  <c r="DC497" i="3"/>
  <c r="A498" i="3"/>
  <c r="CY498" i="3"/>
  <c r="CZ498" i="3"/>
  <c r="DA498" i="3"/>
  <c r="DB498" i="3"/>
  <c r="DC498" i="3"/>
  <c r="A499" i="3"/>
  <c r="CY499" i="3"/>
  <c r="CZ499" i="3"/>
  <c r="DA499" i="3"/>
  <c r="DB499" i="3"/>
  <c r="DC499" i="3"/>
  <c r="A500" i="3"/>
  <c r="CY500" i="3"/>
  <c r="CZ500" i="3"/>
  <c r="DB500" i="3" s="1"/>
  <c r="DA500" i="3"/>
  <c r="DC500" i="3"/>
  <c r="A501" i="3"/>
  <c r="CY501" i="3"/>
  <c r="CZ501" i="3"/>
  <c r="DB501" i="3" s="1"/>
  <c r="DA501" i="3"/>
  <c r="DC501" i="3"/>
  <c r="A502" i="3"/>
  <c r="CY502" i="3"/>
  <c r="CZ502" i="3"/>
  <c r="DB502" i="3" s="1"/>
  <c r="DA502" i="3"/>
  <c r="DC502" i="3"/>
  <c r="A503" i="3"/>
  <c r="CY503" i="3"/>
  <c r="CZ503" i="3"/>
  <c r="DA503" i="3"/>
  <c r="DB503" i="3"/>
  <c r="DC503" i="3"/>
  <c r="A504" i="3"/>
  <c r="CY504" i="3"/>
  <c r="CZ504" i="3"/>
  <c r="DA504" i="3"/>
  <c r="DB504" i="3"/>
  <c r="DC504" i="3"/>
  <c r="A505" i="3"/>
  <c r="CY505" i="3"/>
  <c r="CZ505" i="3"/>
  <c r="DB505" i="3" s="1"/>
  <c r="DA505" i="3"/>
  <c r="DC505" i="3"/>
  <c r="A506" i="3"/>
  <c r="CY506" i="3"/>
  <c r="CZ506" i="3"/>
  <c r="DA506" i="3"/>
  <c r="DB506" i="3"/>
  <c r="DC506" i="3"/>
  <c r="A507" i="3"/>
  <c r="CY507" i="3"/>
  <c r="CZ507" i="3"/>
  <c r="DA507" i="3"/>
  <c r="DB507" i="3"/>
  <c r="DC507" i="3"/>
  <c r="A508" i="3"/>
  <c r="CY508" i="3"/>
  <c r="CZ508" i="3"/>
  <c r="DB508" i="3" s="1"/>
  <c r="DA508" i="3"/>
  <c r="DC508" i="3"/>
  <c r="A509" i="3"/>
  <c r="CY509" i="3"/>
  <c r="CZ509" i="3"/>
  <c r="DB509" i="3" s="1"/>
  <c r="DA509" i="3"/>
  <c r="DC509" i="3"/>
  <c r="A510" i="3"/>
  <c r="CY510" i="3"/>
  <c r="CZ510" i="3"/>
  <c r="DB510" i="3" s="1"/>
  <c r="DA510" i="3"/>
  <c r="DC510" i="3"/>
  <c r="A511" i="3"/>
  <c r="CY511" i="3"/>
  <c r="CZ511" i="3"/>
  <c r="DA511" i="3"/>
  <c r="DB511" i="3"/>
  <c r="DC511" i="3"/>
  <c r="A512" i="3"/>
  <c r="CY512" i="3"/>
  <c r="CZ512" i="3"/>
  <c r="DA512" i="3"/>
  <c r="DB512" i="3"/>
  <c r="DC512" i="3"/>
  <c r="A513" i="3"/>
  <c r="CY513" i="3"/>
  <c r="CZ513" i="3"/>
  <c r="DB513" i="3" s="1"/>
  <c r="DA513" i="3"/>
  <c r="DC513" i="3"/>
  <c r="A514" i="3"/>
  <c r="CY514" i="3"/>
  <c r="CZ514" i="3"/>
  <c r="DA514" i="3"/>
  <c r="DB514" i="3"/>
  <c r="DC514" i="3"/>
  <c r="A515" i="3"/>
  <c r="CY515" i="3"/>
  <c r="CZ515" i="3"/>
  <c r="DA515" i="3"/>
  <c r="DB515" i="3"/>
  <c r="DC515" i="3"/>
  <c r="A516" i="3"/>
  <c r="CY516" i="3"/>
  <c r="CZ516" i="3"/>
  <c r="DB516" i="3" s="1"/>
  <c r="DA516" i="3"/>
  <c r="DC516" i="3"/>
  <c r="A517" i="3"/>
  <c r="CY517" i="3"/>
  <c r="CZ517" i="3"/>
  <c r="DB517" i="3" s="1"/>
  <c r="DA517" i="3"/>
  <c r="DC517" i="3"/>
  <c r="A518" i="3"/>
  <c r="CY518" i="3"/>
  <c r="CZ518" i="3"/>
  <c r="DB518" i="3" s="1"/>
  <c r="DA518" i="3"/>
  <c r="DC518" i="3"/>
  <c r="A519" i="3"/>
  <c r="CY519" i="3"/>
  <c r="CZ519" i="3"/>
  <c r="DA519" i="3"/>
  <c r="DB519" i="3"/>
  <c r="DC519" i="3"/>
  <c r="A520" i="3"/>
  <c r="CY520" i="3"/>
  <c r="CZ520" i="3"/>
  <c r="DA520" i="3"/>
  <c r="DB520" i="3"/>
  <c r="DC520" i="3"/>
  <c r="A521" i="3"/>
  <c r="CY521" i="3"/>
  <c r="CZ521" i="3"/>
  <c r="DB521" i="3" s="1"/>
  <c r="DA521" i="3"/>
  <c r="DC521" i="3"/>
  <c r="A522" i="3"/>
  <c r="CY522" i="3"/>
  <c r="CZ522" i="3"/>
  <c r="DA522" i="3"/>
  <c r="DB522" i="3"/>
  <c r="DC522" i="3"/>
  <c r="A523" i="3"/>
  <c r="CY523" i="3"/>
  <c r="CZ523" i="3"/>
  <c r="DA523" i="3"/>
  <c r="DB523" i="3"/>
  <c r="DC523" i="3"/>
  <c r="A524" i="3"/>
  <c r="CY524" i="3"/>
  <c r="CZ524" i="3"/>
  <c r="DB524" i="3" s="1"/>
  <c r="DA524" i="3"/>
  <c r="DC524" i="3"/>
  <c r="A525" i="3"/>
  <c r="CY525" i="3"/>
  <c r="CZ525" i="3"/>
  <c r="DB525" i="3" s="1"/>
  <c r="DA525" i="3"/>
  <c r="DC525" i="3"/>
  <c r="A526" i="3"/>
  <c r="CY526" i="3"/>
  <c r="CZ526" i="3"/>
  <c r="DB526" i="3" s="1"/>
  <c r="DA526" i="3"/>
  <c r="DC526" i="3"/>
  <c r="A527" i="3"/>
  <c r="CY527" i="3"/>
  <c r="CZ527" i="3"/>
  <c r="DA527" i="3"/>
  <c r="DB527" i="3"/>
  <c r="DC527" i="3"/>
  <c r="A528" i="3"/>
  <c r="CX528" i="3"/>
  <c r="CY528" i="3"/>
  <c r="CZ528" i="3"/>
  <c r="DA528" i="3"/>
  <c r="DB528" i="3"/>
  <c r="DC528" i="3"/>
  <c r="A529" i="3"/>
  <c r="CX529" i="3"/>
  <c r="CY529" i="3"/>
  <c r="CZ529" i="3"/>
  <c r="DB529" i="3" s="1"/>
  <c r="DA529" i="3"/>
  <c r="DC529" i="3"/>
  <c r="A530" i="3"/>
  <c r="CX530" i="3"/>
  <c r="CY530" i="3"/>
  <c r="CZ530" i="3"/>
  <c r="DA530" i="3"/>
  <c r="DB530" i="3"/>
  <c r="DC530" i="3"/>
  <c r="A531" i="3"/>
  <c r="CX531" i="3"/>
  <c r="CY531" i="3"/>
  <c r="CZ531" i="3"/>
  <c r="DA531" i="3"/>
  <c r="DB531" i="3"/>
  <c r="DC531" i="3"/>
  <c r="A532" i="3"/>
  <c r="CX532" i="3"/>
  <c r="CY532" i="3"/>
  <c r="CZ532" i="3"/>
  <c r="DB532" i="3" s="1"/>
  <c r="DA532" i="3"/>
  <c r="DC532" i="3"/>
  <c r="A533" i="3"/>
  <c r="CX533" i="3"/>
  <c r="CY533" i="3"/>
  <c r="CZ533" i="3"/>
  <c r="DB533" i="3" s="1"/>
  <c r="DA533" i="3"/>
  <c r="DC533" i="3"/>
  <c r="A534" i="3"/>
  <c r="CY534" i="3"/>
  <c r="CZ534" i="3"/>
  <c r="DA534" i="3"/>
  <c r="DB534" i="3"/>
  <c r="DC534" i="3"/>
  <c r="A535" i="3"/>
  <c r="CY535" i="3"/>
  <c r="CZ535" i="3"/>
  <c r="DA535" i="3"/>
  <c r="DB535" i="3"/>
  <c r="DC535" i="3"/>
  <c r="A536" i="3"/>
  <c r="CY536" i="3"/>
  <c r="CZ536" i="3"/>
  <c r="DB536" i="3" s="1"/>
  <c r="DA536" i="3"/>
  <c r="DC536" i="3"/>
  <c r="A537" i="3"/>
  <c r="CY537" i="3"/>
  <c r="CZ537" i="3"/>
  <c r="DB537" i="3" s="1"/>
  <c r="DA537" i="3"/>
  <c r="DC537" i="3"/>
  <c r="A538" i="3"/>
  <c r="CY538" i="3"/>
  <c r="CZ538" i="3"/>
  <c r="DB538" i="3" s="1"/>
  <c r="DA538" i="3"/>
  <c r="DC538" i="3"/>
  <c r="A539" i="3"/>
  <c r="CY539" i="3"/>
  <c r="CZ539" i="3"/>
  <c r="DA539" i="3"/>
  <c r="DB539" i="3"/>
  <c r="DC539" i="3"/>
  <c r="A540" i="3"/>
  <c r="CY540" i="3"/>
  <c r="CZ540" i="3"/>
  <c r="DA540" i="3"/>
  <c r="DB540" i="3"/>
  <c r="DC540" i="3"/>
  <c r="A541" i="3"/>
  <c r="CY541" i="3"/>
  <c r="CZ541" i="3"/>
  <c r="DB541" i="3" s="1"/>
  <c r="DA541" i="3"/>
  <c r="DC541" i="3"/>
  <c r="A542" i="3"/>
  <c r="CY542" i="3"/>
  <c r="CZ542" i="3"/>
  <c r="DA542" i="3"/>
  <c r="DB542" i="3"/>
  <c r="DC542" i="3"/>
  <c r="A543" i="3"/>
  <c r="CY543" i="3"/>
  <c r="CZ543" i="3"/>
  <c r="DA543" i="3"/>
  <c r="DB543" i="3"/>
  <c r="DC543" i="3"/>
  <c r="A544" i="3"/>
  <c r="CY544" i="3"/>
  <c r="CZ544" i="3"/>
  <c r="DB544" i="3" s="1"/>
  <c r="DA544" i="3"/>
  <c r="DC544" i="3"/>
  <c r="A545" i="3"/>
  <c r="CY545" i="3"/>
  <c r="CZ545" i="3"/>
  <c r="DB545" i="3" s="1"/>
  <c r="DA545" i="3"/>
  <c r="DC545" i="3"/>
  <c r="A546" i="3"/>
  <c r="CX546" i="3"/>
  <c r="CY546" i="3"/>
  <c r="CZ546" i="3"/>
  <c r="DB546" i="3" s="1"/>
  <c r="DA546" i="3"/>
  <c r="DC546" i="3"/>
  <c r="A547" i="3"/>
  <c r="CX547" i="3"/>
  <c r="CY547" i="3"/>
  <c r="CZ547" i="3"/>
  <c r="DA547" i="3"/>
  <c r="DB547" i="3"/>
  <c r="DC547" i="3"/>
  <c r="A548" i="3"/>
  <c r="CX548" i="3"/>
  <c r="CY548" i="3"/>
  <c r="CZ548" i="3"/>
  <c r="DA548" i="3"/>
  <c r="DB548" i="3"/>
  <c r="DC548" i="3"/>
  <c r="A549" i="3"/>
  <c r="CX549" i="3"/>
  <c r="CY549" i="3"/>
  <c r="CZ549" i="3"/>
  <c r="DB549" i="3" s="1"/>
  <c r="DA549" i="3"/>
  <c r="DC549" i="3"/>
  <c r="A550" i="3"/>
  <c r="CX550" i="3"/>
  <c r="CY550" i="3"/>
  <c r="CZ550" i="3"/>
  <c r="DA550" i="3"/>
  <c r="DB550" i="3"/>
  <c r="DC550" i="3"/>
  <c r="A551" i="3"/>
  <c r="CX551" i="3"/>
  <c r="CY551" i="3"/>
  <c r="CZ551" i="3"/>
  <c r="DA551" i="3"/>
  <c r="DB551" i="3"/>
  <c r="DC551" i="3"/>
  <c r="A552" i="3"/>
  <c r="CX552" i="3"/>
  <c r="CY552" i="3"/>
  <c r="CZ552" i="3"/>
  <c r="DB552" i="3" s="1"/>
  <c r="DA552" i="3"/>
  <c r="DC552" i="3"/>
  <c r="A553" i="3"/>
  <c r="CX553" i="3"/>
  <c r="CY553" i="3"/>
  <c r="CZ553" i="3"/>
  <c r="DB553" i="3" s="1"/>
  <c r="DA553" i="3"/>
  <c r="DC553" i="3"/>
  <c r="A554" i="3"/>
  <c r="CX554" i="3"/>
  <c r="CY554" i="3"/>
  <c r="CZ554" i="3"/>
  <c r="DA554" i="3"/>
  <c r="DB554" i="3"/>
  <c r="DC554" i="3"/>
  <c r="A555" i="3"/>
  <c r="CX555" i="3"/>
  <c r="CY555" i="3"/>
  <c r="CZ555" i="3"/>
  <c r="DA555" i="3"/>
  <c r="DB555" i="3"/>
  <c r="DC555" i="3"/>
  <c r="A556" i="3"/>
  <c r="CX556" i="3"/>
  <c r="CY556" i="3"/>
  <c r="CZ556" i="3"/>
  <c r="DB556" i="3" s="1"/>
  <c r="DA556" i="3"/>
  <c r="DC556" i="3"/>
  <c r="A557" i="3"/>
  <c r="CX557" i="3"/>
  <c r="CY557" i="3"/>
  <c r="CZ557" i="3"/>
  <c r="DB557" i="3" s="1"/>
  <c r="DA557" i="3"/>
  <c r="DC557" i="3"/>
  <c r="A558" i="3"/>
  <c r="CX558" i="3"/>
  <c r="CY558" i="3"/>
  <c r="CZ558" i="3"/>
  <c r="DA558" i="3"/>
  <c r="DB558" i="3"/>
  <c r="DC558" i="3"/>
  <c r="A559" i="3"/>
  <c r="CX559" i="3"/>
  <c r="CY559" i="3"/>
  <c r="CZ559" i="3"/>
  <c r="DA559" i="3"/>
  <c r="DB559" i="3"/>
  <c r="DC559" i="3"/>
  <c r="A560" i="3"/>
  <c r="CX560" i="3"/>
  <c r="CY560" i="3"/>
  <c r="CZ560" i="3"/>
  <c r="DB560" i="3" s="1"/>
  <c r="DA560" i="3"/>
  <c r="DC560" i="3"/>
  <c r="A561" i="3"/>
  <c r="CX561" i="3"/>
  <c r="CY561" i="3"/>
  <c r="CZ561" i="3"/>
  <c r="DB561" i="3" s="1"/>
  <c r="DA561" i="3"/>
  <c r="DC561" i="3"/>
  <c r="A562" i="3"/>
  <c r="CX562" i="3"/>
  <c r="CY562" i="3"/>
  <c r="CZ562" i="3"/>
  <c r="DB562" i="3" s="1"/>
  <c r="DA562" i="3"/>
  <c r="DC562" i="3"/>
  <c r="A563" i="3"/>
  <c r="CX563" i="3"/>
  <c r="CY563" i="3"/>
  <c r="CZ563" i="3"/>
  <c r="DA563" i="3"/>
  <c r="DB563" i="3"/>
  <c r="DC563" i="3"/>
  <c r="A564" i="3"/>
  <c r="CX564" i="3"/>
  <c r="CY564" i="3"/>
  <c r="CZ564" i="3"/>
  <c r="DA564" i="3"/>
  <c r="DB564" i="3"/>
  <c r="DC564" i="3"/>
  <c r="A565" i="3"/>
  <c r="CX565" i="3"/>
  <c r="CY565" i="3"/>
  <c r="CZ565" i="3"/>
  <c r="DB565" i="3" s="1"/>
  <c r="DA565" i="3"/>
  <c r="DC565" i="3"/>
  <c r="A566" i="3"/>
  <c r="CX566" i="3"/>
  <c r="CY566" i="3"/>
  <c r="CZ566" i="3"/>
  <c r="DA566" i="3"/>
  <c r="DB566" i="3"/>
  <c r="DC566" i="3"/>
  <c r="A567" i="3"/>
  <c r="CX567" i="3"/>
  <c r="CY567" i="3"/>
  <c r="CZ567" i="3"/>
  <c r="DA567" i="3"/>
  <c r="DB567" i="3"/>
  <c r="DC567" i="3"/>
  <c r="A568" i="3"/>
  <c r="CX568" i="3"/>
  <c r="CY568" i="3"/>
  <c r="CZ568" i="3"/>
  <c r="DB568" i="3" s="1"/>
  <c r="DA568" i="3"/>
  <c r="DC568" i="3"/>
  <c r="A569" i="3"/>
  <c r="CX569" i="3"/>
  <c r="CY569" i="3"/>
  <c r="CZ569" i="3"/>
  <c r="DB569" i="3" s="1"/>
  <c r="DA569" i="3"/>
  <c r="DC569" i="3"/>
  <c r="A570" i="3"/>
  <c r="CX570" i="3"/>
  <c r="CY570" i="3"/>
  <c r="CZ570" i="3"/>
  <c r="DA570" i="3"/>
  <c r="DB570" i="3"/>
  <c r="DC570" i="3"/>
  <c r="A571" i="3"/>
  <c r="CX571" i="3"/>
  <c r="CY571" i="3"/>
  <c r="CZ571" i="3"/>
  <c r="DA571" i="3"/>
  <c r="DB571" i="3"/>
  <c r="DC571" i="3"/>
  <c r="A572" i="3"/>
  <c r="CX572" i="3"/>
  <c r="CY572" i="3"/>
  <c r="CZ572" i="3"/>
  <c r="DB572" i="3" s="1"/>
  <c r="DA572" i="3"/>
  <c r="DC572" i="3"/>
  <c r="A573" i="3"/>
  <c r="CX573" i="3"/>
  <c r="CY573" i="3"/>
  <c r="CZ573" i="3"/>
  <c r="DB573" i="3" s="1"/>
  <c r="DA573" i="3"/>
  <c r="DC573" i="3"/>
  <c r="A574" i="3"/>
  <c r="CX574" i="3"/>
  <c r="CY574" i="3"/>
  <c r="CZ574" i="3"/>
  <c r="DA574" i="3"/>
  <c r="DB574" i="3"/>
  <c r="DC574" i="3"/>
  <c r="A575" i="3"/>
  <c r="CY575" i="3"/>
  <c r="CZ575" i="3"/>
  <c r="DA575" i="3"/>
  <c r="DB575" i="3"/>
  <c r="DC575" i="3"/>
  <c r="A576" i="3"/>
  <c r="CY576" i="3"/>
  <c r="CZ576" i="3"/>
  <c r="DB576" i="3" s="1"/>
  <c r="DA576" i="3"/>
  <c r="DC576" i="3"/>
  <c r="A577" i="3"/>
  <c r="CY577" i="3"/>
  <c r="CZ577" i="3"/>
  <c r="DB577" i="3" s="1"/>
  <c r="DA577" i="3"/>
  <c r="DC577" i="3"/>
  <c r="A578" i="3"/>
  <c r="CY578" i="3"/>
  <c r="CZ578" i="3"/>
  <c r="DA578" i="3"/>
  <c r="DB578" i="3"/>
  <c r="DC578" i="3"/>
  <c r="A579" i="3"/>
  <c r="CY579" i="3"/>
  <c r="CZ579" i="3"/>
  <c r="DA579" i="3"/>
  <c r="DB579" i="3"/>
  <c r="DC579" i="3"/>
  <c r="A580" i="3"/>
  <c r="CY580" i="3"/>
  <c r="CZ580" i="3"/>
  <c r="DB580" i="3" s="1"/>
  <c r="DA580" i="3"/>
  <c r="DC580" i="3"/>
  <c r="A581" i="3"/>
  <c r="CY581" i="3"/>
  <c r="CZ581" i="3"/>
  <c r="DB581" i="3" s="1"/>
  <c r="DA581" i="3"/>
  <c r="DC581" i="3"/>
  <c r="A582" i="3"/>
  <c r="CY582" i="3"/>
  <c r="CZ582" i="3"/>
  <c r="DA582" i="3"/>
  <c r="DB582" i="3"/>
  <c r="DC582" i="3"/>
  <c r="A583" i="3"/>
  <c r="CY583" i="3"/>
  <c r="CZ583" i="3"/>
  <c r="DA583" i="3"/>
  <c r="DB583" i="3"/>
  <c r="DC583" i="3"/>
  <c r="A584" i="3"/>
  <c r="CY584" i="3"/>
  <c r="CZ584" i="3"/>
  <c r="DB584" i="3" s="1"/>
  <c r="DA584" i="3"/>
  <c r="DC584" i="3"/>
  <c r="A585" i="3"/>
  <c r="CY585" i="3"/>
  <c r="CZ585" i="3"/>
  <c r="DB585" i="3" s="1"/>
  <c r="DA585" i="3"/>
  <c r="DC585" i="3"/>
  <c r="A586" i="3"/>
  <c r="CY586" i="3"/>
  <c r="CZ586" i="3"/>
  <c r="DA586" i="3"/>
  <c r="DB586" i="3"/>
  <c r="DC586" i="3"/>
  <c r="A587" i="3"/>
  <c r="CY587" i="3"/>
  <c r="CZ587" i="3"/>
  <c r="DA587" i="3"/>
  <c r="DB587" i="3"/>
  <c r="DC587" i="3"/>
  <c r="A588" i="3"/>
  <c r="CY588" i="3"/>
  <c r="CZ588" i="3"/>
  <c r="DB588" i="3" s="1"/>
  <c r="DA588" i="3"/>
  <c r="DC588" i="3"/>
  <c r="A589" i="3"/>
  <c r="CY589" i="3"/>
  <c r="CZ589" i="3"/>
  <c r="DB589" i="3" s="1"/>
  <c r="DA589" i="3"/>
  <c r="DC589" i="3"/>
  <c r="A590" i="3"/>
  <c r="CY590" i="3"/>
  <c r="CZ590" i="3"/>
  <c r="DA590" i="3"/>
  <c r="DB590" i="3"/>
  <c r="DC590" i="3"/>
  <c r="A591" i="3"/>
  <c r="CY591" i="3"/>
  <c r="CZ591" i="3"/>
  <c r="DA591" i="3"/>
  <c r="DB591" i="3"/>
  <c r="DC591" i="3"/>
  <c r="A592" i="3"/>
  <c r="CY592" i="3"/>
  <c r="CZ592" i="3"/>
  <c r="DB592" i="3" s="1"/>
  <c r="DA592" i="3"/>
  <c r="DC592" i="3"/>
  <c r="A593" i="3"/>
  <c r="CY593" i="3"/>
  <c r="CZ593" i="3"/>
  <c r="DB593" i="3" s="1"/>
  <c r="DA593" i="3"/>
  <c r="DC593" i="3"/>
  <c r="A594" i="3"/>
  <c r="CY594" i="3"/>
  <c r="CZ594" i="3"/>
  <c r="DA594" i="3"/>
  <c r="DB594" i="3"/>
  <c r="DC594" i="3"/>
  <c r="A595" i="3"/>
  <c r="CY595" i="3"/>
  <c r="CZ595" i="3"/>
  <c r="DA595" i="3"/>
  <c r="DB595" i="3"/>
  <c r="DC595" i="3"/>
  <c r="A596" i="3"/>
  <c r="CY596" i="3"/>
  <c r="CZ596" i="3"/>
  <c r="DB596" i="3" s="1"/>
  <c r="DA596" i="3"/>
  <c r="DC596" i="3"/>
  <c r="A597" i="3"/>
  <c r="CY597" i="3"/>
  <c r="CZ597" i="3"/>
  <c r="DB597" i="3" s="1"/>
  <c r="DA597" i="3"/>
  <c r="DC597" i="3"/>
  <c r="A598" i="3"/>
  <c r="CY598" i="3"/>
  <c r="CZ598" i="3"/>
  <c r="DA598" i="3"/>
  <c r="DB598" i="3"/>
  <c r="DC598" i="3"/>
  <c r="A599" i="3"/>
  <c r="CY599" i="3"/>
  <c r="CZ599" i="3"/>
  <c r="DA599" i="3"/>
  <c r="DB599" i="3"/>
  <c r="DC599" i="3"/>
  <c r="A600" i="3"/>
  <c r="CY600" i="3"/>
  <c r="CZ600" i="3"/>
  <c r="DB600" i="3" s="1"/>
  <c r="DA600" i="3"/>
  <c r="DC600" i="3"/>
  <c r="A601" i="3"/>
  <c r="CY601" i="3"/>
  <c r="CZ601" i="3"/>
  <c r="DB601" i="3" s="1"/>
  <c r="DA601" i="3"/>
  <c r="DC601" i="3"/>
  <c r="A602" i="3"/>
  <c r="CY602" i="3"/>
  <c r="CZ602" i="3"/>
  <c r="DA602" i="3"/>
  <c r="DB602" i="3"/>
  <c r="DC602" i="3"/>
  <c r="A603" i="3"/>
  <c r="CY603" i="3"/>
  <c r="CZ603" i="3"/>
  <c r="DA603" i="3"/>
  <c r="DB603" i="3"/>
  <c r="DC603" i="3"/>
  <c r="A604" i="3"/>
  <c r="CY604" i="3"/>
  <c r="CZ604" i="3"/>
  <c r="DB604" i="3" s="1"/>
  <c r="DA604" i="3"/>
  <c r="DC604" i="3"/>
  <c r="A605" i="3"/>
  <c r="CY605" i="3"/>
  <c r="CZ605" i="3"/>
  <c r="DB605" i="3" s="1"/>
  <c r="DA605" i="3"/>
  <c r="DC605" i="3"/>
  <c r="A606" i="3"/>
  <c r="CY606" i="3"/>
  <c r="CZ606" i="3"/>
  <c r="DA606" i="3"/>
  <c r="DB606" i="3"/>
  <c r="DC606" i="3"/>
  <c r="A607" i="3"/>
  <c r="CY607" i="3"/>
  <c r="CZ607" i="3"/>
  <c r="DA607" i="3"/>
  <c r="DB607" i="3"/>
  <c r="DC607" i="3"/>
  <c r="A608" i="3"/>
  <c r="CY608" i="3"/>
  <c r="CZ608" i="3"/>
  <c r="DB608" i="3" s="1"/>
  <c r="DA608" i="3"/>
  <c r="DC608" i="3"/>
  <c r="A609" i="3"/>
  <c r="CY609" i="3"/>
  <c r="CZ609" i="3"/>
  <c r="DB609" i="3" s="1"/>
  <c r="DA609" i="3"/>
  <c r="DC609" i="3"/>
  <c r="A610" i="3"/>
  <c r="CY610" i="3"/>
  <c r="CZ610" i="3"/>
  <c r="DA610" i="3"/>
  <c r="DB610" i="3"/>
  <c r="DC610" i="3"/>
  <c r="A611" i="3"/>
  <c r="CY611" i="3"/>
  <c r="CZ611" i="3"/>
  <c r="DA611" i="3"/>
  <c r="DB611" i="3"/>
  <c r="DC611" i="3"/>
  <c r="A612" i="3"/>
  <c r="CY612" i="3"/>
  <c r="CZ612" i="3"/>
  <c r="DB612" i="3" s="1"/>
  <c r="DA612" i="3"/>
  <c r="DC612" i="3"/>
  <c r="A613" i="3"/>
  <c r="CY613" i="3"/>
  <c r="CZ613" i="3"/>
  <c r="DB613" i="3" s="1"/>
  <c r="DA613" i="3"/>
  <c r="DC613" i="3"/>
  <c r="A614" i="3"/>
  <c r="CY614" i="3"/>
  <c r="CZ614" i="3"/>
  <c r="DA614" i="3"/>
  <c r="DB614" i="3"/>
  <c r="DC614" i="3"/>
  <c r="A615" i="3"/>
  <c r="CY615" i="3"/>
  <c r="CZ615" i="3"/>
  <c r="DA615" i="3"/>
  <c r="DB615" i="3"/>
  <c r="DC615" i="3"/>
  <c r="A616" i="3"/>
  <c r="CY616" i="3"/>
  <c r="CZ616" i="3"/>
  <c r="DB616" i="3" s="1"/>
  <c r="DA616" i="3"/>
  <c r="DC616" i="3"/>
  <c r="A617" i="3"/>
  <c r="CY617" i="3"/>
  <c r="CZ617" i="3"/>
  <c r="DB617" i="3" s="1"/>
  <c r="DA617" i="3"/>
  <c r="DC617" i="3"/>
  <c r="A618" i="3"/>
  <c r="CY618" i="3"/>
  <c r="CZ618" i="3"/>
  <c r="DA618" i="3"/>
  <c r="DB618" i="3"/>
  <c r="DC618" i="3"/>
  <c r="A619" i="3"/>
  <c r="CY619" i="3"/>
  <c r="CZ619" i="3"/>
  <c r="DA619" i="3"/>
  <c r="DB619" i="3"/>
  <c r="DC619" i="3"/>
  <c r="A620" i="3"/>
  <c r="CY620" i="3"/>
  <c r="CZ620" i="3"/>
  <c r="DB620" i="3" s="1"/>
  <c r="DA620" i="3"/>
  <c r="DC620" i="3"/>
  <c r="A621" i="3"/>
  <c r="CY621" i="3"/>
  <c r="CZ621" i="3"/>
  <c r="DB621" i="3" s="1"/>
  <c r="DA621" i="3"/>
  <c r="DC621" i="3"/>
  <c r="A622" i="3"/>
  <c r="CY622" i="3"/>
  <c r="CZ622" i="3"/>
  <c r="DA622" i="3"/>
  <c r="DB622" i="3"/>
  <c r="DC622" i="3"/>
  <c r="A623" i="3"/>
  <c r="CY623" i="3"/>
  <c r="CZ623" i="3"/>
  <c r="DA623" i="3"/>
  <c r="DB623" i="3"/>
  <c r="DC623" i="3"/>
  <c r="A624" i="3"/>
  <c r="CY624" i="3"/>
  <c r="CZ624" i="3"/>
  <c r="DB624" i="3" s="1"/>
  <c r="DA624" i="3"/>
  <c r="DC624" i="3"/>
  <c r="A625" i="3"/>
  <c r="CY625" i="3"/>
  <c r="CZ625" i="3"/>
  <c r="DB625" i="3" s="1"/>
  <c r="DA625" i="3"/>
  <c r="DC625" i="3"/>
  <c r="A626" i="3"/>
  <c r="CY626" i="3"/>
  <c r="CZ626" i="3"/>
  <c r="DA626" i="3"/>
  <c r="DB626" i="3"/>
  <c r="DC626" i="3"/>
  <c r="A627" i="3"/>
  <c r="CY627" i="3"/>
  <c r="CZ627" i="3"/>
  <c r="DA627" i="3"/>
  <c r="DB627" i="3"/>
  <c r="DC627" i="3"/>
  <c r="A628" i="3"/>
  <c r="CY628" i="3"/>
  <c r="CZ628" i="3"/>
  <c r="DB628" i="3" s="1"/>
  <c r="DA628" i="3"/>
  <c r="DC628" i="3"/>
  <c r="A629" i="3"/>
  <c r="CY629" i="3"/>
  <c r="CZ629" i="3"/>
  <c r="DB629" i="3" s="1"/>
  <c r="DA629" i="3"/>
  <c r="DC629" i="3"/>
  <c r="A630" i="3"/>
  <c r="CY630" i="3"/>
  <c r="CZ630" i="3"/>
  <c r="DA630" i="3"/>
  <c r="DB630" i="3"/>
  <c r="DC630" i="3"/>
  <c r="A631" i="3"/>
  <c r="CY631" i="3"/>
  <c r="CZ631" i="3"/>
  <c r="DA631" i="3"/>
  <c r="DB631" i="3"/>
  <c r="DC631" i="3"/>
  <c r="A632" i="3"/>
  <c r="CY632" i="3"/>
  <c r="CZ632" i="3"/>
  <c r="DB632" i="3" s="1"/>
  <c r="DA632" i="3"/>
  <c r="DC632" i="3"/>
  <c r="A633" i="3"/>
  <c r="CY633" i="3"/>
  <c r="CZ633" i="3"/>
  <c r="DB633" i="3" s="1"/>
  <c r="DA633" i="3"/>
  <c r="DC633" i="3"/>
  <c r="A634" i="3"/>
  <c r="CY634" i="3"/>
  <c r="CZ634" i="3"/>
  <c r="DA634" i="3"/>
  <c r="DB634" i="3"/>
  <c r="DC634" i="3"/>
  <c r="A635" i="3"/>
  <c r="CY635" i="3"/>
  <c r="CZ635" i="3"/>
  <c r="DA635" i="3"/>
  <c r="DB635" i="3"/>
  <c r="DC635" i="3"/>
  <c r="A636" i="3"/>
  <c r="CY636" i="3"/>
  <c r="CZ636" i="3"/>
  <c r="DB636" i="3" s="1"/>
  <c r="DA636" i="3"/>
  <c r="DC636" i="3"/>
  <c r="A637" i="3"/>
  <c r="CY637" i="3"/>
  <c r="CZ637" i="3"/>
  <c r="DB637" i="3" s="1"/>
  <c r="DA637" i="3"/>
  <c r="DC637" i="3"/>
  <c r="A638" i="3"/>
  <c r="CY638" i="3"/>
  <c r="CZ638" i="3"/>
  <c r="DA638" i="3"/>
  <c r="DB638" i="3"/>
  <c r="DC638" i="3"/>
  <c r="A639" i="3"/>
  <c r="CY639" i="3"/>
  <c r="CZ639" i="3"/>
  <c r="DA639" i="3"/>
  <c r="DB639" i="3"/>
  <c r="DC639" i="3"/>
  <c r="A640" i="3"/>
  <c r="CY640" i="3"/>
  <c r="CZ640" i="3"/>
  <c r="DB640" i="3" s="1"/>
  <c r="DA640" i="3"/>
  <c r="DC640" i="3"/>
  <c r="A641" i="3"/>
  <c r="CY641" i="3"/>
  <c r="CZ641" i="3"/>
  <c r="DB641" i="3" s="1"/>
  <c r="DA641" i="3"/>
  <c r="DC641" i="3"/>
  <c r="A642" i="3"/>
  <c r="CY642" i="3"/>
  <c r="CZ642" i="3"/>
  <c r="DA642" i="3"/>
  <c r="DB642" i="3"/>
  <c r="DC642" i="3"/>
  <c r="A643" i="3"/>
  <c r="CY643" i="3"/>
  <c r="CZ643" i="3"/>
  <c r="DA643" i="3"/>
  <c r="DB643" i="3"/>
  <c r="DC643" i="3"/>
  <c r="A644" i="3"/>
  <c r="CY644" i="3"/>
  <c r="CZ644" i="3"/>
  <c r="DB644" i="3" s="1"/>
  <c r="DA644" i="3"/>
  <c r="DC644" i="3"/>
  <c r="A645" i="3"/>
  <c r="CY645" i="3"/>
  <c r="CZ645" i="3"/>
  <c r="DB645" i="3" s="1"/>
  <c r="DA645" i="3"/>
  <c r="DC645" i="3"/>
  <c r="A646" i="3"/>
  <c r="CY646" i="3"/>
  <c r="CZ646" i="3"/>
  <c r="DA646" i="3"/>
  <c r="DB646" i="3"/>
  <c r="DC646" i="3"/>
  <c r="A647" i="3"/>
  <c r="CY647" i="3"/>
  <c r="CZ647" i="3"/>
  <c r="DA647" i="3"/>
  <c r="DB647" i="3"/>
  <c r="DC647" i="3"/>
  <c r="A648" i="3"/>
  <c r="CY648" i="3"/>
  <c r="CZ648" i="3"/>
  <c r="DB648" i="3" s="1"/>
  <c r="DA648" i="3"/>
  <c r="DC648" i="3"/>
  <c r="A649" i="3"/>
  <c r="CY649" i="3"/>
  <c r="CZ649" i="3"/>
  <c r="DB649" i="3" s="1"/>
  <c r="DA649" i="3"/>
  <c r="DC649" i="3"/>
  <c r="A650" i="3"/>
  <c r="CY650" i="3"/>
  <c r="CZ650" i="3"/>
  <c r="DA650" i="3"/>
  <c r="DB650" i="3"/>
  <c r="DC650" i="3"/>
  <c r="A651" i="3"/>
  <c r="CY651" i="3"/>
  <c r="CZ651" i="3"/>
  <c r="DA651" i="3"/>
  <c r="DB651" i="3"/>
  <c r="DC651" i="3"/>
  <c r="A652" i="3"/>
  <c r="CY652" i="3"/>
  <c r="CZ652" i="3"/>
  <c r="DB652" i="3" s="1"/>
  <c r="DA652" i="3"/>
  <c r="DC652" i="3"/>
  <c r="A653" i="3"/>
  <c r="CY653" i="3"/>
  <c r="CZ653" i="3"/>
  <c r="DB653" i="3" s="1"/>
  <c r="DA653" i="3"/>
  <c r="DC653" i="3"/>
  <c r="A654" i="3"/>
  <c r="CY654" i="3"/>
  <c r="CZ654" i="3"/>
  <c r="DA654" i="3"/>
  <c r="DB654" i="3"/>
  <c r="DC654" i="3"/>
  <c r="A655" i="3"/>
  <c r="CY655" i="3"/>
  <c r="CZ655" i="3"/>
  <c r="DA655" i="3"/>
  <c r="DB655" i="3"/>
  <c r="DC655" i="3"/>
  <c r="A656" i="3"/>
  <c r="CY656" i="3"/>
  <c r="CZ656" i="3"/>
  <c r="DB656" i="3" s="1"/>
  <c r="DA656" i="3"/>
  <c r="DC656" i="3"/>
  <c r="A657" i="3"/>
  <c r="CY657" i="3"/>
  <c r="CZ657" i="3"/>
  <c r="DB657" i="3" s="1"/>
  <c r="DA657" i="3"/>
  <c r="DC657" i="3"/>
  <c r="A658" i="3"/>
  <c r="CY658" i="3"/>
  <c r="CZ658" i="3"/>
  <c r="DA658" i="3"/>
  <c r="DB658" i="3"/>
  <c r="DC658" i="3"/>
  <c r="A659" i="3"/>
  <c r="CY659" i="3"/>
  <c r="CZ659" i="3"/>
  <c r="DA659" i="3"/>
  <c r="DB659" i="3"/>
  <c r="DC659" i="3"/>
  <c r="A660" i="3"/>
  <c r="CY660" i="3"/>
  <c r="CZ660" i="3"/>
  <c r="DB660" i="3" s="1"/>
  <c r="DA660" i="3"/>
  <c r="DC660" i="3"/>
  <c r="A661" i="3"/>
  <c r="CY661" i="3"/>
  <c r="CZ661" i="3"/>
  <c r="DB661" i="3" s="1"/>
  <c r="DA661" i="3"/>
  <c r="DC661" i="3"/>
  <c r="A662" i="3"/>
  <c r="CY662" i="3"/>
  <c r="CZ662" i="3"/>
  <c r="DA662" i="3"/>
  <c r="DB662" i="3"/>
  <c r="DC662" i="3"/>
  <c r="A663" i="3"/>
  <c r="CY663" i="3"/>
  <c r="CZ663" i="3"/>
  <c r="DA663" i="3"/>
  <c r="DB663" i="3"/>
  <c r="DC663" i="3"/>
  <c r="A664" i="3"/>
  <c r="CY664" i="3"/>
  <c r="CZ664" i="3"/>
  <c r="DB664" i="3" s="1"/>
  <c r="DA664" i="3"/>
  <c r="DC664" i="3"/>
  <c r="A665" i="3"/>
  <c r="CY665" i="3"/>
  <c r="CZ665" i="3"/>
  <c r="DB665" i="3" s="1"/>
  <c r="DA665" i="3"/>
  <c r="DC665" i="3"/>
  <c r="A666" i="3"/>
  <c r="CY666" i="3"/>
  <c r="CZ666" i="3"/>
  <c r="DA666" i="3"/>
  <c r="DB666" i="3"/>
  <c r="DC666" i="3"/>
  <c r="A667" i="3"/>
  <c r="CY667" i="3"/>
  <c r="CZ667" i="3"/>
  <c r="DA667" i="3"/>
  <c r="DB667" i="3"/>
  <c r="DC667" i="3"/>
  <c r="A668" i="3"/>
  <c r="CY668" i="3"/>
  <c r="CZ668" i="3"/>
  <c r="DB668" i="3" s="1"/>
  <c r="DA668" i="3"/>
  <c r="DC668" i="3"/>
  <c r="A669" i="3"/>
  <c r="CY669" i="3"/>
  <c r="CZ669" i="3"/>
  <c r="DB669" i="3" s="1"/>
  <c r="DA669" i="3"/>
  <c r="DC669" i="3"/>
  <c r="A670" i="3"/>
  <c r="CY670" i="3"/>
  <c r="CZ670" i="3"/>
  <c r="DA670" i="3"/>
  <c r="DB670" i="3"/>
  <c r="DC670" i="3"/>
  <c r="A671" i="3"/>
  <c r="CY671" i="3"/>
  <c r="CZ671" i="3"/>
  <c r="DA671" i="3"/>
  <c r="DB671" i="3"/>
  <c r="DC671" i="3"/>
  <c r="A672" i="3"/>
  <c r="CY672" i="3"/>
  <c r="CZ672" i="3"/>
  <c r="DB672" i="3" s="1"/>
  <c r="DA672" i="3"/>
  <c r="DC672" i="3"/>
  <c r="A673" i="3"/>
  <c r="CY673" i="3"/>
  <c r="CZ673" i="3"/>
  <c r="DB673" i="3" s="1"/>
  <c r="DA673" i="3"/>
  <c r="DC673" i="3"/>
  <c r="A674" i="3"/>
  <c r="CY674" i="3"/>
  <c r="CZ674" i="3"/>
  <c r="DA674" i="3"/>
  <c r="DB674" i="3"/>
  <c r="DC674" i="3"/>
  <c r="A675" i="3"/>
  <c r="CY675" i="3"/>
  <c r="CZ675" i="3"/>
  <c r="DA675" i="3"/>
  <c r="DB675" i="3"/>
  <c r="DC675" i="3"/>
  <c r="A676" i="3"/>
  <c r="CY676" i="3"/>
  <c r="CZ676" i="3"/>
  <c r="DB676" i="3" s="1"/>
  <c r="DA676" i="3"/>
  <c r="DC676" i="3"/>
  <c r="A677" i="3"/>
  <c r="CY677" i="3"/>
  <c r="CZ677" i="3"/>
  <c r="DB677" i="3" s="1"/>
  <c r="DA677" i="3"/>
  <c r="DC677" i="3"/>
  <c r="A678" i="3"/>
  <c r="CY678" i="3"/>
  <c r="CZ678" i="3"/>
  <c r="DA678" i="3"/>
  <c r="DB678" i="3"/>
  <c r="DC678" i="3"/>
  <c r="A679" i="3"/>
  <c r="CY679" i="3"/>
  <c r="CZ679" i="3"/>
  <c r="DA679" i="3"/>
  <c r="DB679" i="3"/>
  <c r="DC679" i="3"/>
  <c r="A680" i="3"/>
  <c r="CY680" i="3"/>
  <c r="CZ680" i="3"/>
  <c r="DB680" i="3" s="1"/>
  <c r="DA680" i="3"/>
  <c r="DC680" i="3"/>
  <c r="A681" i="3"/>
  <c r="CY681" i="3"/>
  <c r="CZ681" i="3"/>
  <c r="DB681" i="3" s="1"/>
  <c r="DA681" i="3"/>
  <c r="DC681" i="3"/>
  <c r="A682" i="3"/>
  <c r="CY682" i="3"/>
  <c r="CZ682" i="3"/>
  <c r="DA682" i="3"/>
  <c r="DB682" i="3"/>
  <c r="DC682" i="3"/>
  <c r="A683" i="3"/>
  <c r="CY683" i="3"/>
  <c r="CZ683" i="3"/>
  <c r="DA683" i="3"/>
  <c r="DB683" i="3"/>
  <c r="DC683" i="3"/>
  <c r="A684" i="3"/>
  <c r="CY684" i="3"/>
  <c r="CZ684" i="3"/>
  <c r="DB684" i="3" s="1"/>
  <c r="DA684" i="3"/>
  <c r="DC684" i="3"/>
  <c r="A685" i="3"/>
  <c r="CY685" i="3"/>
  <c r="CZ685" i="3"/>
  <c r="DB685" i="3" s="1"/>
  <c r="DA685" i="3"/>
  <c r="DC685" i="3"/>
  <c r="A686" i="3"/>
  <c r="CY686" i="3"/>
  <c r="CZ686" i="3"/>
  <c r="DA686" i="3"/>
  <c r="DB686" i="3"/>
  <c r="DC686" i="3"/>
  <c r="A687" i="3"/>
  <c r="CY687" i="3"/>
  <c r="CZ687" i="3"/>
  <c r="DA687" i="3"/>
  <c r="DB687" i="3"/>
  <c r="DC687" i="3"/>
  <c r="A688" i="3"/>
  <c r="CY688" i="3"/>
  <c r="CZ688" i="3"/>
  <c r="DB688" i="3" s="1"/>
  <c r="DA688" i="3"/>
  <c r="DC688" i="3"/>
  <c r="A689" i="3"/>
  <c r="CY689" i="3"/>
  <c r="CZ689" i="3"/>
  <c r="DB689" i="3" s="1"/>
  <c r="DA689" i="3"/>
  <c r="DC689" i="3"/>
  <c r="A690" i="3"/>
  <c r="CY690" i="3"/>
  <c r="CZ690" i="3"/>
  <c r="DA690" i="3"/>
  <c r="DB690" i="3"/>
  <c r="DC690" i="3"/>
  <c r="A691" i="3"/>
  <c r="CY691" i="3"/>
  <c r="CZ691" i="3"/>
  <c r="DA691" i="3"/>
  <c r="DB691" i="3"/>
  <c r="DC691" i="3"/>
  <c r="A692" i="3"/>
  <c r="CY692" i="3"/>
  <c r="CZ692" i="3"/>
  <c r="DB692" i="3" s="1"/>
  <c r="DA692" i="3"/>
  <c r="DC692" i="3"/>
  <c r="A693" i="3"/>
  <c r="CY693" i="3"/>
  <c r="CZ693" i="3"/>
  <c r="DB693" i="3" s="1"/>
  <c r="DA693" i="3"/>
  <c r="DC693" i="3"/>
  <c r="A694" i="3"/>
  <c r="CX694" i="3"/>
  <c r="CY694" i="3"/>
  <c r="CZ694" i="3"/>
  <c r="DA694" i="3"/>
  <c r="DB694" i="3"/>
  <c r="DC694" i="3"/>
  <c r="A695" i="3"/>
  <c r="CX695" i="3"/>
  <c r="CY695" i="3"/>
  <c r="CZ695" i="3"/>
  <c r="DA695" i="3"/>
  <c r="DB695" i="3"/>
  <c r="DC695" i="3"/>
  <c r="A696" i="3"/>
  <c r="CX696" i="3"/>
  <c r="CY696" i="3"/>
  <c r="CZ696" i="3"/>
  <c r="DB696" i="3" s="1"/>
  <c r="DA696" i="3"/>
  <c r="DC696" i="3"/>
  <c r="A697" i="3"/>
  <c r="CX697" i="3"/>
  <c r="CY697" i="3"/>
  <c r="CZ697" i="3"/>
  <c r="DB697" i="3" s="1"/>
  <c r="DA697" i="3"/>
  <c r="DC697" i="3"/>
  <c r="A698" i="3"/>
  <c r="CX698" i="3"/>
  <c r="CY698" i="3"/>
  <c r="CZ698" i="3"/>
  <c r="DA698" i="3"/>
  <c r="DB698" i="3"/>
  <c r="DC698" i="3"/>
  <c r="A699" i="3"/>
  <c r="CX699" i="3"/>
  <c r="CY699" i="3"/>
  <c r="CZ699" i="3"/>
  <c r="DA699" i="3"/>
  <c r="DB699" i="3"/>
  <c r="DC699" i="3"/>
  <c r="A700" i="3"/>
  <c r="CX700" i="3"/>
  <c r="CY700" i="3"/>
  <c r="CZ700" i="3"/>
  <c r="DB700" i="3" s="1"/>
  <c r="DA700" i="3"/>
  <c r="DC700" i="3"/>
  <c r="A701" i="3"/>
  <c r="CX701" i="3"/>
  <c r="CY701" i="3"/>
  <c r="CZ701" i="3"/>
  <c r="DB701" i="3" s="1"/>
  <c r="DA701" i="3"/>
  <c r="DC701" i="3"/>
  <c r="A702" i="3"/>
  <c r="CX702" i="3"/>
  <c r="CY702" i="3"/>
  <c r="CZ702" i="3"/>
  <c r="DA702" i="3"/>
  <c r="DB702" i="3"/>
  <c r="DC702" i="3"/>
  <c r="A703" i="3"/>
  <c r="CX703" i="3"/>
  <c r="CY703" i="3"/>
  <c r="CZ703" i="3"/>
  <c r="DA703" i="3"/>
  <c r="DB703" i="3"/>
  <c r="DC703" i="3"/>
  <c r="A704" i="3"/>
  <c r="CX704" i="3"/>
  <c r="CY704" i="3"/>
  <c r="CZ704" i="3"/>
  <c r="DB704" i="3" s="1"/>
  <c r="DA704" i="3"/>
  <c r="DC704" i="3"/>
  <c r="A705" i="3"/>
  <c r="CX705" i="3"/>
  <c r="CY705" i="3"/>
  <c r="CZ705" i="3"/>
  <c r="DB705" i="3" s="1"/>
  <c r="DA705" i="3"/>
  <c r="DC705" i="3"/>
  <c r="A706" i="3"/>
  <c r="CX706" i="3"/>
  <c r="CY706" i="3"/>
  <c r="CZ706" i="3"/>
  <c r="DA706" i="3"/>
  <c r="DB706" i="3"/>
  <c r="DC706" i="3"/>
  <c r="A707" i="3"/>
  <c r="CX707" i="3"/>
  <c r="CY707" i="3"/>
  <c r="CZ707" i="3"/>
  <c r="DA707" i="3"/>
  <c r="DB707" i="3"/>
  <c r="DC707" i="3"/>
  <c r="A708" i="3"/>
  <c r="CX708" i="3"/>
  <c r="CY708" i="3"/>
  <c r="CZ708" i="3"/>
  <c r="DB708" i="3" s="1"/>
  <c r="DA708" i="3"/>
  <c r="DC708" i="3"/>
  <c r="A709" i="3"/>
  <c r="CX709" i="3"/>
  <c r="CY709" i="3"/>
  <c r="CZ709" i="3"/>
  <c r="DB709" i="3" s="1"/>
  <c r="DA709" i="3"/>
  <c r="DC709" i="3"/>
  <c r="A710" i="3"/>
  <c r="CX710" i="3"/>
  <c r="CY710" i="3"/>
  <c r="CZ710" i="3"/>
  <c r="DA710" i="3"/>
  <c r="DB710" i="3"/>
  <c r="DC710" i="3"/>
  <c r="A711" i="3"/>
  <c r="CX711" i="3"/>
  <c r="CY711" i="3"/>
  <c r="CZ711" i="3"/>
  <c r="DA711" i="3"/>
  <c r="DB711" i="3"/>
  <c r="DC711" i="3"/>
  <c r="A712" i="3"/>
  <c r="CX712" i="3"/>
  <c r="CY712" i="3"/>
  <c r="CZ712" i="3"/>
  <c r="DB712" i="3" s="1"/>
  <c r="DA712" i="3"/>
  <c r="DC712" i="3"/>
  <c r="A713" i="3"/>
  <c r="CX713" i="3"/>
  <c r="CY713" i="3"/>
  <c r="CZ713" i="3"/>
  <c r="DB713" i="3" s="1"/>
  <c r="DA713" i="3"/>
  <c r="DC713" i="3"/>
  <c r="A714" i="3"/>
  <c r="CX714" i="3"/>
  <c r="CY714" i="3"/>
  <c r="CZ714" i="3"/>
  <c r="DA714" i="3"/>
  <c r="DB714" i="3"/>
  <c r="DC714" i="3"/>
  <c r="A715" i="3"/>
  <c r="CX715" i="3"/>
  <c r="CY715" i="3"/>
  <c r="CZ715" i="3"/>
  <c r="DA715" i="3"/>
  <c r="DB715" i="3"/>
  <c r="DC715" i="3"/>
  <c r="A716" i="3"/>
  <c r="CX716" i="3"/>
  <c r="CY716" i="3"/>
  <c r="CZ716" i="3"/>
  <c r="DB716" i="3" s="1"/>
  <c r="DA716" i="3"/>
  <c r="DC716" i="3"/>
  <c r="A717" i="3"/>
  <c r="CX717" i="3"/>
  <c r="CY717" i="3"/>
  <c r="CZ717" i="3"/>
  <c r="DB717" i="3" s="1"/>
  <c r="DA717" i="3"/>
  <c r="DC717" i="3"/>
  <c r="A718" i="3"/>
  <c r="CX718" i="3"/>
  <c r="CY718" i="3"/>
  <c r="CZ718" i="3"/>
  <c r="DA718" i="3"/>
  <c r="DB718" i="3"/>
  <c r="DC718" i="3"/>
  <c r="A719" i="3"/>
  <c r="CX719" i="3"/>
  <c r="CY719" i="3"/>
  <c r="CZ719" i="3"/>
  <c r="DA719" i="3"/>
  <c r="DB719" i="3"/>
  <c r="DC719" i="3"/>
  <c r="A720" i="3"/>
  <c r="CX720" i="3"/>
  <c r="CY720" i="3"/>
  <c r="CZ720" i="3"/>
  <c r="DB720" i="3" s="1"/>
  <c r="DA720" i="3"/>
  <c r="DC720" i="3"/>
  <c r="A721" i="3"/>
  <c r="CX721" i="3"/>
  <c r="CY721" i="3"/>
  <c r="CZ721" i="3"/>
  <c r="DB721" i="3" s="1"/>
  <c r="DA721" i="3"/>
  <c r="DC721" i="3"/>
  <c r="A722" i="3"/>
  <c r="CX722" i="3"/>
  <c r="CY722" i="3"/>
  <c r="CZ722" i="3"/>
  <c r="DA722" i="3"/>
  <c r="DB722" i="3"/>
  <c r="DC722" i="3"/>
  <c r="A723" i="3"/>
  <c r="CX723" i="3"/>
  <c r="CY723" i="3"/>
  <c r="CZ723" i="3"/>
  <c r="DA723" i="3"/>
  <c r="DB723" i="3"/>
  <c r="DC723" i="3"/>
  <c r="A724" i="3"/>
  <c r="CX724" i="3"/>
  <c r="CY724" i="3"/>
  <c r="CZ724" i="3"/>
  <c r="DB724" i="3" s="1"/>
  <c r="DA724" i="3"/>
  <c r="DC724" i="3"/>
  <c r="A725" i="3"/>
  <c r="CX725" i="3"/>
  <c r="CY725" i="3"/>
  <c r="CZ725" i="3"/>
  <c r="DB725" i="3" s="1"/>
  <c r="DA725" i="3"/>
  <c r="DC725" i="3"/>
  <c r="A726" i="3"/>
  <c r="CX726" i="3"/>
  <c r="CY726" i="3"/>
  <c r="CZ726" i="3"/>
  <c r="DA726" i="3"/>
  <c r="DB726" i="3"/>
  <c r="DC726" i="3"/>
  <c r="A727" i="3"/>
  <c r="CX727" i="3"/>
  <c r="CY727" i="3"/>
  <c r="CZ727" i="3"/>
  <c r="DA727" i="3"/>
  <c r="DB727" i="3"/>
  <c r="DC727" i="3"/>
  <c r="A728" i="3"/>
  <c r="CX728" i="3"/>
  <c r="CY728" i="3"/>
  <c r="CZ728" i="3"/>
  <c r="DB728" i="3" s="1"/>
  <c r="DA728" i="3"/>
  <c r="DC728" i="3"/>
  <c r="A729" i="3"/>
  <c r="CX729" i="3"/>
  <c r="CY729" i="3"/>
  <c r="CZ729" i="3"/>
  <c r="DB729" i="3" s="1"/>
  <c r="DA729" i="3"/>
  <c r="DC729" i="3"/>
  <c r="A730" i="3"/>
  <c r="CX730" i="3"/>
  <c r="CY730" i="3"/>
  <c r="CZ730" i="3"/>
  <c r="DA730" i="3"/>
  <c r="DB730" i="3"/>
  <c r="DC730" i="3"/>
  <c r="A731" i="3"/>
  <c r="CX731" i="3"/>
  <c r="CY731" i="3"/>
  <c r="CZ731" i="3"/>
  <c r="DA731" i="3"/>
  <c r="DB731" i="3"/>
  <c r="DC731" i="3"/>
  <c r="A732" i="3"/>
  <c r="CX732" i="3"/>
  <c r="CY732" i="3"/>
  <c r="CZ732" i="3"/>
  <c r="DB732" i="3" s="1"/>
  <c r="DA732" i="3"/>
  <c r="DC732" i="3"/>
  <c r="A733" i="3"/>
  <c r="CX733" i="3"/>
  <c r="CY733" i="3"/>
  <c r="CZ733" i="3"/>
  <c r="DB733" i="3" s="1"/>
  <c r="DA733" i="3"/>
  <c r="DC733" i="3"/>
  <c r="A734" i="3"/>
  <c r="CX734" i="3"/>
  <c r="CY734" i="3"/>
  <c r="CZ734" i="3"/>
  <c r="DA734" i="3"/>
  <c r="DB734" i="3"/>
  <c r="DC734" i="3"/>
  <c r="A735" i="3"/>
  <c r="CX735" i="3"/>
  <c r="CY735" i="3"/>
  <c r="CZ735" i="3"/>
  <c r="DA735" i="3"/>
  <c r="DB735" i="3"/>
  <c r="DC735" i="3"/>
  <c r="A736" i="3"/>
  <c r="CX736" i="3"/>
  <c r="CY736" i="3"/>
  <c r="CZ736" i="3"/>
  <c r="DB736" i="3" s="1"/>
  <c r="DA736" i="3"/>
  <c r="DC736" i="3"/>
  <c r="A737" i="3"/>
  <c r="CX737" i="3"/>
  <c r="CY737" i="3"/>
  <c r="CZ737" i="3"/>
  <c r="DB737" i="3" s="1"/>
  <c r="DA737" i="3"/>
  <c r="DC737" i="3"/>
  <c r="A738" i="3"/>
  <c r="CX738" i="3"/>
  <c r="CY738" i="3"/>
  <c r="CZ738" i="3"/>
  <c r="DA738" i="3"/>
  <c r="DB738" i="3"/>
  <c r="DC738" i="3"/>
  <c r="A739" i="3"/>
  <c r="CX739" i="3"/>
  <c r="CY739" i="3"/>
  <c r="CZ739" i="3"/>
  <c r="DA739" i="3"/>
  <c r="DB739" i="3"/>
  <c r="DC739" i="3"/>
  <c r="A740" i="3"/>
  <c r="CX740" i="3"/>
  <c r="CY740" i="3"/>
  <c r="CZ740" i="3"/>
  <c r="DB740" i="3" s="1"/>
  <c r="DA740" i="3"/>
  <c r="DC740" i="3"/>
  <c r="A741" i="3"/>
  <c r="CY741" i="3"/>
  <c r="CZ741" i="3"/>
  <c r="DB741" i="3" s="1"/>
  <c r="DA741" i="3"/>
  <c r="DC741" i="3"/>
  <c r="A742" i="3"/>
  <c r="CY742" i="3"/>
  <c r="CZ742" i="3"/>
  <c r="DA742" i="3"/>
  <c r="DB742" i="3"/>
  <c r="DC742" i="3"/>
  <c r="A743" i="3"/>
  <c r="CY743" i="3"/>
  <c r="CZ743" i="3"/>
  <c r="DA743" i="3"/>
  <c r="DB743" i="3"/>
  <c r="DC743" i="3"/>
  <c r="A744" i="3"/>
  <c r="CY744" i="3"/>
  <c r="CZ744" i="3"/>
  <c r="DB744" i="3" s="1"/>
  <c r="DA744" i="3"/>
  <c r="DC744" i="3"/>
  <c r="A745" i="3"/>
  <c r="CY745" i="3"/>
  <c r="CZ745" i="3"/>
  <c r="DB745" i="3" s="1"/>
  <c r="DA745" i="3"/>
  <c r="DC745" i="3"/>
  <c r="A746" i="3"/>
  <c r="CY746" i="3"/>
  <c r="CZ746" i="3"/>
  <c r="DA746" i="3"/>
  <c r="DB746" i="3"/>
  <c r="DC746" i="3"/>
  <c r="A747" i="3"/>
  <c r="CY747" i="3"/>
  <c r="CZ747" i="3"/>
  <c r="DA747" i="3"/>
  <c r="DB747" i="3"/>
  <c r="DC747" i="3"/>
  <c r="A748" i="3"/>
  <c r="CY748" i="3"/>
  <c r="CZ748" i="3"/>
  <c r="DB748" i="3" s="1"/>
  <c r="DA748" i="3"/>
  <c r="DC748" i="3"/>
  <c r="A749" i="3"/>
  <c r="CY749" i="3"/>
  <c r="CZ749" i="3"/>
  <c r="DB749" i="3" s="1"/>
  <c r="DA749" i="3"/>
  <c r="DC749" i="3"/>
  <c r="A750" i="3"/>
  <c r="CY750" i="3"/>
  <c r="CZ750" i="3"/>
  <c r="DA750" i="3"/>
  <c r="DB750" i="3"/>
  <c r="DC750" i="3"/>
  <c r="A751" i="3"/>
  <c r="CY751" i="3"/>
  <c r="CZ751" i="3"/>
  <c r="DA751" i="3"/>
  <c r="DB751" i="3"/>
  <c r="DC751" i="3"/>
  <c r="A752" i="3"/>
  <c r="CY752" i="3"/>
  <c r="CZ752" i="3"/>
  <c r="DB752" i="3" s="1"/>
  <c r="DA752" i="3"/>
  <c r="DC752" i="3"/>
  <c r="A753" i="3"/>
  <c r="CX753" i="3"/>
  <c r="CY753" i="3"/>
  <c r="CZ753" i="3"/>
  <c r="DB753" i="3" s="1"/>
  <c r="DA753" i="3"/>
  <c r="DC753" i="3"/>
  <c r="A754" i="3"/>
  <c r="CX754" i="3"/>
  <c r="CY754" i="3"/>
  <c r="CZ754" i="3"/>
  <c r="DA754" i="3"/>
  <c r="DB754" i="3"/>
  <c r="DC754" i="3"/>
  <c r="A755" i="3"/>
  <c r="CX755" i="3"/>
  <c r="CY755" i="3"/>
  <c r="CZ755" i="3"/>
  <c r="DA755" i="3"/>
  <c r="DB755" i="3"/>
  <c r="DC755" i="3"/>
  <c r="A756" i="3"/>
  <c r="CX756" i="3"/>
  <c r="CY756" i="3"/>
  <c r="CZ756" i="3"/>
  <c r="DB756" i="3" s="1"/>
  <c r="DA756" i="3"/>
  <c r="DC756" i="3"/>
  <c r="A757" i="3"/>
  <c r="CX757" i="3"/>
  <c r="CY757" i="3"/>
  <c r="CZ757" i="3"/>
  <c r="DB757" i="3" s="1"/>
  <c r="DA757" i="3"/>
  <c r="DC757" i="3"/>
  <c r="A758" i="3"/>
  <c r="CX758" i="3"/>
  <c r="CY758" i="3"/>
  <c r="CZ758" i="3"/>
  <c r="DA758" i="3"/>
  <c r="DB758" i="3"/>
  <c r="DC758" i="3"/>
  <c r="A759" i="3"/>
  <c r="CX759" i="3"/>
  <c r="CY759" i="3"/>
  <c r="CZ759" i="3"/>
  <c r="DA759" i="3"/>
  <c r="DB759" i="3"/>
  <c r="DC759" i="3"/>
  <c r="A760" i="3"/>
  <c r="CX760" i="3"/>
  <c r="CY760" i="3"/>
  <c r="CZ760" i="3"/>
  <c r="DB760" i="3" s="1"/>
  <c r="DA760" i="3"/>
  <c r="DC760" i="3"/>
  <c r="A761" i="3"/>
  <c r="CX761" i="3"/>
  <c r="CY761" i="3"/>
  <c r="CZ761" i="3"/>
  <c r="DB761" i="3" s="1"/>
  <c r="DA761" i="3"/>
  <c r="DC761" i="3"/>
  <c r="A762" i="3"/>
  <c r="CX762" i="3"/>
  <c r="CY762" i="3"/>
  <c r="CZ762" i="3"/>
  <c r="DA762" i="3"/>
  <c r="DB762" i="3"/>
  <c r="DC762" i="3"/>
  <c r="A763" i="3"/>
  <c r="CX763" i="3"/>
  <c r="CY763" i="3"/>
  <c r="CZ763" i="3"/>
  <c r="DA763" i="3"/>
  <c r="DB763" i="3"/>
  <c r="DC763" i="3"/>
  <c r="A764" i="3"/>
  <c r="CY764" i="3"/>
  <c r="CZ764" i="3"/>
  <c r="DB764" i="3" s="1"/>
  <c r="DA764" i="3"/>
  <c r="DC764" i="3"/>
  <c r="A765" i="3"/>
  <c r="CY765" i="3"/>
  <c r="CZ765" i="3"/>
  <c r="DB765" i="3" s="1"/>
  <c r="DA765" i="3"/>
  <c r="DC765" i="3"/>
  <c r="A766" i="3"/>
  <c r="CX766" i="3"/>
  <c r="CY766" i="3"/>
  <c r="CZ766" i="3"/>
  <c r="DA766" i="3"/>
  <c r="DB766" i="3"/>
  <c r="DC766" i="3"/>
  <c r="A767" i="3"/>
  <c r="CX767" i="3"/>
  <c r="CY767" i="3"/>
  <c r="CZ767" i="3"/>
  <c r="DA767" i="3"/>
  <c r="DB767" i="3"/>
  <c r="DC767" i="3"/>
  <c r="A768" i="3"/>
  <c r="CX768" i="3"/>
  <c r="CY768" i="3"/>
  <c r="CZ768" i="3"/>
  <c r="DB768" i="3" s="1"/>
  <c r="DA768" i="3"/>
  <c r="DC768" i="3"/>
  <c r="A769" i="3"/>
  <c r="CX769" i="3"/>
  <c r="CY769" i="3"/>
  <c r="CZ769" i="3"/>
  <c r="DB769" i="3" s="1"/>
  <c r="DA769" i="3"/>
  <c r="DC769" i="3"/>
  <c r="A770" i="3"/>
  <c r="CX770" i="3"/>
  <c r="CY770" i="3"/>
  <c r="CZ770" i="3"/>
  <c r="DA770" i="3"/>
  <c r="DB770" i="3"/>
  <c r="DC770" i="3"/>
  <c r="A771" i="3"/>
  <c r="CX771" i="3"/>
  <c r="CY771" i="3"/>
  <c r="CZ771" i="3"/>
  <c r="DA771" i="3"/>
  <c r="DB771" i="3"/>
  <c r="DC771" i="3"/>
  <c r="A772" i="3"/>
  <c r="CX772" i="3"/>
  <c r="CY772" i="3"/>
  <c r="CZ772" i="3"/>
  <c r="DB772" i="3" s="1"/>
  <c r="DA772" i="3"/>
  <c r="DC772" i="3"/>
  <c r="A773" i="3"/>
  <c r="CX773" i="3"/>
  <c r="CY773" i="3"/>
  <c r="CZ773" i="3"/>
  <c r="DB773" i="3" s="1"/>
  <c r="DA773" i="3"/>
  <c r="DC773" i="3"/>
  <c r="A774" i="3"/>
  <c r="CX774" i="3"/>
  <c r="CY774" i="3"/>
  <c r="CZ774" i="3"/>
  <c r="DA774" i="3"/>
  <c r="DB774" i="3"/>
  <c r="DC774" i="3"/>
  <c r="A775" i="3"/>
  <c r="CY775" i="3"/>
  <c r="CZ775" i="3"/>
  <c r="DA775" i="3"/>
  <c r="DB775" i="3"/>
  <c r="DC775" i="3"/>
  <c r="A776" i="3"/>
  <c r="CY776" i="3"/>
  <c r="CZ776" i="3"/>
  <c r="DB776" i="3" s="1"/>
  <c r="DA776" i="3"/>
  <c r="DC776" i="3"/>
  <c r="A777" i="3"/>
  <c r="CY777" i="3"/>
  <c r="CZ777" i="3"/>
  <c r="DB777" i="3" s="1"/>
  <c r="DA777" i="3"/>
  <c r="DC777" i="3"/>
  <c r="A778" i="3"/>
  <c r="CY778" i="3"/>
  <c r="CZ778" i="3"/>
  <c r="DA778" i="3"/>
  <c r="DB778" i="3"/>
  <c r="DC778" i="3"/>
  <c r="A779" i="3"/>
  <c r="CY779" i="3"/>
  <c r="CZ779" i="3"/>
  <c r="DA779" i="3"/>
  <c r="DB779" i="3"/>
  <c r="DC779" i="3"/>
  <c r="A780" i="3"/>
  <c r="CY780" i="3"/>
  <c r="CZ780" i="3"/>
  <c r="DB780" i="3" s="1"/>
  <c r="DA780" i="3"/>
  <c r="DC780" i="3"/>
  <c r="A781" i="3"/>
  <c r="CY781" i="3"/>
  <c r="CZ781" i="3"/>
  <c r="DB781" i="3" s="1"/>
  <c r="DA781" i="3"/>
  <c r="DC781" i="3"/>
  <c r="A782" i="3"/>
  <c r="CY782" i="3"/>
  <c r="CZ782" i="3"/>
  <c r="DA782" i="3"/>
  <c r="DB782" i="3"/>
  <c r="DC782" i="3"/>
  <c r="A783" i="3"/>
  <c r="CY783" i="3"/>
  <c r="CZ783" i="3"/>
  <c r="DA783" i="3"/>
  <c r="DB783" i="3"/>
  <c r="DC783" i="3"/>
  <c r="A784" i="3"/>
  <c r="CY784" i="3"/>
  <c r="CZ784" i="3"/>
  <c r="DB784" i="3" s="1"/>
  <c r="DA784" i="3"/>
  <c r="DC784" i="3"/>
  <c r="A785" i="3"/>
  <c r="CY785" i="3"/>
  <c r="CZ785" i="3"/>
  <c r="DB785" i="3" s="1"/>
  <c r="DA785" i="3"/>
  <c r="DC785" i="3"/>
  <c r="A786" i="3"/>
  <c r="CY786" i="3"/>
  <c r="CZ786" i="3"/>
  <c r="DB786" i="3" s="1"/>
  <c r="DA786" i="3"/>
  <c r="DC786" i="3"/>
  <c r="A787" i="3"/>
  <c r="CY787" i="3"/>
  <c r="CZ787" i="3"/>
  <c r="DA787" i="3"/>
  <c r="DB787" i="3"/>
  <c r="DC787" i="3"/>
  <c r="A788" i="3"/>
  <c r="CY788" i="3"/>
  <c r="CZ788" i="3"/>
  <c r="DA788" i="3"/>
  <c r="DB788" i="3"/>
  <c r="DC788" i="3"/>
  <c r="A789" i="3"/>
  <c r="CY789" i="3"/>
  <c r="CZ789" i="3"/>
  <c r="DB789" i="3" s="1"/>
  <c r="DA789" i="3"/>
  <c r="DC789" i="3"/>
  <c r="A790" i="3"/>
  <c r="CX790" i="3"/>
  <c r="CY790" i="3"/>
  <c r="CZ790" i="3"/>
  <c r="DA790" i="3"/>
  <c r="DB790" i="3"/>
  <c r="DC790" i="3"/>
  <c r="A791" i="3"/>
  <c r="CX791" i="3"/>
  <c r="CY791" i="3"/>
  <c r="CZ791" i="3"/>
  <c r="DA791" i="3"/>
  <c r="DB791" i="3"/>
  <c r="DC791" i="3"/>
  <c r="A792" i="3"/>
  <c r="CY792" i="3"/>
  <c r="CZ792" i="3"/>
  <c r="DB792" i="3" s="1"/>
  <c r="DA792" i="3"/>
  <c r="DC792" i="3"/>
  <c r="A793" i="3"/>
  <c r="CY793" i="3"/>
  <c r="CZ793" i="3"/>
  <c r="DB793" i="3" s="1"/>
  <c r="DA793" i="3"/>
  <c r="DC793" i="3"/>
  <c r="A794" i="3"/>
  <c r="CY794" i="3"/>
  <c r="CZ794" i="3"/>
  <c r="DB794" i="3" s="1"/>
  <c r="DA794" i="3"/>
  <c r="DC794" i="3"/>
  <c r="A795" i="3"/>
  <c r="CY795" i="3"/>
  <c r="CZ795" i="3"/>
  <c r="DA795" i="3"/>
  <c r="DB795" i="3"/>
  <c r="DC795" i="3"/>
  <c r="A796" i="3"/>
  <c r="CY796" i="3"/>
  <c r="CZ796" i="3"/>
  <c r="DA796" i="3"/>
  <c r="DB796" i="3"/>
  <c r="DC796" i="3"/>
  <c r="A797" i="3"/>
  <c r="CY797" i="3"/>
  <c r="CZ797" i="3"/>
  <c r="DB797" i="3" s="1"/>
  <c r="DA797" i="3"/>
  <c r="DC797" i="3"/>
  <c r="A798" i="3"/>
  <c r="CY798" i="3"/>
  <c r="CZ798" i="3"/>
  <c r="DA798" i="3"/>
  <c r="DB798" i="3"/>
  <c r="DC798" i="3"/>
  <c r="A799" i="3"/>
  <c r="CY799" i="3"/>
  <c r="CZ799" i="3"/>
  <c r="DA799" i="3"/>
  <c r="DB799" i="3"/>
  <c r="DC799" i="3"/>
  <c r="A800" i="3"/>
  <c r="CY800" i="3"/>
  <c r="CZ800" i="3"/>
  <c r="DB800" i="3" s="1"/>
  <c r="DA800" i="3"/>
  <c r="DC800" i="3"/>
  <c r="A801" i="3"/>
  <c r="CY801" i="3"/>
  <c r="CZ801" i="3"/>
  <c r="DB801" i="3" s="1"/>
  <c r="DA801" i="3"/>
  <c r="DC801" i="3"/>
  <c r="A802" i="3"/>
  <c r="CY802" i="3"/>
  <c r="CZ802" i="3"/>
  <c r="DB802" i="3" s="1"/>
  <c r="DA802" i="3"/>
  <c r="DC802" i="3"/>
  <c r="A803" i="3"/>
  <c r="CY803" i="3"/>
  <c r="CZ803" i="3"/>
  <c r="DA803" i="3"/>
  <c r="DB803" i="3"/>
  <c r="DC803" i="3"/>
  <c r="A804" i="3"/>
  <c r="CY804" i="3"/>
  <c r="CZ804" i="3"/>
  <c r="DA804" i="3"/>
  <c r="DB804" i="3"/>
  <c r="DC804" i="3"/>
  <c r="A805" i="3"/>
  <c r="CY805" i="3"/>
  <c r="CZ805" i="3"/>
  <c r="DB805" i="3" s="1"/>
  <c r="DA805" i="3"/>
  <c r="DC805" i="3"/>
  <c r="A806" i="3"/>
  <c r="CY806" i="3"/>
  <c r="CZ806" i="3"/>
  <c r="DA806" i="3"/>
  <c r="DB806" i="3"/>
  <c r="DC806" i="3"/>
  <c r="A807" i="3"/>
  <c r="CY807" i="3"/>
  <c r="CZ807" i="3"/>
  <c r="DA807" i="3"/>
  <c r="DB807" i="3"/>
  <c r="DC807" i="3"/>
  <c r="A808" i="3"/>
  <c r="CY808" i="3"/>
  <c r="CZ808" i="3"/>
  <c r="DB808" i="3" s="1"/>
  <c r="DA808" i="3"/>
  <c r="DC808" i="3"/>
  <c r="A809" i="3"/>
  <c r="CY809" i="3"/>
  <c r="CZ809" i="3"/>
  <c r="DB809" i="3" s="1"/>
  <c r="DA809" i="3"/>
  <c r="DC809" i="3"/>
  <c r="A810" i="3"/>
  <c r="CY810" i="3"/>
  <c r="CZ810" i="3"/>
  <c r="DB810" i="3" s="1"/>
  <c r="DA810" i="3"/>
  <c r="DC810" i="3"/>
  <c r="A811" i="3"/>
  <c r="CY811" i="3"/>
  <c r="CZ811" i="3"/>
  <c r="DA811" i="3"/>
  <c r="DB811" i="3"/>
  <c r="DC811" i="3"/>
  <c r="A812" i="3"/>
  <c r="CY812" i="3"/>
  <c r="CZ812" i="3"/>
  <c r="DA812" i="3"/>
  <c r="DB812" i="3"/>
  <c r="DC812" i="3"/>
  <c r="A813" i="3"/>
  <c r="CY813" i="3"/>
  <c r="CZ813" i="3"/>
  <c r="DB813" i="3" s="1"/>
  <c r="DA813" i="3"/>
  <c r="DC813" i="3"/>
  <c r="A814" i="3"/>
  <c r="CY814" i="3"/>
  <c r="CZ814" i="3"/>
  <c r="DA814" i="3"/>
  <c r="DB814" i="3"/>
  <c r="DC814" i="3"/>
  <c r="A815" i="3"/>
  <c r="CY815" i="3"/>
  <c r="CZ815" i="3"/>
  <c r="DA815" i="3"/>
  <c r="DB815" i="3"/>
  <c r="DC815" i="3"/>
  <c r="A816" i="3"/>
  <c r="CY816" i="3"/>
  <c r="CZ816" i="3"/>
  <c r="DB816" i="3" s="1"/>
  <c r="DA816" i="3"/>
  <c r="DC816" i="3"/>
  <c r="A817" i="3"/>
  <c r="CY817" i="3"/>
  <c r="CZ817" i="3"/>
  <c r="DB817" i="3" s="1"/>
  <c r="DA817" i="3"/>
  <c r="DC817" i="3"/>
  <c r="A818" i="3"/>
  <c r="CY818" i="3"/>
  <c r="CZ818" i="3"/>
  <c r="DB818" i="3" s="1"/>
  <c r="DA818" i="3"/>
  <c r="DC818" i="3"/>
  <c r="A819" i="3"/>
  <c r="CY819" i="3"/>
  <c r="CZ819" i="3"/>
  <c r="DA819" i="3"/>
  <c r="DB819" i="3"/>
  <c r="DC819" i="3"/>
  <c r="A820" i="3"/>
  <c r="CY820" i="3"/>
  <c r="CZ820" i="3"/>
  <c r="DA820" i="3"/>
  <c r="DB820" i="3"/>
  <c r="DC820" i="3"/>
  <c r="A821" i="3"/>
  <c r="CY821" i="3"/>
  <c r="CZ821" i="3"/>
  <c r="DB821" i="3" s="1"/>
  <c r="DA821" i="3"/>
  <c r="DC821" i="3"/>
  <c r="A822" i="3"/>
  <c r="CY822" i="3"/>
  <c r="CZ822" i="3"/>
  <c r="DA822" i="3"/>
  <c r="DB822" i="3"/>
  <c r="DC822" i="3"/>
  <c r="A823" i="3"/>
  <c r="CY823" i="3"/>
  <c r="CZ823" i="3"/>
  <c r="DA823" i="3"/>
  <c r="DB823" i="3"/>
  <c r="DC823" i="3"/>
  <c r="A824" i="3"/>
  <c r="CY824" i="3"/>
  <c r="CZ824" i="3"/>
  <c r="DB824" i="3" s="1"/>
  <c r="DA824" i="3"/>
  <c r="DC824" i="3"/>
  <c r="A825" i="3"/>
  <c r="CY825" i="3"/>
  <c r="CZ825" i="3"/>
  <c r="DB825" i="3" s="1"/>
  <c r="DA825" i="3"/>
  <c r="DC825" i="3"/>
  <c r="A826" i="3"/>
  <c r="CY826" i="3"/>
  <c r="CZ826" i="3"/>
  <c r="DB826" i="3" s="1"/>
  <c r="DA826" i="3"/>
  <c r="DC826" i="3"/>
  <c r="A827" i="3"/>
  <c r="CY827" i="3"/>
  <c r="CZ827" i="3"/>
  <c r="DA827" i="3"/>
  <c r="DB827" i="3"/>
  <c r="DC827" i="3"/>
  <c r="A828" i="3"/>
  <c r="CY828" i="3"/>
  <c r="CZ828" i="3"/>
  <c r="DA828" i="3"/>
  <c r="DB828" i="3"/>
  <c r="DC828" i="3"/>
  <c r="A829" i="3"/>
  <c r="CY829" i="3"/>
  <c r="CZ829" i="3"/>
  <c r="DB829" i="3" s="1"/>
  <c r="DA829" i="3"/>
  <c r="DC829" i="3"/>
  <c r="A830" i="3"/>
  <c r="CY830" i="3"/>
  <c r="CZ830" i="3"/>
  <c r="DA830" i="3"/>
  <c r="DB830" i="3"/>
  <c r="DC830" i="3"/>
  <c r="A831" i="3"/>
  <c r="CY831" i="3"/>
  <c r="CZ831" i="3"/>
  <c r="DA831" i="3"/>
  <c r="DB831" i="3"/>
  <c r="DC831" i="3"/>
  <c r="A832" i="3"/>
  <c r="CY832" i="3"/>
  <c r="CZ832" i="3"/>
  <c r="DB832" i="3" s="1"/>
  <c r="DA832" i="3"/>
  <c r="DC832" i="3"/>
  <c r="A833" i="3"/>
  <c r="CY833" i="3"/>
  <c r="CZ833" i="3"/>
  <c r="DB833" i="3" s="1"/>
  <c r="DA833" i="3"/>
  <c r="DC833" i="3"/>
  <c r="A834" i="3"/>
  <c r="CY834" i="3"/>
  <c r="CZ834" i="3"/>
  <c r="DB834" i="3" s="1"/>
  <c r="DA834" i="3"/>
  <c r="DC834" i="3"/>
  <c r="A835" i="3"/>
  <c r="CY835" i="3"/>
  <c r="CZ835" i="3"/>
  <c r="DA835" i="3"/>
  <c r="DB835" i="3"/>
  <c r="DC835" i="3"/>
  <c r="A836" i="3"/>
  <c r="CY836" i="3"/>
  <c r="CZ836" i="3"/>
  <c r="DA836" i="3"/>
  <c r="DB836" i="3"/>
  <c r="DC836" i="3"/>
  <c r="A837" i="3"/>
  <c r="CY837" i="3"/>
  <c r="CZ837" i="3"/>
  <c r="DB837" i="3" s="1"/>
  <c r="DA837" i="3"/>
  <c r="DC837" i="3"/>
  <c r="A838" i="3"/>
  <c r="CY838" i="3"/>
  <c r="CZ838" i="3"/>
  <c r="DA838" i="3"/>
  <c r="DB838" i="3"/>
  <c r="DC838" i="3"/>
  <c r="A839" i="3"/>
  <c r="CY839" i="3"/>
  <c r="CZ839" i="3"/>
  <c r="DA839" i="3"/>
  <c r="DB839" i="3"/>
  <c r="DC839" i="3"/>
  <c r="A840" i="3"/>
  <c r="CY840" i="3"/>
  <c r="CZ840" i="3"/>
  <c r="DB840" i="3" s="1"/>
  <c r="DA840" i="3"/>
  <c r="DC840" i="3"/>
  <c r="A841" i="3"/>
  <c r="CY841" i="3"/>
  <c r="CZ841" i="3"/>
  <c r="DB841" i="3" s="1"/>
  <c r="DA841" i="3"/>
  <c r="DC841" i="3"/>
  <c r="A842" i="3"/>
  <c r="CY842" i="3"/>
  <c r="CZ842" i="3"/>
  <c r="DB842" i="3" s="1"/>
  <c r="DA842" i="3"/>
  <c r="DC842" i="3"/>
  <c r="A843" i="3"/>
  <c r="CY843" i="3"/>
  <c r="CZ843" i="3"/>
  <c r="DA843" i="3"/>
  <c r="DB843" i="3"/>
  <c r="DC843" i="3"/>
  <c r="A844" i="3"/>
  <c r="CY844" i="3"/>
  <c r="CZ844" i="3"/>
  <c r="DA844" i="3"/>
  <c r="DB844" i="3"/>
  <c r="DC844" i="3"/>
  <c r="A845" i="3"/>
  <c r="CY845" i="3"/>
  <c r="CZ845" i="3"/>
  <c r="DB845" i="3" s="1"/>
  <c r="DA845" i="3"/>
  <c r="DC845" i="3"/>
  <c r="A846" i="3"/>
  <c r="CY846" i="3"/>
  <c r="CZ846" i="3"/>
  <c r="DA846" i="3"/>
  <c r="DB846" i="3"/>
  <c r="DC846" i="3"/>
  <c r="A847" i="3"/>
  <c r="CY847" i="3"/>
  <c r="CZ847" i="3"/>
  <c r="DA847" i="3"/>
  <c r="DB847" i="3"/>
  <c r="DC847" i="3"/>
  <c r="A848" i="3"/>
  <c r="CY848" i="3"/>
  <c r="CZ848" i="3"/>
  <c r="DB848" i="3" s="1"/>
  <c r="DA848" i="3"/>
  <c r="DC848" i="3"/>
  <c r="A849" i="3"/>
  <c r="CY849" i="3"/>
  <c r="CZ849" i="3"/>
  <c r="DB849" i="3" s="1"/>
  <c r="DA849" i="3"/>
  <c r="DC849" i="3"/>
  <c r="A850" i="3"/>
  <c r="CY850" i="3"/>
  <c r="CZ850" i="3"/>
  <c r="DB850" i="3" s="1"/>
  <c r="DA850" i="3"/>
  <c r="DC850" i="3"/>
  <c r="A851" i="3"/>
  <c r="CY851" i="3"/>
  <c r="CZ851" i="3"/>
  <c r="DA851" i="3"/>
  <c r="DB851" i="3"/>
  <c r="DC851" i="3"/>
  <c r="A852" i="3"/>
  <c r="CY852" i="3"/>
  <c r="CZ852" i="3"/>
  <c r="DA852" i="3"/>
  <c r="DB852" i="3"/>
  <c r="DC852" i="3"/>
  <c r="A853" i="3"/>
  <c r="CY853" i="3"/>
  <c r="CZ853" i="3"/>
  <c r="DB853" i="3" s="1"/>
  <c r="DA853" i="3"/>
  <c r="DC853" i="3"/>
  <c r="A854" i="3"/>
  <c r="CY854" i="3"/>
  <c r="CZ854" i="3"/>
  <c r="DA854" i="3"/>
  <c r="DB854" i="3"/>
  <c r="DC854" i="3"/>
  <c r="A855" i="3"/>
  <c r="CY855" i="3"/>
  <c r="CZ855" i="3"/>
  <c r="DA855" i="3"/>
  <c r="DB855" i="3"/>
  <c r="DC855" i="3"/>
  <c r="A856" i="3"/>
  <c r="CY856" i="3"/>
  <c r="CZ856" i="3"/>
  <c r="DB856" i="3" s="1"/>
  <c r="DA856" i="3"/>
  <c r="DC856" i="3"/>
  <c r="A857" i="3"/>
  <c r="CY857" i="3"/>
  <c r="CZ857" i="3"/>
  <c r="DB857" i="3" s="1"/>
  <c r="DA857" i="3"/>
  <c r="DC857" i="3"/>
  <c r="A858" i="3"/>
  <c r="CY858" i="3"/>
  <c r="CZ858" i="3"/>
  <c r="DB858" i="3" s="1"/>
  <c r="DA858" i="3"/>
  <c r="DC858" i="3"/>
  <c r="A859" i="3"/>
  <c r="CY859" i="3"/>
  <c r="CZ859" i="3"/>
  <c r="DA859" i="3"/>
  <c r="DB859" i="3"/>
  <c r="DC859" i="3"/>
  <c r="A860" i="3"/>
  <c r="CY860" i="3"/>
  <c r="CZ860" i="3"/>
  <c r="DA860" i="3"/>
  <c r="DB860" i="3"/>
  <c r="DC860" i="3"/>
  <c r="A861" i="3"/>
  <c r="CY861" i="3"/>
  <c r="CZ861" i="3"/>
  <c r="DB861" i="3" s="1"/>
  <c r="DA861" i="3"/>
  <c r="DC861" i="3"/>
  <c r="A862" i="3"/>
  <c r="CY862" i="3"/>
  <c r="CZ862" i="3"/>
  <c r="DA862" i="3"/>
  <c r="DB862" i="3"/>
  <c r="DC862" i="3"/>
  <c r="A863" i="3"/>
  <c r="CY863" i="3"/>
  <c r="CZ863" i="3"/>
  <c r="DA863" i="3"/>
  <c r="DB863" i="3"/>
  <c r="DC863" i="3"/>
  <c r="A864" i="3"/>
  <c r="CY864" i="3"/>
  <c r="CZ864" i="3"/>
  <c r="DB864" i="3" s="1"/>
  <c r="DA864" i="3"/>
  <c r="DC864" i="3"/>
  <c r="A865" i="3"/>
  <c r="CY865" i="3"/>
  <c r="CZ865" i="3"/>
  <c r="DB865" i="3" s="1"/>
  <c r="DA865" i="3"/>
  <c r="DC865" i="3"/>
  <c r="A866" i="3"/>
  <c r="CY866" i="3"/>
  <c r="CZ866" i="3"/>
  <c r="DB866" i="3" s="1"/>
  <c r="DA866" i="3"/>
  <c r="DC866" i="3"/>
  <c r="A867" i="3"/>
  <c r="CY867" i="3"/>
  <c r="CZ867" i="3"/>
  <c r="DA867" i="3"/>
  <c r="DB867" i="3"/>
  <c r="DC867" i="3"/>
  <c r="A868" i="3"/>
  <c r="CY868" i="3"/>
  <c r="CZ868" i="3"/>
  <c r="DA868" i="3"/>
  <c r="DB868" i="3"/>
  <c r="DC868" i="3"/>
  <c r="A869" i="3"/>
  <c r="CY869" i="3"/>
  <c r="CZ869" i="3"/>
  <c r="DB869" i="3" s="1"/>
  <c r="DA869" i="3"/>
  <c r="DC869" i="3"/>
  <c r="A870" i="3"/>
  <c r="CY870" i="3"/>
  <c r="CZ870" i="3"/>
  <c r="DA870" i="3"/>
  <c r="DB870" i="3"/>
  <c r="DC870" i="3"/>
  <c r="A871" i="3"/>
  <c r="CY871" i="3"/>
  <c r="CZ871" i="3"/>
  <c r="DA871" i="3"/>
  <c r="DB871" i="3"/>
  <c r="DC871" i="3"/>
  <c r="A872" i="3"/>
  <c r="CY872" i="3"/>
  <c r="CZ872" i="3"/>
  <c r="DB872" i="3" s="1"/>
  <c r="DA872" i="3"/>
  <c r="DC872" i="3"/>
  <c r="A873" i="3"/>
  <c r="CY873" i="3"/>
  <c r="CZ873" i="3"/>
  <c r="DB873" i="3" s="1"/>
  <c r="DA873" i="3"/>
  <c r="DC873" i="3"/>
  <c r="A874" i="3"/>
  <c r="CY874" i="3"/>
  <c r="CZ874" i="3"/>
  <c r="DA874" i="3"/>
  <c r="DB874" i="3"/>
  <c r="DC874" i="3"/>
  <c r="A875" i="3"/>
  <c r="CY875" i="3"/>
  <c r="CZ875" i="3"/>
  <c r="DA875" i="3"/>
  <c r="DB875" i="3"/>
  <c r="DC875" i="3"/>
  <c r="A876" i="3"/>
  <c r="CY876" i="3"/>
  <c r="CZ876" i="3"/>
  <c r="DB876" i="3" s="1"/>
  <c r="DA876" i="3"/>
  <c r="DC876" i="3"/>
  <c r="A877" i="3"/>
  <c r="CY877" i="3"/>
  <c r="CZ877" i="3"/>
  <c r="DB877" i="3" s="1"/>
  <c r="DA877" i="3"/>
  <c r="DC877" i="3"/>
  <c r="A878" i="3"/>
  <c r="CY878" i="3"/>
  <c r="CZ878" i="3"/>
  <c r="DA878" i="3"/>
  <c r="DB878" i="3"/>
  <c r="DC878" i="3"/>
  <c r="A879" i="3"/>
  <c r="CY879" i="3"/>
  <c r="CZ879" i="3"/>
  <c r="DA879" i="3"/>
  <c r="DB879" i="3"/>
  <c r="DC879" i="3"/>
  <c r="A880" i="3"/>
  <c r="CY880" i="3"/>
  <c r="CZ880" i="3"/>
  <c r="DB880" i="3" s="1"/>
  <c r="DA880" i="3"/>
  <c r="DC880" i="3"/>
  <c r="A881" i="3"/>
  <c r="CY881" i="3"/>
  <c r="CZ881" i="3"/>
  <c r="DB881" i="3" s="1"/>
  <c r="DA881" i="3"/>
  <c r="DC881" i="3"/>
  <c r="A882" i="3"/>
  <c r="CY882" i="3"/>
  <c r="CZ882" i="3"/>
  <c r="DA882" i="3"/>
  <c r="DB882" i="3"/>
  <c r="DC882" i="3"/>
  <c r="A883" i="3"/>
  <c r="CY883" i="3"/>
  <c r="CZ883" i="3"/>
  <c r="DA883" i="3"/>
  <c r="DB883" i="3"/>
  <c r="DC883" i="3"/>
  <c r="A884" i="3"/>
  <c r="CY884" i="3"/>
  <c r="CZ884" i="3"/>
  <c r="DB884" i="3" s="1"/>
  <c r="DA884" i="3"/>
  <c r="DC884" i="3"/>
  <c r="A885" i="3"/>
  <c r="CY885" i="3"/>
  <c r="CZ885" i="3"/>
  <c r="DB885" i="3" s="1"/>
  <c r="DA885" i="3"/>
  <c r="DC885" i="3"/>
  <c r="A886" i="3"/>
  <c r="CY886" i="3"/>
  <c r="CZ886" i="3"/>
  <c r="DA886" i="3"/>
  <c r="DB886" i="3"/>
  <c r="DC886" i="3"/>
  <c r="A887" i="3"/>
  <c r="CY887" i="3"/>
  <c r="CZ887" i="3"/>
  <c r="DA887" i="3"/>
  <c r="DB887" i="3"/>
  <c r="DC887" i="3"/>
  <c r="A888" i="3"/>
  <c r="CY888" i="3"/>
  <c r="CZ888" i="3"/>
  <c r="DB888" i="3" s="1"/>
  <c r="DA888" i="3"/>
  <c r="DC888" i="3"/>
  <c r="A889" i="3"/>
  <c r="CX889" i="3"/>
  <c r="CY889" i="3"/>
  <c r="CZ889" i="3"/>
  <c r="DB889" i="3" s="1"/>
  <c r="DA889" i="3"/>
  <c r="DC889" i="3"/>
  <c r="A890" i="3"/>
  <c r="CX890" i="3"/>
  <c r="CY890" i="3"/>
  <c r="CZ890" i="3"/>
  <c r="DA890" i="3"/>
  <c r="DB890" i="3"/>
  <c r="DC890" i="3"/>
  <c r="A891" i="3"/>
  <c r="CX891" i="3"/>
  <c r="CY891" i="3"/>
  <c r="CZ891" i="3"/>
  <c r="DA891" i="3"/>
  <c r="DB891" i="3"/>
  <c r="DC891" i="3"/>
  <c r="A892" i="3"/>
  <c r="CX892" i="3"/>
  <c r="CY892" i="3"/>
  <c r="CZ892" i="3"/>
  <c r="DB892" i="3" s="1"/>
  <c r="DA892" i="3"/>
  <c r="DC892" i="3"/>
  <c r="A893" i="3"/>
  <c r="CX893" i="3"/>
  <c r="CY893" i="3"/>
  <c r="CZ893" i="3"/>
  <c r="DB893" i="3" s="1"/>
  <c r="DA893" i="3"/>
  <c r="DC893" i="3"/>
  <c r="A894" i="3"/>
  <c r="CX894" i="3"/>
  <c r="CY894" i="3"/>
  <c r="CZ894" i="3"/>
  <c r="DA894" i="3"/>
  <c r="DB894" i="3"/>
  <c r="DC894" i="3"/>
  <c r="A895" i="3"/>
  <c r="CX895" i="3"/>
  <c r="CY895" i="3"/>
  <c r="CZ895" i="3"/>
  <c r="DA895" i="3"/>
  <c r="DB895" i="3"/>
  <c r="DC895" i="3"/>
  <c r="A896" i="3"/>
  <c r="CX896" i="3"/>
  <c r="CY896" i="3"/>
  <c r="CZ896" i="3"/>
  <c r="DB896" i="3" s="1"/>
  <c r="DA896" i="3"/>
  <c r="DC896" i="3"/>
  <c r="A897" i="3"/>
  <c r="CX897" i="3"/>
  <c r="CY897" i="3"/>
  <c r="CZ897" i="3"/>
  <c r="DB897" i="3" s="1"/>
  <c r="DA897" i="3"/>
  <c r="DC897" i="3"/>
  <c r="A898" i="3"/>
  <c r="CY898" i="3"/>
  <c r="CZ898" i="3"/>
  <c r="DA898" i="3"/>
  <c r="DB898" i="3"/>
  <c r="DC898" i="3"/>
  <c r="A899" i="3"/>
  <c r="CY899" i="3"/>
  <c r="CZ899" i="3"/>
  <c r="DA899" i="3"/>
  <c r="DB899" i="3"/>
  <c r="DC899" i="3"/>
  <c r="A900" i="3"/>
  <c r="CY900" i="3"/>
  <c r="CZ900" i="3"/>
  <c r="DB900" i="3" s="1"/>
  <c r="DA900" i="3"/>
  <c r="DC900" i="3"/>
  <c r="A901" i="3"/>
  <c r="CY901" i="3"/>
  <c r="CZ901" i="3"/>
  <c r="DB901" i="3" s="1"/>
  <c r="DA901" i="3"/>
  <c r="DC901" i="3"/>
  <c r="A902" i="3"/>
  <c r="CY902" i="3"/>
  <c r="CZ902" i="3"/>
  <c r="DA902" i="3"/>
  <c r="DB902" i="3"/>
  <c r="DC902" i="3"/>
  <c r="A903" i="3"/>
  <c r="CY903" i="3"/>
  <c r="CZ903" i="3"/>
  <c r="DA903" i="3"/>
  <c r="DB903" i="3"/>
  <c r="DC903" i="3"/>
  <c r="A904" i="3"/>
  <c r="CY904" i="3"/>
  <c r="CZ904" i="3"/>
  <c r="DB904" i="3" s="1"/>
  <c r="DA904" i="3"/>
  <c r="DC904" i="3"/>
  <c r="A905" i="3"/>
  <c r="CY905" i="3"/>
  <c r="CZ905" i="3"/>
  <c r="DB905" i="3" s="1"/>
  <c r="DA905" i="3"/>
  <c r="DC905" i="3"/>
  <c r="A906" i="3"/>
  <c r="CY906" i="3"/>
  <c r="CZ906" i="3"/>
  <c r="DA906" i="3"/>
  <c r="DB906" i="3"/>
  <c r="DC906" i="3"/>
  <c r="A907" i="3"/>
  <c r="CY907" i="3"/>
  <c r="CZ907" i="3"/>
  <c r="DA907" i="3"/>
  <c r="DB907" i="3"/>
  <c r="DC907" i="3"/>
  <c r="A908" i="3"/>
  <c r="CY908" i="3"/>
  <c r="CZ908" i="3"/>
  <c r="DB908" i="3" s="1"/>
  <c r="DA908" i="3"/>
  <c r="DC908" i="3"/>
  <c r="A909" i="3"/>
  <c r="CY909" i="3"/>
  <c r="CZ909" i="3"/>
  <c r="DB909" i="3" s="1"/>
  <c r="DA909" i="3"/>
  <c r="DC909" i="3"/>
  <c r="A910" i="3"/>
  <c r="CY910" i="3"/>
  <c r="CZ910" i="3"/>
  <c r="DA910" i="3"/>
  <c r="DB910" i="3"/>
  <c r="DC910" i="3"/>
  <c r="A911" i="3"/>
  <c r="CY911" i="3"/>
  <c r="CZ911" i="3"/>
  <c r="DA911" i="3"/>
  <c r="DB911" i="3"/>
  <c r="DC911" i="3"/>
  <c r="A912" i="3"/>
  <c r="CY912" i="3"/>
  <c r="CZ912" i="3"/>
  <c r="DB912" i="3" s="1"/>
  <c r="DA912" i="3"/>
  <c r="DC912" i="3"/>
  <c r="A913" i="3"/>
  <c r="CY913" i="3"/>
  <c r="CZ913" i="3"/>
  <c r="DB913" i="3" s="1"/>
  <c r="DA913" i="3"/>
  <c r="DC913" i="3"/>
  <c r="A914" i="3"/>
  <c r="CY914" i="3"/>
  <c r="CZ914" i="3"/>
  <c r="DA914" i="3"/>
  <c r="DB914" i="3"/>
  <c r="DC914" i="3"/>
  <c r="A915" i="3"/>
  <c r="CY915" i="3"/>
  <c r="CZ915" i="3"/>
  <c r="DA915" i="3"/>
  <c r="DB915" i="3"/>
  <c r="DC915" i="3"/>
  <c r="A916" i="3"/>
  <c r="CY916" i="3"/>
  <c r="CZ916" i="3"/>
  <c r="DB916" i="3" s="1"/>
  <c r="DA916" i="3"/>
  <c r="DC916" i="3"/>
  <c r="A917" i="3"/>
  <c r="CY917" i="3"/>
  <c r="CZ917" i="3"/>
  <c r="DB917" i="3" s="1"/>
  <c r="DA917" i="3"/>
  <c r="DC917" i="3"/>
  <c r="A918" i="3"/>
  <c r="CY918" i="3"/>
  <c r="CZ918" i="3"/>
  <c r="DA918" i="3"/>
  <c r="DB918" i="3"/>
  <c r="DC918" i="3"/>
  <c r="A919" i="3"/>
  <c r="CY919" i="3"/>
  <c r="CZ919" i="3"/>
  <c r="DA919" i="3"/>
  <c r="DB919" i="3"/>
  <c r="DC919" i="3"/>
  <c r="A920" i="3"/>
  <c r="CY920" i="3"/>
  <c r="CZ920" i="3"/>
  <c r="DB920" i="3" s="1"/>
  <c r="DA920" i="3"/>
  <c r="DC920" i="3"/>
  <c r="A921" i="3"/>
  <c r="CY921" i="3"/>
  <c r="CZ921" i="3"/>
  <c r="DB921" i="3" s="1"/>
  <c r="DA921" i="3"/>
  <c r="DC921" i="3"/>
  <c r="A922" i="3"/>
  <c r="CY922" i="3"/>
  <c r="CZ922" i="3"/>
  <c r="DA922" i="3"/>
  <c r="DB922" i="3"/>
  <c r="DC922" i="3"/>
  <c r="A923" i="3"/>
  <c r="CY923" i="3"/>
  <c r="CZ923" i="3"/>
  <c r="DA923" i="3"/>
  <c r="DB923" i="3"/>
  <c r="DC923" i="3"/>
  <c r="A924" i="3"/>
  <c r="CY924" i="3"/>
  <c r="CZ924" i="3"/>
  <c r="DB924" i="3" s="1"/>
  <c r="DA924" i="3"/>
  <c r="DC924" i="3"/>
  <c r="A925" i="3"/>
  <c r="CY925" i="3"/>
  <c r="CZ925" i="3"/>
  <c r="DB925" i="3" s="1"/>
  <c r="DA925" i="3"/>
  <c r="DC925" i="3"/>
  <c r="A926" i="3"/>
  <c r="CY926" i="3"/>
  <c r="CZ926" i="3"/>
  <c r="DA926" i="3"/>
  <c r="DB926" i="3"/>
  <c r="DC926" i="3"/>
  <c r="A927" i="3"/>
  <c r="CY927" i="3"/>
  <c r="CZ927" i="3"/>
  <c r="DA927" i="3"/>
  <c r="DB927" i="3"/>
  <c r="DC927" i="3"/>
  <c r="A928" i="3"/>
  <c r="CY928" i="3"/>
  <c r="CZ928" i="3"/>
  <c r="DB928" i="3" s="1"/>
  <c r="DA928" i="3"/>
  <c r="DC928" i="3"/>
  <c r="A929" i="3"/>
  <c r="CY929" i="3"/>
  <c r="CZ929" i="3"/>
  <c r="DB929" i="3" s="1"/>
  <c r="DA929" i="3"/>
  <c r="DC929" i="3"/>
  <c r="A930" i="3"/>
  <c r="CY930" i="3"/>
  <c r="CZ930" i="3"/>
  <c r="DA930" i="3"/>
  <c r="DB930" i="3"/>
  <c r="DC930" i="3"/>
  <c r="A931" i="3"/>
  <c r="CY931" i="3"/>
  <c r="CZ931" i="3"/>
  <c r="DA931" i="3"/>
  <c r="DB931" i="3"/>
  <c r="DC931" i="3"/>
  <c r="A932" i="3"/>
  <c r="CY932" i="3"/>
  <c r="CZ932" i="3"/>
  <c r="DB932" i="3" s="1"/>
  <c r="DA932" i="3"/>
  <c r="DC932" i="3"/>
  <c r="A933" i="3"/>
  <c r="CY933" i="3"/>
  <c r="CZ933" i="3"/>
  <c r="DB933" i="3" s="1"/>
  <c r="DA933" i="3"/>
  <c r="DC933" i="3"/>
  <c r="A934" i="3"/>
  <c r="CY934" i="3"/>
  <c r="CZ934" i="3"/>
  <c r="DA934" i="3"/>
  <c r="DB934" i="3"/>
  <c r="DC934" i="3"/>
  <c r="A935" i="3"/>
  <c r="CY935" i="3"/>
  <c r="CZ935" i="3"/>
  <c r="DA935" i="3"/>
  <c r="DB935" i="3"/>
  <c r="DC935" i="3"/>
  <c r="A936" i="3"/>
  <c r="CY936" i="3"/>
  <c r="CZ936" i="3"/>
  <c r="DB936" i="3" s="1"/>
  <c r="DA936" i="3"/>
  <c r="DC936" i="3"/>
  <c r="A937" i="3"/>
  <c r="CY937" i="3"/>
  <c r="CZ937" i="3"/>
  <c r="DB937" i="3" s="1"/>
  <c r="DA937" i="3"/>
  <c r="DC937" i="3"/>
  <c r="A938" i="3"/>
  <c r="CY938" i="3"/>
  <c r="CZ938" i="3"/>
  <c r="DA938" i="3"/>
  <c r="DB938" i="3"/>
  <c r="DC938" i="3"/>
  <c r="A939" i="3"/>
  <c r="CY939" i="3"/>
  <c r="CZ939" i="3"/>
  <c r="DA939" i="3"/>
  <c r="DB939" i="3"/>
  <c r="DC939" i="3"/>
  <c r="A940" i="3"/>
  <c r="CY940" i="3"/>
  <c r="CZ940" i="3"/>
  <c r="DB940" i="3" s="1"/>
  <c r="DA940" i="3"/>
  <c r="DC940" i="3"/>
  <c r="A941" i="3"/>
  <c r="CY941" i="3"/>
  <c r="CZ941" i="3"/>
  <c r="DB941" i="3" s="1"/>
  <c r="DA941" i="3"/>
  <c r="DC941" i="3"/>
  <c r="A942" i="3"/>
  <c r="CY942" i="3"/>
  <c r="CZ942" i="3"/>
  <c r="DA942" i="3"/>
  <c r="DB942" i="3"/>
  <c r="DC942" i="3"/>
  <c r="A943" i="3"/>
  <c r="CY943" i="3"/>
  <c r="CZ943" i="3"/>
  <c r="DA943" i="3"/>
  <c r="DB943" i="3"/>
  <c r="DC943" i="3"/>
  <c r="A944" i="3"/>
  <c r="CY944" i="3"/>
  <c r="CZ944" i="3"/>
  <c r="DB944" i="3" s="1"/>
  <c r="DA944" i="3"/>
  <c r="DC944" i="3"/>
  <c r="A945" i="3"/>
  <c r="CY945" i="3"/>
  <c r="CZ945" i="3"/>
  <c r="DB945" i="3" s="1"/>
  <c r="DA945" i="3"/>
  <c r="DC945" i="3"/>
  <c r="A946" i="3"/>
  <c r="CY946" i="3"/>
  <c r="CZ946" i="3"/>
  <c r="DA946" i="3"/>
  <c r="DB946" i="3"/>
  <c r="DC946" i="3"/>
  <c r="A947" i="3"/>
  <c r="CY947" i="3"/>
  <c r="CZ947" i="3"/>
  <c r="DA947" i="3"/>
  <c r="DB947" i="3"/>
  <c r="DC947" i="3"/>
  <c r="A948" i="3"/>
  <c r="CY948" i="3"/>
  <c r="CZ948" i="3"/>
  <c r="DB948" i="3" s="1"/>
  <c r="DA948" i="3"/>
  <c r="DC948" i="3"/>
  <c r="A949" i="3"/>
  <c r="CY949" i="3"/>
  <c r="CZ949" i="3"/>
  <c r="DB949" i="3" s="1"/>
  <c r="DA949" i="3"/>
  <c r="DC949" i="3"/>
  <c r="A950" i="3"/>
  <c r="CY950" i="3"/>
  <c r="CZ950" i="3"/>
  <c r="DA950" i="3"/>
  <c r="DB950" i="3"/>
  <c r="DC950" i="3"/>
  <c r="A951" i="3"/>
  <c r="CY951" i="3"/>
  <c r="CZ951" i="3"/>
  <c r="DB951" i="3" s="1"/>
  <c r="DA951" i="3"/>
  <c r="DC951" i="3"/>
  <c r="A952" i="3"/>
  <c r="CY952" i="3"/>
  <c r="CZ952" i="3"/>
  <c r="DB952" i="3" s="1"/>
  <c r="DA952" i="3"/>
  <c r="DC952" i="3"/>
  <c r="A953" i="3"/>
  <c r="CY953" i="3"/>
  <c r="CZ953" i="3"/>
  <c r="DB953" i="3" s="1"/>
  <c r="DA953" i="3"/>
  <c r="DC953" i="3"/>
  <c r="A954" i="3"/>
  <c r="CY954" i="3"/>
  <c r="CZ954" i="3"/>
  <c r="DA954" i="3"/>
  <c r="DB954" i="3"/>
  <c r="DC954" i="3"/>
  <c r="A955" i="3"/>
  <c r="CY955" i="3"/>
  <c r="CZ955" i="3"/>
  <c r="DA955" i="3"/>
  <c r="DB955" i="3"/>
  <c r="DC955" i="3"/>
  <c r="A956" i="3"/>
  <c r="CY956" i="3"/>
  <c r="CZ956" i="3"/>
  <c r="DB956" i="3" s="1"/>
  <c r="DA956" i="3"/>
  <c r="DC956" i="3"/>
  <c r="A957" i="3"/>
  <c r="CY957" i="3"/>
  <c r="CZ957" i="3"/>
  <c r="DA957" i="3"/>
  <c r="DB957" i="3"/>
  <c r="DC957" i="3"/>
  <c r="A958" i="3"/>
  <c r="CY958" i="3"/>
  <c r="CZ958" i="3"/>
  <c r="DA958" i="3"/>
  <c r="DB958" i="3"/>
  <c r="DC958" i="3"/>
  <c r="A959" i="3"/>
  <c r="CY959" i="3"/>
  <c r="CZ959" i="3"/>
  <c r="DA959" i="3"/>
  <c r="DB959" i="3"/>
  <c r="DC959" i="3"/>
  <c r="A960" i="3"/>
  <c r="CY960" i="3"/>
  <c r="CZ960" i="3"/>
  <c r="DB960" i="3" s="1"/>
  <c r="DA960" i="3"/>
  <c r="DC960" i="3"/>
  <c r="A961" i="3"/>
  <c r="CY961" i="3"/>
  <c r="CZ961" i="3"/>
  <c r="DA961" i="3"/>
  <c r="DB961" i="3"/>
  <c r="DC961" i="3"/>
  <c r="A962" i="3"/>
  <c r="CY962" i="3"/>
  <c r="CZ962" i="3"/>
  <c r="DA962" i="3"/>
  <c r="DB962" i="3"/>
  <c r="DC962" i="3"/>
  <c r="A963" i="3"/>
  <c r="CY963" i="3"/>
  <c r="CZ963" i="3"/>
  <c r="DB963" i="3" s="1"/>
  <c r="DA963" i="3"/>
  <c r="DC963" i="3"/>
  <c r="A964" i="3"/>
  <c r="CY964" i="3"/>
  <c r="CZ964" i="3"/>
  <c r="DB964" i="3" s="1"/>
  <c r="DA964" i="3"/>
  <c r="DC964" i="3"/>
  <c r="A965" i="3"/>
  <c r="CY965" i="3"/>
  <c r="CZ965" i="3"/>
  <c r="DB965" i="3" s="1"/>
  <c r="DA965" i="3"/>
  <c r="DC965" i="3"/>
  <c r="A966" i="3"/>
  <c r="CY966" i="3"/>
  <c r="CZ966" i="3"/>
  <c r="DA966" i="3"/>
  <c r="DB966" i="3"/>
  <c r="DC966" i="3"/>
  <c r="A967" i="3"/>
  <c r="CY967" i="3"/>
  <c r="CZ967" i="3"/>
  <c r="DB967" i="3" s="1"/>
  <c r="DA967" i="3"/>
  <c r="DC967" i="3"/>
  <c r="A968" i="3"/>
  <c r="CY968" i="3"/>
  <c r="CZ968" i="3"/>
  <c r="DB968" i="3" s="1"/>
  <c r="DA968" i="3"/>
  <c r="DC968" i="3"/>
  <c r="A969" i="3"/>
  <c r="CY969" i="3"/>
  <c r="CZ969" i="3"/>
  <c r="DB969" i="3" s="1"/>
  <c r="DA969" i="3"/>
  <c r="DC969" i="3"/>
  <c r="A970" i="3"/>
  <c r="CY970" i="3"/>
  <c r="CZ970" i="3"/>
  <c r="DA970" i="3"/>
  <c r="DB970" i="3"/>
  <c r="DC970" i="3"/>
  <c r="A971" i="3"/>
  <c r="CY971" i="3"/>
  <c r="CZ971" i="3"/>
  <c r="DA971" i="3"/>
  <c r="DB971" i="3"/>
  <c r="DC971" i="3"/>
  <c r="A972" i="3"/>
  <c r="CY972" i="3"/>
  <c r="CZ972" i="3"/>
  <c r="DB972" i="3" s="1"/>
  <c r="DA972" i="3"/>
  <c r="DC972" i="3"/>
  <c r="A973" i="3"/>
  <c r="CY973" i="3"/>
  <c r="CZ973" i="3"/>
  <c r="DA973" i="3"/>
  <c r="DB973" i="3"/>
  <c r="DC973" i="3"/>
  <c r="A974" i="3"/>
  <c r="CY974" i="3"/>
  <c r="CZ974" i="3"/>
  <c r="DA974" i="3"/>
  <c r="DB974" i="3"/>
  <c r="DC974" i="3"/>
  <c r="A975" i="3"/>
  <c r="CY975" i="3"/>
  <c r="CZ975" i="3"/>
  <c r="DA975" i="3"/>
  <c r="DB975" i="3"/>
  <c r="DC975" i="3"/>
  <c r="A976" i="3"/>
  <c r="CY976" i="3"/>
  <c r="CZ976" i="3"/>
  <c r="DB976" i="3" s="1"/>
  <c r="DA976" i="3"/>
  <c r="DC976" i="3"/>
  <c r="A977" i="3"/>
  <c r="CY977" i="3"/>
  <c r="CZ977" i="3"/>
  <c r="DA977" i="3"/>
  <c r="DB977" i="3"/>
  <c r="DC977" i="3"/>
  <c r="A978" i="3"/>
  <c r="CY978" i="3"/>
  <c r="CZ978" i="3"/>
  <c r="DA978" i="3"/>
  <c r="DB978" i="3"/>
  <c r="DC978" i="3"/>
  <c r="A979" i="3"/>
  <c r="CY979" i="3"/>
  <c r="CZ979" i="3"/>
  <c r="DB979" i="3" s="1"/>
  <c r="DA979" i="3"/>
  <c r="DC979" i="3"/>
  <c r="A980" i="3"/>
  <c r="CY980" i="3"/>
  <c r="CZ980" i="3"/>
  <c r="DB980" i="3" s="1"/>
  <c r="DA980" i="3"/>
  <c r="DC980" i="3"/>
  <c r="A981" i="3"/>
  <c r="CY981" i="3"/>
  <c r="CZ981" i="3"/>
  <c r="DB981" i="3" s="1"/>
  <c r="DA981" i="3"/>
  <c r="DC981" i="3"/>
  <c r="A982" i="3"/>
  <c r="CY982" i="3"/>
  <c r="CZ982" i="3"/>
  <c r="DA982" i="3"/>
  <c r="DB982" i="3"/>
  <c r="DC982" i="3"/>
  <c r="A983" i="3"/>
  <c r="CY983" i="3"/>
  <c r="CZ983" i="3"/>
  <c r="DB983" i="3" s="1"/>
  <c r="DA983" i="3"/>
  <c r="DC983" i="3"/>
  <c r="A984" i="3"/>
  <c r="CY984" i="3"/>
  <c r="CZ984" i="3"/>
  <c r="DB984" i="3" s="1"/>
  <c r="DA984" i="3"/>
  <c r="DC984" i="3"/>
  <c r="A985" i="3"/>
  <c r="CY985" i="3"/>
  <c r="CZ985" i="3"/>
  <c r="DB985" i="3" s="1"/>
  <c r="DA985" i="3"/>
  <c r="DC985" i="3"/>
  <c r="A986" i="3"/>
  <c r="CY986" i="3"/>
  <c r="CZ986" i="3"/>
  <c r="DA986" i="3"/>
  <c r="DB986" i="3"/>
  <c r="DC986" i="3"/>
  <c r="A987" i="3"/>
  <c r="CY987" i="3"/>
  <c r="CZ987" i="3"/>
  <c r="DA987" i="3"/>
  <c r="DB987" i="3"/>
  <c r="DC987" i="3"/>
  <c r="A988" i="3"/>
  <c r="CY988" i="3"/>
  <c r="CZ988" i="3"/>
  <c r="DB988" i="3" s="1"/>
  <c r="DA988" i="3"/>
  <c r="DC988" i="3"/>
  <c r="A989" i="3"/>
  <c r="CY989" i="3"/>
  <c r="CZ989" i="3"/>
  <c r="DA989" i="3"/>
  <c r="DB989" i="3"/>
  <c r="DC989" i="3"/>
  <c r="A990" i="3"/>
  <c r="CY990" i="3"/>
  <c r="CZ990" i="3"/>
  <c r="DA990" i="3"/>
  <c r="DB990" i="3"/>
  <c r="DC990" i="3"/>
  <c r="A991" i="3"/>
  <c r="CY991" i="3"/>
  <c r="CZ991" i="3"/>
  <c r="DB991" i="3" s="1"/>
  <c r="DA991" i="3"/>
  <c r="DC991" i="3"/>
  <c r="A992" i="3"/>
  <c r="CY992" i="3"/>
  <c r="CZ992" i="3"/>
  <c r="DB992" i="3" s="1"/>
  <c r="DA992" i="3"/>
  <c r="DC992" i="3"/>
  <c r="A993" i="3"/>
  <c r="CY993" i="3"/>
  <c r="CZ993" i="3"/>
  <c r="DB993" i="3" s="1"/>
  <c r="DA993" i="3"/>
  <c r="DC993" i="3"/>
  <c r="A994" i="3"/>
  <c r="CY994" i="3"/>
  <c r="CZ994" i="3"/>
  <c r="DA994" i="3"/>
  <c r="DB994" i="3"/>
  <c r="DC994" i="3"/>
  <c r="A995" i="3"/>
  <c r="CY995" i="3"/>
  <c r="CZ995" i="3"/>
  <c r="DA995" i="3"/>
  <c r="DB995" i="3"/>
  <c r="DC995" i="3"/>
  <c r="A996" i="3"/>
  <c r="CY996" i="3"/>
  <c r="CZ996" i="3"/>
  <c r="DB996" i="3" s="1"/>
  <c r="DA996" i="3"/>
  <c r="DC996" i="3"/>
  <c r="A997" i="3"/>
  <c r="CY997" i="3"/>
  <c r="CZ997" i="3"/>
  <c r="DA997" i="3"/>
  <c r="DB997" i="3"/>
  <c r="DC997" i="3"/>
  <c r="A998" i="3"/>
  <c r="CY998" i="3"/>
  <c r="CZ998" i="3"/>
  <c r="DA998" i="3"/>
  <c r="DB998" i="3"/>
  <c r="DC998" i="3"/>
  <c r="A999" i="3"/>
  <c r="CY999" i="3"/>
  <c r="CZ999" i="3"/>
  <c r="DB999" i="3" s="1"/>
  <c r="DA999" i="3"/>
  <c r="DC999" i="3"/>
  <c r="A1000" i="3"/>
  <c r="CY1000" i="3"/>
  <c r="CZ1000" i="3"/>
  <c r="DB1000" i="3" s="1"/>
  <c r="DA1000" i="3"/>
  <c r="DC1000" i="3"/>
  <c r="A1001" i="3"/>
  <c r="CY1001" i="3"/>
  <c r="CZ1001" i="3"/>
  <c r="DB1001" i="3" s="1"/>
  <c r="DA1001" i="3"/>
  <c r="DC1001" i="3"/>
  <c r="A1002" i="3"/>
  <c r="CY1002" i="3"/>
  <c r="CZ1002" i="3"/>
  <c r="DA1002" i="3"/>
  <c r="DB1002" i="3"/>
  <c r="DC1002" i="3"/>
  <c r="A1003" i="3"/>
  <c r="CY1003" i="3"/>
  <c r="CZ1003" i="3"/>
  <c r="DA1003" i="3"/>
  <c r="DB1003" i="3"/>
  <c r="DC1003" i="3"/>
  <c r="A1004" i="3"/>
  <c r="CY1004" i="3"/>
  <c r="CZ1004" i="3"/>
  <c r="DB1004" i="3" s="1"/>
  <c r="DA1004" i="3"/>
  <c r="DC1004" i="3"/>
  <c r="A1005" i="3"/>
  <c r="CY1005" i="3"/>
  <c r="CZ1005" i="3"/>
  <c r="DA1005" i="3"/>
  <c r="DB1005" i="3"/>
  <c r="DC1005" i="3"/>
  <c r="A1006" i="3"/>
  <c r="CY1006" i="3"/>
  <c r="CZ1006" i="3"/>
  <c r="DA1006" i="3"/>
  <c r="DB1006" i="3"/>
  <c r="DC1006" i="3"/>
  <c r="A1007" i="3"/>
  <c r="CY1007" i="3"/>
  <c r="CZ1007" i="3"/>
  <c r="DB1007" i="3" s="1"/>
  <c r="DA1007" i="3"/>
  <c r="DC1007" i="3"/>
  <c r="A1008" i="3"/>
  <c r="CY1008" i="3"/>
  <c r="CZ1008" i="3"/>
  <c r="DB1008" i="3" s="1"/>
  <c r="DA1008" i="3"/>
  <c r="DC1008" i="3"/>
  <c r="A1009" i="3"/>
  <c r="CY1009" i="3"/>
  <c r="CZ1009" i="3"/>
  <c r="DB1009" i="3" s="1"/>
  <c r="DA1009" i="3"/>
  <c r="DC1009" i="3"/>
  <c r="A1010" i="3"/>
  <c r="CY1010" i="3"/>
  <c r="CZ1010" i="3"/>
  <c r="DA1010" i="3"/>
  <c r="DB1010" i="3"/>
  <c r="DC1010" i="3"/>
  <c r="A1011" i="3"/>
  <c r="CY1011" i="3"/>
  <c r="CZ1011" i="3"/>
  <c r="DA1011" i="3"/>
  <c r="DB1011" i="3"/>
  <c r="DC1011" i="3"/>
  <c r="A1012" i="3"/>
  <c r="CY1012" i="3"/>
  <c r="CZ1012" i="3"/>
  <c r="DB1012" i="3" s="1"/>
  <c r="DA1012" i="3"/>
  <c r="DC1012" i="3"/>
  <c r="A1013" i="3"/>
  <c r="CY1013" i="3"/>
  <c r="CZ1013" i="3"/>
  <c r="DA1013" i="3"/>
  <c r="DB1013" i="3"/>
  <c r="DC1013" i="3"/>
  <c r="A1014" i="3"/>
  <c r="CY1014" i="3"/>
  <c r="CZ1014" i="3"/>
  <c r="DA1014" i="3"/>
  <c r="DB1014" i="3"/>
  <c r="DC1014" i="3"/>
  <c r="A1015" i="3"/>
  <c r="CY1015" i="3"/>
  <c r="CZ1015" i="3"/>
  <c r="DB1015" i="3" s="1"/>
  <c r="DA1015" i="3"/>
  <c r="DC1015" i="3"/>
  <c r="A1016" i="3"/>
  <c r="CY1016" i="3"/>
  <c r="CZ1016" i="3"/>
  <c r="DB1016" i="3" s="1"/>
  <c r="DA1016" i="3"/>
  <c r="DC1016" i="3"/>
  <c r="A1017" i="3"/>
  <c r="CY1017" i="3"/>
  <c r="CZ1017" i="3"/>
  <c r="DB1017" i="3" s="1"/>
  <c r="DA1017" i="3"/>
  <c r="DC1017" i="3"/>
  <c r="A1018" i="3"/>
  <c r="CY1018" i="3"/>
  <c r="CZ1018" i="3"/>
  <c r="DA1018" i="3"/>
  <c r="DB1018" i="3"/>
  <c r="DC1018" i="3"/>
  <c r="A1019" i="3"/>
  <c r="CY1019" i="3"/>
  <c r="CZ1019" i="3"/>
  <c r="DA1019" i="3"/>
  <c r="DB1019" i="3"/>
  <c r="DC1019" i="3"/>
  <c r="A1020" i="3"/>
  <c r="CY1020" i="3"/>
  <c r="CZ1020" i="3"/>
  <c r="DB1020" i="3" s="1"/>
  <c r="DA1020" i="3"/>
  <c r="DC1020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I32" i="1"/>
  <c r="AC32" i="1"/>
  <c r="CQ32" i="1" s="1"/>
  <c r="AE32" i="1"/>
  <c r="AD32" i="1" s="1"/>
  <c r="CR32" i="1" s="1"/>
  <c r="Q32" i="1" s="1"/>
  <c r="AF32" i="1"/>
  <c r="AG32" i="1"/>
  <c r="CU32" i="1" s="1"/>
  <c r="AH32" i="1"/>
  <c r="AI32" i="1"/>
  <c r="CW32" i="1" s="1"/>
  <c r="V32" i="1" s="1"/>
  <c r="AJ32" i="1"/>
  <c r="CS32" i="1"/>
  <c r="R32" i="1" s="1"/>
  <c r="GK32" i="1" s="1"/>
  <c r="CT32" i="1"/>
  <c r="S32" i="1" s="1"/>
  <c r="CV32" i="1"/>
  <c r="U32" i="1" s="1"/>
  <c r="CX32" i="1"/>
  <c r="W32" i="1" s="1"/>
  <c r="FR32" i="1"/>
  <c r="GL32" i="1"/>
  <c r="GO32" i="1"/>
  <c r="GP32" i="1"/>
  <c r="GV32" i="1"/>
  <c r="GX32" i="1" s="1"/>
  <c r="I33" i="1"/>
  <c r="P33" i="1"/>
  <c r="U33" i="1"/>
  <c r="AC33" i="1"/>
  <c r="AE33" i="1"/>
  <c r="AD33" i="1" s="1"/>
  <c r="AF33" i="1"/>
  <c r="CT33" i="1" s="1"/>
  <c r="S33" i="1" s="1"/>
  <c r="AG33" i="1"/>
  <c r="CU33" i="1" s="1"/>
  <c r="T33" i="1" s="1"/>
  <c r="AH33" i="1"/>
  <c r="AI33" i="1"/>
  <c r="AJ33" i="1"/>
  <c r="CX33" i="1" s="1"/>
  <c r="W33" i="1" s="1"/>
  <c r="CQ33" i="1"/>
  <c r="CS33" i="1"/>
  <c r="R33" i="1" s="1"/>
  <c r="GK33" i="1" s="1"/>
  <c r="CV33" i="1"/>
  <c r="CW33" i="1"/>
  <c r="V33" i="1" s="1"/>
  <c r="FR33" i="1"/>
  <c r="GL33" i="1"/>
  <c r="GO33" i="1"/>
  <c r="GP33" i="1"/>
  <c r="GV33" i="1"/>
  <c r="GX33" i="1"/>
  <c r="I34" i="1"/>
  <c r="AC34" i="1"/>
  <c r="AE34" i="1"/>
  <c r="AD34" i="1" s="1"/>
  <c r="AF34" i="1"/>
  <c r="CT34" i="1" s="1"/>
  <c r="S34" i="1" s="1"/>
  <c r="AG34" i="1"/>
  <c r="AH34" i="1"/>
  <c r="AI34" i="1"/>
  <c r="CW34" i="1" s="1"/>
  <c r="V34" i="1" s="1"/>
  <c r="AJ34" i="1"/>
  <c r="CX34" i="1" s="1"/>
  <c r="W34" i="1" s="1"/>
  <c r="CQ34" i="1"/>
  <c r="P34" i="1" s="1"/>
  <c r="CU34" i="1"/>
  <c r="T34" i="1" s="1"/>
  <c r="CV34" i="1"/>
  <c r="U34" i="1" s="1"/>
  <c r="FR34" i="1"/>
  <c r="GL34" i="1"/>
  <c r="GO34" i="1"/>
  <c r="GP34" i="1"/>
  <c r="GV34" i="1"/>
  <c r="GX34" i="1" s="1"/>
  <c r="I35" i="1"/>
  <c r="AC35" i="1"/>
  <c r="AE35" i="1"/>
  <c r="AD35" i="1" s="1"/>
  <c r="CR35" i="1" s="1"/>
  <c r="Q35" i="1" s="1"/>
  <c r="AF35" i="1"/>
  <c r="AG35" i="1"/>
  <c r="AH35" i="1"/>
  <c r="AI35" i="1"/>
  <c r="CW35" i="1" s="1"/>
  <c r="V35" i="1" s="1"/>
  <c r="AJ35" i="1"/>
  <c r="CQ35" i="1"/>
  <c r="P35" i="1" s="1"/>
  <c r="CT35" i="1"/>
  <c r="S35" i="1" s="1"/>
  <c r="CU35" i="1"/>
  <c r="T35" i="1" s="1"/>
  <c r="CV35" i="1"/>
  <c r="U35" i="1" s="1"/>
  <c r="CX35" i="1"/>
  <c r="W35" i="1" s="1"/>
  <c r="FR35" i="1"/>
  <c r="GL35" i="1"/>
  <c r="GO35" i="1"/>
  <c r="GP35" i="1"/>
  <c r="GV35" i="1"/>
  <c r="GX35" i="1" s="1"/>
  <c r="C36" i="1"/>
  <c r="D36" i="1"/>
  <c r="I36" i="1"/>
  <c r="AC36" i="1"/>
  <c r="AE36" i="1"/>
  <c r="AD36" i="1" s="1"/>
  <c r="AF36" i="1"/>
  <c r="CT36" i="1" s="1"/>
  <c r="S36" i="1" s="1"/>
  <c r="AG36" i="1"/>
  <c r="AH36" i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V36" i="1"/>
  <c r="U36" i="1" s="1"/>
  <c r="CW36" i="1"/>
  <c r="V36" i="1" s="1"/>
  <c r="FR36" i="1"/>
  <c r="GL36" i="1"/>
  <c r="GO36" i="1"/>
  <c r="GP36" i="1"/>
  <c r="GV36" i="1"/>
  <c r="GX36" i="1"/>
  <c r="C37" i="1"/>
  <c r="D37" i="1"/>
  <c r="AC37" i="1"/>
  <c r="AB37" i="1" s="1"/>
  <c r="AD37" i="1"/>
  <c r="CR37" i="1" s="1"/>
  <c r="Q37" i="1" s="1"/>
  <c r="AE37" i="1"/>
  <c r="AF37" i="1"/>
  <c r="AG37" i="1"/>
  <c r="AH37" i="1"/>
  <c r="CV37" i="1" s="1"/>
  <c r="U37" i="1" s="1"/>
  <c r="AI37" i="1"/>
  <c r="AJ37" i="1"/>
  <c r="CQ37" i="1"/>
  <c r="P37" i="1" s="1"/>
  <c r="CS37" i="1"/>
  <c r="R37" i="1" s="1"/>
  <c r="GK37" i="1" s="1"/>
  <c r="CT37" i="1"/>
  <c r="S37" i="1" s="1"/>
  <c r="CU37" i="1"/>
  <c r="T37" i="1" s="1"/>
  <c r="CW37" i="1"/>
  <c r="V37" i="1" s="1"/>
  <c r="CX37" i="1"/>
  <c r="W37" i="1" s="1"/>
  <c r="FR37" i="1"/>
  <c r="GL37" i="1"/>
  <c r="GO37" i="1"/>
  <c r="GP37" i="1"/>
  <c r="GV37" i="1"/>
  <c r="GX37" i="1"/>
  <c r="C38" i="1"/>
  <c r="D38" i="1"/>
  <c r="I38" i="1"/>
  <c r="AC38" i="1"/>
  <c r="AB38" i="1" s="1"/>
  <c r="AE38" i="1"/>
  <c r="AD38" i="1" s="1"/>
  <c r="CR38" i="1" s="1"/>
  <c r="Q38" i="1" s="1"/>
  <c r="AF38" i="1"/>
  <c r="AG38" i="1"/>
  <c r="AH38" i="1"/>
  <c r="AI38" i="1"/>
  <c r="CW38" i="1" s="1"/>
  <c r="V38" i="1" s="1"/>
  <c r="AJ38" i="1"/>
  <c r="CQ38" i="1"/>
  <c r="P38" i="1" s="1"/>
  <c r="CP38" i="1" s="1"/>
  <c r="O38" i="1" s="1"/>
  <c r="CT38" i="1"/>
  <c r="S38" i="1" s="1"/>
  <c r="CU38" i="1"/>
  <c r="T38" i="1" s="1"/>
  <c r="CV38" i="1"/>
  <c r="U38" i="1" s="1"/>
  <c r="CX38" i="1"/>
  <c r="W38" i="1" s="1"/>
  <c r="FR38" i="1"/>
  <c r="GL38" i="1"/>
  <c r="GO38" i="1"/>
  <c r="GP38" i="1"/>
  <c r="GV38" i="1"/>
  <c r="GX38" i="1" s="1"/>
  <c r="I39" i="1"/>
  <c r="AC39" i="1"/>
  <c r="AB39" i="1" s="1"/>
  <c r="AD39" i="1"/>
  <c r="CR39" i="1" s="1"/>
  <c r="Q39" i="1" s="1"/>
  <c r="AE39" i="1"/>
  <c r="AF39" i="1"/>
  <c r="AG39" i="1"/>
  <c r="AH39" i="1"/>
  <c r="CV39" i="1" s="1"/>
  <c r="U39" i="1" s="1"/>
  <c r="AI39" i="1"/>
  <c r="AJ39" i="1"/>
  <c r="CQ39" i="1"/>
  <c r="P39" i="1" s="1"/>
  <c r="CS39" i="1"/>
  <c r="R39" i="1" s="1"/>
  <c r="GK39" i="1" s="1"/>
  <c r="CT39" i="1"/>
  <c r="S39" i="1" s="1"/>
  <c r="CU39" i="1"/>
  <c r="T39" i="1" s="1"/>
  <c r="CW39" i="1"/>
  <c r="V39" i="1" s="1"/>
  <c r="CX39" i="1"/>
  <c r="W39" i="1" s="1"/>
  <c r="FR39" i="1"/>
  <c r="GL39" i="1"/>
  <c r="GO39" i="1"/>
  <c r="GP39" i="1"/>
  <c r="GV39" i="1"/>
  <c r="GX39" i="1"/>
  <c r="I40" i="1"/>
  <c r="AC40" i="1"/>
  <c r="AB40" i="1" s="1"/>
  <c r="AE40" i="1"/>
  <c r="AD40" i="1" s="1"/>
  <c r="CR40" i="1" s="1"/>
  <c r="Q40" i="1" s="1"/>
  <c r="AF40" i="1"/>
  <c r="AG40" i="1"/>
  <c r="CU40" i="1" s="1"/>
  <c r="T40" i="1" s="1"/>
  <c r="AH40" i="1"/>
  <c r="AI40" i="1"/>
  <c r="AJ40" i="1"/>
  <c r="CS40" i="1"/>
  <c r="R40" i="1" s="1"/>
  <c r="GK40" i="1" s="1"/>
  <c r="CT40" i="1"/>
  <c r="S40" i="1" s="1"/>
  <c r="CV40" i="1"/>
  <c r="U40" i="1" s="1"/>
  <c r="CW40" i="1"/>
  <c r="V40" i="1" s="1"/>
  <c r="CX40" i="1"/>
  <c r="W40" i="1" s="1"/>
  <c r="FR40" i="1"/>
  <c r="GL40" i="1"/>
  <c r="GO40" i="1"/>
  <c r="GP40" i="1"/>
  <c r="GV40" i="1"/>
  <c r="GX40" i="1"/>
  <c r="C41" i="1"/>
  <c r="D41" i="1"/>
  <c r="I41" i="1"/>
  <c r="AC41" i="1"/>
  <c r="AB41" i="1" s="1"/>
  <c r="AD41" i="1"/>
  <c r="CR41" i="1" s="1"/>
  <c r="Q41" i="1" s="1"/>
  <c r="AE41" i="1"/>
  <c r="AF41" i="1"/>
  <c r="AG41" i="1"/>
  <c r="AH41" i="1"/>
  <c r="CV41" i="1" s="1"/>
  <c r="U41" i="1" s="1"/>
  <c r="AI41" i="1"/>
  <c r="AJ41" i="1"/>
  <c r="CQ41" i="1"/>
  <c r="P41" i="1" s="1"/>
  <c r="CS41" i="1"/>
  <c r="R41" i="1" s="1"/>
  <c r="GK41" i="1" s="1"/>
  <c r="CT41" i="1"/>
  <c r="S41" i="1" s="1"/>
  <c r="CU41" i="1"/>
  <c r="T41" i="1" s="1"/>
  <c r="CW41" i="1"/>
  <c r="V41" i="1" s="1"/>
  <c r="CX41" i="1"/>
  <c r="W41" i="1" s="1"/>
  <c r="FR41" i="1"/>
  <c r="GL41" i="1"/>
  <c r="GN41" i="1"/>
  <c r="GP41" i="1"/>
  <c r="GV41" i="1"/>
  <c r="GX41" i="1"/>
  <c r="C42" i="1"/>
  <c r="D42" i="1"/>
  <c r="I42" i="1"/>
  <c r="CX27" i="3" s="1"/>
  <c r="AC42" i="1"/>
  <c r="AB42" i="1" s="1"/>
  <c r="AE42" i="1"/>
  <c r="AD42" i="1" s="1"/>
  <c r="CR42" i="1" s="1"/>
  <c r="Q42" i="1" s="1"/>
  <c r="AF42" i="1"/>
  <c r="AG42" i="1"/>
  <c r="AH42" i="1"/>
  <c r="AI42" i="1"/>
  <c r="CW42" i="1" s="1"/>
  <c r="V42" i="1" s="1"/>
  <c r="AJ42" i="1"/>
  <c r="CQ42" i="1"/>
  <c r="P42" i="1" s="1"/>
  <c r="CT42" i="1"/>
  <c r="S42" i="1" s="1"/>
  <c r="CU42" i="1"/>
  <c r="T42" i="1" s="1"/>
  <c r="CV42" i="1"/>
  <c r="U42" i="1" s="1"/>
  <c r="CX42" i="1"/>
  <c r="W42" i="1" s="1"/>
  <c r="FR42" i="1"/>
  <c r="GL42" i="1"/>
  <c r="GO42" i="1"/>
  <c r="GP42" i="1"/>
  <c r="GV42" i="1"/>
  <c r="GX42" i="1" s="1"/>
  <c r="C43" i="1"/>
  <c r="D43" i="1"/>
  <c r="I43" i="1"/>
  <c r="I44" i="1" s="1"/>
  <c r="AC43" i="1"/>
  <c r="AE43" i="1"/>
  <c r="AD43" i="1" s="1"/>
  <c r="AF43" i="1"/>
  <c r="CT43" i="1" s="1"/>
  <c r="S43" i="1" s="1"/>
  <c r="AG43" i="1"/>
  <c r="AH43" i="1"/>
  <c r="AI43" i="1"/>
  <c r="AJ43" i="1"/>
  <c r="CX43" i="1" s="1"/>
  <c r="W43" i="1" s="1"/>
  <c r="CQ43" i="1"/>
  <c r="P43" i="1" s="1"/>
  <c r="CS43" i="1"/>
  <c r="R43" i="1" s="1"/>
  <c r="GK43" i="1" s="1"/>
  <c r="CU43" i="1"/>
  <c r="T43" i="1" s="1"/>
  <c r="CV43" i="1"/>
  <c r="U43" i="1" s="1"/>
  <c r="CW43" i="1"/>
  <c r="V43" i="1" s="1"/>
  <c r="FR43" i="1"/>
  <c r="GL43" i="1"/>
  <c r="GO43" i="1"/>
  <c r="GP43" i="1"/>
  <c r="GV43" i="1"/>
  <c r="GX43" i="1"/>
  <c r="AC44" i="1"/>
  <c r="AE44" i="1"/>
  <c r="AD44" i="1" s="1"/>
  <c r="CR44" i="1" s="1"/>
  <c r="Q44" i="1" s="1"/>
  <c r="AF44" i="1"/>
  <c r="AG44" i="1"/>
  <c r="AH44" i="1"/>
  <c r="AI44" i="1"/>
  <c r="CW44" i="1" s="1"/>
  <c r="V44" i="1" s="1"/>
  <c r="AJ44" i="1"/>
  <c r="CQ44" i="1"/>
  <c r="CT44" i="1"/>
  <c r="CU44" i="1"/>
  <c r="T44" i="1" s="1"/>
  <c r="CV44" i="1"/>
  <c r="U44" i="1" s="1"/>
  <c r="CX44" i="1"/>
  <c r="FR44" i="1"/>
  <c r="GL44" i="1"/>
  <c r="GO44" i="1"/>
  <c r="GP44" i="1"/>
  <c r="GV44" i="1"/>
  <c r="C45" i="1"/>
  <c r="D45" i="1"/>
  <c r="I45" i="1"/>
  <c r="CX32" i="3" s="1"/>
  <c r="AC45" i="1"/>
  <c r="AE45" i="1"/>
  <c r="AD45" i="1" s="1"/>
  <c r="AF45" i="1"/>
  <c r="CT45" i="1" s="1"/>
  <c r="S45" i="1" s="1"/>
  <c r="AG45" i="1"/>
  <c r="AH45" i="1"/>
  <c r="AI45" i="1"/>
  <c r="AJ45" i="1"/>
  <c r="CX45" i="1" s="1"/>
  <c r="W45" i="1" s="1"/>
  <c r="CQ45" i="1"/>
  <c r="P45" i="1" s="1"/>
  <c r="CS45" i="1"/>
  <c r="R45" i="1" s="1"/>
  <c r="GK45" i="1" s="1"/>
  <c r="CU45" i="1"/>
  <c r="T45" i="1" s="1"/>
  <c r="CV45" i="1"/>
  <c r="U45" i="1" s="1"/>
  <c r="CW45" i="1"/>
  <c r="V45" i="1" s="1"/>
  <c r="FR45" i="1"/>
  <c r="GL45" i="1"/>
  <c r="GO45" i="1"/>
  <c r="GP45" i="1"/>
  <c r="GV45" i="1"/>
  <c r="GX45" i="1"/>
  <c r="C46" i="1"/>
  <c r="D46" i="1"/>
  <c r="I46" i="1"/>
  <c r="AC46" i="1"/>
  <c r="AE46" i="1"/>
  <c r="AD46" i="1" s="1"/>
  <c r="CR46" i="1" s="1"/>
  <c r="Q46" i="1" s="1"/>
  <c r="AF46" i="1"/>
  <c r="AG46" i="1"/>
  <c r="CU46" i="1" s="1"/>
  <c r="T46" i="1" s="1"/>
  <c r="AH46" i="1"/>
  <c r="AI46" i="1"/>
  <c r="AJ46" i="1"/>
  <c r="CS46" i="1"/>
  <c r="R46" i="1" s="1"/>
  <c r="GK46" i="1" s="1"/>
  <c r="CT46" i="1"/>
  <c r="S46" i="1" s="1"/>
  <c r="CV46" i="1"/>
  <c r="U46" i="1" s="1"/>
  <c r="CW46" i="1"/>
  <c r="V46" i="1" s="1"/>
  <c r="CX46" i="1"/>
  <c r="W46" i="1" s="1"/>
  <c r="FR46" i="1"/>
  <c r="GL46" i="1"/>
  <c r="GO46" i="1"/>
  <c r="GP46" i="1"/>
  <c r="GV46" i="1"/>
  <c r="GX46" i="1"/>
  <c r="C47" i="1"/>
  <c r="D47" i="1"/>
  <c r="I47" i="1"/>
  <c r="AC47" i="1"/>
  <c r="AB47" i="1" s="1"/>
  <c r="AD47" i="1"/>
  <c r="CR47" i="1" s="1"/>
  <c r="Q47" i="1" s="1"/>
  <c r="AE47" i="1"/>
  <c r="AF47" i="1"/>
  <c r="AG47" i="1"/>
  <c r="AH47" i="1"/>
  <c r="CV47" i="1" s="1"/>
  <c r="U47" i="1" s="1"/>
  <c r="AI47" i="1"/>
  <c r="AJ47" i="1"/>
  <c r="CQ47" i="1"/>
  <c r="P47" i="1" s="1"/>
  <c r="CP47" i="1" s="1"/>
  <c r="O47" i="1" s="1"/>
  <c r="CS47" i="1"/>
  <c r="R47" i="1" s="1"/>
  <c r="GK47" i="1" s="1"/>
  <c r="CT47" i="1"/>
  <c r="S47" i="1" s="1"/>
  <c r="CU47" i="1"/>
  <c r="T47" i="1" s="1"/>
  <c r="CW47" i="1"/>
  <c r="V47" i="1" s="1"/>
  <c r="CX47" i="1"/>
  <c r="W47" i="1" s="1"/>
  <c r="FR47" i="1"/>
  <c r="GL47" i="1"/>
  <c r="GO47" i="1"/>
  <c r="GP47" i="1"/>
  <c r="GV47" i="1"/>
  <c r="GX47" i="1"/>
  <c r="C48" i="1"/>
  <c r="D48" i="1"/>
  <c r="AC48" i="1"/>
  <c r="AE48" i="1"/>
  <c r="AD48" i="1" s="1"/>
  <c r="AF48" i="1"/>
  <c r="CT48" i="1" s="1"/>
  <c r="S48" i="1" s="1"/>
  <c r="AG48" i="1"/>
  <c r="AH48" i="1"/>
  <c r="AI48" i="1"/>
  <c r="AJ48" i="1"/>
  <c r="CX48" i="1" s="1"/>
  <c r="W48" i="1" s="1"/>
  <c r="CQ48" i="1"/>
  <c r="P48" i="1" s="1"/>
  <c r="CS48" i="1"/>
  <c r="R48" i="1" s="1"/>
  <c r="GK48" i="1" s="1"/>
  <c r="CU48" i="1"/>
  <c r="T48" i="1" s="1"/>
  <c r="CV48" i="1"/>
  <c r="U48" i="1" s="1"/>
  <c r="CW48" i="1"/>
  <c r="V48" i="1" s="1"/>
  <c r="FR48" i="1"/>
  <c r="GL48" i="1"/>
  <c r="GO48" i="1"/>
  <c r="GP48" i="1"/>
  <c r="GV48" i="1"/>
  <c r="GX48" i="1"/>
  <c r="C49" i="1"/>
  <c r="D49" i="1"/>
  <c r="I49" i="1"/>
  <c r="CX59" i="3" s="1"/>
  <c r="AC49" i="1"/>
  <c r="AE49" i="1"/>
  <c r="AD49" i="1" s="1"/>
  <c r="CR49" i="1" s="1"/>
  <c r="Q49" i="1" s="1"/>
  <c r="AF49" i="1"/>
  <c r="AG49" i="1"/>
  <c r="CU49" i="1" s="1"/>
  <c r="T49" i="1" s="1"/>
  <c r="AH49" i="1"/>
  <c r="AI49" i="1"/>
  <c r="AJ49" i="1"/>
  <c r="CS49" i="1"/>
  <c r="R49" i="1" s="1"/>
  <c r="GK49" i="1" s="1"/>
  <c r="CT49" i="1"/>
  <c r="S49" i="1" s="1"/>
  <c r="CV49" i="1"/>
  <c r="U49" i="1" s="1"/>
  <c r="CW49" i="1"/>
  <c r="V49" i="1" s="1"/>
  <c r="CX49" i="1"/>
  <c r="W49" i="1" s="1"/>
  <c r="FR49" i="1"/>
  <c r="GL49" i="1"/>
  <c r="GO49" i="1"/>
  <c r="GP49" i="1"/>
  <c r="GV49" i="1"/>
  <c r="GX49" i="1"/>
  <c r="B51" i="1"/>
  <c r="B30" i="1" s="1"/>
  <c r="C51" i="1"/>
  <c r="C30" i="1" s="1"/>
  <c r="D51" i="1"/>
  <c r="D30" i="1" s="1"/>
  <c r="F51" i="1"/>
  <c r="F30" i="1" s="1"/>
  <c r="G51" i="1"/>
  <c r="G30" i="1" s="1"/>
  <c r="V51" i="1"/>
  <c r="AI51" i="1"/>
  <c r="AI30" i="1" s="1"/>
  <c r="AO51" i="1"/>
  <c r="AO30" i="1" s="1"/>
  <c r="BX51" i="1"/>
  <c r="BX30" i="1" s="1"/>
  <c r="BY51" i="1"/>
  <c r="BZ51" i="1"/>
  <c r="CD51" i="1"/>
  <c r="CG51" i="1"/>
  <c r="CG30" i="1" s="1"/>
  <c r="CK51" i="1"/>
  <c r="CK30" i="1" s="1"/>
  <c r="CL51" i="1"/>
  <c r="F55" i="1"/>
  <c r="D80" i="1"/>
  <c r="E82" i="1"/>
  <c r="Z82" i="1"/>
  <c r="AA82" i="1"/>
  <c r="AM82" i="1"/>
  <c r="AN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S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L82" i="1"/>
  <c r="GM82" i="1"/>
  <c r="GN82" i="1"/>
  <c r="GO82" i="1"/>
  <c r="GP82" i="1"/>
  <c r="GQ82" i="1"/>
  <c r="GR82" i="1"/>
  <c r="GS82" i="1"/>
  <c r="GT82" i="1"/>
  <c r="GU82" i="1"/>
  <c r="GV82" i="1"/>
  <c r="GW82" i="1"/>
  <c r="GX82" i="1"/>
  <c r="C84" i="1"/>
  <c r="D84" i="1"/>
  <c r="I84" i="1"/>
  <c r="T84" i="1"/>
  <c r="AC84" i="1"/>
  <c r="AD84" i="1"/>
  <c r="AB84" i="1" s="1"/>
  <c r="AE84" i="1"/>
  <c r="AF84" i="1"/>
  <c r="CT84" i="1" s="1"/>
  <c r="AG84" i="1"/>
  <c r="AH84" i="1"/>
  <c r="CV84" i="1" s="1"/>
  <c r="U84" i="1" s="1"/>
  <c r="AI84" i="1"/>
  <c r="AJ84" i="1"/>
  <c r="CX84" i="1" s="1"/>
  <c r="CQ84" i="1"/>
  <c r="P84" i="1" s="1"/>
  <c r="CR84" i="1"/>
  <c r="Q84" i="1" s="1"/>
  <c r="CS84" i="1"/>
  <c r="R84" i="1" s="1"/>
  <c r="GK84" i="1" s="1"/>
  <c r="CU84" i="1"/>
  <c r="CW84" i="1"/>
  <c r="V84" i="1" s="1"/>
  <c r="FR84" i="1"/>
  <c r="GL84" i="1"/>
  <c r="GO84" i="1"/>
  <c r="GP84" i="1"/>
  <c r="GV84" i="1"/>
  <c r="GX84" i="1" s="1"/>
  <c r="AC85" i="1"/>
  <c r="AB85" i="1" s="1"/>
  <c r="AD85" i="1"/>
  <c r="CR85" i="1" s="1"/>
  <c r="AE85" i="1"/>
  <c r="CS85" i="1" s="1"/>
  <c r="AF85" i="1"/>
  <c r="AG85" i="1"/>
  <c r="AH85" i="1"/>
  <c r="AI85" i="1"/>
  <c r="CW85" i="1" s="1"/>
  <c r="AJ85" i="1"/>
  <c r="CT85" i="1"/>
  <c r="CU85" i="1"/>
  <c r="CV85" i="1"/>
  <c r="CX85" i="1"/>
  <c r="FR85" i="1"/>
  <c r="GL85" i="1"/>
  <c r="GO85" i="1"/>
  <c r="GP85" i="1"/>
  <c r="GV85" i="1"/>
  <c r="I86" i="1"/>
  <c r="T86" i="1" s="1"/>
  <c r="S86" i="1"/>
  <c r="AC86" i="1"/>
  <c r="AD86" i="1"/>
  <c r="CR86" i="1" s="1"/>
  <c r="AE86" i="1"/>
  <c r="AF86" i="1"/>
  <c r="AB86" i="1" s="1"/>
  <c r="AG86" i="1"/>
  <c r="AH86" i="1"/>
  <c r="CV86" i="1" s="1"/>
  <c r="AI86" i="1"/>
  <c r="AJ86" i="1"/>
  <c r="CQ86" i="1"/>
  <c r="P86" i="1" s="1"/>
  <c r="CS86" i="1"/>
  <c r="R86" i="1" s="1"/>
  <c r="GK86" i="1" s="1"/>
  <c r="CT86" i="1"/>
  <c r="CU86" i="1"/>
  <c r="CW86" i="1"/>
  <c r="V86" i="1" s="1"/>
  <c r="CX86" i="1"/>
  <c r="W86" i="1" s="1"/>
  <c r="FR86" i="1"/>
  <c r="GL86" i="1"/>
  <c r="GO86" i="1"/>
  <c r="GP86" i="1"/>
  <c r="GV86" i="1"/>
  <c r="GX86" i="1"/>
  <c r="C87" i="1"/>
  <c r="D87" i="1"/>
  <c r="I87" i="1"/>
  <c r="S87" i="1"/>
  <c r="CY87" i="1" s="1"/>
  <c r="X87" i="1" s="1"/>
  <c r="T87" i="1"/>
  <c r="AC87" i="1"/>
  <c r="AE87" i="1"/>
  <c r="CS87" i="1" s="1"/>
  <c r="R87" i="1" s="1"/>
  <c r="AF87" i="1"/>
  <c r="AG87" i="1"/>
  <c r="AH87" i="1"/>
  <c r="AI87" i="1"/>
  <c r="CW87" i="1" s="1"/>
  <c r="V87" i="1" s="1"/>
  <c r="AJ87" i="1"/>
  <c r="CQ87" i="1"/>
  <c r="P87" i="1" s="1"/>
  <c r="CT87" i="1"/>
  <c r="CU87" i="1"/>
  <c r="CV87" i="1"/>
  <c r="U87" i="1" s="1"/>
  <c r="CX87" i="1"/>
  <c r="W87" i="1" s="1"/>
  <c r="FR87" i="1"/>
  <c r="GK87" i="1"/>
  <c r="GL87" i="1"/>
  <c r="GO87" i="1"/>
  <c r="GP87" i="1"/>
  <c r="GV87" i="1"/>
  <c r="GX87" i="1" s="1"/>
  <c r="I88" i="1"/>
  <c r="R88" i="1"/>
  <c r="V88" i="1"/>
  <c r="AC88" i="1"/>
  <c r="AB88" i="1" s="1"/>
  <c r="AD88" i="1"/>
  <c r="CR88" i="1" s="1"/>
  <c r="Q88" i="1" s="1"/>
  <c r="AE88" i="1"/>
  <c r="AF88" i="1"/>
  <c r="AG88" i="1"/>
  <c r="AH88" i="1"/>
  <c r="CV88" i="1" s="1"/>
  <c r="U88" i="1" s="1"/>
  <c r="AI88" i="1"/>
  <c r="AJ88" i="1"/>
  <c r="CX88" i="1" s="1"/>
  <c r="W88" i="1" s="1"/>
  <c r="CS88" i="1"/>
  <c r="CT88" i="1"/>
  <c r="S88" i="1" s="1"/>
  <c r="CU88" i="1"/>
  <c r="T88" i="1" s="1"/>
  <c r="CW88" i="1"/>
  <c r="FR88" i="1"/>
  <c r="GK88" i="1"/>
  <c r="GL88" i="1"/>
  <c r="GO88" i="1"/>
  <c r="GP88" i="1"/>
  <c r="GV88" i="1"/>
  <c r="GX88" i="1"/>
  <c r="I89" i="1"/>
  <c r="AC89" i="1"/>
  <c r="CQ89" i="1" s="1"/>
  <c r="AE89" i="1"/>
  <c r="AD89" i="1" s="1"/>
  <c r="CR89" i="1" s="1"/>
  <c r="Q89" i="1" s="1"/>
  <c r="AF89" i="1"/>
  <c r="AB89" i="1" s="1"/>
  <c r="AG89" i="1"/>
  <c r="CU89" i="1" s="1"/>
  <c r="AH89" i="1"/>
  <c r="AI89" i="1"/>
  <c r="CW89" i="1" s="1"/>
  <c r="V89" i="1" s="1"/>
  <c r="AJ89" i="1"/>
  <c r="CX89" i="1" s="1"/>
  <c r="W89" i="1" s="1"/>
  <c r="CS89" i="1"/>
  <c r="R89" i="1" s="1"/>
  <c r="GK89" i="1" s="1"/>
  <c r="CT89" i="1"/>
  <c r="S89" i="1" s="1"/>
  <c r="CV89" i="1"/>
  <c r="U89" i="1" s="1"/>
  <c r="FR89" i="1"/>
  <c r="GL89" i="1"/>
  <c r="GO89" i="1"/>
  <c r="GP89" i="1"/>
  <c r="GV89" i="1"/>
  <c r="GX89" i="1" s="1"/>
  <c r="C90" i="1"/>
  <c r="D90" i="1"/>
  <c r="I90" i="1"/>
  <c r="T90" i="1" s="1"/>
  <c r="AC90" i="1"/>
  <c r="AD90" i="1"/>
  <c r="CR90" i="1" s="1"/>
  <c r="AE90" i="1"/>
  <c r="AF90" i="1"/>
  <c r="AB90" i="1" s="1"/>
  <c r="AG90" i="1"/>
  <c r="AH90" i="1"/>
  <c r="CV90" i="1" s="1"/>
  <c r="AI90" i="1"/>
  <c r="AJ90" i="1"/>
  <c r="CQ90" i="1"/>
  <c r="P90" i="1" s="1"/>
  <c r="CS90" i="1"/>
  <c r="R90" i="1" s="1"/>
  <c r="GK90" i="1" s="1"/>
  <c r="CT90" i="1"/>
  <c r="S90" i="1" s="1"/>
  <c r="CU90" i="1"/>
  <c r="CW90" i="1"/>
  <c r="V90" i="1" s="1"/>
  <c r="CX90" i="1"/>
  <c r="W90" i="1" s="1"/>
  <c r="FR90" i="1"/>
  <c r="GL90" i="1"/>
  <c r="GO90" i="1"/>
  <c r="GP90" i="1"/>
  <c r="GV90" i="1"/>
  <c r="GX90" i="1"/>
  <c r="C91" i="1"/>
  <c r="D91" i="1"/>
  <c r="I91" i="1"/>
  <c r="T91" i="1"/>
  <c r="AC91" i="1"/>
  <c r="AE91" i="1"/>
  <c r="CS91" i="1" s="1"/>
  <c r="R91" i="1" s="1"/>
  <c r="AF91" i="1"/>
  <c r="AG91" i="1"/>
  <c r="AH91" i="1"/>
  <c r="AI91" i="1"/>
  <c r="CW91" i="1" s="1"/>
  <c r="V91" i="1" s="1"/>
  <c r="AJ91" i="1"/>
  <c r="CQ91" i="1"/>
  <c r="P91" i="1" s="1"/>
  <c r="CT91" i="1"/>
  <c r="S91" i="1" s="1"/>
  <c r="CU91" i="1"/>
  <c r="CV91" i="1"/>
  <c r="U91" i="1" s="1"/>
  <c r="CX91" i="1"/>
  <c r="W91" i="1" s="1"/>
  <c r="FR91" i="1"/>
  <c r="GK91" i="1"/>
  <c r="GL91" i="1"/>
  <c r="GO91" i="1"/>
  <c r="GP91" i="1"/>
  <c r="GV91" i="1"/>
  <c r="GX91" i="1" s="1"/>
  <c r="I92" i="1"/>
  <c r="R92" i="1"/>
  <c r="AC92" i="1"/>
  <c r="AB92" i="1" s="1"/>
  <c r="AD92" i="1"/>
  <c r="CR92" i="1" s="1"/>
  <c r="Q92" i="1" s="1"/>
  <c r="AE92" i="1"/>
  <c r="AF92" i="1"/>
  <c r="AG92" i="1"/>
  <c r="AH92" i="1"/>
  <c r="CV92" i="1" s="1"/>
  <c r="U92" i="1" s="1"/>
  <c r="AI92" i="1"/>
  <c r="AJ92" i="1"/>
  <c r="CX92" i="1" s="1"/>
  <c r="W92" i="1" s="1"/>
  <c r="CQ92" i="1"/>
  <c r="P92" i="1" s="1"/>
  <c r="CP92" i="1" s="1"/>
  <c r="O92" i="1" s="1"/>
  <c r="CS92" i="1"/>
  <c r="CT92" i="1"/>
  <c r="S92" i="1" s="1"/>
  <c r="CU92" i="1"/>
  <c r="T92" i="1" s="1"/>
  <c r="CW92" i="1"/>
  <c r="V92" i="1" s="1"/>
  <c r="FR92" i="1"/>
  <c r="GK92" i="1"/>
  <c r="GL92" i="1"/>
  <c r="GO92" i="1"/>
  <c r="GP92" i="1"/>
  <c r="GV92" i="1"/>
  <c r="GX92" i="1"/>
  <c r="I93" i="1"/>
  <c r="GX93" i="1" s="1"/>
  <c r="AC93" i="1"/>
  <c r="AB93" i="1" s="1"/>
  <c r="AD93" i="1"/>
  <c r="CR93" i="1" s="1"/>
  <c r="Q93" i="1" s="1"/>
  <c r="AE93" i="1"/>
  <c r="AF93" i="1"/>
  <c r="AG93" i="1"/>
  <c r="AH93" i="1"/>
  <c r="CV93" i="1" s="1"/>
  <c r="U93" i="1" s="1"/>
  <c r="AI93" i="1"/>
  <c r="AJ93" i="1"/>
  <c r="CQ93" i="1"/>
  <c r="P93" i="1" s="1"/>
  <c r="CP93" i="1" s="1"/>
  <c r="O93" i="1" s="1"/>
  <c r="CS93" i="1"/>
  <c r="R93" i="1" s="1"/>
  <c r="GK93" i="1" s="1"/>
  <c r="CT93" i="1"/>
  <c r="S93" i="1" s="1"/>
  <c r="CU93" i="1"/>
  <c r="T93" i="1" s="1"/>
  <c r="CW93" i="1"/>
  <c r="V93" i="1" s="1"/>
  <c r="CX93" i="1"/>
  <c r="W93" i="1" s="1"/>
  <c r="FR93" i="1"/>
  <c r="GL93" i="1"/>
  <c r="GO93" i="1"/>
  <c r="GP93" i="1"/>
  <c r="GV93" i="1"/>
  <c r="C94" i="1"/>
  <c r="D94" i="1"/>
  <c r="I94" i="1"/>
  <c r="AC94" i="1"/>
  <c r="AE94" i="1"/>
  <c r="AD94" i="1" s="1"/>
  <c r="CR94" i="1" s="1"/>
  <c r="Q94" i="1" s="1"/>
  <c r="AF94" i="1"/>
  <c r="AG94" i="1"/>
  <c r="AH94" i="1"/>
  <c r="AI94" i="1"/>
  <c r="CW94" i="1" s="1"/>
  <c r="V94" i="1" s="1"/>
  <c r="AJ94" i="1"/>
  <c r="CQ94" i="1"/>
  <c r="P94" i="1" s="1"/>
  <c r="CT94" i="1"/>
  <c r="S94" i="1" s="1"/>
  <c r="CU94" i="1"/>
  <c r="T94" i="1" s="1"/>
  <c r="CV94" i="1"/>
  <c r="U94" i="1" s="1"/>
  <c r="CX94" i="1"/>
  <c r="W94" i="1" s="1"/>
  <c r="FR94" i="1"/>
  <c r="GL94" i="1"/>
  <c r="GO94" i="1"/>
  <c r="GP94" i="1"/>
  <c r="GV94" i="1"/>
  <c r="GX94" i="1" s="1"/>
  <c r="C95" i="1"/>
  <c r="D95" i="1"/>
  <c r="I95" i="1"/>
  <c r="I96" i="1" s="1"/>
  <c r="AC95" i="1"/>
  <c r="AE95" i="1"/>
  <c r="AD95" i="1" s="1"/>
  <c r="AF95" i="1"/>
  <c r="CT95" i="1" s="1"/>
  <c r="S95" i="1" s="1"/>
  <c r="AG95" i="1"/>
  <c r="AH95" i="1"/>
  <c r="AI95" i="1"/>
  <c r="AJ95" i="1"/>
  <c r="CX95" i="1" s="1"/>
  <c r="W95" i="1" s="1"/>
  <c r="CQ95" i="1"/>
  <c r="P95" i="1" s="1"/>
  <c r="CS95" i="1"/>
  <c r="R95" i="1" s="1"/>
  <c r="GK95" i="1" s="1"/>
  <c r="CU95" i="1"/>
  <c r="T95" i="1" s="1"/>
  <c r="CV95" i="1"/>
  <c r="U95" i="1" s="1"/>
  <c r="CW95" i="1"/>
  <c r="V95" i="1" s="1"/>
  <c r="FR95" i="1"/>
  <c r="GL95" i="1"/>
  <c r="GO95" i="1"/>
  <c r="GP95" i="1"/>
  <c r="GV95" i="1"/>
  <c r="GX95" i="1"/>
  <c r="AC96" i="1"/>
  <c r="AB96" i="1" s="1"/>
  <c r="AE96" i="1"/>
  <c r="AD96" i="1" s="1"/>
  <c r="CR96" i="1" s="1"/>
  <c r="Q96" i="1" s="1"/>
  <c r="AF96" i="1"/>
  <c r="AG96" i="1"/>
  <c r="AH96" i="1"/>
  <c r="AI96" i="1"/>
  <c r="CW96" i="1" s="1"/>
  <c r="V96" i="1" s="1"/>
  <c r="AJ96" i="1"/>
  <c r="CQ96" i="1"/>
  <c r="P96" i="1" s="1"/>
  <c r="CT96" i="1"/>
  <c r="S96" i="1" s="1"/>
  <c r="CU96" i="1"/>
  <c r="T96" i="1" s="1"/>
  <c r="CV96" i="1"/>
  <c r="U96" i="1" s="1"/>
  <c r="CX96" i="1"/>
  <c r="W96" i="1" s="1"/>
  <c r="FR96" i="1"/>
  <c r="GL96" i="1"/>
  <c r="GO96" i="1"/>
  <c r="GP96" i="1"/>
  <c r="GV96" i="1"/>
  <c r="GX96" i="1" s="1"/>
  <c r="AC97" i="1"/>
  <c r="AB97" i="1" s="1"/>
  <c r="AD97" i="1"/>
  <c r="CR97" i="1" s="1"/>
  <c r="AE97" i="1"/>
  <c r="AF97" i="1"/>
  <c r="AG97" i="1"/>
  <c r="AH97" i="1"/>
  <c r="CV97" i="1" s="1"/>
  <c r="AI97" i="1"/>
  <c r="AJ97" i="1"/>
  <c r="CQ97" i="1"/>
  <c r="CS97" i="1"/>
  <c r="CT97" i="1"/>
  <c r="CU97" i="1"/>
  <c r="CW97" i="1"/>
  <c r="CX97" i="1"/>
  <c r="FR97" i="1"/>
  <c r="GL97" i="1"/>
  <c r="GO97" i="1"/>
  <c r="GP97" i="1"/>
  <c r="GV97" i="1"/>
  <c r="C98" i="1"/>
  <c r="D98" i="1"/>
  <c r="AC98" i="1"/>
  <c r="AE98" i="1"/>
  <c r="AD98" i="1" s="1"/>
  <c r="AF98" i="1"/>
  <c r="CT98" i="1" s="1"/>
  <c r="S98" i="1" s="1"/>
  <c r="AG98" i="1"/>
  <c r="AH98" i="1"/>
  <c r="AI98" i="1"/>
  <c r="AJ98" i="1"/>
  <c r="CX98" i="1" s="1"/>
  <c r="W98" i="1" s="1"/>
  <c r="CQ98" i="1"/>
  <c r="P98" i="1" s="1"/>
  <c r="CS98" i="1"/>
  <c r="R98" i="1" s="1"/>
  <c r="GK98" i="1" s="1"/>
  <c r="CU98" i="1"/>
  <c r="T98" i="1" s="1"/>
  <c r="CV98" i="1"/>
  <c r="U98" i="1" s="1"/>
  <c r="CW98" i="1"/>
  <c r="V98" i="1" s="1"/>
  <c r="FR98" i="1"/>
  <c r="GL98" i="1"/>
  <c r="GO98" i="1"/>
  <c r="GP98" i="1"/>
  <c r="GV98" i="1"/>
  <c r="GX98" i="1"/>
  <c r="I99" i="1"/>
  <c r="AC99" i="1"/>
  <c r="AE99" i="1"/>
  <c r="AD99" i="1" s="1"/>
  <c r="CR99" i="1" s="1"/>
  <c r="Q99" i="1" s="1"/>
  <c r="AF99" i="1"/>
  <c r="AG99" i="1"/>
  <c r="AH99" i="1"/>
  <c r="AI99" i="1"/>
  <c r="CW99" i="1" s="1"/>
  <c r="V99" i="1" s="1"/>
  <c r="AJ99" i="1"/>
  <c r="CQ99" i="1"/>
  <c r="P99" i="1" s="1"/>
  <c r="CP99" i="1" s="1"/>
  <c r="O99" i="1" s="1"/>
  <c r="CT99" i="1"/>
  <c r="S99" i="1" s="1"/>
  <c r="CU99" i="1"/>
  <c r="T99" i="1" s="1"/>
  <c r="CV99" i="1"/>
  <c r="U99" i="1" s="1"/>
  <c r="CX99" i="1"/>
  <c r="W99" i="1" s="1"/>
  <c r="FR99" i="1"/>
  <c r="GL99" i="1"/>
  <c r="GO99" i="1"/>
  <c r="GP99" i="1"/>
  <c r="GV99" i="1"/>
  <c r="GX99" i="1" s="1"/>
  <c r="I100" i="1"/>
  <c r="AC100" i="1"/>
  <c r="AB100" i="1" s="1"/>
  <c r="AD100" i="1"/>
  <c r="CR100" i="1" s="1"/>
  <c r="Q100" i="1" s="1"/>
  <c r="AE100" i="1"/>
  <c r="AF100" i="1"/>
  <c r="AG100" i="1"/>
  <c r="AH100" i="1"/>
  <c r="CV100" i="1" s="1"/>
  <c r="U100" i="1" s="1"/>
  <c r="AI100" i="1"/>
  <c r="AJ100" i="1"/>
  <c r="CQ100" i="1"/>
  <c r="P100" i="1" s="1"/>
  <c r="CS100" i="1"/>
  <c r="R100" i="1" s="1"/>
  <c r="GK100" i="1" s="1"/>
  <c r="CT100" i="1"/>
  <c r="S100" i="1" s="1"/>
  <c r="CU100" i="1"/>
  <c r="T100" i="1" s="1"/>
  <c r="CW100" i="1"/>
  <c r="V100" i="1" s="1"/>
  <c r="CX100" i="1"/>
  <c r="W100" i="1" s="1"/>
  <c r="FR100" i="1"/>
  <c r="GL100" i="1"/>
  <c r="GO100" i="1"/>
  <c r="GP100" i="1"/>
  <c r="GV100" i="1"/>
  <c r="GX100" i="1"/>
  <c r="I101" i="1"/>
  <c r="AC101" i="1"/>
  <c r="AB101" i="1" s="1"/>
  <c r="AE101" i="1"/>
  <c r="AD101" i="1" s="1"/>
  <c r="CR101" i="1" s="1"/>
  <c r="Q101" i="1" s="1"/>
  <c r="AF101" i="1"/>
  <c r="AG101" i="1"/>
  <c r="CU101" i="1" s="1"/>
  <c r="T101" i="1" s="1"/>
  <c r="AH101" i="1"/>
  <c r="AI101" i="1"/>
  <c r="AJ101" i="1"/>
  <c r="CS101" i="1"/>
  <c r="R101" i="1" s="1"/>
  <c r="GK101" i="1" s="1"/>
  <c r="CT101" i="1"/>
  <c r="S101" i="1" s="1"/>
  <c r="CV101" i="1"/>
  <c r="U101" i="1" s="1"/>
  <c r="CW101" i="1"/>
  <c r="V101" i="1" s="1"/>
  <c r="CX101" i="1"/>
  <c r="W101" i="1" s="1"/>
  <c r="FR101" i="1"/>
  <c r="GL101" i="1"/>
  <c r="GO101" i="1"/>
  <c r="GP101" i="1"/>
  <c r="GV101" i="1"/>
  <c r="GX101" i="1"/>
  <c r="C102" i="1"/>
  <c r="D102" i="1"/>
  <c r="AC102" i="1"/>
  <c r="AB102" i="1" s="1"/>
  <c r="AE102" i="1"/>
  <c r="AD102" i="1" s="1"/>
  <c r="CR102" i="1" s="1"/>
  <c r="Q102" i="1" s="1"/>
  <c r="AF102" i="1"/>
  <c r="AG102" i="1"/>
  <c r="AH102" i="1"/>
  <c r="AI102" i="1"/>
  <c r="CW102" i="1" s="1"/>
  <c r="V102" i="1" s="1"/>
  <c r="AJ102" i="1"/>
  <c r="CQ102" i="1"/>
  <c r="P102" i="1" s="1"/>
  <c r="CT102" i="1"/>
  <c r="S102" i="1" s="1"/>
  <c r="CU102" i="1"/>
  <c r="T102" i="1" s="1"/>
  <c r="CV102" i="1"/>
  <c r="U102" i="1" s="1"/>
  <c r="CX102" i="1"/>
  <c r="W102" i="1" s="1"/>
  <c r="FR102" i="1"/>
  <c r="GL102" i="1"/>
  <c r="GO102" i="1"/>
  <c r="GP102" i="1"/>
  <c r="GV102" i="1"/>
  <c r="GX102" i="1" s="1"/>
  <c r="I103" i="1"/>
  <c r="AC103" i="1"/>
  <c r="AB103" i="1" s="1"/>
  <c r="AD103" i="1"/>
  <c r="CR103" i="1" s="1"/>
  <c r="Q103" i="1" s="1"/>
  <c r="AE103" i="1"/>
  <c r="AF103" i="1"/>
  <c r="AG103" i="1"/>
  <c r="AH103" i="1"/>
  <c r="CV103" i="1" s="1"/>
  <c r="U103" i="1" s="1"/>
  <c r="AI103" i="1"/>
  <c r="AJ103" i="1"/>
  <c r="CQ103" i="1"/>
  <c r="P103" i="1" s="1"/>
  <c r="CS103" i="1"/>
  <c r="R103" i="1" s="1"/>
  <c r="GK103" i="1" s="1"/>
  <c r="CT103" i="1"/>
  <c r="S103" i="1" s="1"/>
  <c r="CU103" i="1"/>
  <c r="T103" i="1" s="1"/>
  <c r="CW103" i="1"/>
  <c r="V103" i="1" s="1"/>
  <c r="CX103" i="1"/>
  <c r="W103" i="1" s="1"/>
  <c r="FR103" i="1"/>
  <c r="GL103" i="1"/>
  <c r="GO103" i="1"/>
  <c r="GP103" i="1"/>
  <c r="GV103" i="1"/>
  <c r="GX103" i="1"/>
  <c r="C104" i="1"/>
  <c r="D104" i="1"/>
  <c r="I104" i="1"/>
  <c r="AC104" i="1"/>
  <c r="AE104" i="1"/>
  <c r="AD104" i="1" s="1"/>
  <c r="CR104" i="1" s="1"/>
  <c r="Q104" i="1" s="1"/>
  <c r="AF104" i="1"/>
  <c r="AG104" i="1"/>
  <c r="AH104" i="1"/>
  <c r="AI104" i="1"/>
  <c r="CW104" i="1" s="1"/>
  <c r="V104" i="1" s="1"/>
  <c r="AJ104" i="1"/>
  <c r="CQ104" i="1"/>
  <c r="P104" i="1" s="1"/>
  <c r="CP104" i="1" s="1"/>
  <c r="O104" i="1" s="1"/>
  <c r="CT104" i="1"/>
  <c r="S104" i="1" s="1"/>
  <c r="CU104" i="1"/>
  <c r="T104" i="1" s="1"/>
  <c r="CV104" i="1"/>
  <c r="U104" i="1" s="1"/>
  <c r="CX104" i="1"/>
  <c r="W104" i="1" s="1"/>
  <c r="FR104" i="1"/>
  <c r="GL104" i="1"/>
  <c r="GO104" i="1"/>
  <c r="GP104" i="1"/>
  <c r="GV104" i="1"/>
  <c r="GX104" i="1" s="1"/>
  <c r="I105" i="1"/>
  <c r="AC105" i="1"/>
  <c r="AB105" i="1" s="1"/>
  <c r="AD105" i="1"/>
  <c r="CR105" i="1" s="1"/>
  <c r="Q105" i="1" s="1"/>
  <c r="AE105" i="1"/>
  <c r="AF105" i="1"/>
  <c r="AG105" i="1"/>
  <c r="AH105" i="1"/>
  <c r="CV105" i="1" s="1"/>
  <c r="U105" i="1" s="1"/>
  <c r="AI105" i="1"/>
  <c r="AJ105" i="1"/>
  <c r="CQ105" i="1"/>
  <c r="P105" i="1" s="1"/>
  <c r="CS105" i="1"/>
  <c r="R105" i="1" s="1"/>
  <c r="GK105" i="1" s="1"/>
  <c r="CT105" i="1"/>
  <c r="S105" i="1" s="1"/>
  <c r="CU105" i="1"/>
  <c r="T105" i="1" s="1"/>
  <c r="CW105" i="1"/>
  <c r="V105" i="1" s="1"/>
  <c r="CX105" i="1"/>
  <c r="W105" i="1" s="1"/>
  <c r="FR105" i="1"/>
  <c r="GL105" i="1"/>
  <c r="GO105" i="1"/>
  <c r="GP105" i="1"/>
  <c r="GV105" i="1"/>
  <c r="GX105" i="1"/>
  <c r="I106" i="1"/>
  <c r="AC106" i="1"/>
  <c r="AB106" i="1" s="1"/>
  <c r="AE106" i="1"/>
  <c r="AD106" i="1" s="1"/>
  <c r="CR106" i="1" s="1"/>
  <c r="Q106" i="1" s="1"/>
  <c r="AF106" i="1"/>
  <c r="AG106" i="1"/>
  <c r="CU106" i="1" s="1"/>
  <c r="T106" i="1" s="1"/>
  <c r="AH106" i="1"/>
  <c r="AI106" i="1"/>
  <c r="AJ106" i="1"/>
  <c r="CS106" i="1"/>
  <c r="R106" i="1" s="1"/>
  <c r="GK106" i="1" s="1"/>
  <c r="CT106" i="1"/>
  <c r="S106" i="1" s="1"/>
  <c r="CV106" i="1"/>
  <c r="U106" i="1" s="1"/>
  <c r="CW106" i="1"/>
  <c r="V106" i="1" s="1"/>
  <c r="CX106" i="1"/>
  <c r="W106" i="1" s="1"/>
  <c r="FR106" i="1"/>
  <c r="GL106" i="1"/>
  <c r="GO106" i="1"/>
  <c r="GP106" i="1"/>
  <c r="GV106" i="1"/>
  <c r="GX106" i="1"/>
  <c r="I107" i="1"/>
  <c r="AC107" i="1"/>
  <c r="AE107" i="1"/>
  <c r="AD107" i="1" s="1"/>
  <c r="AF107" i="1"/>
  <c r="CT107" i="1" s="1"/>
  <c r="S107" i="1" s="1"/>
  <c r="AG107" i="1"/>
  <c r="AH107" i="1"/>
  <c r="AI107" i="1"/>
  <c r="AJ107" i="1"/>
  <c r="CX107" i="1" s="1"/>
  <c r="W107" i="1" s="1"/>
  <c r="CQ107" i="1"/>
  <c r="P107" i="1" s="1"/>
  <c r="CS107" i="1"/>
  <c r="R107" i="1" s="1"/>
  <c r="GK107" i="1" s="1"/>
  <c r="CU107" i="1"/>
  <c r="T107" i="1" s="1"/>
  <c r="CV107" i="1"/>
  <c r="U107" i="1" s="1"/>
  <c r="CW107" i="1"/>
  <c r="V107" i="1" s="1"/>
  <c r="FR107" i="1"/>
  <c r="GL107" i="1"/>
  <c r="GO107" i="1"/>
  <c r="GP107" i="1"/>
  <c r="GV107" i="1"/>
  <c r="GX107" i="1"/>
  <c r="I108" i="1"/>
  <c r="AC108" i="1"/>
  <c r="AE108" i="1"/>
  <c r="AD108" i="1" s="1"/>
  <c r="CR108" i="1" s="1"/>
  <c r="Q108" i="1" s="1"/>
  <c r="AF108" i="1"/>
  <c r="AG108" i="1"/>
  <c r="AH108" i="1"/>
  <c r="AI108" i="1"/>
  <c r="CW108" i="1" s="1"/>
  <c r="V108" i="1" s="1"/>
  <c r="AJ108" i="1"/>
  <c r="CQ108" i="1"/>
  <c r="P108" i="1" s="1"/>
  <c r="CT108" i="1"/>
  <c r="S108" i="1" s="1"/>
  <c r="CU108" i="1"/>
  <c r="T108" i="1" s="1"/>
  <c r="CV108" i="1"/>
  <c r="U108" i="1" s="1"/>
  <c r="CX108" i="1"/>
  <c r="W108" i="1" s="1"/>
  <c r="FR108" i="1"/>
  <c r="GL108" i="1"/>
  <c r="GO108" i="1"/>
  <c r="GP108" i="1"/>
  <c r="GV108" i="1"/>
  <c r="GX108" i="1" s="1"/>
  <c r="C109" i="1"/>
  <c r="D109" i="1"/>
  <c r="I109" i="1"/>
  <c r="AC109" i="1"/>
  <c r="AE109" i="1"/>
  <c r="AD109" i="1" s="1"/>
  <c r="AF109" i="1"/>
  <c r="CT109" i="1" s="1"/>
  <c r="S109" i="1" s="1"/>
  <c r="AG109" i="1"/>
  <c r="AH109" i="1"/>
  <c r="AI109" i="1"/>
  <c r="AJ109" i="1"/>
  <c r="CX109" i="1" s="1"/>
  <c r="W109" i="1" s="1"/>
  <c r="CQ109" i="1"/>
  <c r="P109" i="1" s="1"/>
  <c r="CS109" i="1"/>
  <c r="R109" i="1" s="1"/>
  <c r="GK109" i="1" s="1"/>
  <c r="CU109" i="1"/>
  <c r="T109" i="1" s="1"/>
  <c r="CV109" i="1"/>
  <c r="U109" i="1" s="1"/>
  <c r="CW109" i="1"/>
  <c r="V109" i="1" s="1"/>
  <c r="FR109" i="1"/>
  <c r="GL109" i="1"/>
  <c r="GO109" i="1"/>
  <c r="GP109" i="1"/>
  <c r="GV109" i="1"/>
  <c r="GX109" i="1"/>
  <c r="C110" i="1"/>
  <c r="D110" i="1"/>
  <c r="I110" i="1"/>
  <c r="AC110" i="1"/>
  <c r="AE110" i="1"/>
  <c r="AD110" i="1" s="1"/>
  <c r="CR110" i="1" s="1"/>
  <c r="Q110" i="1" s="1"/>
  <c r="AF110" i="1"/>
  <c r="AG110" i="1"/>
  <c r="CU110" i="1" s="1"/>
  <c r="T110" i="1" s="1"/>
  <c r="AH110" i="1"/>
  <c r="AI110" i="1"/>
  <c r="AJ110" i="1"/>
  <c r="CS110" i="1"/>
  <c r="R110" i="1" s="1"/>
  <c r="CT110" i="1"/>
  <c r="S110" i="1" s="1"/>
  <c r="CV110" i="1"/>
  <c r="U110" i="1" s="1"/>
  <c r="CW110" i="1"/>
  <c r="V110" i="1" s="1"/>
  <c r="CX110" i="1"/>
  <c r="W110" i="1" s="1"/>
  <c r="FR110" i="1"/>
  <c r="GK110" i="1"/>
  <c r="GL110" i="1"/>
  <c r="GO110" i="1"/>
  <c r="GP110" i="1"/>
  <c r="GV110" i="1"/>
  <c r="GX110" i="1"/>
  <c r="I111" i="1"/>
  <c r="R111" i="1"/>
  <c r="GK111" i="1" s="1"/>
  <c r="V111" i="1"/>
  <c r="AC111" i="1"/>
  <c r="AE111" i="1"/>
  <c r="AD111" i="1" s="1"/>
  <c r="CR111" i="1" s="1"/>
  <c r="Q111" i="1" s="1"/>
  <c r="AF111" i="1"/>
  <c r="CT111" i="1" s="1"/>
  <c r="S111" i="1" s="1"/>
  <c r="AG111" i="1"/>
  <c r="AH111" i="1"/>
  <c r="AI111" i="1"/>
  <c r="AJ111" i="1"/>
  <c r="CX111" i="1" s="1"/>
  <c r="W111" i="1" s="1"/>
  <c r="CQ111" i="1"/>
  <c r="CS111" i="1"/>
  <c r="CU111" i="1"/>
  <c r="T111" i="1" s="1"/>
  <c r="CV111" i="1"/>
  <c r="U111" i="1" s="1"/>
  <c r="CW111" i="1"/>
  <c r="FR111" i="1"/>
  <c r="GL111" i="1"/>
  <c r="GO111" i="1"/>
  <c r="GP111" i="1"/>
  <c r="GV111" i="1"/>
  <c r="GX111" i="1"/>
  <c r="C112" i="1"/>
  <c r="D112" i="1"/>
  <c r="T112" i="1"/>
  <c r="AC112" i="1"/>
  <c r="AD112" i="1"/>
  <c r="CR112" i="1" s="1"/>
  <c r="Q112" i="1" s="1"/>
  <c r="AE112" i="1"/>
  <c r="AF112" i="1"/>
  <c r="AG112" i="1"/>
  <c r="AH112" i="1"/>
  <c r="CV112" i="1" s="1"/>
  <c r="U112" i="1" s="1"/>
  <c r="AI112" i="1"/>
  <c r="AJ112" i="1"/>
  <c r="CQ112" i="1"/>
  <c r="P112" i="1" s="1"/>
  <c r="CP112" i="1" s="1"/>
  <c r="O112" i="1" s="1"/>
  <c r="CS112" i="1"/>
  <c r="R112" i="1" s="1"/>
  <c r="CT112" i="1"/>
  <c r="S112" i="1" s="1"/>
  <c r="CZ112" i="1" s="1"/>
  <c r="Y112" i="1" s="1"/>
  <c r="CU112" i="1"/>
  <c r="CW112" i="1"/>
  <c r="V112" i="1" s="1"/>
  <c r="CX112" i="1"/>
  <c r="W112" i="1" s="1"/>
  <c r="CY112" i="1"/>
  <c r="X112" i="1" s="1"/>
  <c r="FR112" i="1"/>
  <c r="GK112" i="1"/>
  <c r="GL112" i="1"/>
  <c r="GO112" i="1"/>
  <c r="GP112" i="1"/>
  <c r="GV112" i="1"/>
  <c r="GX112" i="1"/>
  <c r="I113" i="1"/>
  <c r="R113" i="1"/>
  <c r="GK113" i="1" s="1"/>
  <c r="V113" i="1"/>
  <c r="AB113" i="1"/>
  <c r="AC113" i="1"/>
  <c r="CQ113" i="1" s="1"/>
  <c r="AE113" i="1"/>
  <c r="AD113" i="1" s="1"/>
  <c r="CR113" i="1" s="1"/>
  <c r="Q113" i="1" s="1"/>
  <c r="AF113" i="1"/>
  <c r="AG113" i="1"/>
  <c r="CU113" i="1" s="1"/>
  <c r="T113" i="1" s="1"/>
  <c r="AH113" i="1"/>
  <c r="AI113" i="1"/>
  <c r="AJ113" i="1"/>
  <c r="CX113" i="1" s="1"/>
  <c r="W113" i="1" s="1"/>
  <c r="CS113" i="1"/>
  <c r="CT113" i="1"/>
  <c r="S113" i="1" s="1"/>
  <c r="CV113" i="1"/>
  <c r="U113" i="1" s="1"/>
  <c r="CW113" i="1"/>
  <c r="FR113" i="1"/>
  <c r="GL113" i="1"/>
  <c r="GO113" i="1"/>
  <c r="GP113" i="1"/>
  <c r="GV113" i="1"/>
  <c r="GX113" i="1"/>
  <c r="I114" i="1"/>
  <c r="R114" i="1"/>
  <c r="GK114" i="1" s="1"/>
  <c r="AC114" i="1"/>
  <c r="AD114" i="1"/>
  <c r="AB114" i="1" s="1"/>
  <c r="AE114" i="1"/>
  <c r="AF114" i="1"/>
  <c r="CT114" i="1" s="1"/>
  <c r="S114" i="1" s="1"/>
  <c r="CY114" i="1" s="1"/>
  <c r="X114" i="1" s="1"/>
  <c r="AG114" i="1"/>
  <c r="AH114" i="1"/>
  <c r="CV114" i="1" s="1"/>
  <c r="U114" i="1" s="1"/>
  <c r="AI114" i="1"/>
  <c r="AJ114" i="1"/>
  <c r="CX114" i="1" s="1"/>
  <c r="W114" i="1" s="1"/>
  <c r="CQ114" i="1"/>
  <c r="P114" i="1" s="1"/>
  <c r="CR114" i="1"/>
  <c r="Q114" i="1" s="1"/>
  <c r="CS114" i="1"/>
  <c r="CU114" i="1"/>
  <c r="T114" i="1" s="1"/>
  <c r="CW114" i="1"/>
  <c r="V114" i="1" s="1"/>
  <c r="FR114" i="1"/>
  <c r="GL114" i="1"/>
  <c r="GO114" i="1"/>
  <c r="GP114" i="1"/>
  <c r="GV114" i="1"/>
  <c r="GX114" i="1"/>
  <c r="I115" i="1"/>
  <c r="T115" i="1"/>
  <c r="AC115" i="1"/>
  <c r="AE115" i="1"/>
  <c r="CS115" i="1" s="1"/>
  <c r="R115" i="1" s="1"/>
  <c r="AF115" i="1"/>
  <c r="AG115" i="1"/>
  <c r="AH115" i="1"/>
  <c r="AI115" i="1"/>
  <c r="CW115" i="1" s="1"/>
  <c r="V115" i="1" s="1"/>
  <c r="AJ115" i="1"/>
  <c r="CQ115" i="1"/>
  <c r="P115" i="1" s="1"/>
  <c r="CT115" i="1"/>
  <c r="S115" i="1" s="1"/>
  <c r="CU115" i="1"/>
  <c r="CV115" i="1"/>
  <c r="U115" i="1" s="1"/>
  <c r="CX115" i="1"/>
  <c r="W115" i="1" s="1"/>
  <c r="FR115" i="1"/>
  <c r="GK115" i="1"/>
  <c r="GL115" i="1"/>
  <c r="GO115" i="1"/>
  <c r="GP115" i="1"/>
  <c r="GV115" i="1"/>
  <c r="GX115" i="1" s="1"/>
  <c r="I116" i="1"/>
  <c r="R116" i="1"/>
  <c r="AC116" i="1"/>
  <c r="AB116" i="1" s="1"/>
  <c r="AD116" i="1"/>
  <c r="CR116" i="1" s="1"/>
  <c r="Q116" i="1" s="1"/>
  <c r="AE116" i="1"/>
  <c r="AF116" i="1"/>
  <c r="AG116" i="1"/>
  <c r="AH116" i="1"/>
  <c r="CV116" i="1" s="1"/>
  <c r="U116" i="1" s="1"/>
  <c r="AI116" i="1"/>
  <c r="AJ116" i="1"/>
  <c r="CX116" i="1" s="1"/>
  <c r="W116" i="1" s="1"/>
  <c r="CQ116" i="1"/>
  <c r="P116" i="1" s="1"/>
  <c r="CP116" i="1" s="1"/>
  <c r="O116" i="1" s="1"/>
  <c r="CS116" i="1"/>
  <c r="CT116" i="1"/>
  <c r="S116" i="1" s="1"/>
  <c r="CU116" i="1"/>
  <c r="T116" i="1" s="1"/>
  <c r="CW116" i="1"/>
  <c r="V116" i="1" s="1"/>
  <c r="FR116" i="1"/>
  <c r="GK116" i="1"/>
  <c r="GL116" i="1"/>
  <c r="GO116" i="1"/>
  <c r="GP116" i="1"/>
  <c r="GV116" i="1"/>
  <c r="GX116" i="1"/>
  <c r="I117" i="1"/>
  <c r="AB117" i="1"/>
  <c r="AC117" i="1"/>
  <c r="CQ117" i="1" s="1"/>
  <c r="AE117" i="1"/>
  <c r="AD117" i="1" s="1"/>
  <c r="CR117" i="1" s="1"/>
  <c r="Q117" i="1" s="1"/>
  <c r="AF117" i="1"/>
  <c r="AG117" i="1"/>
  <c r="CU117" i="1" s="1"/>
  <c r="T117" i="1" s="1"/>
  <c r="AH117" i="1"/>
  <c r="AI117" i="1"/>
  <c r="CW117" i="1" s="1"/>
  <c r="V117" i="1" s="1"/>
  <c r="AJ117" i="1"/>
  <c r="CX117" i="1" s="1"/>
  <c r="W117" i="1" s="1"/>
  <c r="CS117" i="1"/>
  <c r="R117" i="1" s="1"/>
  <c r="GK117" i="1" s="1"/>
  <c r="CT117" i="1"/>
  <c r="S117" i="1" s="1"/>
  <c r="CV117" i="1"/>
  <c r="U117" i="1" s="1"/>
  <c r="FR117" i="1"/>
  <c r="GL117" i="1"/>
  <c r="GO117" i="1"/>
  <c r="GP117" i="1"/>
  <c r="GV117" i="1"/>
  <c r="GX117" i="1"/>
  <c r="I118" i="1"/>
  <c r="R118" i="1"/>
  <c r="GK118" i="1" s="1"/>
  <c r="AC118" i="1"/>
  <c r="AD118" i="1"/>
  <c r="AB118" i="1" s="1"/>
  <c r="AE118" i="1"/>
  <c r="AF118" i="1"/>
  <c r="CT118" i="1" s="1"/>
  <c r="S118" i="1" s="1"/>
  <c r="CY118" i="1" s="1"/>
  <c r="X118" i="1" s="1"/>
  <c r="AG118" i="1"/>
  <c r="AH118" i="1"/>
  <c r="CV118" i="1" s="1"/>
  <c r="U118" i="1" s="1"/>
  <c r="AI118" i="1"/>
  <c r="AJ118" i="1"/>
  <c r="CX118" i="1" s="1"/>
  <c r="W118" i="1" s="1"/>
  <c r="CQ118" i="1"/>
  <c r="P118" i="1" s="1"/>
  <c r="CP118" i="1" s="1"/>
  <c r="O118" i="1" s="1"/>
  <c r="CR118" i="1"/>
  <c r="Q118" i="1" s="1"/>
  <c r="CS118" i="1"/>
  <c r="CU118" i="1"/>
  <c r="T118" i="1" s="1"/>
  <c r="CW118" i="1"/>
  <c r="V118" i="1" s="1"/>
  <c r="FR118" i="1"/>
  <c r="GL118" i="1"/>
  <c r="GO118" i="1"/>
  <c r="GP118" i="1"/>
  <c r="GV118" i="1"/>
  <c r="GX118" i="1"/>
  <c r="C119" i="1"/>
  <c r="D119" i="1"/>
  <c r="I119" i="1"/>
  <c r="AC119" i="1"/>
  <c r="CQ119" i="1" s="1"/>
  <c r="P119" i="1" s="1"/>
  <c r="AE119" i="1"/>
  <c r="AD119" i="1" s="1"/>
  <c r="CR119" i="1" s="1"/>
  <c r="Q119" i="1" s="1"/>
  <c r="AF119" i="1"/>
  <c r="AG119" i="1"/>
  <c r="CU119" i="1" s="1"/>
  <c r="T119" i="1" s="1"/>
  <c r="AH119" i="1"/>
  <c r="AI119" i="1"/>
  <c r="CW119" i="1" s="1"/>
  <c r="V119" i="1" s="1"/>
  <c r="AJ119" i="1"/>
  <c r="CS119" i="1"/>
  <c r="R119" i="1" s="1"/>
  <c r="GK119" i="1" s="1"/>
  <c r="CT119" i="1"/>
  <c r="S119" i="1" s="1"/>
  <c r="CV119" i="1"/>
  <c r="U119" i="1" s="1"/>
  <c r="CX119" i="1"/>
  <c r="W119" i="1" s="1"/>
  <c r="FR119" i="1"/>
  <c r="GL119" i="1"/>
  <c r="GO119" i="1"/>
  <c r="GP119" i="1"/>
  <c r="GV119" i="1"/>
  <c r="GX119" i="1"/>
  <c r="I120" i="1"/>
  <c r="P120" i="1"/>
  <c r="AC120" i="1"/>
  <c r="AE120" i="1"/>
  <c r="AD120" i="1" s="1"/>
  <c r="AF120" i="1"/>
  <c r="CT120" i="1" s="1"/>
  <c r="S120" i="1" s="1"/>
  <c r="CY120" i="1" s="1"/>
  <c r="X120" i="1" s="1"/>
  <c r="AG120" i="1"/>
  <c r="AH120" i="1"/>
  <c r="CV120" i="1" s="1"/>
  <c r="U120" i="1" s="1"/>
  <c r="AI120" i="1"/>
  <c r="CW120" i="1" s="1"/>
  <c r="V120" i="1" s="1"/>
  <c r="AJ120" i="1"/>
  <c r="CX120" i="1" s="1"/>
  <c r="W120" i="1" s="1"/>
  <c r="CQ120" i="1"/>
  <c r="CS120" i="1"/>
  <c r="R120" i="1" s="1"/>
  <c r="CU120" i="1"/>
  <c r="T120" i="1" s="1"/>
  <c r="FR120" i="1"/>
  <c r="GL120" i="1"/>
  <c r="GO120" i="1"/>
  <c r="GP120" i="1"/>
  <c r="GV120" i="1"/>
  <c r="GX120" i="1"/>
  <c r="AC121" i="1"/>
  <c r="AE121" i="1"/>
  <c r="CS121" i="1" s="1"/>
  <c r="AF121" i="1"/>
  <c r="AG121" i="1"/>
  <c r="AH121" i="1"/>
  <c r="AI121" i="1"/>
  <c r="CW121" i="1" s="1"/>
  <c r="AJ121" i="1"/>
  <c r="CQ121" i="1"/>
  <c r="CT121" i="1"/>
  <c r="CU121" i="1"/>
  <c r="CV121" i="1"/>
  <c r="CX121" i="1"/>
  <c r="FR121" i="1"/>
  <c r="GL121" i="1"/>
  <c r="GO121" i="1"/>
  <c r="GP121" i="1"/>
  <c r="GV121" i="1"/>
  <c r="I122" i="1"/>
  <c r="V122" i="1"/>
  <c r="AC122" i="1"/>
  <c r="AB122" i="1" s="1"/>
  <c r="AD122" i="1"/>
  <c r="CR122" i="1" s="1"/>
  <c r="AE122" i="1"/>
  <c r="AF122" i="1"/>
  <c r="AG122" i="1"/>
  <c r="AH122" i="1"/>
  <c r="CV122" i="1" s="1"/>
  <c r="AI122" i="1"/>
  <c r="AJ122" i="1"/>
  <c r="CS122" i="1"/>
  <c r="R122" i="1" s="1"/>
  <c r="GK122" i="1" s="1"/>
  <c r="CT122" i="1"/>
  <c r="S122" i="1" s="1"/>
  <c r="CU122" i="1"/>
  <c r="T122" i="1" s="1"/>
  <c r="CW122" i="1"/>
  <c r="CX122" i="1"/>
  <c r="W122" i="1" s="1"/>
  <c r="FR122" i="1"/>
  <c r="GL122" i="1"/>
  <c r="GO122" i="1"/>
  <c r="GP122" i="1"/>
  <c r="GV122" i="1"/>
  <c r="GX122" i="1"/>
  <c r="I123" i="1"/>
  <c r="AC123" i="1"/>
  <c r="CQ123" i="1" s="1"/>
  <c r="AE123" i="1"/>
  <c r="AD123" i="1" s="1"/>
  <c r="CR123" i="1" s="1"/>
  <c r="Q123" i="1" s="1"/>
  <c r="AF123" i="1"/>
  <c r="AG123" i="1"/>
  <c r="CU123" i="1" s="1"/>
  <c r="AH123" i="1"/>
  <c r="AI123" i="1"/>
  <c r="CW123" i="1" s="1"/>
  <c r="V123" i="1" s="1"/>
  <c r="AJ123" i="1"/>
  <c r="CX123" i="1" s="1"/>
  <c r="W123" i="1" s="1"/>
  <c r="CS123" i="1"/>
  <c r="R123" i="1" s="1"/>
  <c r="GK123" i="1" s="1"/>
  <c r="CT123" i="1"/>
  <c r="S123" i="1" s="1"/>
  <c r="CV123" i="1"/>
  <c r="U123" i="1" s="1"/>
  <c r="FR123" i="1"/>
  <c r="GL123" i="1"/>
  <c r="GO123" i="1"/>
  <c r="GP123" i="1"/>
  <c r="GV123" i="1"/>
  <c r="GX123" i="1" s="1"/>
  <c r="C124" i="1"/>
  <c r="D124" i="1"/>
  <c r="T124" i="1"/>
  <c r="AC124" i="1"/>
  <c r="AD124" i="1"/>
  <c r="CR124" i="1" s="1"/>
  <c r="Q124" i="1" s="1"/>
  <c r="AE124" i="1"/>
  <c r="CS124" i="1" s="1"/>
  <c r="R124" i="1" s="1"/>
  <c r="AF124" i="1"/>
  <c r="AG124" i="1"/>
  <c r="AH124" i="1"/>
  <c r="AI124" i="1"/>
  <c r="CW124" i="1" s="1"/>
  <c r="V124" i="1" s="1"/>
  <c r="AJ124" i="1"/>
  <c r="CQ124" i="1"/>
  <c r="P124" i="1" s="1"/>
  <c r="CT124" i="1"/>
  <c r="S124" i="1" s="1"/>
  <c r="CU124" i="1"/>
  <c r="CV124" i="1"/>
  <c r="U124" i="1" s="1"/>
  <c r="CX124" i="1"/>
  <c r="W124" i="1" s="1"/>
  <c r="FR124" i="1"/>
  <c r="GK124" i="1"/>
  <c r="GL124" i="1"/>
  <c r="GO124" i="1"/>
  <c r="GP124" i="1"/>
  <c r="GV124" i="1"/>
  <c r="GX124" i="1" s="1"/>
  <c r="I125" i="1"/>
  <c r="R125" i="1"/>
  <c r="AC125" i="1"/>
  <c r="AB125" i="1" s="1"/>
  <c r="AD125" i="1"/>
  <c r="CR125" i="1" s="1"/>
  <c r="Q125" i="1" s="1"/>
  <c r="AE125" i="1"/>
  <c r="AF125" i="1"/>
  <c r="AG125" i="1"/>
  <c r="AH125" i="1"/>
  <c r="CV125" i="1" s="1"/>
  <c r="U125" i="1" s="1"/>
  <c r="AI125" i="1"/>
  <c r="AJ125" i="1"/>
  <c r="CX125" i="1" s="1"/>
  <c r="W125" i="1" s="1"/>
  <c r="CQ125" i="1"/>
  <c r="P125" i="1" s="1"/>
  <c r="CP125" i="1" s="1"/>
  <c r="O125" i="1" s="1"/>
  <c r="CS125" i="1"/>
  <c r="CT125" i="1"/>
  <c r="S125" i="1" s="1"/>
  <c r="CU125" i="1"/>
  <c r="T125" i="1" s="1"/>
  <c r="CW125" i="1"/>
  <c r="V125" i="1" s="1"/>
  <c r="FR125" i="1"/>
  <c r="GK125" i="1"/>
  <c r="GL125" i="1"/>
  <c r="GO125" i="1"/>
  <c r="GP125" i="1"/>
  <c r="GV125" i="1"/>
  <c r="GX125" i="1"/>
  <c r="I126" i="1"/>
  <c r="AB126" i="1"/>
  <c r="AC126" i="1"/>
  <c r="CQ126" i="1" s="1"/>
  <c r="AE126" i="1"/>
  <c r="AD126" i="1" s="1"/>
  <c r="CR126" i="1" s="1"/>
  <c r="Q126" i="1" s="1"/>
  <c r="AF126" i="1"/>
  <c r="AG126" i="1"/>
  <c r="CU126" i="1" s="1"/>
  <c r="T126" i="1" s="1"/>
  <c r="AH126" i="1"/>
  <c r="AI126" i="1"/>
  <c r="CW126" i="1" s="1"/>
  <c r="V126" i="1" s="1"/>
  <c r="AJ126" i="1"/>
  <c r="CS126" i="1"/>
  <c r="R126" i="1" s="1"/>
  <c r="GK126" i="1" s="1"/>
  <c r="CT126" i="1"/>
  <c r="S126" i="1" s="1"/>
  <c r="CV126" i="1"/>
  <c r="U126" i="1" s="1"/>
  <c r="CX126" i="1"/>
  <c r="W126" i="1" s="1"/>
  <c r="FR126" i="1"/>
  <c r="GL126" i="1"/>
  <c r="GO126" i="1"/>
  <c r="GP126" i="1"/>
  <c r="GV126" i="1"/>
  <c r="GX126" i="1"/>
  <c r="C127" i="1"/>
  <c r="D127" i="1"/>
  <c r="I127" i="1"/>
  <c r="I128" i="1" s="1"/>
  <c r="GX128" i="1" s="1"/>
  <c r="T127" i="1"/>
  <c r="AC127" i="1"/>
  <c r="AD127" i="1"/>
  <c r="CR127" i="1" s="1"/>
  <c r="Q127" i="1" s="1"/>
  <c r="AE127" i="1"/>
  <c r="AF127" i="1"/>
  <c r="AB127" i="1" s="1"/>
  <c r="AG127" i="1"/>
  <c r="AH127" i="1"/>
  <c r="CV127" i="1" s="1"/>
  <c r="U127" i="1" s="1"/>
  <c r="AI127" i="1"/>
  <c r="AJ127" i="1"/>
  <c r="CX127" i="1" s="1"/>
  <c r="W127" i="1" s="1"/>
  <c r="CQ127" i="1"/>
  <c r="P127" i="1" s="1"/>
  <c r="CP127" i="1" s="1"/>
  <c r="O127" i="1" s="1"/>
  <c r="CS127" i="1"/>
  <c r="R127" i="1" s="1"/>
  <c r="GK127" i="1" s="1"/>
  <c r="CT127" i="1"/>
  <c r="S127" i="1" s="1"/>
  <c r="CU127" i="1"/>
  <c r="CW127" i="1"/>
  <c r="V127" i="1" s="1"/>
  <c r="FR127" i="1"/>
  <c r="GL127" i="1"/>
  <c r="GO127" i="1"/>
  <c r="GP127" i="1"/>
  <c r="GV127" i="1"/>
  <c r="GX127" i="1"/>
  <c r="AC128" i="1"/>
  <c r="CQ128" i="1" s="1"/>
  <c r="AE128" i="1"/>
  <c r="AD128" i="1" s="1"/>
  <c r="AB128" i="1" s="1"/>
  <c r="AF128" i="1"/>
  <c r="AG128" i="1"/>
  <c r="CU128" i="1" s="1"/>
  <c r="AH128" i="1"/>
  <c r="AI128" i="1"/>
  <c r="CW128" i="1" s="1"/>
  <c r="V128" i="1" s="1"/>
  <c r="AJ128" i="1"/>
  <c r="CS128" i="1"/>
  <c r="R128" i="1" s="1"/>
  <c r="GK128" i="1" s="1"/>
  <c r="CT128" i="1"/>
  <c r="CV128" i="1"/>
  <c r="U128" i="1" s="1"/>
  <c r="CX128" i="1"/>
  <c r="W128" i="1" s="1"/>
  <c r="FR128" i="1"/>
  <c r="GL128" i="1"/>
  <c r="GO128" i="1"/>
  <c r="GP128" i="1"/>
  <c r="GV128" i="1"/>
  <c r="I129" i="1"/>
  <c r="P129" i="1"/>
  <c r="R129" i="1"/>
  <c r="GK129" i="1" s="1"/>
  <c r="AC129" i="1"/>
  <c r="AD129" i="1"/>
  <c r="AE129" i="1"/>
  <c r="AF129" i="1"/>
  <c r="CT129" i="1" s="1"/>
  <c r="S129" i="1" s="1"/>
  <c r="CY129" i="1" s="1"/>
  <c r="X129" i="1" s="1"/>
  <c r="AG129" i="1"/>
  <c r="AH129" i="1"/>
  <c r="CV129" i="1" s="1"/>
  <c r="U129" i="1" s="1"/>
  <c r="AI129" i="1"/>
  <c r="AJ129" i="1"/>
  <c r="CX129" i="1" s="1"/>
  <c r="W129" i="1" s="1"/>
  <c r="CQ129" i="1"/>
  <c r="CR129" i="1"/>
  <c r="Q129" i="1" s="1"/>
  <c r="CS129" i="1"/>
  <c r="CU129" i="1"/>
  <c r="T129" i="1" s="1"/>
  <c r="CW129" i="1"/>
  <c r="V129" i="1" s="1"/>
  <c r="CZ129" i="1"/>
  <c r="Y129" i="1" s="1"/>
  <c r="FR129" i="1"/>
  <c r="GL129" i="1"/>
  <c r="GO129" i="1"/>
  <c r="GP129" i="1"/>
  <c r="GV129" i="1"/>
  <c r="GX129" i="1"/>
  <c r="C130" i="1"/>
  <c r="D130" i="1"/>
  <c r="I130" i="1"/>
  <c r="I131" i="1" s="1"/>
  <c r="AB130" i="1"/>
  <c r="AC130" i="1"/>
  <c r="CQ130" i="1" s="1"/>
  <c r="AE130" i="1"/>
  <c r="AD130" i="1" s="1"/>
  <c r="CR130" i="1" s="1"/>
  <c r="Q130" i="1" s="1"/>
  <c r="AF130" i="1"/>
  <c r="AG130" i="1"/>
  <c r="CU130" i="1" s="1"/>
  <c r="T130" i="1" s="1"/>
  <c r="AH130" i="1"/>
  <c r="AI130" i="1"/>
  <c r="CW130" i="1" s="1"/>
  <c r="V130" i="1" s="1"/>
  <c r="AJ130" i="1"/>
  <c r="CS130" i="1"/>
  <c r="R130" i="1" s="1"/>
  <c r="GK130" i="1" s="1"/>
  <c r="CT130" i="1"/>
  <c r="S130" i="1" s="1"/>
  <c r="CV130" i="1"/>
  <c r="U130" i="1" s="1"/>
  <c r="CX130" i="1"/>
  <c r="W130" i="1" s="1"/>
  <c r="FR130" i="1"/>
  <c r="GL130" i="1"/>
  <c r="GO130" i="1"/>
  <c r="GP130" i="1"/>
  <c r="GV130" i="1"/>
  <c r="GX130" i="1"/>
  <c r="AC131" i="1"/>
  <c r="AD131" i="1"/>
  <c r="AB131" i="1" s="1"/>
  <c r="AE131" i="1"/>
  <c r="AF131" i="1"/>
  <c r="CT131" i="1" s="1"/>
  <c r="AG131" i="1"/>
  <c r="AH131" i="1"/>
  <c r="CV131" i="1" s="1"/>
  <c r="U131" i="1" s="1"/>
  <c r="AI131" i="1"/>
  <c r="AJ131" i="1"/>
  <c r="CX131" i="1" s="1"/>
  <c r="CQ131" i="1"/>
  <c r="CR131" i="1"/>
  <c r="Q131" i="1" s="1"/>
  <c r="CS131" i="1"/>
  <c r="CU131" i="1"/>
  <c r="CW131" i="1"/>
  <c r="FR131" i="1"/>
  <c r="GL131" i="1"/>
  <c r="GO131" i="1"/>
  <c r="GP131" i="1"/>
  <c r="GV131" i="1"/>
  <c r="AC132" i="1"/>
  <c r="CQ132" i="1" s="1"/>
  <c r="AE132" i="1"/>
  <c r="AD132" i="1" s="1"/>
  <c r="CR132" i="1" s="1"/>
  <c r="AF132" i="1"/>
  <c r="AG132" i="1"/>
  <c r="CU132" i="1" s="1"/>
  <c r="AH132" i="1"/>
  <c r="AI132" i="1"/>
  <c r="CW132" i="1" s="1"/>
  <c r="AJ132" i="1"/>
  <c r="CT132" i="1"/>
  <c r="CV132" i="1"/>
  <c r="CX132" i="1"/>
  <c r="FR132" i="1"/>
  <c r="GL132" i="1"/>
  <c r="GO132" i="1"/>
  <c r="GP132" i="1"/>
  <c r="GV132" i="1"/>
  <c r="C133" i="1"/>
  <c r="D133" i="1"/>
  <c r="I133" i="1"/>
  <c r="AC133" i="1"/>
  <c r="AD133" i="1"/>
  <c r="CR133" i="1" s="1"/>
  <c r="Q133" i="1" s="1"/>
  <c r="AE133" i="1"/>
  <c r="AF133" i="1"/>
  <c r="AB133" i="1" s="1"/>
  <c r="AG133" i="1"/>
  <c r="AH133" i="1"/>
  <c r="CV133" i="1" s="1"/>
  <c r="U133" i="1" s="1"/>
  <c r="AI133" i="1"/>
  <c r="AJ133" i="1"/>
  <c r="CX133" i="1" s="1"/>
  <c r="W133" i="1" s="1"/>
  <c r="CQ133" i="1"/>
  <c r="P133" i="1" s="1"/>
  <c r="CS133" i="1"/>
  <c r="R133" i="1" s="1"/>
  <c r="GK133" i="1" s="1"/>
  <c r="CU133" i="1"/>
  <c r="T133" i="1" s="1"/>
  <c r="CW133" i="1"/>
  <c r="V133" i="1" s="1"/>
  <c r="FR133" i="1"/>
  <c r="GL133" i="1"/>
  <c r="GO133" i="1"/>
  <c r="GP133" i="1"/>
  <c r="GV133" i="1"/>
  <c r="GX133" i="1"/>
  <c r="C134" i="1"/>
  <c r="D134" i="1"/>
  <c r="I134" i="1"/>
  <c r="I136" i="1" s="1"/>
  <c r="AC134" i="1"/>
  <c r="AE134" i="1"/>
  <c r="CS134" i="1" s="1"/>
  <c r="R134" i="1" s="1"/>
  <c r="GK134" i="1" s="1"/>
  <c r="AF134" i="1"/>
  <c r="AG134" i="1"/>
  <c r="CU134" i="1" s="1"/>
  <c r="T134" i="1" s="1"/>
  <c r="AH134" i="1"/>
  <c r="AI134" i="1"/>
  <c r="CW134" i="1" s="1"/>
  <c r="V134" i="1" s="1"/>
  <c r="AJ134" i="1"/>
  <c r="CT134" i="1"/>
  <c r="S134" i="1" s="1"/>
  <c r="CV134" i="1"/>
  <c r="U134" i="1" s="1"/>
  <c r="CX134" i="1"/>
  <c r="W134" i="1" s="1"/>
  <c r="FR134" i="1"/>
  <c r="GL134" i="1"/>
  <c r="GO134" i="1"/>
  <c r="GP134" i="1"/>
  <c r="GV134" i="1"/>
  <c r="GX134" i="1" s="1"/>
  <c r="I135" i="1"/>
  <c r="V135" i="1" s="1"/>
  <c r="AC135" i="1"/>
  <c r="AD135" i="1"/>
  <c r="CR135" i="1" s="1"/>
  <c r="Q135" i="1" s="1"/>
  <c r="AE135" i="1"/>
  <c r="AF135" i="1"/>
  <c r="CT135" i="1" s="1"/>
  <c r="AG135" i="1"/>
  <c r="AH135" i="1"/>
  <c r="CV135" i="1" s="1"/>
  <c r="U135" i="1" s="1"/>
  <c r="AI135" i="1"/>
  <c r="AJ135" i="1"/>
  <c r="CX135" i="1" s="1"/>
  <c r="CQ135" i="1"/>
  <c r="P135" i="1" s="1"/>
  <c r="CS135" i="1"/>
  <c r="R135" i="1" s="1"/>
  <c r="GK135" i="1" s="1"/>
  <c r="CU135" i="1"/>
  <c r="CW135" i="1"/>
  <c r="FR135" i="1"/>
  <c r="GL135" i="1"/>
  <c r="GO135" i="1"/>
  <c r="GP135" i="1"/>
  <c r="GV135" i="1"/>
  <c r="U136" i="1"/>
  <c r="AC136" i="1"/>
  <c r="CQ136" i="1" s="1"/>
  <c r="P136" i="1" s="1"/>
  <c r="AE136" i="1"/>
  <c r="AF136" i="1"/>
  <c r="AG136" i="1"/>
  <c r="CU136" i="1" s="1"/>
  <c r="T136" i="1" s="1"/>
  <c r="AH136" i="1"/>
  <c r="AI136" i="1"/>
  <c r="CW136" i="1" s="1"/>
  <c r="V136" i="1" s="1"/>
  <c r="AJ136" i="1"/>
  <c r="CT136" i="1"/>
  <c r="S136" i="1" s="1"/>
  <c r="CV136" i="1"/>
  <c r="CX136" i="1"/>
  <c r="W136" i="1" s="1"/>
  <c r="FR136" i="1"/>
  <c r="GL136" i="1"/>
  <c r="GO136" i="1"/>
  <c r="GP136" i="1"/>
  <c r="GV136" i="1"/>
  <c r="GX136" i="1" s="1"/>
  <c r="C137" i="1"/>
  <c r="D137" i="1"/>
  <c r="I137" i="1"/>
  <c r="AC137" i="1"/>
  <c r="AD137" i="1"/>
  <c r="CR137" i="1" s="1"/>
  <c r="AE137" i="1"/>
  <c r="AF137" i="1"/>
  <c r="CT137" i="1" s="1"/>
  <c r="S137" i="1" s="1"/>
  <c r="AG137" i="1"/>
  <c r="AH137" i="1"/>
  <c r="CV137" i="1" s="1"/>
  <c r="AI137" i="1"/>
  <c r="AJ137" i="1"/>
  <c r="CX137" i="1" s="1"/>
  <c r="W137" i="1" s="1"/>
  <c r="CQ137" i="1"/>
  <c r="P137" i="1" s="1"/>
  <c r="CS137" i="1"/>
  <c r="R137" i="1" s="1"/>
  <c r="GK137" i="1" s="1"/>
  <c r="CU137" i="1"/>
  <c r="T137" i="1" s="1"/>
  <c r="CW137" i="1"/>
  <c r="V137" i="1" s="1"/>
  <c r="FR137" i="1"/>
  <c r="GL137" i="1"/>
  <c r="GO137" i="1"/>
  <c r="GP137" i="1"/>
  <c r="GV137" i="1"/>
  <c r="GX137" i="1"/>
  <c r="AC138" i="1"/>
  <c r="CQ138" i="1" s="1"/>
  <c r="AE138" i="1"/>
  <c r="AF138" i="1"/>
  <c r="AG138" i="1"/>
  <c r="CU138" i="1" s="1"/>
  <c r="AH138" i="1"/>
  <c r="AI138" i="1"/>
  <c r="CW138" i="1" s="1"/>
  <c r="AJ138" i="1"/>
  <c r="CT138" i="1"/>
  <c r="CV138" i="1"/>
  <c r="CX138" i="1"/>
  <c r="FR138" i="1"/>
  <c r="GL138" i="1"/>
  <c r="GO138" i="1"/>
  <c r="GP138" i="1"/>
  <c r="GV138" i="1"/>
  <c r="C139" i="1"/>
  <c r="D139" i="1"/>
  <c r="I139" i="1"/>
  <c r="V139" i="1" s="1"/>
  <c r="AC139" i="1"/>
  <c r="AD139" i="1"/>
  <c r="CR139" i="1" s="1"/>
  <c r="Q139" i="1" s="1"/>
  <c r="AE139" i="1"/>
  <c r="AF139" i="1"/>
  <c r="CT139" i="1" s="1"/>
  <c r="AG139" i="1"/>
  <c r="AH139" i="1"/>
  <c r="CV139" i="1" s="1"/>
  <c r="U139" i="1" s="1"/>
  <c r="AI139" i="1"/>
  <c r="AJ139" i="1"/>
  <c r="CX139" i="1" s="1"/>
  <c r="CQ139" i="1"/>
  <c r="P139" i="1" s="1"/>
  <c r="CS139" i="1"/>
  <c r="R139" i="1" s="1"/>
  <c r="GK139" i="1" s="1"/>
  <c r="CU139" i="1"/>
  <c r="CW139" i="1"/>
  <c r="FR139" i="1"/>
  <c r="GL139" i="1"/>
  <c r="GO139" i="1"/>
  <c r="GP139" i="1"/>
  <c r="GV139" i="1"/>
  <c r="AC140" i="1"/>
  <c r="CQ140" i="1" s="1"/>
  <c r="AE140" i="1"/>
  <c r="AF140" i="1"/>
  <c r="AG140" i="1"/>
  <c r="CU140" i="1" s="1"/>
  <c r="AH140" i="1"/>
  <c r="AI140" i="1"/>
  <c r="CW140" i="1" s="1"/>
  <c r="AJ140" i="1"/>
  <c r="CT140" i="1"/>
  <c r="CV140" i="1"/>
  <c r="CX140" i="1"/>
  <c r="FR140" i="1"/>
  <c r="GL140" i="1"/>
  <c r="GO140" i="1"/>
  <c r="GP140" i="1"/>
  <c r="GV140" i="1"/>
  <c r="AC141" i="1"/>
  <c r="AD141" i="1"/>
  <c r="AE141" i="1"/>
  <c r="AF141" i="1"/>
  <c r="CT141" i="1" s="1"/>
  <c r="AG141" i="1"/>
  <c r="AH141" i="1"/>
  <c r="CV141" i="1" s="1"/>
  <c r="AI141" i="1"/>
  <c r="AJ141" i="1"/>
  <c r="CX141" i="1" s="1"/>
  <c r="CQ141" i="1"/>
  <c r="CS141" i="1"/>
  <c r="CU141" i="1"/>
  <c r="CW141" i="1"/>
  <c r="FR141" i="1"/>
  <c r="GL141" i="1"/>
  <c r="GO141" i="1"/>
  <c r="GP141" i="1"/>
  <c r="GV141" i="1"/>
  <c r="C142" i="1"/>
  <c r="D142" i="1"/>
  <c r="I142" i="1"/>
  <c r="S142" i="1"/>
  <c r="AC142" i="1"/>
  <c r="AE142" i="1"/>
  <c r="AF142" i="1"/>
  <c r="AG142" i="1"/>
  <c r="CU142" i="1" s="1"/>
  <c r="T142" i="1" s="1"/>
  <c r="AH142" i="1"/>
  <c r="AI142" i="1"/>
  <c r="CW142" i="1" s="1"/>
  <c r="V142" i="1" s="1"/>
  <c r="AJ142" i="1"/>
  <c r="CT142" i="1"/>
  <c r="CV142" i="1"/>
  <c r="U142" i="1" s="1"/>
  <c r="CX142" i="1"/>
  <c r="W142" i="1" s="1"/>
  <c r="FR142" i="1"/>
  <c r="GL142" i="1"/>
  <c r="GO142" i="1"/>
  <c r="GP142" i="1"/>
  <c r="GV142" i="1"/>
  <c r="GX142" i="1" s="1"/>
  <c r="C143" i="1"/>
  <c r="D143" i="1"/>
  <c r="I143" i="1"/>
  <c r="P143" i="1"/>
  <c r="CP143" i="1" s="1"/>
  <c r="O143" i="1" s="1"/>
  <c r="AC143" i="1"/>
  <c r="AD143" i="1"/>
  <c r="CR143" i="1" s="1"/>
  <c r="Q143" i="1" s="1"/>
  <c r="AE143" i="1"/>
  <c r="AF143" i="1"/>
  <c r="CT143" i="1" s="1"/>
  <c r="S143" i="1" s="1"/>
  <c r="AG143" i="1"/>
  <c r="AH143" i="1"/>
  <c r="CV143" i="1" s="1"/>
  <c r="U143" i="1" s="1"/>
  <c r="AI143" i="1"/>
  <c r="AJ143" i="1"/>
  <c r="CX143" i="1" s="1"/>
  <c r="W143" i="1" s="1"/>
  <c r="CQ143" i="1"/>
  <c r="CS143" i="1"/>
  <c r="R143" i="1" s="1"/>
  <c r="GK143" i="1" s="1"/>
  <c r="CU143" i="1"/>
  <c r="T143" i="1" s="1"/>
  <c r="CW143" i="1"/>
  <c r="V143" i="1" s="1"/>
  <c r="FR143" i="1"/>
  <c r="GL143" i="1"/>
  <c r="GO143" i="1"/>
  <c r="GP143" i="1"/>
  <c r="GV143" i="1"/>
  <c r="GX143" i="1" s="1"/>
  <c r="AC144" i="1"/>
  <c r="AB144" i="1" s="1"/>
  <c r="AD144" i="1"/>
  <c r="CR144" i="1" s="1"/>
  <c r="AE144" i="1"/>
  <c r="CS144" i="1" s="1"/>
  <c r="AF144" i="1"/>
  <c r="AG144" i="1"/>
  <c r="AH144" i="1"/>
  <c r="AI144" i="1"/>
  <c r="CW144" i="1" s="1"/>
  <c r="AJ144" i="1"/>
  <c r="CT144" i="1"/>
  <c r="CU144" i="1"/>
  <c r="CV144" i="1"/>
  <c r="CX144" i="1"/>
  <c r="FR144" i="1"/>
  <c r="GL144" i="1"/>
  <c r="GO144" i="1"/>
  <c r="GP144" i="1"/>
  <c r="GV144" i="1"/>
  <c r="I145" i="1"/>
  <c r="T145" i="1" s="1"/>
  <c r="S145" i="1"/>
  <c r="AC145" i="1"/>
  <c r="AD145" i="1"/>
  <c r="CR145" i="1" s="1"/>
  <c r="AE145" i="1"/>
  <c r="AF145" i="1"/>
  <c r="AG145" i="1"/>
  <c r="AH145" i="1"/>
  <c r="CV145" i="1" s="1"/>
  <c r="AI145" i="1"/>
  <c r="AJ145" i="1"/>
  <c r="CQ145" i="1"/>
  <c r="P145" i="1" s="1"/>
  <c r="CS145" i="1"/>
  <c r="R145" i="1" s="1"/>
  <c r="GK145" i="1" s="1"/>
  <c r="CT145" i="1"/>
  <c r="CU145" i="1"/>
  <c r="CW145" i="1"/>
  <c r="V145" i="1" s="1"/>
  <c r="CX145" i="1"/>
  <c r="W145" i="1" s="1"/>
  <c r="FR145" i="1"/>
  <c r="GL145" i="1"/>
  <c r="GO145" i="1"/>
  <c r="GP145" i="1"/>
  <c r="GV145" i="1"/>
  <c r="C146" i="1"/>
  <c r="D146" i="1"/>
  <c r="I146" i="1"/>
  <c r="S146" i="1"/>
  <c r="CY146" i="1" s="1"/>
  <c r="X146" i="1" s="1"/>
  <c r="T146" i="1"/>
  <c r="AC146" i="1"/>
  <c r="AE146" i="1"/>
  <c r="CS146" i="1" s="1"/>
  <c r="R146" i="1" s="1"/>
  <c r="AF146" i="1"/>
  <c r="AG146" i="1"/>
  <c r="AH146" i="1"/>
  <c r="AI146" i="1"/>
  <c r="CW146" i="1" s="1"/>
  <c r="V146" i="1" s="1"/>
  <c r="AJ146" i="1"/>
  <c r="CQ146" i="1"/>
  <c r="P146" i="1" s="1"/>
  <c r="CT146" i="1"/>
  <c r="CU146" i="1"/>
  <c r="CV146" i="1"/>
  <c r="U146" i="1" s="1"/>
  <c r="CX146" i="1"/>
  <c r="W146" i="1" s="1"/>
  <c r="FR146" i="1"/>
  <c r="GK146" i="1"/>
  <c r="GL146" i="1"/>
  <c r="GO146" i="1"/>
  <c r="GP146" i="1"/>
  <c r="GV146" i="1"/>
  <c r="GX146" i="1" s="1"/>
  <c r="I147" i="1"/>
  <c r="R147" i="1"/>
  <c r="V147" i="1"/>
  <c r="AC147" i="1"/>
  <c r="AB147" i="1" s="1"/>
  <c r="AD147" i="1"/>
  <c r="CR147" i="1" s="1"/>
  <c r="Q147" i="1" s="1"/>
  <c r="AE147" i="1"/>
  <c r="AF147" i="1"/>
  <c r="AG147" i="1"/>
  <c r="AH147" i="1"/>
  <c r="CV147" i="1" s="1"/>
  <c r="U147" i="1" s="1"/>
  <c r="AI147" i="1"/>
  <c r="AJ147" i="1"/>
  <c r="CX147" i="1" s="1"/>
  <c r="W147" i="1" s="1"/>
  <c r="CS147" i="1"/>
  <c r="CT147" i="1"/>
  <c r="S147" i="1" s="1"/>
  <c r="CU147" i="1"/>
  <c r="T147" i="1" s="1"/>
  <c r="CW147" i="1"/>
  <c r="FR147" i="1"/>
  <c r="GK147" i="1"/>
  <c r="GL147" i="1"/>
  <c r="GO147" i="1"/>
  <c r="GP147" i="1"/>
  <c r="GV147" i="1"/>
  <c r="GX147" i="1"/>
  <c r="I148" i="1"/>
  <c r="AC148" i="1"/>
  <c r="CQ148" i="1" s="1"/>
  <c r="AE148" i="1"/>
  <c r="AD148" i="1" s="1"/>
  <c r="AB148" i="1" s="1"/>
  <c r="AF148" i="1"/>
  <c r="AG148" i="1"/>
  <c r="CU148" i="1" s="1"/>
  <c r="AH148" i="1"/>
  <c r="AI148" i="1"/>
  <c r="CW148" i="1" s="1"/>
  <c r="V148" i="1" s="1"/>
  <c r="AJ148" i="1"/>
  <c r="CX148" i="1" s="1"/>
  <c r="W148" i="1" s="1"/>
  <c r="CS148" i="1"/>
  <c r="R148" i="1" s="1"/>
  <c r="GK148" i="1" s="1"/>
  <c r="CT148" i="1"/>
  <c r="S148" i="1" s="1"/>
  <c r="CV148" i="1"/>
  <c r="U148" i="1" s="1"/>
  <c r="FR148" i="1"/>
  <c r="GL148" i="1"/>
  <c r="GO148" i="1"/>
  <c r="GP148" i="1"/>
  <c r="GV148" i="1"/>
  <c r="GX148" i="1" s="1"/>
  <c r="I149" i="1"/>
  <c r="Q149" i="1"/>
  <c r="R149" i="1"/>
  <c r="GK149" i="1" s="1"/>
  <c r="V149" i="1"/>
  <c r="AC149" i="1"/>
  <c r="AD149" i="1"/>
  <c r="AB149" i="1" s="1"/>
  <c r="AE149" i="1"/>
  <c r="AF149" i="1"/>
  <c r="CT149" i="1" s="1"/>
  <c r="S149" i="1" s="1"/>
  <c r="CY149" i="1" s="1"/>
  <c r="X149" i="1" s="1"/>
  <c r="AG149" i="1"/>
  <c r="AH149" i="1"/>
  <c r="AI149" i="1"/>
  <c r="AJ149" i="1"/>
  <c r="CX149" i="1" s="1"/>
  <c r="W149" i="1" s="1"/>
  <c r="CQ149" i="1"/>
  <c r="P149" i="1" s="1"/>
  <c r="CP149" i="1" s="1"/>
  <c r="O149" i="1" s="1"/>
  <c r="CR149" i="1"/>
  <c r="CS149" i="1"/>
  <c r="CU149" i="1"/>
  <c r="T149" i="1" s="1"/>
  <c r="CV149" i="1"/>
  <c r="U149" i="1" s="1"/>
  <c r="CW149" i="1"/>
  <c r="CZ149" i="1"/>
  <c r="Y149" i="1" s="1"/>
  <c r="FR149" i="1"/>
  <c r="GL149" i="1"/>
  <c r="GO149" i="1"/>
  <c r="GP149" i="1"/>
  <c r="GV149" i="1"/>
  <c r="GX149" i="1"/>
  <c r="I150" i="1"/>
  <c r="T150" i="1"/>
  <c r="AC150" i="1"/>
  <c r="AE150" i="1"/>
  <c r="CS150" i="1" s="1"/>
  <c r="R150" i="1" s="1"/>
  <c r="AF150" i="1"/>
  <c r="AG150" i="1"/>
  <c r="AH150" i="1"/>
  <c r="AI150" i="1"/>
  <c r="CW150" i="1" s="1"/>
  <c r="V150" i="1" s="1"/>
  <c r="AJ150" i="1"/>
  <c r="CQ150" i="1"/>
  <c r="P150" i="1" s="1"/>
  <c r="CT150" i="1"/>
  <c r="S150" i="1" s="1"/>
  <c r="CU150" i="1"/>
  <c r="CV150" i="1"/>
  <c r="U150" i="1" s="1"/>
  <c r="CX150" i="1"/>
  <c r="W150" i="1" s="1"/>
  <c r="FR150" i="1"/>
  <c r="GK150" i="1"/>
  <c r="GL150" i="1"/>
  <c r="GO150" i="1"/>
  <c r="GP150" i="1"/>
  <c r="GV150" i="1"/>
  <c r="GX150" i="1" s="1"/>
  <c r="I151" i="1"/>
  <c r="R151" i="1"/>
  <c r="AC151" i="1"/>
  <c r="AB151" i="1" s="1"/>
  <c r="AD151" i="1"/>
  <c r="CR151" i="1" s="1"/>
  <c r="Q151" i="1" s="1"/>
  <c r="AE151" i="1"/>
  <c r="AF151" i="1"/>
  <c r="AG151" i="1"/>
  <c r="AH151" i="1"/>
  <c r="CV151" i="1" s="1"/>
  <c r="U151" i="1" s="1"/>
  <c r="AI151" i="1"/>
  <c r="AJ151" i="1"/>
  <c r="CX151" i="1" s="1"/>
  <c r="W151" i="1" s="1"/>
  <c r="CQ151" i="1"/>
  <c r="P151" i="1" s="1"/>
  <c r="CS151" i="1"/>
  <c r="CT151" i="1"/>
  <c r="S151" i="1" s="1"/>
  <c r="CU151" i="1"/>
  <c r="T151" i="1" s="1"/>
  <c r="CW151" i="1"/>
  <c r="V151" i="1" s="1"/>
  <c r="FR151" i="1"/>
  <c r="GK151" i="1"/>
  <c r="GL151" i="1"/>
  <c r="GO151" i="1"/>
  <c r="GP151" i="1"/>
  <c r="GV151" i="1"/>
  <c r="GX151" i="1"/>
  <c r="I152" i="1"/>
  <c r="AB152" i="1"/>
  <c r="AC152" i="1"/>
  <c r="CQ152" i="1" s="1"/>
  <c r="AE152" i="1"/>
  <c r="AD152" i="1" s="1"/>
  <c r="CR152" i="1" s="1"/>
  <c r="Q152" i="1" s="1"/>
  <c r="AF152" i="1"/>
  <c r="AG152" i="1"/>
  <c r="CU152" i="1" s="1"/>
  <c r="T152" i="1" s="1"/>
  <c r="AH152" i="1"/>
  <c r="AI152" i="1"/>
  <c r="CW152" i="1" s="1"/>
  <c r="V152" i="1" s="1"/>
  <c r="AJ152" i="1"/>
  <c r="CX152" i="1" s="1"/>
  <c r="W152" i="1" s="1"/>
  <c r="CS152" i="1"/>
  <c r="R152" i="1" s="1"/>
  <c r="GK152" i="1" s="1"/>
  <c r="CT152" i="1"/>
  <c r="S152" i="1" s="1"/>
  <c r="CV152" i="1"/>
  <c r="U152" i="1" s="1"/>
  <c r="FR152" i="1"/>
  <c r="GL152" i="1"/>
  <c r="GO152" i="1"/>
  <c r="GP152" i="1"/>
  <c r="GV152" i="1"/>
  <c r="GX152" i="1"/>
  <c r="C153" i="1"/>
  <c r="D153" i="1"/>
  <c r="U153" i="1"/>
  <c r="AC153" i="1"/>
  <c r="CQ153" i="1" s="1"/>
  <c r="P153" i="1" s="1"/>
  <c r="AE153" i="1"/>
  <c r="CS153" i="1" s="1"/>
  <c r="R153" i="1" s="1"/>
  <c r="AF153" i="1"/>
  <c r="AG153" i="1"/>
  <c r="AH153" i="1"/>
  <c r="AI153" i="1"/>
  <c r="CW153" i="1" s="1"/>
  <c r="V153" i="1" s="1"/>
  <c r="AJ153" i="1"/>
  <c r="CT153" i="1"/>
  <c r="S153" i="1" s="1"/>
  <c r="CU153" i="1"/>
  <c r="T153" i="1" s="1"/>
  <c r="CV153" i="1"/>
  <c r="CX153" i="1"/>
  <c r="W153" i="1" s="1"/>
  <c r="FR153" i="1"/>
  <c r="GK153" i="1"/>
  <c r="GL153" i="1"/>
  <c r="GO153" i="1"/>
  <c r="GP153" i="1"/>
  <c r="GV153" i="1"/>
  <c r="GX153" i="1" s="1"/>
  <c r="I154" i="1"/>
  <c r="GX154" i="1" s="1"/>
  <c r="S154" i="1"/>
  <c r="CY154" i="1" s="1"/>
  <c r="X154" i="1" s="1"/>
  <c r="AC154" i="1"/>
  <c r="AB154" i="1" s="1"/>
  <c r="AD154" i="1"/>
  <c r="CR154" i="1" s="1"/>
  <c r="Q154" i="1" s="1"/>
  <c r="AE154" i="1"/>
  <c r="AF154" i="1"/>
  <c r="AG154" i="1"/>
  <c r="AH154" i="1"/>
  <c r="CV154" i="1" s="1"/>
  <c r="U154" i="1" s="1"/>
  <c r="AI154" i="1"/>
  <c r="AJ154" i="1"/>
  <c r="CQ154" i="1"/>
  <c r="P154" i="1" s="1"/>
  <c r="CP154" i="1" s="1"/>
  <c r="O154" i="1" s="1"/>
  <c r="CS154" i="1"/>
  <c r="R154" i="1" s="1"/>
  <c r="GK154" i="1" s="1"/>
  <c r="CT154" i="1"/>
  <c r="CU154" i="1"/>
  <c r="T154" i="1" s="1"/>
  <c r="CW154" i="1"/>
  <c r="V154" i="1" s="1"/>
  <c r="CX154" i="1"/>
  <c r="W154" i="1" s="1"/>
  <c r="FR154" i="1"/>
  <c r="GL154" i="1"/>
  <c r="GO154" i="1"/>
  <c r="GP154" i="1"/>
  <c r="GV154" i="1"/>
  <c r="I155" i="1"/>
  <c r="AC155" i="1"/>
  <c r="CQ155" i="1" s="1"/>
  <c r="P155" i="1" s="1"/>
  <c r="AE155" i="1"/>
  <c r="AD155" i="1" s="1"/>
  <c r="AF155" i="1"/>
  <c r="AG155" i="1"/>
  <c r="CU155" i="1" s="1"/>
  <c r="T155" i="1" s="1"/>
  <c r="AH155" i="1"/>
  <c r="AI155" i="1"/>
  <c r="AJ155" i="1"/>
  <c r="CX155" i="1" s="1"/>
  <c r="W155" i="1" s="1"/>
  <c r="CR155" i="1"/>
  <c r="Q155" i="1" s="1"/>
  <c r="CS155" i="1"/>
  <c r="R155" i="1" s="1"/>
  <c r="GK155" i="1" s="1"/>
  <c r="CT155" i="1"/>
  <c r="S155" i="1" s="1"/>
  <c r="CV155" i="1"/>
  <c r="U155" i="1" s="1"/>
  <c r="CW155" i="1"/>
  <c r="V155" i="1" s="1"/>
  <c r="FR155" i="1"/>
  <c r="GL155" i="1"/>
  <c r="GO155" i="1"/>
  <c r="GP155" i="1"/>
  <c r="GV155" i="1"/>
  <c r="GX155" i="1"/>
  <c r="C156" i="1"/>
  <c r="D156" i="1"/>
  <c r="I156" i="1"/>
  <c r="V156" i="1"/>
  <c r="AC156" i="1"/>
  <c r="AB156" i="1" s="1"/>
  <c r="AD156" i="1"/>
  <c r="CR156" i="1" s="1"/>
  <c r="AE156" i="1"/>
  <c r="AF156" i="1"/>
  <c r="AG156" i="1"/>
  <c r="AH156" i="1"/>
  <c r="CV156" i="1" s="1"/>
  <c r="AI156" i="1"/>
  <c r="AJ156" i="1"/>
  <c r="CX156" i="1" s="1"/>
  <c r="W156" i="1" s="1"/>
  <c r="CS156" i="1"/>
  <c r="R156" i="1" s="1"/>
  <c r="GK156" i="1" s="1"/>
  <c r="CT156" i="1"/>
  <c r="S156" i="1" s="1"/>
  <c r="CU156" i="1"/>
  <c r="T156" i="1" s="1"/>
  <c r="CW156" i="1"/>
  <c r="FR156" i="1"/>
  <c r="GL156" i="1"/>
  <c r="GO156" i="1"/>
  <c r="GP156" i="1"/>
  <c r="GV156" i="1"/>
  <c r="GX156" i="1"/>
  <c r="I157" i="1"/>
  <c r="AC157" i="1"/>
  <c r="CQ157" i="1" s="1"/>
  <c r="AE157" i="1"/>
  <c r="AD157" i="1" s="1"/>
  <c r="CR157" i="1" s="1"/>
  <c r="Q157" i="1" s="1"/>
  <c r="AF157" i="1"/>
  <c r="AG157" i="1"/>
  <c r="CU157" i="1" s="1"/>
  <c r="AH157" i="1"/>
  <c r="AI157" i="1"/>
  <c r="CW157" i="1" s="1"/>
  <c r="V157" i="1" s="1"/>
  <c r="AJ157" i="1"/>
  <c r="CS157" i="1"/>
  <c r="R157" i="1" s="1"/>
  <c r="GK157" i="1" s="1"/>
  <c r="CT157" i="1"/>
  <c r="S157" i="1" s="1"/>
  <c r="CV157" i="1"/>
  <c r="U157" i="1" s="1"/>
  <c r="CX157" i="1"/>
  <c r="W157" i="1" s="1"/>
  <c r="FR157" i="1"/>
  <c r="GL157" i="1"/>
  <c r="GO157" i="1"/>
  <c r="GP157" i="1"/>
  <c r="GV157" i="1"/>
  <c r="GX157" i="1" s="1"/>
  <c r="I158" i="1"/>
  <c r="AC158" i="1"/>
  <c r="AE158" i="1"/>
  <c r="AD158" i="1" s="1"/>
  <c r="AF158" i="1"/>
  <c r="CT158" i="1" s="1"/>
  <c r="S158" i="1" s="1"/>
  <c r="AG158" i="1"/>
  <c r="AH158" i="1"/>
  <c r="AI158" i="1"/>
  <c r="CW158" i="1" s="1"/>
  <c r="V158" i="1" s="1"/>
  <c r="AJ158" i="1"/>
  <c r="CX158" i="1" s="1"/>
  <c r="W158" i="1" s="1"/>
  <c r="CQ158" i="1"/>
  <c r="P158" i="1" s="1"/>
  <c r="CS158" i="1"/>
  <c r="R158" i="1" s="1"/>
  <c r="CU158" i="1"/>
  <c r="T158" i="1" s="1"/>
  <c r="CV158" i="1"/>
  <c r="U158" i="1" s="1"/>
  <c r="FR158" i="1"/>
  <c r="GL158" i="1"/>
  <c r="GO158" i="1"/>
  <c r="GP158" i="1"/>
  <c r="GV158" i="1"/>
  <c r="GX158" i="1"/>
  <c r="C159" i="1"/>
  <c r="D159" i="1"/>
  <c r="I159" i="1"/>
  <c r="AB159" i="1"/>
  <c r="AC159" i="1"/>
  <c r="CQ159" i="1" s="1"/>
  <c r="P159" i="1" s="1"/>
  <c r="AE159" i="1"/>
  <c r="AD159" i="1" s="1"/>
  <c r="AF159" i="1"/>
  <c r="AG159" i="1"/>
  <c r="CU159" i="1" s="1"/>
  <c r="T159" i="1" s="1"/>
  <c r="AH159" i="1"/>
  <c r="AI159" i="1"/>
  <c r="AJ159" i="1"/>
  <c r="CX159" i="1" s="1"/>
  <c r="W159" i="1" s="1"/>
  <c r="CR159" i="1"/>
  <c r="Q159" i="1" s="1"/>
  <c r="CP159" i="1" s="1"/>
  <c r="O159" i="1" s="1"/>
  <c r="CS159" i="1"/>
  <c r="R159" i="1" s="1"/>
  <c r="GK159" i="1" s="1"/>
  <c r="CT159" i="1"/>
  <c r="S159" i="1" s="1"/>
  <c r="CV159" i="1"/>
  <c r="U159" i="1" s="1"/>
  <c r="CW159" i="1"/>
  <c r="V159" i="1" s="1"/>
  <c r="FR159" i="1"/>
  <c r="GL159" i="1"/>
  <c r="GO159" i="1"/>
  <c r="GP159" i="1"/>
  <c r="GV159" i="1"/>
  <c r="GX159" i="1"/>
  <c r="I160" i="1"/>
  <c r="R160" i="1"/>
  <c r="GK160" i="1" s="1"/>
  <c r="T160" i="1"/>
  <c r="AC160" i="1"/>
  <c r="AD160" i="1"/>
  <c r="AB160" i="1" s="1"/>
  <c r="AE160" i="1"/>
  <c r="AF160" i="1"/>
  <c r="CT160" i="1" s="1"/>
  <c r="AG160" i="1"/>
  <c r="AH160" i="1"/>
  <c r="CV160" i="1" s="1"/>
  <c r="U160" i="1" s="1"/>
  <c r="AI160" i="1"/>
  <c r="AJ160" i="1"/>
  <c r="CX160" i="1" s="1"/>
  <c r="CQ160" i="1"/>
  <c r="P160" i="1" s="1"/>
  <c r="CR160" i="1"/>
  <c r="Q160" i="1" s="1"/>
  <c r="CS160" i="1"/>
  <c r="CU160" i="1"/>
  <c r="CW160" i="1"/>
  <c r="V160" i="1" s="1"/>
  <c r="FR160" i="1"/>
  <c r="GL160" i="1"/>
  <c r="GO160" i="1"/>
  <c r="GP160" i="1"/>
  <c r="GV160" i="1"/>
  <c r="GX160" i="1" s="1"/>
  <c r="AC161" i="1"/>
  <c r="AB161" i="1" s="1"/>
  <c r="AD161" i="1"/>
  <c r="CR161" i="1" s="1"/>
  <c r="AE161" i="1"/>
  <c r="CS161" i="1" s="1"/>
  <c r="AF161" i="1"/>
  <c r="AG161" i="1"/>
  <c r="AH161" i="1"/>
  <c r="AI161" i="1"/>
  <c r="CW161" i="1" s="1"/>
  <c r="AJ161" i="1"/>
  <c r="CT161" i="1"/>
  <c r="CU161" i="1"/>
  <c r="CV161" i="1"/>
  <c r="CX161" i="1"/>
  <c r="FR161" i="1"/>
  <c r="GL161" i="1"/>
  <c r="GO161" i="1"/>
  <c r="GP161" i="1"/>
  <c r="GV161" i="1"/>
  <c r="C162" i="1"/>
  <c r="D162" i="1"/>
  <c r="I162" i="1"/>
  <c r="Q162" i="1"/>
  <c r="R162" i="1"/>
  <c r="GK162" i="1" s="1"/>
  <c r="V162" i="1"/>
  <c r="AC162" i="1"/>
  <c r="AD162" i="1"/>
  <c r="AB162" i="1" s="1"/>
  <c r="AE162" i="1"/>
  <c r="AF162" i="1"/>
  <c r="CT162" i="1" s="1"/>
  <c r="S162" i="1" s="1"/>
  <c r="CY162" i="1" s="1"/>
  <c r="X162" i="1" s="1"/>
  <c r="AG162" i="1"/>
  <c r="AH162" i="1"/>
  <c r="AI162" i="1"/>
  <c r="AJ162" i="1"/>
  <c r="CX162" i="1" s="1"/>
  <c r="W162" i="1" s="1"/>
  <c r="CQ162" i="1"/>
  <c r="P162" i="1" s="1"/>
  <c r="CP162" i="1" s="1"/>
  <c r="O162" i="1" s="1"/>
  <c r="CR162" i="1"/>
  <c r="CS162" i="1"/>
  <c r="CU162" i="1"/>
  <c r="T162" i="1" s="1"/>
  <c r="CV162" i="1"/>
  <c r="U162" i="1" s="1"/>
  <c r="CW162" i="1"/>
  <c r="CZ162" i="1"/>
  <c r="Y162" i="1" s="1"/>
  <c r="FR162" i="1"/>
  <c r="GL162" i="1"/>
  <c r="GO162" i="1"/>
  <c r="GP162" i="1"/>
  <c r="GV162" i="1"/>
  <c r="GX162" i="1"/>
  <c r="C163" i="1"/>
  <c r="D163" i="1"/>
  <c r="I163" i="1"/>
  <c r="AC163" i="1"/>
  <c r="CQ163" i="1" s="1"/>
  <c r="P163" i="1" s="1"/>
  <c r="AE163" i="1"/>
  <c r="AD163" i="1" s="1"/>
  <c r="AF163" i="1"/>
  <c r="AG163" i="1"/>
  <c r="CU163" i="1" s="1"/>
  <c r="T163" i="1" s="1"/>
  <c r="AH163" i="1"/>
  <c r="AI163" i="1"/>
  <c r="AJ163" i="1"/>
  <c r="CR163" i="1"/>
  <c r="Q163" i="1" s="1"/>
  <c r="CS163" i="1"/>
  <c r="R163" i="1" s="1"/>
  <c r="GK163" i="1" s="1"/>
  <c r="CT163" i="1"/>
  <c r="S163" i="1" s="1"/>
  <c r="CV163" i="1"/>
  <c r="U163" i="1" s="1"/>
  <c r="CW163" i="1"/>
  <c r="V163" i="1" s="1"/>
  <c r="CX163" i="1"/>
  <c r="W163" i="1" s="1"/>
  <c r="FR163" i="1"/>
  <c r="GL163" i="1"/>
  <c r="GO163" i="1"/>
  <c r="GP163" i="1"/>
  <c r="GV163" i="1"/>
  <c r="GX163" i="1"/>
  <c r="C164" i="1"/>
  <c r="D164" i="1"/>
  <c r="I164" i="1"/>
  <c r="AC164" i="1"/>
  <c r="AB164" i="1" s="1"/>
  <c r="AD164" i="1"/>
  <c r="CR164" i="1" s="1"/>
  <c r="Q164" i="1" s="1"/>
  <c r="AE164" i="1"/>
  <c r="CS164" i="1" s="1"/>
  <c r="R164" i="1" s="1"/>
  <c r="GK164" i="1" s="1"/>
  <c r="AF164" i="1"/>
  <c r="AG164" i="1"/>
  <c r="AH164" i="1"/>
  <c r="CV164" i="1" s="1"/>
  <c r="U164" i="1" s="1"/>
  <c r="AI164" i="1"/>
  <c r="CW164" i="1" s="1"/>
  <c r="V164" i="1" s="1"/>
  <c r="AJ164" i="1"/>
  <c r="CQ164" i="1"/>
  <c r="P164" i="1" s="1"/>
  <c r="CP164" i="1" s="1"/>
  <c r="O164" i="1" s="1"/>
  <c r="CT164" i="1"/>
  <c r="S164" i="1" s="1"/>
  <c r="CU164" i="1"/>
  <c r="T164" i="1" s="1"/>
  <c r="CX164" i="1"/>
  <c r="W164" i="1" s="1"/>
  <c r="FR164" i="1"/>
  <c r="GL164" i="1"/>
  <c r="GO164" i="1"/>
  <c r="GP164" i="1"/>
  <c r="GV164" i="1"/>
  <c r="GX164" i="1" s="1"/>
  <c r="I165" i="1"/>
  <c r="AC165" i="1"/>
  <c r="AB165" i="1" s="1"/>
  <c r="AD165" i="1"/>
  <c r="CR165" i="1" s="1"/>
  <c r="Q165" i="1" s="1"/>
  <c r="AE165" i="1"/>
  <c r="AF165" i="1"/>
  <c r="AG165" i="1"/>
  <c r="CU165" i="1" s="1"/>
  <c r="T165" i="1" s="1"/>
  <c r="AH165" i="1"/>
  <c r="CV165" i="1" s="1"/>
  <c r="U165" i="1" s="1"/>
  <c r="AI165" i="1"/>
  <c r="AJ165" i="1"/>
  <c r="CS165" i="1"/>
  <c r="R165" i="1" s="1"/>
  <c r="GK165" i="1" s="1"/>
  <c r="CT165" i="1"/>
  <c r="S165" i="1" s="1"/>
  <c r="CW165" i="1"/>
  <c r="V165" i="1" s="1"/>
  <c r="CX165" i="1"/>
  <c r="W165" i="1" s="1"/>
  <c r="FR165" i="1"/>
  <c r="GL165" i="1"/>
  <c r="GO165" i="1"/>
  <c r="GP165" i="1"/>
  <c r="GV165" i="1"/>
  <c r="GX165" i="1"/>
  <c r="I166" i="1"/>
  <c r="AC166" i="1"/>
  <c r="CQ166" i="1" s="1"/>
  <c r="P166" i="1" s="1"/>
  <c r="AE166" i="1"/>
  <c r="AD166" i="1" s="1"/>
  <c r="AF166" i="1"/>
  <c r="CT166" i="1" s="1"/>
  <c r="S166" i="1" s="1"/>
  <c r="AG166" i="1"/>
  <c r="CU166" i="1" s="1"/>
  <c r="T166" i="1" s="1"/>
  <c r="AH166" i="1"/>
  <c r="AI166" i="1"/>
  <c r="AJ166" i="1"/>
  <c r="CX166" i="1" s="1"/>
  <c r="W166" i="1" s="1"/>
  <c r="CS166" i="1"/>
  <c r="R166" i="1" s="1"/>
  <c r="GK166" i="1" s="1"/>
  <c r="CV166" i="1"/>
  <c r="U166" i="1" s="1"/>
  <c r="CW166" i="1"/>
  <c r="V166" i="1" s="1"/>
  <c r="FR166" i="1"/>
  <c r="GL166" i="1"/>
  <c r="GO166" i="1"/>
  <c r="GP166" i="1"/>
  <c r="GV166" i="1"/>
  <c r="GX166" i="1"/>
  <c r="I167" i="1"/>
  <c r="AC167" i="1"/>
  <c r="AE167" i="1"/>
  <c r="AD167" i="1" s="1"/>
  <c r="AF167" i="1"/>
  <c r="CT167" i="1" s="1"/>
  <c r="S167" i="1" s="1"/>
  <c r="AG167" i="1"/>
  <c r="AH167" i="1"/>
  <c r="AI167" i="1"/>
  <c r="CW167" i="1" s="1"/>
  <c r="V167" i="1" s="1"/>
  <c r="AJ167" i="1"/>
  <c r="CX167" i="1" s="1"/>
  <c r="W167" i="1" s="1"/>
  <c r="CQ167" i="1"/>
  <c r="P167" i="1" s="1"/>
  <c r="CU167" i="1"/>
  <c r="T167" i="1" s="1"/>
  <c r="CV167" i="1"/>
  <c r="U167" i="1" s="1"/>
  <c r="FR167" i="1"/>
  <c r="GL167" i="1"/>
  <c r="GO167" i="1"/>
  <c r="GP167" i="1"/>
  <c r="GV167" i="1"/>
  <c r="GX167" i="1" s="1"/>
  <c r="I168" i="1"/>
  <c r="AC168" i="1"/>
  <c r="AB168" i="1" s="1"/>
  <c r="AD168" i="1"/>
  <c r="CR168" i="1" s="1"/>
  <c r="Q168" i="1" s="1"/>
  <c r="AE168" i="1"/>
  <c r="CS168" i="1" s="1"/>
  <c r="R168" i="1" s="1"/>
  <c r="GK168" i="1" s="1"/>
  <c r="AF168" i="1"/>
  <c r="AG168" i="1"/>
  <c r="AH168" i="1"/>
  <c r="CV168" i="1" s="1"/>
  <c r="U168" i="1" s="1"/>
  <c r="AI168" i="1"/>
  <c r="CW168" i="1" s="1"/>
  <c r="V168" i="1" s="1"/>
  <c r="AJ168" i="1"/>
  <c r="CQ168" i="1"/>
  <c r="P168" i="1" s="1"/>
  <c r="CP168" i="1" s="1"/>
  <c r="O168" i="1" s="1"/>
  <c r="CT168" i="1"/>
  <c r="S168" i="1" s="1"/>
  <c r="CU168" i="1"/>
  <c r="T168" i="1" s="1"/>
  <c r="CX168" i="1"/>
  <c r="W168" i="1" s="1"/>
  <c r="FR168" i="1"/>
  <c r="GL168" i="1"/>
  <c r="GO168" i="1"/>
  <c r="GP168" i="1"/>
  <c r="GV168" i="1"/>
  <c r="GX168" i="1" s="1"/>
  <c r="I169" i="1"/>
  <c r="AC169" i="1"/>
  <c r="AB169" i="1" s="1"/>
  <c r="AD169" i="1"/>
  <c r="CR169" i="1" s="1"/>
  <c r="Q169" i="1" s="1"/>
  <c r="AE169" i="1"/>
  <c r="AF169" i="1"/>
  <c r="AG169" i="1"/>
  <c r="CU169" i="1" s="1"/>
  <c r="T169" i="1" s="1"/>
  <c r="AH169" i="1"/>
  <c r="CV169" i="1" s="1"/>
  <c r="U169" i="1" s="1"/>
  <c r="AI169" i="1"/>
  <c r="AJ169" i="1"/>
  <c r="CS169" i="1"/>
  <c r="R169" i="1" s="1"/>
  <c r="GK169" i="1" s="1"/>
  <c r="CT169" i="1"/>
  <c r="S169" i="1" s="1"/>
  <c r="CW169" i="1"/>
  <c r="V169" i="1" s="1"/>
  <c r="CX169" i="1"/>
  <c r="W169" i="1" s="1"/>
  <c r="FR169" i="1"/>
  <c r="GL169" i="1"/>
  <c r="GO169" i="1"/>
  <c r="GP169" i="1"/>
  <c r="GV169" i="1"/>
  <c r="GX169" i="1"/>
  <c r="C170" i="1"/>
  <c r="D170" i="1"/>
  <c r="I170" i="1"/>
  <c r="AC170" i="1"/>
  <c r="AB170" i="1" s="1"/>
  <c r="AD170" i="1"/>
  <c r="CR170" i="1" s="1"/>
  <c r="Q170" i="1" s="1"/>
  <c r="AE170" i="1"/>
  <c r="CS170" i="1" s="1"/>
  <c r="R170" i="1" s="1"/>
  <c r="GK170" i="1" s="1"/>
  <c r="AF170" i="1"/>
  <c r="AG170" i="1"/>
  <c r="AH170" i="1"/>
  <c r="CV170" i="1" s="1"/>
  <c r="U170" i="1" s="1"/>
  <c r="AI170" i="1"/>
  <c r="CW170" i="1" s="1"/>
  <c r="V170" i="1" s="1"/>
  <c r="AJ170" i="1"/>
  <c r="CQ170" i="1"/>
  <c r="P170" i="1" s="1"/>
  <c r="CT170" i="1"/>
  <c r="S170" i="1" s="1"/>
  <c r="CU170" i="1"/>
  <c r="T170" i="1" s="1"/>
  <c r="CX170" i="1"/>
  <c r="W170" i="1" s="1"/>
  <c r="FR170" i="1"/>
  <c r="GL170" i="1"/>
  <c r="GO170" i="1"/>
  <c r="GP170" i="1"/>
  <c r="GV170" i="1"/>
  <c r="GX170" i="1" s="1"/>
  <c r="C171" i="1"/>
  <c r="D171" i="1"/>
  <c r="I171" i="1"/>
  <c r="I172" i="1" s="1"/>
  <c r="AC171" i="1"/>
  <c r="AE171" i="1"/>
  <c r="AD171" i="1" s="1"/>
  <c r="AF171" i="1"/>
  <c r="CT171" i="1" s="1"/>
  <c r="S171" i="1" s="1"/>
  <c r="AG171" i="1"/>
  <c r="AH171" i="1"/>
  <c r="AI171" i="1"/>
  <c r="CW171" i="1" s="1"/>
  <c r="V171" i="1" s="1"/>
  <c r="AJ171" i="1"/>
  <c r="CX171" i="1" s="1"/>
  <c r="W171" i="1" s="1"/>
  <c r="CQ171" i="1"/>
  <c r="P171" i="1" s="1"/>
  <c r="CU171" i="1"/>
  <c r="T171" i="1" s="1"/>
  <c r="CV171" i="1"/>
  <c r="U171" i="1" s="1"/>
  <c r="FR171" i="1"/>
  <c r="GL171" i="1"/>
  <c r="GO171" i="1"/>
  <c r="GP171" i="1"/>
  <c r="GV171" i="1"/>
  <c r="GX171" i="1" s="1"/>
  <c r="AC172" i="1"/>
  <c r="AB172" i="1" s="1"/>
  <c r="AD172" i="1"/>
  <c r="CR172" i="1" s="1"/>
  <c r="AE172" i="1"/>
  <c r="CS172" i="1" s="1"/>
  <c r="R172" i="1" s="1"/>
  <c r="GK172" i="1" s="1"/>
  <c r="AF172" i="1"/>
  <c r="AG172" i="1"/>
  <c r="AH172" i="1"/>
  <c r="CV172" i="1" s="1"/>
  <c r="AI172" i="1"/>
  <c r="CW172" i="1" s="1"/>
  <c r="V172" i="1" s="1"/>
  <c r="AJ172" i="1"/>
  <c r="CQ172" i="1"/>
  <c r="P172" i="1" s="1"/>
  <c r="CT172" i="1"/>
  <c r="CU172" i="1"/>
  <c r="T172" i="1" s="1"/>
  <c r="CX172" i="1"/>
  <c r="W172" i="1" s="1"/>
  <c r="FR172" i="1"/>
  <c r="GL172" i="1"/>
  <c r="GO172" i="1"/>
  <c r="GP172" i="1"/>
  <c r="GV172" i="1"/>
  <c r="GX172" i="1" s="1"/>
  <c r="I173" i="1"/>
  <c r="AC173" i="1"/>
  <c r="AB173" i="1" s="1"/>
  <c r="AD173" i="1"/>
  <c r="CR173" i="1" s="1"/>
  <c r="Q173" i="1" s="1"/>
  <c r="AE173" i="1"/>
  <c r="AF173" i="1"/>
  <c r="AG173" i="1"/>
  <c r="CU173" i="1" s="1"/>
  <c r="T173" i="1" s="1"/>
  <c r="AH173" i="1"/>
  <c r="CV173" i="1" s="1"/>
  <c r="U173" i="1" s="1"/>
  <c r="AI173" i="1"/>
  <c r="AJ173" i="1"/>
  <c r="CS173" i="1"/>
  <c r="R173" i="1" s="1"/>
  <c r="GK173" i="1" s="1"/>
  <c r="CT173" i="1"/>
  <c r="S173" i="1" s="1"/>
  <c r="CW173" i="1"/>
  <c r="V173" i="1" s="1"/>
  <c r="CX173" i="1"/>
  <c r="W173" i="1" s="1"/>
  <c r="FR173" i="1"/>
  <c r="GL173" i="1"/>
  <c r="GO173" i="1"/>
  <c r="GP173" i="1"/>
  <c r="GV173" i="1"/>
  <c r="GX173" i="1"/>
  <c r="C174" i="1"/>
  <c r="D174" i="1"/>
  <c r="I174" i="1"/>
  <c r="T174" i="1"/>
  <c r="AC174" i="1"/>
  <c r="AB174" i="1" s="1"/>
  <c r="AD174" i="1"/>
  <c r="CR174" i="1" s="1"/>
  <c r="Q174" i="1" s="1"/>
  <c r="AE174" i="1"/>
  <c r="CS174" i="1" s="1"/>
  <c r="R174" i="1" s="1"/>
  <c r="AF174" i="1"/>
  <c r="AG174" i="1"/>
  <c r="AH174" i="1"/>
  <c r="CV174" i="1" s="1"/>
  <c r="U174" i="1" s="1"/>
  <c r="AI174" i="1"/>
  <c r="CW174" i="1" s="1"/>
  <c r="V174" i="1" s="1"/>
  <c r="AJ174" i="1"/>
  <c r="CQ174" i="1"/>
  <c r="P174" i="1" s="1"/>
  <c r="CP174" i="1" s="1"/>
  <c r="O174" i="1" s="1"/>
  <c r="CT174" i="1"/>
  <c r="S174" i="1" s="1"/>
  <c r="CY174" i="1" s="1"/>
  <c r="X174" i="1" s="1"/>
  <c r="CU174" i="1"/>
  <c r="CX174" i="1"/>
  <c r="W174" i="1" s="1"/>
  <c r="CZ174" i="1"/>
  <c r="Y174" i="1" s="1"/>
  <c r="FR174" i="1"/>
  <c r="GK174" i="1"/>
  <c r="GL174" i="1"/>
  <c r="GO174" i="1"/>
  <c r="GP174" i="1"/>
  <c r="GV174" i="1"/>
  <c r="GX174" i="1" s="1"/>
  <c r="C175" i="1"/>
  <c r="D175" i="1"/>
  <c r="I175" i="1"/>
  <c r="I177" i="1" s="1"/>
  <c r="AC175" i="1"/>
  <c r="AE175" i="1"/>
  <c r="AD175" i="1" s="1"/>
  <c r="AF175" i="1"/>
  <c r="CT175" i="1" s="1"/>
  <c r="AG175" i="1"/>
  <c r="AH175" i="1"/>
  <c r="AI175" i="1"/>
  <c r="CW175" i="1" s="1"/>
  <c r="V175" i="1" s="1"/>
  <c r="AJ175" i="1"/>
  <c r="CX175" i="1" s="1"/>
  <c r="W175" i="1" s="1"/>
  <c r="CQ175" i="1"/>
  <c r="P175" i="1" s="1"/>
  <c r="CS175" i="1"/>
  <c r="R175" i="1" s="1"/>
  <c r="GK175" i="1" s="1"/>
  <c r="CU175" i="1"/>
  <c r="T175" i="1" s="1"/>
  <c r="CV175" i="1"/>
  <c r="U175" i="1" s="1"/>
  <c r="FR175" i="1"/>
  <c r="GL175" i="1"/>
  <c r="GO175" i="1"/>
  <c r="GP175" i="1"/>
  <c r="GV175" i="1"/>
  <c r="GX175" i="1" s="1"/>
  <c r="AC176" i="1"/>
  <c r="AD176" i="1"/>
  <c r="AE176" i="1"/>
  <c r="CS176" i="1" s="1"/>
  <c r="AF176" i="1"/>
  <c r="AG176" i="1"/>
  <c r="AH176" i="1"/>
  <c r="AI176" i="1"/>
  <c r="CW176" i="1" s="1"/>
  <c r="AJ176" i="1"/>
  <c r="CQ176" i="1"/>
  <c r="CR176" i="1"/>
  <c r="CT176" i="1"/>
  <c r="CU176" i="1"/>
  <c r="CV176" i="1"/>
  <c r="CX176" i="1"/>
  <c r="FR176" i="1"/>
  <c r="GL176" i="1"/>
  <c r="GO176" i="1"/>
  <c r="GP176" i="1"/>
  <c r="GV176" i="1"/>
  <c r="AC177" i="1"/>
  <c r="AB177" i="1" s="1"/>
  <c r="AD177" i="1"/>
  <c r="CR177" i="1" s="1"/>
  <c r="AE177" i="1"/>
  <c r="AF177" i="1"/>
  <c r="AG177" i="1"/>
  <c r="AH177" i="1"/>
  <c r="CV177" i="1" s="1"/>
  <c r="AI177" i="1"/>
  <c r="AJ177" i="1"/>
  <c r="CX177" i="1" s="1"/>
  <c r="W177" i="1" s="1"/>
  <c r="CQ177" i="1"/>
  <c r="P177" i="1" s="1"/>
  <c r="CS177" i="1"/>
  <c r="CT177" i="1"/>
  <c r="S177" i="1" s="1"/>
  <c r="CU177" i="1"/>
  <c r="T177" i="1" s="1"/>
  <c r="CW177" i="1"/>
  <c r="V177" i="1" s="1"/>
  <c r="FR177" i="1"/>
  <c r="GL177" i="1"/>
  <c r="GO177" i="1"/>
  <c r="GP177" i="1"/>
  <c r="GV177" i="1"/>
  <c r="I178" i="1"/>
  <c r="AC178" i="1"/>
  <c r="CQ178" i="1" s="1"/>
  <c r="AE178" i="1"/>
  <c r="AD178" i="1" s="1"/>
  <c r="AB178" i="1" s="1"/>
  <c r="AF178" i="1"/>
  <c r="AG178" i="1"/>
  <c r="CU178" i="1" s="1"/>
  <c r="T178" i="1" s="1"/>
  <c r="AH178" i="1"/>
  <c r="AI178" i="1"/>
  <c r="CW178" i="1" s="1"/>
  <c r="V178" i="1" s="1"/>
  <c r="AJ178" i="1"/>
  <c r="CS178" i="1"/>
  <c r="R178" i="1" s="1"/>
  <c r="GK178" i="1" s="1"/>
  <c r="CT178" i="1"/>
  <c r="S178" i="1" s="1"/>
  <c r="CV178" i="1"/>
  <c r="U178" i="1" s="1"/>
  <c r="CX178" i="1"/>
  <c r="W178" i="1" s="1"/>
  <c r="FR178" i="1"/>
  <c r="GL178" i="1"/>
  <c r="GO178" i="1"/>
  <c r="GP178" i="1"/>
  <c r="GV178" i="1"/>
  <c r="GX178" i="1"/>
  <c r="AC179" i="1"/>
  <c r="AD179" i="1"/>
  <c r="AB179" i="1" s="1"/>
  <c r="AE179" i="1"/>
  <c r="AF179" i="1"/>
  <c r="CT179" i="1" s="1"/>
  <c r="AG179" i="1"/>
  <c r="AH179" i="1"/>
  <c r="CV179" i="1" s="1"/>
  <c r="AI179" i="1"/>
  <c r="AJ179" i="1"/>
  <c r="CX179" i="1" s="1"/>
  <c r="CQ179" i="1"/>
  <c r="CR179" i="1"/>
  <c r="CS179" i="1"/>
  <c r="CU179" i="1"/>
  <c r="CW179" i="1"/>
  <c r="FR179" i="1"/>
  <c r="GL179" i="1"/>
  <c r="GO179" i="1"/>
  <c r="GP179" i="1"/>
  <c r="GV179" i="1"/>
  <c r="C180" i="1"/>
  <c r="D180" i="1"/>
  <c r="I180" i="1"/>
  <c r="AC180" i="1"/>
  <c r="CQ180" i="1" s="1"/>
  <c r="P180" i="1" s="1"/>
  <c r="AE180" i="1"/>
  <c r="AD180" i="1" s="1"/>
  <c r="AB180" i="1" s="1"/>
  <c r="AF180" i="1"/>
  <c r="AG180" i="1"/>
  <c r="CU180" i="1" s="1"/>
  <c r="T180" i="1" s="1"/>
  <c r="AH180" i="1"/>
  <c r="AI180" i="1"/>
  <c r="CW180" i="1" s="1"/>
  <c r="V180" i="1" s="1"/>
  <c r="AJ180" i="1"/>
  <c r="CS180" i="1"/>
  <c r="R180" i="1" s="1"/>
  <c r="GK180" i="1" s="1"/>
  <c r="CT180" i="1"/>
  <c r="S180" i="1" s="1"/>
  <c r="CV180" i="1"/>
  <c r="U180" i="1" s="1"/>
  <c r="CX180" i="1"/>
  <c r="W180" i="1" s="1"/>
  <c r="FR180" i="1"/>
  <c r="GL180" i="1"/>
  <c r="GO180" i="1"/>
  <c r="GP180" i="1"/>
  <c r="GV180" i="1"/>
  <c r="GX180" i="1"/>
  <c r="I181" i="1"/>
  <c r="P181" i="1"/>
  <c r="R181" i="1"/>
  <c r="GK181" i="1" s="1"/>
  <c r="AC181" i="1"/>
  <c r="AD181" i="1"/>
  <c r="AE181" i="1"/>
  <c r="AF181" i="1"/>
  <c r="CT181" i="1" s="1"/>
  <c r="S181" i="1" s="1"/>
  <c r="CY181" i="1" s="1"/>
  <c r="X181" i="1" s="1"/>
  <c r="AG181" i="1"/>
  <c r="AH181" i="1"/>
  <c r="CV181" i="1" s="1"/>
  <c r="U181" i="1" s="1"/>
  <c r="AI181" i="1"/>
  <c r="AJ181" i="1"/>
  <c r="CX181" i="1" s="1"/>
  <c r="W181" i="1" s="1"/>
  <c r="CQ181" i="1"/>
  <c r="CR181" i="1"/>
  <c r="Q181" i="1" s="1"/>
  <c r="CS181" i="1"/>
  <c r="CU181" i="1"/>
  <c r="T181" i="1" s="1"/>
  <c r="CW181" i="1"/>
  <c r="V181" i="1" s="1"/>
  <c r="CZ181" i="1"/>
  <c r="Y181" i="1" s="1"/>
  <c r="FR181" i="1"/>
  <c r="GL181" i="1"/>
  <c r="GO181" i="1"/>
  <c r="GP181" i="1"/>
  <c r="GV181" i="1"/>
  <c r="GX181" i="1"/>
  <c r="AC182" i="1"/>
  <c r="CQ182" i="1" s="1"/>
  <c r="AE182" i="1"/>
  <c r="CS182" i="1" s="1"/>
  <c r="AF182" i="1"/>
  <c r="AG182" i="1"/>
  <c r="AH182" i="1"/>
  <c r="AI182" i="1"/>
  <c r="CW182" i="1" s="1"/>
  <c r="AJ182" i="1"/>
  <c r="CT182" i="1"/>
  <c r="CU182" i="1"/>
  <c r="CV182" i="1"/>
  <c r="CX182" i="1"/>
  <c r="FR182" i="1"/>
  <c r="GL182" i="1"/>
  <c r="GO182" i="1"/>
  <c r="GP182" i="1"/>
  <c r="GV182" i="1"/>
  <c r="C183" i="1"/>
  <c r="D183" i="1"/>
  <c r="I183" i="1"/>
  <c r="T183" i="1"/>
  <c r="AC183" i="1"/>
  <c r="AE183" i="1"/>
  <c r="AD183" i="1" s="1"/>
  <c r="AF183" i="1"/>
  <c r="CT183" i="1" s="1"/>
  <c r="AG183" i="1"/>
  <c r="AH183" i="1"/>
  <c r="AI183" i="1"/>
  <c r="CW183" i="1" s="1"/>
  <c r="V183" i="1" s="1"/>
  <c r="AJ183" i="1"/>
  <c r="CX183" i="1" s="1"/>
  <c r="CQ183" i="1"/>
  <c r="P183" i="1" s="1"/>
  <c r="CS183" i="1"/>
  <c r="R183" i="1" s="1"/>
  <c r="GK183" i="1" s="1"/>
  <c r="CU183" i="1"/>
  <c r="CV183" i="1"/>
  <c r="U183" i="1" s="1"/>
  <c r="FR183" i="1"/>
  <c r="GL183" i="1"/>
  <c r="GO183" i="1"/>
  <c r="GP183" i="1"/>
  <c r="GV183" i="1"/>
  <c r="GX183" i="1" s="1"/>
  <c r="AC184" i="1"/>
  <c r="AD184" i="1"/>
  <c r="CR184" i="1" s="1"/>
  <c r="AE184" i="1"/>
  <c r="CS184" i="1" s="1"/>
  <c r="AF184" i="1"/>
  <c r="AG184" i="1"/>
  <c r="AH184" i="1"/>
  <c r="AI184" i="1"/>
  <c r="CW184" i="1" s="1"/>
  <c r="AJ184" i="1"/>
  <c r="CQ184" i="1"/>
  <c r="CT184" i="1"/>
  <c r="CU184" i="1"/>
  <c r="CV184" i="1"/>
  <c r="CX184" i="1"/>
  <c r="FR184" i="1"/>
  <c r="GL184" i="1"/>
  <c r="GO184" i="1"/>
  <c r="GP184" i="1"/>
  <c r="GV184" i="1"/>
  <c r="AC185" i="1"/>
  <c r="AD185" i="1"/>
  <c r="CR185" i="1" s="1"/>
  <c r="AE185" i="1"/>
  <c r="AF185" i="1"/>
  <c r="AB185" i="1" s="1"/>
  <c r="AG185" i="1"/>
  <c r="AH185" i="1"/>
  <c r="CV185" i="1" s="1"/>
  <c r="AI185" i="1"/>
  <c r="AJ185" i="1"/>
  <c r="CX185" i="1" s="1"/>
  <c r="CQ185" i="1"/>
  <c r="CS185" i="1"/>
  <c r="CT185" i="1"/>
  <c r="CU185" i="1"/>
  <c r="CW185" i="1"/>
  <c r="FR185" i="1"/>
  <c r="GL185" i="1"/>
  <c r="GO185" i="1"/>
  <c r="GP185" i="1"/>
  <c r="GV185" i="1"/>
  <c r="C186" i="1"/>
  <c r="D186" i="1"/>
  <c r="I186" i="1"/>
  <c r="T186" i="1"/>
  <c r="W186" i="1"/>
  <c r="AC186" i="1"/>
  <c r="AD186" i="1"/>
  <c r="CR186" i="1" s="1"/>
  <c r="Q186" i="1" s="1"/>
  <c r="AE186" i="1"/>
  <c r="CS186" i="1" s="1"/>
  <c r="R186" i="1" s="1"/>
  <c r="AF186" i="1"/>
  <c r="AG186" i="1"/>
  <c r="AH186" i="1"/>
  <c r="AI186" i="1"/>
  <c r="CW186" i="1" s="1"/>
  <c r="V186" i="1" s="1"/>
  <c r="AJ186" i="1"/>
  <c r="CQ186" i="1"/>
  <c r="P186" i="1" s="1"/>
  <c r="CP186" i="1" s="1"/>
  <c r="O186" i="1" s="1"/>
  <c r="CT186" i="1"/>
  <c r="S186" i="1" s="1"/>
  <c r="CU186" i="1"/>
  <c r="CV186" i="1"/>
  <c r="U186" i="1" s="1"/>
  <c r="CX186" i="1"/>
  <c r="FR186" i="1"/>
  <c r="GK186" i="1"/>
  <c r="GL186" i="1"/>
  <c r="GO186" i="1"/>
  <c r="GP186" i="1"/>
  <c r="GV186" i="1"/>
  <c r="GX186" i="1" s="1"/>
  <c r="I187" i="1"/>
  <c r="R187" i="1"/>
  <c r="T187" i="1"/>
  <c r="AC187" i="1"/>
  <c r="AD187" i="1"/>
  <c r="CR187" i="1" s="1"/>
  <c r="Q187" i="1" s="1"/>
  <c r="AE187" i="1"/>
  <c r="AF187" i="1"/>
  <c r="AG187" i="1"/>
  <c r="AH187" i="1"/>
  <c r="CV187" i="1" s="1"/>
  <c r="U187" i="1" s="1"/>
  <c r="AI187" i="1"/>
  <c r="AJ187" i="1"/>
  <c r="CX187" i="1" s="1"/>
  <c r="W187" i="1" s="1"/>
  <c r="CQ187" i="1"/>
  <c r="P187" i="1" s="1"/>
  <c r="CS187" i="1"/>
  <c r="CT187" i="1"/>
  <c r="S187" i="1" s="1"/>
  <c r="CU187" i="1"/>
  <c r="CW187" i="1"/>
  <c r="V187" i="1" s="1"/>
  <c r="FR187" i="1"/>
  <c r="GK187" i="1"/>
  <c r="GL187" i="1"/>
  <c r="GO187" i="1"/>
  <c r="GP187" i="1"/>
  <c r="GV187" i="1"/>
  <c r="GX187" i="1"/>
  <c r="I188" i="1"/>
  <c r="AB188" i="1"/>
  <c r="AC188" i="1"/>
  <c r="CQ188" i="1" s="1"/>
  <c r="AE188" i="1"/>
  <c r="AD188" i="1" s="1"/>
  <c r="CR188" i="1" s="1"/>
  <c r="Q188" i="1" s="1"/>
  <c r="AF188" i="1"/>
  <c r="AG188" i="1"/>
  <c r="CU188" i="1" s="1"/>
  <c r="T188" i="1" s="1"/>
  <c r="AH188" i="1"/>
  <c r="AI188" i="1"/>
  <c r="CW188" i="1" s="1"/>
  <c r="V188" i="1" s="1"/>
  <c r="AJ188" i="1"/>
  <c r="CS188" i="1"/>
  <c r="R188" i="1" s="1"/>
  <c r="GK188" i="1" s="1"/>
  <c r="CT188" i="1"/>
  <c r="S188" i="1" s="1"/>
  <c r="CV188" i="1"/>
  <c r="U188" i="1" s="1"/>
  <c r="CX188" i="1"/>
  <c r="W188" i="1" s="1"/>
  <c r="FR188" i="1"/>
  <c r="GL188" i="1"/>
  <c r="GO188" i="1"/>
  <c r="GP188" i="1"/>
  <c r="GV188" i="1"/>
  <c r="GX188" i="1"/>
  <c r="C189" i="1"/>
  <c r="D189" i="1"/>
  <c r="I189" i="1"/>
  <c r="I190" i="1" s="1"/>
  <c r="GX190" i="1" s="1"/>
  <c r="R189" i="1"/>
  <c r="T189" i="1"/>
  <c r="AC189" i="1"/>
  <c r="AD189" i="1"/>
  <c r="CR189" i="1" s="1"/>
  <c r="Q189" i="1" s="1"/>
  <c r="AE189" i="1"/>
  <c r="AF189" i="1"/>
  <c r="AB189" i="1" s="1"/>
  <c r="AG189" i="1"/>
  <c r="AH189" i="1"/>
  <c r="CV189" i="1" s="1"/>
  <c r="U189" i="1" s="1"/>
  <c r="AI189" i="1"/>
  <c r="AJ189" i="1"/>
  <c r="CX189" i="1" s="1"/>
  <c r="W189" i="1" s="1"/>
  <c r="CQ189" i="1"/>
  <c r="P189" i="1" s="1"/>
  <c r="CS189" i="1"/>
  <c r="CT189" i="1"/>
  <c r="S189" i="1" s="1"/>
  <c r="CU189" i="1"/>
  <c r="CW189" i="1"/>
  <c r="V189" i="1" s="1"/>
  <c r="FR189" i="1"/>
  <c r="GK189" i="1"/>
  <c r="GL189" i="1"/>
  <c r="GO189" i="1"/>
  <c r="GP189" i="1"/>
  <c r="GV189" i="1"/>
  <c r="GX189" i="1"/>
  <c r="AC190" i="1"/>
  <c r="CQ190" i="1" s="1"/>
  <c r="AE190" i="1"/>
  <c r="AD190" i="1" s="1"/>
  <c r="AB190" i="1" s="1"/>
  <c r="AF190" i="1"/>
  <c r="AG190" i="1"/>
  <c r="CU190" i="1" s="1"/>
  <c r="AH190" i="1"/>
  <c r="AI190" i="1"/>
  <c r="CW190" i="1" s="1"/>
  <c r="V190" i="1" s="1"/>
  <c r="AJ190" i="1"/>
  <c r="CS190" i="1"/>
  <c r="R190" i="1" s="1"/>
  <c r="GK190" i="1" s="1"/>
  <c r="CT190" i="1"/>
  <c r="CV190" i="1"/>
  <c r="U190" i="1" s="1"/>
  <c r="CX190" i="1"/>
  <c r="W190" i="1" s="1"/>
  <c r="FR190" i="1"/>
  <c r="GL190" i="1"/>
  <c r="GO190" i="1"/>
  <c r="GP190" i="1"/>
  <c r="GV190" i="1"/>
  <c r="I191" i="1"/>
  <c r="P191" i="1"/>
  <c r="R191" i="1"/>
  <c r="GK191" i="1" s="1"/>
  <c r="AC191" i="1"/>
  <c r="AD191" i="1"/>
  <c r="AE191" i="1"/>
  <c r="AF191" i="1"/>
  <c r="CT191" i="1" s="1"/>
  <c r="S191" i="1" s="1"/>
  <c r="CY191" i="1" s="1"/>
  <c r="X191" i="1" s="1"/>
  <c r="AG191" i="1"/>
  <c r="AH191" i="1"/>
  <c r="CV191" i="1" s="1"/>
  <c r="U191" i="1" s="1"/>
  <c r="AI191" i="1"/>
  <c r="AJ191" i="1"/>
  <c r="CX191" i="1" s="1"/>
  <c r="W191" i="1" s="1"/>
  <c r="CQ191" i="1"/>
  <c r="CR191" i="1"/>
  <c r="Q191" i="1" s="1"/>
  <c r="CS191" i="1"/>
  <c r="CU191" i="1"/>
  <c r="T191" i="1" s="1"/>
  <c r="CW191" i="1"/>
  <c r="V191" i="1" s="1"/>
  <c r="CZ191" i="1"/>
  <c r="Y191" i="1" s="1"/>
  <c r="FR191" i="1"/>
  <c r="GL191" i="1"/>
  <c r="GO191" i="1"/>
  <c r="GP191" i="1"/>
  <c r="GV191" i="1"/>
  <c r="GX191" i="1"/>
  <c r="AC192" i="1"/>
  <c r="CQ192" i="1" s="1"/>
  <c r="AE192" i="1"/>
  <c r="CS192" i="1" s="1"/>
  <c r="AF192" i="1"/>
  <c r="AG192" i="1"/>
  <c r="AH192" i="1"/>
  <c r="AI192" i="1"/>
  <c r="CW192" i="1" s="1"/>
  <c r="AJ192" i="1"/>
  <c r="CT192" i="1"/>
  <c r="CU192" i="1"/>
  <c r="CV192" i="1"/>
  <c r="CX192" i="1"/>
  <c r="FR192" i="1"/>
  <c r="GL192" i="1"/>
  <c r="GO192" i="1"/>
  <c r="GP192" i="1"/>
  <c r="GV192" i="1"/>
  <c r="C193" i="1"/>
  <c r="D193" i="1"/>
  <c r="I193" i="1"/>
  <c r="T193" i="1"/>
  <c r="AC193" i="1"/>
  <c r="AE193" i="1"/>
  <c r="AD193" i="1" s="1"/>
  <c r="AF193" i="1"/>
  <c r="CT193" i="1" s="1"/>
  <c r="AG193" i="1"/>
  <c r="AH193" i="1"/>
  <c r="AI193" i="1"/>
  <c r="CW193" i="1" s="1"/>
  <c r="V193" i="1" s="1"/>
  <c r="AJ193" i="1"/>
  <c r="CX193" i="1" s="1"/>
  <c r="CQ193" i="1"/>
  <c r="P193" i="1" s="1"/>
  <c r="CS193" i="1"/>
  <c r="R193" i="1" s="1"/>
  <c r="GK193" i="1" s="1"/>
  <c r="CU193" i="1"/>
  <c r="CV193" i="1"/>
  <c r="U193" i="1" s="1"/>
  <c r="FR193" i="1"/>
  <c r="GL193" i="1"/>
  <c r="GO193" i="1"/>
  <c r="GP193" i="1"/>
  <c r="GV193" i="1"/>
  <c r="GX193" i="1" s="1"/>
  <c r="C194" i="1"/>
  <c r="D194" i="1"/>
  <c r="I194" i="1"/>
  <c r="I197" i="1" s="1"/>
  <c r="AC194" i="1"/>
  <c r="CQ194" i="1" s="1"/>
  <c r="AE194" i="1"/>
  <c r="AD194" i="1" s="1"/>
  <c r="AF194" i="1"/>
  <c r="AG194" i="1"/>
  <c r="CU194" i="1" s="1"/>
  <c r="AH194" i="1"/>
  <c r="AI194" i="1"/>
  <c r="AJ194" i="1"/>
  <c r="CX194" i="1" s="1"/>
  <c r="W194" i="1" s="1"/>
  <c r="CR194" i="1"/>
  <c r="Q194" i="1" s="1"/>
  <c r="CS194" i="1"/>
  <c r="R194" i="1" s="1"/>
  <c r="GK194" i="1" s="1"/>
  <c r="CT194" i="1"/>
  <c r="S194" i="1" s="1"/>
  <c r="CV194" i="1"/>
  <c r="U194" i="1" s="1"/>
  <c r="CW194" i="1"/>
  <c r="V194" i="1" s="1"/>
  <c r="FR194" i="1"/>
  <c r="GL194" i="1"/>
  <c r="GO194" i="1"/>
  <c r="GP194" i="1"/>
  <c r="GV194" i="1"/>
  <c r="GX194" i="1" s="1"/>
  <c r="AC195" i="1"/>
  <c r="AE195" i="1"/>
  <c r="AD195" i="1" s="1"/>
  <c r="AF195" i="1"/>
  <c r="CT195" i="1" s="1"/>
  <c r="AG195" i="1"/>
  <c r="AH195" i="1"/>
  <c r="AI195" i="1"/>
  <c r="CW195" i="1" s="1"/>
  <c r="AJ195" i="1"/>
  <c r="CX195" i="1" s="1"/>
  <c r="CQ195" i="1"/>
  <c r="CS195" i="1"/>
  <c r="CU195" i="1"/>
  <c r="CV195" i="1"/>
  <c r="FR195" i="1"/>
  <c r="GL195" i="1"/>
  <c r="GO195" i="1"/>
  <c r="GP195" i="1"/>
  <c r="GV195" i="1"/>
  <c r="AC196" i="1"/>
  <c r="AD196" i="1"/>
  <c r="CR196" i="1" s="1"/>
  <c r="AE196" i="1"/>
  <c r="CS196" i="1" s="1"/>
  <c r="AF196" i="1"/>
  <c r="AG196" i="1"/>
  <c r="AH196" i="1"/>
  <c r="AI196" i="1"/>
  <c r="CW196" i="1" s="1"/>
  <c r="AJ196" i="1"/>
  <c r="CQ196" i="1"/>
  <c r="CT196" i="1"/>
  <c r="CU196" i="1"/>
  <c r="CV196" i="1"/>
  <c r="CX196" i="1"/>
  <c r="FR196" i="1"/>
  <c r="GL196" i="1"/>
  <c r="GO196" i="1"/>
  <c r="GP196" i="1"/>
  <c r="GV196" i="1"/>
  <c r="AC197" i="1"/>
  <c r="AD197" i="1"/>
  <c r="CR197" i="1" s="1"/>
  <c r="AE197" i="1"/>
  <c r="AF197" i="1"/>
  <c r="AG197" i="1"/>
  <c r="AH197" i="1"/>
  <c r="CV197" i="1" s="1"/>
  <c r="AI197" i="1"/>
  <c r="AJ197" i="1"/>
  <c r="CX197" i="1" s="1"/>
  <c r="CQ197" i="1"/>
  <c r="P197" i="1" s="1"/>
  <c r="CS197" i="1"/>
  <c r="CT197" i="1"/>
  <c r="S197" i="1" s="1"/>
  <c r="CU197" i="1"/>
  <c r="CW197" i="1"/>
  <c r="V197" i="1" s="1"/>
  <c r="FR197" i="1"/>
  <c r="GL197" i="1"/>
  <c r="GO197" i="1"/>
  <c r="GP197" i="1"/>
  <c r="GV197" i="1"/>
  <c r="C198" i="1"/>
  <c r="D198" i="1"/>
  <c r="I198" i="1"/>
  <c r="AC198" i="1"/>
  <c r="CQ198" i="1" s="1"/>
  <c r="P198" i="1" s="1"/>
  <c r="CP198" i="1" s="1"/>
  <c r="O198" i="1" s="1"/>
  <c r="AE198" i="1"/>
  <c r="AD198" i="1" s="1"/>
  <c r="CR198" i="1" s="1"/>
  <c r="Q198" i="1" s="1"/>
  <c r="AF198" i="1"/>
  <c r="AG198" i="1"/>
  <c r="CU198" i="1" s="1"/>
  <c r="T198" i="1" s="1"/>
  <c r="AH198" i="1"/>
  <c r="AI198" i="1"/>
  <c r="CW198" i="1" s="1"/>
  <c r="V198" i="1" s="1"/>
  <c r="AJ198" i="1"/>
  <c r="CT198" i="1"/>
  <c r="S198" i="1" s="1"/>
  <c r="CV198" i="1"/>
  <c r="U198" i="1" s="1"/>
  <c r="CX198" i="1"/>
  <c r="W198" i="1" s="1"/>
  <c r="FR198" i="1"/>
  <c r="GL198" i="1"/>
  <c r="GO198" i="1"/>
  <c r="GP198" i="1"/>
  <c r="GV198" i="1"/>
  <c r="GX198" i="1" s="1"/>
  <c r="I199" i="1"/>
  <c r="AC199" i="1"/>
  <c r="AD199" i="1"/>
  <c r="AB199" i="1" s="1"/>
  <c r="AE199" i="1"/>
  <c r="AF199" i="1"/>
  <c r="CT199" i="1" s="1"/>
  <c r="S199" i="1" s="1"/>
  <c r="AG199" i="1"/>
  <c r="AH199" i="1"/>
  <c r="CV199" i="1" s="1"/>
  <c r="U199" i="1" s="1"/>
  <c r="AI199" i="1"/>
  <c r="AJ199" i="1"/>
  <c r="CX199" i="1" s="1"/>
  <c r="W199" i="1" s="1"/>
  <c r="CQ199" i="1"/>
  <c r="P199" i="1" s="1"/>
  <c r="CS199" i="1"/>
  <c r="R199" i="1" s="1"/>
  <c r="GK199" i="1" s="1"/>
  <c r="CU199" i="1"/>
  <c r="T199" i="1" s="1"/>
  <c r="CW199" i="1"/>
  <c r="V199" i="1" s="1"/>
  <c r="FR199" i="1"/>
  <c r="GL199" i="1"/>
  <c r="GO199" i="1"/>
  <c r="GP199" i="1"/>
  <c r="GV199" i="1"/>
  <c r="GX199" i="1"/>
  <c r="I200" i="1"/>
  <c r="AC200" i="1"/>
  <c r="AE200" i="1"/>
  <c r="CS200" i="1" s="1"/>
  <c r="R200" i="1" s="1"/>
  <c r="GK200" i="1" s="1"/>
  <c r="AF200" i="1"/>
  <c r="AG200" i="1"/>
  <c r="CU200" i="1" s="1"/>
  <c r="T200" i="1" s="1"/>
  <c r="AH200" i="1"/>
  <c r="AI200" i="1"/>
  <c r="CW200" i="1" s="1"/>
  <c r="V200" i="1" s="1"/>
  <c r="AJ200" i="1"/>
  <c r="CT200" i="1"/>
  <c r="S200" i="1" s="1"/>
  <c r="CV200" i="1"/>
  <c r="U200" i="1" s="1"/>
  <c r="CX200" i="1"/>
  <c r="W200" i="1" s="1"/>
  <c r="FR200" i="1"/>
  <c r="GL200" i="1"/>
  <c r="GO200" i="1"/>
  <c r="GP200" i="1"/>
  <c r="GV200" i="1"/>
  <c r="GX200" i="1" s="1"/>
  <c r="C201" i="1"/>
  <c r="D201" i="1"/>
  <c r="I201" i="1"/>
  <c r="I202" i="1" s="1"/>
  <c r="AC201" i="1"/>
  <c r="AD201" i="1"/>
  <c r="AB201" i="1" s="1"/>
  <c r="AE201" i="1"/>
  <c r="AF201" i="1"/>
  <c r="CT201" i="1" s="1"/>
  <c r="S201" i="1" s="1"/>
  <c r="AG201" i="1"/>
  <c r="AH201" i="1"/>
  <c r="CV201" i="1" s="1"/>
  <c r="U201" i="1" s="1"/>
  <c r="AI201" i="1"/>
  <c r="AJ201" i="1"/>
  <c r="CX201" i="1" s="1"/>
  <c r="W201" i="1" s="1"/>
  <c r="CQ201" i="1"/>
  <c r="P201" i="1" s="1"/>
  <c r="CS201" i="1"/>
  <c r="R201" i="1" s="1"/>
  <c r="GK201" i="1" s="1"/>
  <c r="CU201" i="1"/>
  <c r="T201" i="1" s="1"/>
  <c r="CW201" i="1"/>
  <c r="V201" i="1" s="1"/>
  <c r="FR201" i="1"/>
  <c r="GL201" i="1"/>
  <c r="GO201" i="1"/>
  <c r="GP201" i="1"/>
  <c r="GV201" i="1"/>
  <c r="GX201" i="1"/>
  <c r="AC202" i="1"/>
  <c r="AE202" i="1"/>
  <c r="CS202" i="1" s="1"/>
  <c r="R202" i="1" s="1"/>
  <c r="GK202" i="1" s="1"/>
  <c r="AF202" i="1"/>
  <c r="AG202" i="1"/>
  <c r="CU202" i="1" s="1"/>
  <c r="AH202" i="1"/>
  <c r="AI202" i="1"/>
  <c r="CW202" i="1" s="1"/>
  <c r="V202" i="1" s="1"/>
  <c r="AJ202" i="1"/>
  <c r="CT202" i="1"/>
  <c r="CV202" i="1"/>
  <c r="CX202" i="1"/>
  <c r="W202" i="1" s="1"/>
  <c r="FR202" i="1"/>
  <c r="GL202" i="1"/>
  <c r="GO202" i="1"/>
  <c r="GP202" i="1"/>
  <c r="GV202" i="1"/>
  <c r="I203" i="1"/>
  <c r="AC203" i="1"/>
  <c r="AD203" i="1"/>
  <c r="CR203" i="1" s="1"/>
  <c r="Q203" i="1" s="1"/>
  <c r="AE203" i="1"/>
  <c r="AF203" i="1"/>
  <c r="AB203" i="1" s="1"/>
  <c r="AG203" i="1"/>
  <c r="AH203" i="1"/>
  <c r="CV203" i="1" s="1"/>
  <c r="U203" i="1" s="1"/>
  <c r="AI203" i="1"/>
  <c r="AJ203" i="1"/>
  <c r="CX203" i="1" s="1"/>
  <c r="W203" i="1" s="1"/>
  <c r="CQ203" i="1"/>
  <c r="P203" i="1" s="1"/>
  <c r="CS203" i="1"/>
  <c r="R203" i="1" s="1"/>
  <c r="GK203" i="1" s="1"/>
  <c r="CU203" i="1"/>
  <c r="T203" i="1" s="1"/>
  <c r="CW203" i="1"/>
  <c r="V203" i="1" s="1"/>
  <c r="FR203" i="1"/>
  <c r="GL203" i="1"/>
  <c r="GO203" i="1"/>
  <c r="GP203" i="1"/>
  <c r="GV203" i="1"/>
  <c r="GX203" i="1"/>
  <c r="C204" i="1"/>
  <c r="D204" i="1"/>
  <c r="I204" i="1"/>
  <c r="AC204" i="1"/>
  <c r="AE204" i="1"/>
  <c r="CS204" i="1" s="1"/>
  <c r="R204" i="1" s="1"/>
  <c r="GK204" i="1" s="1"/>
  <c r="AF204" i="1"/>
  <c r="AG204" i="1"/>
  <c r="CU204" i="1" s="1"/>
  <c r="T204" i="1" s="1"/>
  <c r="AH204" i="1"/>
  <c r="AI204" i="1"/>
  <c r="CW204" i="1" s="1"/>
  <c r="V204" i="1" s="1"/>
  <c r="AJ204" i="1"/>
  <c r="CT204" i="1"/>
  <c r="S204" i="1" s="1"/>
  <c r="CV204" i="1"/>
  <c r="U204" i="1" s="1"/>
  <c r="CX204" i="1"/>
  <c r="W204" i="1" s="1"/>
  <c r="FR204" i="1"/>
  <c r="GL204" i="1"/>
  <c r="GO204" i="1"/>
  <c r="GP204" i="1"/>
  <c r="GV204" i="1"/>
  <c r="GX204" i="1" s="1"/>
  <c r="C205" i="1"/>
  <c r="D205" i="1"/>
  <c r="I205" i="1"/>
  <c r="I206" i="1" s="1"/>
  <c r="AC205" i="1"/>
  <c r="AD205" i="1"/>
  <c r="AB205" i="1" s="1"/>
  <c r="AE205" i="1"/>
  <c r="AF205" i="1"/>
  <c r="CT205" i="1" s="1"/>
  <c r="S205" i="1" s="1"/>
  <c r="AG205" i="1"/>
  <c r="AH205" i="1"/>
  <c r="CV205" i="1" s="1"/>
  <c r="U205" i="1" s="1"/>
  <c r="AI205" i="1"/>
  <c r="AJ205" i="1"/>
  <c r="CX205" i="1" s="1"/>
  <c r="W205" i="1" s="1"/>
  <c r="CQ205" i="1"/>
  <c r="P205" i="1" s="1"/>
  <c r="CS205" i="1"/>
  <c r="R205" i="1" s="1"/>
  <c r="GK205" i="1" s="1"/>
  <c r="CU205" i="1"/>
  <c r="T205" i="1" s="1"/>
  <c r="CW205" i="1"/>
  <c r="V205" i="1" s="1"/>
  <c r="FR205" i="1"/>
  <c r="GL205" i="1"/>
  <c r="GO205" i="1"/>
  <c r="GP205" i="1"/>
  <c r="GV205" i="1"/>
  <c r="GX205" i="1"/>
  <c r="AC206" i="1"/>
  <c r="AE206" i="1"/>
  <c r="CS206" i="1" s="1"/>
  <c r="R206" i="1" s="1"/>
  <c r="GK206" i="1" s="1"/>
  <c r="AF206" i="1"/>
  <c r="AG206" i="1"/>
  <c r="CU206" i="1" s="1"/>
  <c r="AH206" i="1"/>
  <c r="AI206" i="1"/>
  <c r="CW206" i="1" s="1"/>
  <c r="V206" i="1" s="1"/>
  <c r="AJ206" i="1"/>
  <c r="CT206" i="1"/>
  <c r="S206" i="1" s="1"/>
  <c r="CV206" i="1"/>
  <c r="U206" i="1" s="1"/>
  <c r="CX206" i="1"/>
  <c r="W206" i="1" s="1"/>
  <c r="FR206" i="1"/>
  <c r="GL206" i="1"/>
  <c r="GO206" i="1"/>
  <c r="GP206" i="1"/>
  <c r="GV206" i="1"/>
  <c r="I207" i="1"/>
  <c r="AC207" i="1"/>
  <c r="AD207" i="1"/>
  <c r="CR207" i="1" s="1"/>
  <c r="Q207" i="1" s="1"/>
  <c r="AE207" i="1"/>
  <c r="AF207" i="1"/>
  <c r="AB207" i="1" s="1"/>
  <c r="AG207" i="1"/>
  <c r="AH207" i="1"/>
  <c r="CV207" i="1" s="1"/>
  <c r="U207" i="1" s="1"/>
  <c r="AI207" i="1"/>
  <c r="AJ207" i="1"/>
  <c r="CX207" i="1" s="1"/>
  <c r="W207" i="1" s="1"/>
  <c r="CQ207" i="1"/>
  <c r="P207" i="1" s="1"/>
  <c r="CS207" i="1"/>
  <c r="R207" i="1" s="1"/>
  <c r="GK207" i="1" s="1"/>
  <c r="CU207" i="1"/>
  <c r="T207" i="1" s="1"/>
  <c r="CW207" i="1"/>
  <c r="V207" i="1" s="1"/>
  <c r="FR207" i="1"/>
  <c r="GL207" i="1"/>
  <c r="GO207" i="1"/>
  <c r="GP207" i="1"/>
  <c r="GV207" i="1"/>
  <c r="GX207" i="1"/>
  <c r="C208" i="1"/>
  <c r="D208" i="1"/>
  <c r="I208" i="1"/>
  <c r="I210" i="1" s="1"/>
  <c r="AC208" i="1"/>
  <c r="AE208" i="1"/>
  <c r="CS208" i="1" s="1"/>
  <c r="R208" i="1" s="1"/>
  <c r="GK208" i="1" s="1"/>
  <c r="AF208" i="1"/>
  <c r="AG208" i="1"/>
  <c r="CU208" i="1" s="1"/>
  <c r="T208" i="1" s="1"/>
  <c r="AH208" i="1"/>
  <c r="AI208" i="1"/>
  <c r="CW208" i="1" s="1"/>
  <c r="V208" i="1" s="1"/>
  <c r="AJ208" i="1"/>
  <c r="CT208" i="1"/>
  <c r="S208" i="1" s="1"/>
  <c r="CV208" i="1"/>
  <c r="U208" i="1" s="1"/>
  <c r="CX208" i="1"/>
  <c r="W208" i="1" s="1"/>
  <c r="FR208" i="1"/>
  <c r="GL208" i="1"/>
  <c r="GO208" i="1"/>
  <c r="GP208" i="1"/>
  <c r="GV208" i="1"/>
  <c r="GX208" i="1" s="1"/>
  <c r="I209" i="1"/>
  <c r="AC209" i="1"/>
  <c r="AD209" i="1"/>
  <c r="CR209" i="1" s="1"/>
  <c r="Q209" i="1" s="1"/>
  <c r="AE209" i="1"/>
  <c r="AF209" i="1"/>
  <c r="AB209" i="1" s="1"/>
  <c r="AG209" i="1"/>
  <c r="AH209" i="1"/>
  <c r="CV209" i="1" s="1"/>
  <c r="U209" i="1" s="1"/>
  <c r="AI209" i="1"/>
  <c r="AJ209" i="1"/>
  <c r="CX209" i="1" s="1"/>
  <c r="W209" i="1" s="1"/>
  <c r="CQ209" i="1"/>
  <c r="P209" i="1" s="1"/>
  <c r="CS209" i="1"/>
  <c r="R209" i="1" s="1"/>
  <c r="GK209" i="1" s="1"/>
  <c r="CU209" i="1"/>
  <c r="T209" i="1" s="1"/>
  <c r="CW209" i="1"/>
  <c r="V209" i="1" s="1"/>
  <c r="FR209" i="1"/>
  <c r="GL209" i="1"/>
  <c r="GO209" i="1"/>
  <c r="GP209" i="1"/>
  <c r="GV209" i="1"/>
  <c r="GX209" i="1"/>
  <c r="AC210" i="1"/>
  <c r="CQ210" i="1" s="1"/>
  <c r="AE210" i="1"/>
  <c r="AD210" i="1" s="1"/>
  <c r="CR210" i="1" s="1"/>
  <c r="Q210" i="1" s="1"/>
  <c r="AF210" i="1"/>
  <c r="AG210" i="1"/>
  <c r="CU210" i="1" s="1"/>
  <c r="AH210" i="1"/>
  <c r="AI210" i="1"/>
  <c r="CW210" i="1" s="1"/>
  <c r="V210" i="1" s="1"/>
  <c r="AJ210" i="1"/>
  <c r="CT210" i="1"/>
  <c r="CV210" i="1"/>
  <c r="CX210" i="1"/>
  <c r="W210" i="1" s="1"/>
  <c r="FR210" i="1"/>
  <c r="GL210" i="1"/>
  <c r="GO210" i="1"/>
  <c r="GP210" i="1"/>
  <c r="GV210" i="1"/>
  <c r="C211" i="1"/>
  <c r="D211" i="1"/>
  <c r="AC211" i="1"/>
  <c r="AE211" i="1"/>
  <c r="CS211" i="1" s="1"/>
  <c r="R211" i="1" s="1"/>
  <c r="GK211" i="1" s="1"/>
  <c r="AF211" i="1"/>
  <c r="AG211" i="1"/>
  <c r="CU211" i="1" s="1"/>
  <c r="T211" i="1" s="1"/>
  <c r="AH211" i="1"/>
  <c r="AI211" i="1"/>
  <c r="CW211" i="1" s="1"/>
  <c r="V211" i="1" s="1"/>
  <c r="AJ211" i="1"/>
  <c r="CT211" i="1"/>
  <c r="S211" i="1" s="1"/>
  <c r="CV211" i="1"/>
  <c r="U211" i="1" s="1"/>
  <c r="CX211" i="1"/>
  <c r="W211" i="1" s="1"/>
  <c r="FR211" i="1"/>
  <c r="GL211" i="1"/>
  <c r="GO211" i="1"/>
  <c r="GP211" i="1"/>
  <c r="GV211" i="1"/>
  <c r="GX211" i="1" s="1"/>
  <c r="I212" i="1"/>
  <c r="AC212" i="1"/>
  <c r="AD212" i="1"/>
  <c r="CR212" i="1" s="1"/>
  <c r="Q212" i="1" s="1"/>
  <c r="AE212" i="1"/>
  <c r="AF212" i="1"/>
  <c r="AB212" i="1" s="1"/>
  <c r="AG212" i="1"/>
  <c r="AH212" i="1"/>
  <c r="CV212" i="1" s="1"/>
  <c r="U212" i="1" s="1"/>
  <c r="AI212" i="1"/>
  <c r="AJ212" i="1"/>
  <c r="CX212" i="1" s="1"/>
  <c r="W212" i="1" s="1"/>
  <c r="CQ212" i="1"/>
  <c r="P212" i="1" s="1"/>
  <c r="CS212" i="1"/>
  <c r="R212" i="1" s="1"/>
  <c r="GK212" i="1" s="1"/>
  <c r="CU212" i="1"/>
  <c r="T212" i="1" s="1"/>
  <c r="CW212" i="1"/>
  <c r="V212" i="1" s="1"/>
  <c r="FR212" i="1"/>
  <c r="GL212" i="1"/>
  <c r="GO212" i="1"/>
  <c r="GP212" i="1"/>
  <c r="GV212" i="1"/>
  <c r="GX212" i="1"/>
  <c r="I213" i="1"/>
  <c r="AC213" i="1"/>
  <c r="CQ213" i="1" s="1"/>
  <c r="P213" i="1" s="1"/>
  <c r="AE213" i="1"/>
  <c r="AD213" i="1" s="1"/>
  <c r="CR213" i="1" s="1"/>
  <c r="Q213" i="1" s="1"/>
  <c r="AF213" i="1"/>
  <c r="AG213" i="1"/>
  <c r="CU213" i="1" s="1"/>
  <c r="T213" i="1" s="1"/>
  <c r="AH213" i="1"/>
  <c r="AI213" i="1"/>
  <c r="CW213" i="1" s="1"/>
  <c r="V213" i="1" s="1"/>
  <c r="AJ213" i="1"/>
  <c r="CT213" i="1"/>
  <c r="S213" i="1" s="1"/>
  <c r="CV213" i="1"/>
  <c r="U213" i="1" s="1"/>
  <c r="CX213" i="1"/>
  <c r="W213" i="1" s="1"/>
  <c r="FR213" i="1"/>
  <c r="GL213" i="1"/>
  <c r="GO213" i="1"/>
  <c r="GP213" i="1"/>
  <c r="GV213" i="1"/>
  <c r="GX213" i="1" s="1"/>
  <c r="C214" i="1"/>
  <c r="D214" i="1"/>
  <c r="AC214" i="1"/>
  <c r="AE214" i="1"/>
  <c r="CS214" i="1" s="1"/>
  <c r="R214" i="1" s="1"/>
  <c r="GK214" i="1" s="1"/>
  <c r="AF214" i="1"/>
  <c r="AG214" i="1"/>
  <c r="CU214" i="1" s="1"/>
  <c r="T214" i="1" s="1"/>
  <c r="AH214" i="1"/>
  <c r="AI214" i="1"/>
  <c r="CW214" i="1" s="1"/>
  <c r="V214" i="1" s="1"/>
  <c r="AJ214" i="1"/>
  <c r="CT214" i="1"/>
  <c r="S214" i="1" s="1"/>
  <c r="CV214" i="1"/>
  <c r="U214" i="1" s="1"/>
  <c r="CX214" i="1"/>
  <c r="W214" i="1" s="1"/>
  <c r="FR214" i="1"/>
  <c r="GL214" i="1"/>
  <c r="GO214" i="1"/>
  <c r="GP214" i="1"/>
  <c r="GV214" i="1"/>
  <c r="GX214" i="1" s="1"/>
  <c r="O215" i="1"/>
  <c r="P215" i="1"/>
  <c r="Q215" i="1"/>
  <c r="R215" i="1"/>
  <c r="S215" i="1"/>
  <c r="T215" i="1"/>
  <c r="U215" i="1"/>
  <c r="V215" i="1"/>
  <c r="W215" i="1"/>
  <c r="X215" i="1"/>
  <c r="Y215" i="1"/>
  <c r="AB215" i="1"/>
  <c r="AC215" i="1"/>
  <c r="AD215" i="1"/>
  <c r="AE215" i="1"/>
  <c r="AF215" i="1"/>
  <c r="AG215" i="1"/>
  <c r="AH215" i="1"/>
  <c r="AI215" i="1"/>
  <c r="AJ215" i="1"/>
  <c r="CP215" i="1"/>
  <c r="GN215" i="1" s="1"/>
  <c r="FR215" i="1"/>
  <c r="GK215" i="1"/>
  <c r="GL215" i="1"/>
  <c r="GM215" i="1"/>
  <c r="GO215" i="1"/>
  <c r="GP215" i="1"/>
  <c r="GV215" i="1"/>
  <c r="GX215" i="1" s="1"/>
  <c r="O216" i="1"/>
  <c r="P216" i="1"/>
  <c r="Q216" i="1"/>
  <c r="R216" i="1"/>
  <c r="S216" i="1"/>
  <c r="T216" i="1"/>
  <c r="U216" i="1"/>
  <c r="V216" i="1"/>
  <c r="W216" i="1"/>
  <c r="X216" i="1"/>
  <c r="Y216" i="1"/>
  <c r="AB216" i="1"/>
  <c r="AC216" i="1"/>
  <c r="AD216" i="1"/>
  <c r="AE216" i="1"/>
  <c r="AF216" i="1"/>
  <c r="AG216" i="1"/>
  <c r="AH216" i="1"/>
  <c r="AI216" i="1"/>
  <c r="AJ216" i="1"/>
  <c r="CP216" i="1"/>
  <c r="GN216" i="1" s="1"/>
  <c r="FR216" i="1"/>
  <c r="GK216" i="1"/>
  <c r="GL216" i="1"/>
  <c r="GM216" i="1"/>
  <c r="GO216" i="1"/>
  <c r="GP216" i="1"/>
  <c r="GV216" i="1"/>
  <c r="GX216" i="1" s="1"/>
  <c r="B218" i="1"/>
  <c r="B82" i="1" s="1"/>
  <c r="C218" i="1"/>
  <c r="C82" i="1" s="1"/>
  <c r="D218" i="1"/>
  <c r="D82" i="1" s="1"/>
  <c r="F218" i="1"/>
  <c r="F82" i="1" s="1"/>
  <c r="G218" i="1"/>
  <c r="G82" i="1" s="1"/>
  <c r="AP218" i="1"/>
  <c r="AP82" i="1" s="1"/>
  <c r="BX218" i="1"/>
  <c r="BX82" i="1" s="1"/>
  <c r="BY218" i="1"/>
  <c r="BY82" i="1" s="1"/>
  <c r="BZ218" i="1"/>
  <c r="BZ82" i="1" s="1"/>
  <c r="CC218" i="1"/>
  <c r="CC82" i="1" s="1"/>
  <c r="CD218" i="1"/>
  <c r="CD82" i="1" s="1"/>
  <c r="CK218" i="1"/>
  <c r="CK82" i="1" s="1"/>
  <c r="CL218" i="1"/>
  <c r="CL82" i="1" s="1"/>
  <c r="F227" i="1"/>
  <c r="B247" i="1"/>
  <c r="B26" i="1" s="1"/>
  <c r="C247" i="1"/>
  <c r="C26" i="1" s="1"/>
  <c r="D247" i="1"/>
  <c r="D26" i="1" s="1"/>
  <c r="F247" i="1"/>
  <c r="F26" i="1" s="1"/>
  <c r="G247" i="1"/>
  <c r="G26" i="1" s="1"/>
  <c r="D276" i="1"/>
  <c r="E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BD278" i="1"/>
  <c r="BE278" i="1"/>
  <c r="BF278" i="1"/>
  <c r="BG278" i="1"/>
  <c r="BH278" i="1"/>
  <c r="BI278" i="1"/>
  <c r="BJ278" i="1"/>
  <c r="BK278" i="1"/>
  <c r="BL278" i="1"/>
  <c r="BM278" i="1"/>
  <c r="BN278" i="1"/>
  <c r="BO278" i="1"/>
  <c r="BP278" i="1"/>
  <c r="BQ278" i="1"/>
  <c r="BR278" i="1"/>
  <c r="BS278" i="1"/>
  <c r="BT278" i="1"/>
  <c r="BU278" i="1"/>
  <c r="BV278" i="1"/>
  <c r="BW278" i="1"/>
  <c r="BX278" i="1"/>
  <c r="BY278" i="1"/>
  <c r="BZ278" i="1"/>
  <c r="CA278" i="1"/>
  <c r="CB278" i="1"/>
  <c r="CC278" i="1"/>
  <c r="CD278" i="1"/>
  <c r="CE278" i="1"/>
  <c r="CF278" i="1"/>
  <c r="CG278" i="1"/>
  <c r="CH278" i="1"/>
  <c r="CI278" i="1"/>
  <c r="CJ278" i="1"/>
  <c r="CK278" i="1"/>
  <c r="CL278" i="1"/>
  <c r="CM278" i="1"/>
  <c r="CN278" i="1"/>
  <c r="CO278" i="1"/>
  <c r="CP278" i="1"/>
  <c r="CQ278" i="1"/>
  <c r="CR278" i="1"/>
  <c r="CS278" i="1"/>
  <c r="CT278" i="1"/>
  <c r="CU278" i="1"/>
  <c r="CV278" i="1"/>
  <c r="CW278" i="1"/>
  <c r="CX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DV278" i="1"/>
  <c r="DW278" i="1"/>
  <c r="DX278" i="1"/>
  <c r="DY278" i="1"/>
  <c r="DZ278" i="1"/>
  <c r="EA278" i="1"/>
  <c r="EB278" i="1"/>
  <c r="EC278" i="1"/>
  <c r="ED278" i="1"/>
  <c r="EE278" i="1"/>
  <c r="EF278" i="1"/>
  <c r="EG278" i="1"/>
  <c r="EH278" i="1"/>
  <c r="EI278" i="1"/>
  <c r="EJ278" i="1"/>
  <c r="EK278" i="1"/>
  <c r="EL278" i="1"/>
  <c r="EM278" i="1"/>
  <c r="EN278" i="1"/>
  <c r="EO278" i="1"/>
  <c r="EP278" i="1"/>
  <c r="EQ278" i="1"/>
  <c r="ER278" i="1"/>
  <c r="ES278" i="1"/>
  <c r="ET278" i="1"/>
  <c r="EU278" i="1"/>
  <c r="EV278" i="1"/>
  <c r="EW278" i="1"/>
  <c r="EX278" i="1"/>
  <c r="EY278" i="1"/>
  <c r="EZ278" i="1"/>
  <c r="FA278" i="1"/>
  <c r="FB278" i="1"/>
  <c r="FC278" i="1"/>
  <c r="FD278" i="1"/>
  <c r="FE278" i="1"/>
  <c r="FF278" i="1"/>
  <c r="FG278" i="1"/>
  <c r="FH278" i="1"/>
  <c r="FI278" i="1"/>
  <c r="FJ278" i="1"/>
  <c r="FK278" i="1"/>
  <c r="FL278" i="1"/>
  <c r="FM278" i="1"/>
  <c r="FN278" i="1"/>
  <c r="FO278" i="1"/>
  <c r="FP278" i="1"/>
  <c r="FQ278" i="1"/>
  <c r="FR278" i="1"/>
  <c r="FS278" i="1"/>
  <c r="FT278" i="1"/>
  <c r="FU278" i="1"/>
  <c r="FV278" i="1"/>
  <c r="FW278" i="1"/>
  <c r="FX278" i="1"/>
  <c r="FY278" i="1"/>
  <c r="FZ278" i="1"/>
  <c r="GA278" i="1"/>
  <c r="GB278" i="1"/>
  <c r="GC278" i="1"/>
  <c r="GD278" i="1"/>
  <c r="GE278" i="1"/>
  <c r="GF278" i="1"/>
  <c r="GG278" i="1"/>
  <c r="GH278" i="1"/>
  <c r="GI278" i="1"/>
  <c r="GJ278" i="1"/>
  <c r="GK278" i="1"/>
  <c r="GL278" i="1"/>
  <c r="GM278" i="1"/>
  <c r="GN278" i="1"/>
  <c r="GO278" i="1"/>
  <c r="GP278" i="1"/>
  <c r="GQ278" i="1"/>
  <c r="GR278" i="1"/>
  <c r="GS278" i="1"/>
  <c r="GT278" i="1"/>
  <c r="GU278" i="1"/>
  <c r="GV278" i="1"/>
  <c r="GW278" i="1"/>
  <c r="GX278" i="1"/>
  <c r="D280" i="1"/>
  <c r="E282" i="1"/>
  <c r="Z282" i="1"/>
  <c r="AA282" i="1"/>
  <c r="AM282" i="1"/>
  <c r="AN282" i="1"/>
  <c r="BD282" i="1"/>
  <c r="BE282" i="1"/>
  <c r="BF282" i="1"/>
  <c r="BG282" i="1"/>
  <c r="BH282" i="1"/>
  <c r="BI282" i="1"/>
  <c r="BJ282" i="1"/>
  <c r="BK282" i="1"/>
  <c r="BL282" i="1"/>
  <c r="BM282" i="1"/>
  <c r="BN282" i="1"/>
  <c r="BO282" i="1"/>
  <c r="BP282" i="1"/>
  <c r="BQ282" i="1"/>
  <c r="BR282" i="1"/>
  <c r="BS282" i="1"/>
  <c r="BT282" i="1"/>
  <c r="BU282" i="1"/>
  <c r="BV282" i="1"/>
  <c r="BW282" i="1"/>
  <c r="CM282" i="1"/>
  <c r="CN282" i="1"/>
  <c r="CO282" i="1"/>
  <c r="CP282" i="1"/>
  <c r="CQ282" i="1"/>
  <c r="CR282" i="1"/>
  <c r="CS282" i="1"/>
  <c r="CT282" i="1"/>
  <c r="CU282" i="1"/>
  <c r="CV282" i="1"/>
  <c r="CW282" i="1"/>
  <c r="CX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DV282" i="1"/>
  <c r="DW282" i="1"/>
  <c r="DX282" i="1"/>
  <c r="DY282" i="1"/>
  <c r="DZ282" i="1"/>
  <c r="EA282" i="1"/>
  <c r="EB282" i="1"/>
  <c r="EC282" i="1"/>
  <c r="ED282" i="1"/>
  <c r="EE282" i="1"/>
  <c r="EF282" i="1"/>
  <c r="EG282" i="1"/>
  <c r="EH282" i="1"/>
  <c r="EI282" i="1"/>
  <c r="EJ282" i="1"/>
  <c r="EK282" i="1"/>
  <c r="EL282" i="1"/>
  <c r="EM282" i="1"/>
  <c r="EN282" i="1"/>
  <c r="EO282" i="1"/>
  <c r="EP282" i="1"/>
  <c r="EQ282" i="1"/>
  <c r="ER282" i="1"/>
  <c r="ES282" i="1"/>
  <c r="ET282" i="1"/>
  <c r="EU282" i="1"/>
  <c r="EV282" i="1"/>
  <c r="EW282" i="1"/>
  <c r="EX282" i="1"/>
  <c r="EY282" i="1"/>
  <c r="EZ282" i="1"/>
  <c r="FA282" i="1"/>
  <c r="FB282" i="1"/>
  <c r="FC282" i="1"/>
  <c r="FD282" i="1"/>
  <c r="FE282" i="1"/>
  <c r="FF282" i="1"/>
  <c r="FG282" i="1"/>
  <c r="FH282" i="1"/>
  <c r="FI282" i="1"/>
  <c r="FJ282" i="1"/>
  <c r="FK282" i="1"/>
  <c r="FL282" i="1"/>
  <c r="FM282" i="1"/>
  <c r="FN282" i="1"/>
  <c r="FO282" i="1"/>
  <c r="FP282" i="1"/>
  <c r="FQ282" i="1"/>
  <c r="FR282" i="1"/>
  <c r="FS282" i="1"/>
  <c r="FT282" i="1"/>
  <c r="FU282" i="1"/>
  <c r="FV282" i="1"/>
  <c r="FW282" i="1"/>
  <c r="FX282" i="1"/>
  <c r="FY282" i="1"/>
  <c r="FZ282" i="1"/>
  <c r="GA282" i="1"/>
  <c r="GB282" i="1"/>
  <c r="GC282" i="1"/>
  <c r="GD282" i="1"/>
  <c r="GE282" i="1"/>
  <c r="GF282" i="1"/>
  <c r="GG282" i="1"/>
  <c r="GH282" i="1"/>
  <c r="GI282" i="1"/>
  <c r="GJ282" i="1"/>
  <c r="GK282" i="1"/>
  <c r="GL282" i="1"/>
  <c r="GM282" i="1"/>
  <c r="GN282" i="1"/>
  <c r="GO282" i="1"/>
  <c r="GP282" i="1"/>
  <c r="GQ282" i="1"/>
  <c r="GR282" i="1"/>
  <c r="GS282" i="1"/>
  <c r="GT282" i="1"/>
  <c r="GU282" i="1"/>
  <c r="GV282" i="1"/>
  <c r="GW282" i="1"/>
  <c r="GX282" i="1"/>
  <c r="C284" i="1"/>
  <c r="D284" i="1"/>
  <c r="I284" i="1"/>
  <c r="AC284" i="1"/>
  <c r="AE284" i="1"/>
  <c r="AD284" i="1" s="1"/>
  <c r="AF284" i="1"/>
  <c r="CT284" i="1" s="1"/>
  <c r="S284" i="1" s="1"/>
  <c r="AG284" i="1"/>
  <c r="AH284" i="1"/>
  <c r="AI284" i="1"/>
  <c r="AJ284" i="1"/>
  <c r="CX284" i="1" s="1"/>
  <c r="W284" i="1" s="1"/>
  <c r="AJ290" i="1" s="1"/>
  <c r="CQ284" i="1"/>
  <c r="P284" i="1" s="1"/>
  <c r="CS284" i="1"/>
  <c r="R284" i="1" s="1"/>
  <c r="CU284" i="1"/>
  <c r="T284" i="1" s="1"/>
  <c r="CV284" i="1"/>
  <c r="U284" i="1" s="1"/>
  <c r="CW284" i="1"/>
  <c r="V284" i="1" s="1"/>
  <c r="FR284" i="1"/>
  <c r="GL284" i="1"/>
  <c r="GO284" i="1"/>
  <c r="GP284" i="1"/>
  <c r="GV284" i="1"/>
  <c r="GX284" i="1"/>
  <c r="C285" i="1"/>
  <c r="D285" i="1"/>
  <c r="I285" i="1"/>
  <c r="AC285" i="1"/>
  <c r="AB285" i="1" s="1"/>
  <c r="AE285" i="1"/>
  <c r="AD285" i="1" s="1"/>
  <c r="CR285" i="1" s="1"/>
  <c r="Q285" i="1" s="1"/>
  <c r="AF285" i="1"/>
  <c r="AG285" i="1"/>
  <c r="CU285" i="1" s="1"/>
  <c r="T285" i="1" s="1"/>
  <c r="AH285" i="1"/>
  <c r="AI285" i="1"/>
  <c r="AJ285" i="1"/>
  <c r="CS285" i="1"/>
  <c r="R285" i="1" s="1"/>
  <c r="GK285" i="1" s="1"/>
  <c r="CT285" i="1"/>
  <c r="S285" i="1" s="1"/>
  <c r="CV285" i="1"/>
  <c r="U285" i="1" s="1"/>
  <c r="CW285" i="1"/>
  <c r="V285" i="1" s="1"/>
  <c r="CX285" i="1"/>
  <c r="W285" i="1" s="1"/>
  <c r="FR285" i="1"/>
  <c r="GL285" i="1"/>
  <c r="GO285" i="1"/>
  <c r="GP285" i="1"/>
  <c r="GV285" i="1"/>
  <c r="GX285" i="1"/>
  <c r="C286" i="1"/>
  <c r="D286" i="1"/>
  <c r="I286" i="1"/>
  <c r="CX448" i="3" s="1"/>
  <c r="AC286" i="1"/>
  <c r="AB286" i="1" s="1"/>
  <c r="AD286" i="1"/>
  <c r="CR286" i="1" s="1"/>
  <c r="Q286" i="1" s="1"/>
  <c r="AE286" i="1"/>
  <c r="AF286" i="1"/>
  <c r="AG286" i="1"/>
  <c r="AH286" i="1"/>
  <c r="CV286" i="1" s="1"/>
  <c r="U286" i="1" s="1"/>
  <c r="AI286" i="1"/>
  <c r="AJ286" i="1"/>
  <c r="CQ286" i="1"/>
  <c r="P286" i="1" s="1"/>
  <c r="CP286" i="1" s="1"/>
  <c r="O286" i="1" s="1"/>
  <c r="CS286" i="1"/>
  <c r="R286" i="1" s="1"/>
  <c r="GK286" i="1" s="1"/>
  <c r="CT286" i="1"/>
  <c r="S286" i="1" s="1"/>
  <c r="CU286" i="1"/>
  <c r="T286" i="1" s="1"/>
  <c r="CW286" i="1"/>
  <c r="V286" i="1" s="1"/>
  <c r="CX286" i="1"/>
  <c r="W286" i="1" s="1"/>
  <c r="FR286" i="1"/>
  <c r="GL286" i="1"/>
  <c r="GO286" i="1"/>
  <c r="GP286" i="1"/>
  <c r="GV286" i="1"/>
  <c r="GX286" i="1"/>
  <c r="C287" i="1"/>
  <c r="D287" i="1"/>
  <c r="I287" i="1"/>
  <c r="AC287" i="1"/>
  <c r="AB287" i="1" s="1"/>
  <c r="AE287" i="1"/>
  <c r="AD287" i="1" s="1"/>
  <c r="CR287" i="1" s="1"/>
  <c r="Q287" i="1" s="1"/>
  <c r="AF287" i="1"/>
  <c r="AG287" i="1"/>
  <c r="AH287" i="1"/>
  <c r="AI287" i="1"/>
  <c r="CW287" i="1" s="1"/>
  <c r="V287" i="1" s="1"/>
  <c r="AJ287" i="1"/>
  <c r="CQ287" i="1"/>
  <c r="P287" i="1" s="1"/>
  <c r="CT287" i="1"/>
  <c r="S287" i="1" s="1"/>
  <c r="CU287" i="1"/>
  <c r="T287" i="1" s="1"/>
  <c r="CV287" i="1"/>
  <c r="U287" i="1" s="1"/>
  <c r="CX287" i="1"/>
  <c r="W287" i="1" s="1"/>
  <c r="FR287" i="1"/>
  <c r="GL287" i="1"/>
  <c r="GN287" i="1"/>
  <c r="GP287" i="1"/>
  <c r="GV287" i="1"/>
  <c r="GX287" i="1" s="1"/>
  <c r="C288" i="1"/>
  <c r="D288" i="1"/>
  <c r="AC288" i="1"/>
  <c r="AE288" i="1"/>
  <c r="AD288" i="1" s="1"/>
  <c r="CR288" i="1" s="1"/>
  <c r="Q288" i="1" s="1"/>
  <c r="AF288" i="1"/>
  <c r="AG288" i="1"/>
  <c r="CU288" i="1" s="1"/>
  <c r="T288" i="1" s="1"/>
  <c r="AH288" i="1"/>
  <c r="AI288" i="1"/>
  <c r="AJ288" i="1"/>
  <c r="CS288" i="1"/>
  <c r="R288" i="1" s="1"/>
  <c r="GK288" i="1" s="1"/>
  <c r="CT288" i="1"/>
  <c r="S288" i="1" s="1"/>
  <c r="CV288" i="1"/>
  <c r="U288" i="1" s="1"/>
  <c r="CW288" i="1"/>
  <c r="V288" i="1" s="1"/>
  <c r="CX288" i="1"/>
  <c r="W288" i="1" s="1"/>
  <c r="FR288" i="1"/>
  <c r="GL288" i="1"/>
  <c r="GN288" i="1"/>
  <c r="GP288" i="1"/>
  <c r="GV288" i="1"/>
  <c r="GX288" i="1"/>
  <c r="B290" i="1"/>
  <c r="B282" i="1" s="1"/>
  <c r="C290" i="1"/>
  <c r="C282" i="1" s="1"/>
  <c r="D290" i="1"/>
  <c r="D282" i="1" s="1"/>
  <c r="F290" i="1"/>
  <c r="F282" i="1" s="1"/>
  <c r="G290" i="1"/>
  <c r="G282" i="1" s="1"/>
  <c r="AO290" i="1"/>
  <c r="AO282" i="1" s="1"/>
  <c r="AP290" i="1"/>
  <c r="AP282" i="1" s="1"/>
  <c r="BB290" i="1"/>
  <c r="BB282" i="1" s="1"/>
  <c r="BX290" i="1"/>
  <c r="BX282" i="1" s="1"/>
  <c r="BY290" i="1"/>
  <c r="BY282" i="1" s="1"/>
  <c r="BZ290" i="1"/>
  <c r="CG290" i="1" s="1"/>
  <c r="CD290" i="1"/>
  <c r="CK290" i="1"/>
  <c r="CK282" i="1" s="1"/>
  <c r="CL290" i="1"/>
  <c r="F294" i="1"/>
  <c r="F299" i="1"/>
  <c r="F303" i="1"/>
  <c r="D319" i="1"/>
  <c r="E321" i="1"/>
  <c r="Z321" i="1"/>
  <c r="AA321" i="1"/>
  <c r="AM321" i="1"/>
  <c r="AN321" i="1"/>
  <c r="BD321" i="1"/>
  <c r="BE321" i="1"/>
  <c r="BF321" i="1"/>
  <c r="BG321" i="1"/>
  <c r="BH321" i="1"/>
  <c r="BI321" i="1"/>
  <c r="BJ321" i="1"/>
  <c r="BK321" i="1"/>
  <c r="BL321" i="1"/>
  <c r="BM321" i="1"/>
  <c r="BN321" i="1"/>
  <c r="BO321" i="1"/>
  <c r="BP321" i="1"/>
  <c r="BQ321" i="1"/>
  <c r="BR321" i="1"/>
  <c r="BS321" i="1"/>
  <c r="BT321" i="1"/>
  <c r="BU321" i="1"/>
  <c r="BV321" i="1"/>
  <c r="BW321" i="1"/>
  <c r="CM321" i="1"/>
  <c r="CN321" i="1"/>
  <c r="CO321" i="1"/>
  <c r="CP321" i="1"/>
  <c r="CQ321" i="1"/>
  <c r="CR321" i="1"/>
  <c r="CS321" i="1"/>
  <c r="CT321" i="1"/>
  <c r="CU321" i="1"/>
  <c r="CV321" i="1"/>
  <c r="CW321" i="1"/>
  <c r="CX321" i="1"/>
  <c r="CY321" i="1"/>
  <c r="CZ321" i="1"/>
  <c r="DA321" i="1"/>
  <c r="DB321" i="1"/>
  <c r="DC321" i="1"/>
  <c r="DD321" i="1"/>
  <c r="DE321" i="1"/>
  <c r="DF321" i="1"/>
  <c r="DG321" i="1"/>
  <c r="DH321" i="1"/>
  <c r="DI321" i="1"/>
  <c r="DJ321" i="1"/>
  <c r="DK321" i="1"/>
  <c r="DL321" i="1"/>
  <c r="DM321" i="1"/>
  <c r="DN321" i="1"/>
  <c r="DO321" i="1"/>
  <c r="DP321" i="1"/>
  <c r="DQ321" i="1"/>
  <c r="DR321" i="1"/>
  <c r="DS321" i="1"/>
  <c r="DT321" i="1"/>
  <c r="DU321" i="1"/>
  <c r="DV321" i="1"/>
  <c r="DW321" i="1"/>
  <c r="DX321" i="1"/>
  <c r="DY321" i="1"/>
  <c r="DZ321" i="1"/>
  <c r="EA321" i="1"/>
  <c r="EB321" i="1"/>
  <c r="EC321" i="1"/>
  <c r="ED321" i="1"/>
  <c r="EE321" i="1"/>
  <c r="EF321" i="1"/>
  <c r="EG321" i="1"/>
  <c r="EH321" i="1"/>
  <c r="EI321" i="1"/>
  <c r="EJ321" i="1"/>
  <c r="EK321" i="1"/>
  <c r="EL321" i="1"/>
  <c r="EM321" i="1"/>
  <c r="EN321" i="1"/>
  <c r="EO321" i="1"/>
  <c r="EP321" i="1"/>
  <c r="EQ321" i="1"/>
  <c r="ER321" i="1"/>
  <c r="ES321" i="1"/>
  <c r="ET321" i="1"/>
  <c r="EU321" i="1"/>
  <c r="EV321" i="1"/>
  <c r="EW321" i="1"/>
  <c r="EX321" i="1"/>
  <c r="EY321" i="1"/>
  <c r="EZ321" i="1"/>
  <c r="FA321" i="1"/>
  <c r="FB321" i="1"/>
  <c r="FC321" i="1"/>
  <c r="FD321" i="1"/>
  <c r="FE321" i="1"/>
  <c r="FF321" i="1"/>
  <c r="FG321" i="1"/>
  <c r="FH321" i="1"/>
  <c r="FI321" i="1"/>
  <c r="FJ321" i="1"/>
  <c r="FK321" i="1"/>
  <c r="FL321" i="1"/>
  <c r="FM321" i="1"/>
  <c r="FN321" i="1"/>
  <c r="FO321" i="1"/>
  <c r="FP321" i="1"/>
  <c r="FQ321" i="1"/>
  <c r="FR321" i="1"/>
  <c r="FS321" i="1"/>
  <c r="FT321" i="1"/>
  <c r="FU321" i="1"/>
  <c r="FV321" i="1"/>
  <c r="FW321" i="1"/>
  <c r="FX321" i="1"/>
  <c r="FY321" i="1"/>
  <c r="FZ321" i="1"/>
  <c r="GA321" i="1"/>
  <c r="GB321" i="1"/>
  <c r="GC321" i="1"/>
  <c r="GD321" i="1"/>
  <c r="GE321" i="1"/>
  <c r="GF321" i="1"/>
  <c r="GG321" i="1"/>
  <c r="GH321" i="1"/>
  <c r="GI321" i="1"/>
  <c r="GJ321" i="1"/>
  <c r="GK321" i="1"/>
  <c r="GL321" i="1"/>
  <c r="GM321" i="1"/>
  <c r="GN321" i="1"/>
  <c r="GO321" i="1"/>
  <c r="GP321" i="1"/>
  <c r="GQ321" i="1"/>
  <c r="GR321" i="1"/>
  <c r="GS321" i="1"/>
  <c r="GT321" i="1"/>
  <c r="GU321" i="1"/>
  <c r="GV321" i="1"/>
  <c r="GW321" i="1"/>
  <c r="GX321" i="1"/>
  <c r="C323" i="1"/>
  <c r="D323" i="1"/>
  <c r="I323" i="1"/>
  <c r="R323" i="1"/>
  <c r="GK323" i="1" s="1"/>
  <c r="V323" i="1"/>
  <c r="AC323" i="1"/>
  <c r="AE323" i="1"/>
  <c r="AD323" i="1" s="1"/>
  <c r="CR323" i="1" s="1"/>
  <c r="Q323" i="1" s="1"/>
  <c r="AF323" i="1"/>
  <c r="CT323" i="1" s="1"/>
  <c r="S323" i="1" s="1"/>
  <c r="AG323" i="1"/>
  <c r="AH323" i="1"/>
  <c r="AI323" i="1"/>
  <c r="AJ323" i="1"/>
  <c r="CX323" i="1" s="1"/>
  <c r="W323" i="1" s="1"/>
  <c r="CQ323" i="1"/>
  <c r="CS323" i="1"/>
  <c r="CU323" i="1"/>
  <c r="T323" i="1" s="1"/>
  <c r="CV323" i="1"/>
  <c r="U323" i="1" s="1"/>
  <c r="CW323" i="1"/>
  <c r="FR323" i="1"/>
  <c r="GL323" i="1"/>
  <c r="GN323" i="1"/>
  <c r="GP323" i="1"/>
  <c r="GV323" i="1"/>
  <c r="GX323" i="1"/>
  <c r="AC324" i="1"/>
  <c r="AD324" i="1"/>
  <c r="AE324" i="1"/>
  <c r="CS324" i="1" s="1"/>
  <c r="AF324" i="1"/>
  <c r="AG324" i="1"/>
  <c r="AH324" i="1"/>
  <c r="CV324" i="1" s="1"/>
  <c r="AI324" i="1"/>
  <c r="CW324" i="1" s="1"/>
  <c r="AJ324" i="1"/>
  <c r="CQ324" i="1"/>
  <c r="CR324" i="1"/>
  <c r="CT324" i="1"/>
  <c r="CU324" i="1"/>
  <c r="CX324" i="1"/>
  <c r="FR324" i="1"/>
  <c r="GL324" i="1"/>
  <c r="GN324" i="1"/>
  <c r="GP324" i="1"/>
  <c r="GV324" i="1"/>
  <c r="C325" i="1"/>
  <c r="D325" i="1"/>
  <c r="I325" i="1"/>
  <c r="R325" i="1"/>
  <c r="GK325" i="1" s="1"/>
  <c r="AC325" i="1"/>
  <c r="AE325" i="1"/>
  <c r="AD325" i="1" s="1"/>
  <c r="CR325" i="1" s="1"/>
  <c r="Q325" i="1" s="1"/>
  <c r="AF325" i="1"/>
  <c r="CT325" i="1" s="1"/>
  <c r="S325" i="1" s="1"/>
  <c r="CY325" i="1" s="1"/>
  <c r="X325" i="1" s="1"/>
  <c r="AG325" i="1"/>
  <c r="AH325" i="1"/>
  <c r="AI325" i="1"/>
  <c r="CW325" i="1" s="1"/>
  <c r="V325" i="1" s="1"/>
  <c r="AJ325" i="1"/>
  <c r="CX325" i="1" s="1"/>
  <c r="W325" i="1" s="1"/>
  <c r="CQ325" i="1"/>
  <c r="P325" i="1" s="1"/>
  <c r="CS325" i="1"/>
  <c r="CU325" i="1"/>
  <c r="T325" i="1" s="1"/>
  <c r="CV325" i="1"/>
  <c r="U325" i="1" s="1"/>
  <c r="FR325" i="1"/>
  <c r="GL325" i="1"/>
  <c r="GN325" i="1"/>
  <c r="GP325" i="1"/>
  <c r="GV325" i="1"/>
  <c r="GX325" i="1" s="1"/>
  <c r="AC326" i="1"/>
  <c r="AE326" i="1"/>
  <c r="CS326" i="1" s="1"/>
  <c r="AF326" i="1"/>
  <c r="AG326" i="1"/>
  <c r="AH326" i="1"/>
  <c r="AI326" i="1"/>
  <c r="CW326" i="1" s="1"/>
  <c r="AJ326" i="1"/>
  <c r="CQ326" i="1"/>
  <c r="CT326" i="1"/>
  <c r="CU326" i="1"/>
  <c r="CV326" i="1"/>
  <c r="CX326" i="1"/>
  <c r="FR326" i="1"/>
  <c r="GL326" i="1"/>
  <c r="GN326" i="1"/>
  <c r="GP326" i="1"/>
  <c r="GV326" i="1"/>
  <c r="C327" i="1"/>
  <c r="D327" i="1"/>
  <c r="I327" i="1"/>
  <c r="U327" i="1"/>
  <c r="AC327" i="1"/>
  <c r="AE327" i="1"/>
  <c r="AD327" i="1" s="1"/>
  <c r="AB327" i="1" s="1"/>
  <c r="AF327" i="1"/>
  <c r="CT327" i="1" s="1"/>
  <c r="AG327" i="1"/>
  <c r="AH327" i="1"/>
  <c r="AI327" i="1"/>
  <c r="AJ327" i="1"/>
  <c r="CX327" i="1" s="1"/>
  <c r="CQ327" i="1"/>
  <c r="CR327" i="1"/>
  <c r="Q327" i="1" s="1"/>
  <c r="CS327" i="1"/>
  <c r="R327" i="1" s="1"/>
  <c r="GK327" i="1" s="1"/>
  <c r="CU327" i="1"/>
  <c r="CV327" i="1"/>
  <c r="CW327" i="1"/>
  <c r="V327" i="1" s="1"/>
  <c r="FR327" i="1"/>
  <c r="GL327" i="1"/>
  <c r="GN327" i="1"/>
  <c r="GP327" i="1"/>
  <c r="GV327" i="1"/>
  <c r="GX327" i="1"/>
  <c r="AC328" i="1"/>
  <c r="AE328" i="1"/>
  <c r="CS328" i="1" s="1"/>
  <c r="AF328" i="1"/>
  <c r="AG328" i="1"/>
  <c r="AH328" i="1"/>
  <c r="AI328" i="1"/>
  <c r="CW328" i="1" s="1"/>
  <c r="AJ328" i="1"/>
  <c r="CQ328" i="1"/>
  <c r="CT328" i="1"/>
  <c r="CU328" i="1"/>
  <c r="CV328" i="1"/>
  <c r="CX328" i="1"/>
  <c r="FR328" i="1"/>
  <c r="GL328" i="1"/>
  <c r="GN328" i="1"/>
  <c r="GP328" i="1"/>
  <c r="GV328" i="1"/>
  <c r="C329" i="1"/>
  <c r="D329" i="1"/>
  <c r="I329" i="1"/>
  <c r="R329" i="1"/>
  <c r="GK329" i="1" s="1"/>
  <c r="T329" i="1"/>
  <c r="AC329" i="1"/>
  <c r="AD329" i="1"/>
  <c r="AB329" i="1" s="1"/>
  <c r="AE329" i="1"/>
  <c r="AF329" i="1"/>
  <c r="CT329" i="1" s="1"/>
  <c r="AG329" i="1"/>
  <c r="AH329" i="1"/>
  <c r="CV329" i="1" s="1"/>
  <c r="U329" i="1" s="1"/>
  <c r="AI329" i="1"/>
  <c r="AJ329" i="1"/>
  <c r="CX329" i="1" s="1"/>
  <c r="CQ329" i="1"/>
  <c r="P329" i="1" s="1"/>
  <c r="CR329" i="1"/>
  <c r="Q329" i="1" s="1"/>
  <c r="CS329" i="1"/>
  <c r="CU329" i="1"/>
  <c r="CW329" i="1"/>
  <c r="V329" i="1" s="1"/>
  <c r="FR329" i="1"/>
  <c r="GL329" i="1"/>
  <c r="GN329" i="1"/>
  <c r="GP329" i="1"/>
  <c r="GV329" i="1"/>
  <c r="GX329" i="1" s="1"/>
  <c r="AC330" i="1"/>
  <c r="AD330" i="1"/>
  <c r="CR330" i="1" s="1"/>
  <c r="AE330" i="1"/>
  <c r="CS330" i="1" s="1"/>
  <c r="AF330" i="1"/>
  <c r="AG330" i="1"/>
  <c r="AH330" i="1"/>
  <c r="AI330" i="1"/>
  <c r="CW330" i="1" s="1"/>
  <c r="AJ330" i="1"/>
  <c r="CQ330" i="1"/>
  <c r="CT330" i="1"/>
  <c r="CU330" i="1"/>
  <c r="CV330" i="1"/>
  <c r="CX330" i="1"/>
  <c r="FR330" i="1"/>
  <c r="GL330" i="1"/>
  <c r="GN330" i="1"/>
  <c r="GP330" i="1"/>
  <c r="GV330" i="1"/>
  <c r="C331" i="1"/>
  <c r="D331" i="1"/>
  <c r="I331" i="1"/>
  <c r="Q331" i="1"/>
  <c r="R331" i="1"/>
  <c r="GK331" i="1" s="1"/>
  <c r="V331" i="1"/>
  <c r="AC331" i="1"/>
  <c r="AD331" i="1"/>
  <c r="AB331" i="1" s="1"/>
  <c r="AE331" i="1"/>
  <c r="AF331" i="1"/>
  <c r="CT331" i="1" s="1"/>
  <c r="S331" i="1" s="1"/>
  <c r="CY331" i="1" s="1"/>
  <c r="X331" i="1" s="1"/>
  <c r="AG331" i="1"/>
  <c r="AH331" i="1"/>
  <c r="AI331" i="1"/>
  <c r="AJ331" i="1"/>
  <c r="CX331" i="1" s="1"/>
  <c r="W331" i="1" s="1"/>
  <c r="CQ331" i="1"/>
  <c r="P331" i="1" s="1"/>
  <c r="CP331" i="1" s="1"/>
  <c r="O331" i="1" s="1"/>
  <c r="CR331" i="1"/>
  <c r="CS331" i="1"/>
  <c r="CU331" i="1"/>
  <c r="T331" i="1" s="1"/>
  <c r="CV331" i="1"/>
  <c r="U331" i="1" s="1"/>
  <c r="CW331" i="1"/>
  <c r="FR331" i="1"/>
  <c r="GL331" i="1"/>
  <c r="GN331" i="1"/>
  <c r="GP331" i="1"/>
  <c r="GV331" i="1"/>
  <c r="GX331" i="1" s="1"/>
  <c r="AC332" i="1"/>
  <c r="AB332" i="1" s="1"/>
  <c r="AD332" i="1"/>
  <c r="CR332" i="1" s="1"/>
  <c r="AE332" i="1"/>
  <c r="CS332" i="1" s="1"/>
  <c r="AF332" i="1"/>
  <c r="AG332" i="1"/>
  <c r="AH332" i="1"/>
  <c r="AI332" i="1"/>
  <c r="CW332" i="1" s="1"/>
  <c r="AJ332" i="1"/>
  <c r="CT332" i="1"/>
  <c r="CU332" i="1"/>
  <c r="CV332" i="1"/>
  <c r="CX332" i="1"/>
  <c r="FR332" i="1"/>
  <c r="GL332" i="1"/>
  <c r="GN332" i="1"/>
  <c r="GP332" i="1"/>
  <c r="GV332" i="1"/>
  <c r="C333" i="1"/>
  <c r="D333" i="1"/>
  <c r="I333" i="1"/>
  <c r="P333" i="1"/>
  <c r="U333" i="1"/>
  <c r="AC333" i="1"/>
  <c r="AE333" i="1"/>
  <c r="AD333" i="1" s="1"/>
  <c r="AF333" i="1"/>
  <c r="CT333" i="1" s="1"/>
  <c r="S333" i="1" s="1"/>
  <c r="CY333" i="1" s="1"/>
  <c r="X333" i="1" s="1"/>
  <c r="AG333" i="1"/>
  <c r="AH333" i="1"/>
  <c r="AI333" i="1"/>
  <c r="CW333" i="1" s="1"/>
  <c r="V333" i="1" s="1"/>
  <c r="AJ333" i="1"/>
  <c r="CX333" i="1" s="1"/>
  <c r="W333" i="1" s="1"/>
  <c r="CQ333" i="1"/>
  <c r="CS333" i="1"/>
  <c r="R333" i="1" s="1"/>
  <c r="CU333" i="1"/>
  <c r="T333" i="1" s="1"/>
  <c r="CV333" i="1"/>
  <c r="FR333" i="1"/>
  <c r="GL333" i="1"/>
  <c r="GN333" i="1"/>
  <c r="GP333" i="1"/>
  <c r="GV333" i="1"/>
  <c r="GX333" i="1"/>
  <c r="AC334" i="1"/>
  <c r="CQ334" i="1" s="1"/>
  <c r="AE334" i="1"/>
  <c r="CS334" i="1" s="1"/>
  <c r="AF334" i="1"/>
  <c r="AG334" i="1"/>
  <c r="AH334" i="1"/>
  <c r="AI334" i="1"/>
  <c r="CW334" i="1" s="1"/>
  <c r="AJ334" i="1"/>
  <c r="CT334" i="1"/>
  <c r="CU334" i="1"/>
  <c r="CV334" i="1"/>
  <c r="CX334" i="1"/>
  <c r="FR334" i="1"/>
  <c r="GL334" i="1"/>
  <c r="GN334" i="1"/>
  <c r="GP334" i="1"/>
  <c r="GV334" i="1"/>
  <c r="C335" i="1"/>
  <c r="D335" i="1"/>
  <c r="I335" i="1"/>
  <c r="P335" i="1" s="1"/>
  <c r="T335" i="1"/>
  <c r="AC335" i="1"/>
  <c r="AE335" i="1"/>
  <c r="AD335" i="1" s="1"/>
  <c r="AF335" i="1"/>
  <c r="CT335" i="1" s="1"/>
  <c r="AG335" i="1"/>
  <c r="AH335" i="1"/>
  <c r="CV335" i="1" s="1"/>
  <c r="U335" i="1" s="1"/>
  <c r="AI335" i="1"/>
  <c r="CW335" i="1" s="1"/>
  <c r="V335" i="1" s="1"/>
  <c r="AJ335" i="1"/>
  <c r="CX335" i="1" s="1"/>
  <c r="CQ335" i="1"/>
  <c r="CS335" i="1"/>
  <c r="R335" i="1" s="1"/>
  <c r="GK335" i="1" s="1"/>
  <c r="CU335" i="1"/>
  <c r="FR335" i="1"/>
  <c r="GL335" i="1"/>
  <c r="GN335" i="1"/>
  <c r="GP335" i="1"/>
  <c r="GV335" i="1"/>
  <c r="GX335" i="1"/>
  <c r="AC336" i="1"/>
  <c r="AE336" i="1"/>
  <c r="CS336" i="1" s="1"/>
  <c r="AF336" i="1"/>
  <c r="AG336" i="1"/>
  <c r="AH336" i="1"/>
  <c r="AI336" i="1"/>
  <c r="CW336" i="1" s="1"/>
  <c r="AJ336" i="1"/>
  <c r="CQ336" i="1"/>
  <c r="CT336" i="1"/>
  <c r="CU336" i="1"/>
  <c r="CV336" i="1"/>
  <c r="CX336" i="1"/>
  <c r="FR336" i="1"/>
  <c r="GL336" i="1"/>
  <c r="GN336" i="1"/>
  <c r="GP336" i="1"/>
  <c r="GV336" i="1"/>
  <c r="C337" i="1"/>
  <c r="D337" i="1"/>
  <c r="I337" i="1"/>
  <c r="R337" i="1"/>
  <c r="GK337" i="1" s="1"/>
  <c r="T337" i="1"/>
  <c r="AC337" i="1"/>
  <c r="AD337" i="1"/>
  <c r="AB337" i="1" s="1"/>
  <c r="AE337" i="1"/>
  <c r="AF337" i="1"/>
  <c r="CT337" i="1" s="1"/>
  <c r="AG337" i="1"/>
  <c r="AH337" i="1"/>
  <c r="CV337" i="1" s="1"/>
  <c r="U337" i="1" s="1"/>
  <c r="AI337" i="1"/>
  <c r="AJ337" i="1"/>
  <c r="CX337" i="1" s="1"/>
  <c r="CQ337" i="1"/>
  <c r="P337" i="1" s="1"/>
  <c r="CR337" i="1"/>
  <c r="Q337" i="1" s="1"/>
  <c r="CS337" i="1"/>
  <c r="CU337" i="1"/>
  <c r="CW337" i="1"/>
  <c r="V337" i="1" s="1"/>
  <c r="FR337" i="1"/>
  <c r="GL337" i="1"/>
  <c r="GN337" i="1"/>
  <c r="GP337" i="1"/>
  <c r="GV337" i="1"/>
  <c r="GX337" i="1" s="1"/>
  <c r="AC338" i="1"/>
  <c r="AD338" i="1"/>
  <c r="CR338" i="1" s="1"/>
  <c r="AE338" i="1"/>
  <c r="CS338" i="1" s="1"/>
  <c r="AF338" i="1"/>
  <c r="AG338" i="1"/>
  <c r="AH338" i="1"/>
  <c r="AI338" i="1"/>
  <c r="CW338" i="1" s="1"/>
  <c r="AJ338" i="1"/>
  <c r="CQ338" i="1"/>
  <c r="CT338" i="1"/>
  <c r="CU338" i="1"/>
  <c r="CV338" i="1"/>
  <c r="CX338" i="1"/>
  <c r="FR338" i="1"/>
  <c r="GL338" i="1"/>
  <c r="GN338" i="1"/>
  <c r="GP338" i="1"/>
  <c r="GV338" i="1"/>
  <c r="C339" i="1"/>
  <c r="D339" i="1"/>
  <c r="AC339" i="1"/>
  <c r="CQ339" i="1" s="1"/>
  <c r="P339" i="1" s="1"/>
  <c r="AE339" i="1"/>
  <c r="AD339" i="1" s="1"/>
  <c r="CR339" i="1" s="1"/>
  <c r="Q339" i="1" s="1"/>
  <c r="AF339" i="1"/>
  <c r="AG339" i="1"/>
  <c r="CU339" i="1" s="1"/>
  <c r="T339" i="1" s="1"/>
  <c r="AH339" i="1"/>
  <c r="AI339" i="1"/>
  <c r="CW339" i="1" s="1"/>
  <c r="V339" i="1" s="1"/>
  <c r="AJ339" i="1"/>
  <c r="CS339" i="1"/>
  <c r="R339" i="1" s="1"/>
  <c r="GK339" i="1" s="1"/>
  <c r="CT339" i="1"/>
  <c r="S339" i="1" s="1"/>
  <c r="CV339" i="1"/>
  <c r="U339" i="1" s="1"/>
  <c r="CX339" i="1"/>
  <c r="W339" i="1" s="1"/>
  <c r="FR339" i="1"/>
  <c r="GL339" i="1"/>
  <c r="GN339" i="1"/>
  <c r="GP339" i="1"/>
  <c r="GV339" i="1"/>
  <c r="GX339" i="1" s="1"/>
  <c r="I340" i="1"/>
  <c r="P340" i="1"/>
  <c r="U340" i="1"/>
  <c r="AC340" i="1"/>
  <c r="AE340" i="1"/>
  <c r="AD340" i="1" s="1"/>
  <c r="AF340" i="1"/>
  <c r="CT340" i="1" s="1"/>
  <c r="S340" i="1" s="1"/>
  <c r="CY340" i="1" s="1"/>
  <c r="X340" i="1" s="1"/>
  <c r="AG340" i="1"/>
  <c r="AH340" i="1"/>
  <c r="AI340" i="1"/>
  <c r="CW340" i="1" s="1"/>
  <c r="V340" i="1" s="1"/>
  <c r="AJ340" i="1"/>
  <c r="CX340" i="1" s="1"/>
  <c r="W340" i="1" s="1"/>
  <c r="CQ340" i="1"/>
  <c r="CS340" i="1"/>
  <c r="R340" i="1" s="1"/>
  <c r="CU340" i="1"/>
  <c r="T340" i="1" s="1"/>
  <c r="CV340" i="1"/>
  <c r="FR340" i="1"/>
  <c r="GL340" i="1"/>
  <c r="GN340" i="1"/>
  <c r="GP340" i="1"/>
  <c r="GV340" i="1"/>
  <c r="GX340" i="1"/>
  <c r="C341" i="1"/>
  <c r="D341" i="1"/>
  <c r="I341" i="1"/>
  <c r="CX534" i="3" s="1"/>
  <c r="AC341" i="1"/>
  <c r="CQ341" i="1" s="1"/>
  <c r="P341" i="1" s="1"/>
  <c r="AE341" i="1"/>
  <c r="AD341" i="1" s="1"/>
  <c r="AF341" i="1"/>
  <c r="AG341" i="1"/>
  <c r="CU341" i="1" s="1"/>
  <c r="T341" i="1" s="1"/>
  <c r="AH341" i="1"/>
  <c r="AI341" i="1"/>
  <c r="AJ341" i="1"/>
  <c r="CR341" i="1"/>
  <c r="Q341" i="1" s="1"/>
  <c r="CS341" i="1"/>
  <c r="R341" i="1" s="1"/>
  <c r="GK341" i="1" s="1"/>
  <c r="CT341" i="1"/>
  <c r="S341" i="1" s="1"/>
  <c r="CV341" i="1"/>
  <c r="U341" i="1" s="1"/>
  <c r="CW341" i="1"/>
  <c r="V341" i="1" s="1"/>
  <c r="CX341" i="1"/>
  <c r="W341" i="1" s="1"/>
  <c r="FR341" i="1"/>
  <c r="GL341" i="1"/>
  <c r="GO341" i="1"/>
  <c r="GP341" i="1"/>
  <c r="GV341" i="1"/>
  <c r="GX341" i="1"/>
  <c r="C342" i="1"/>
  <c r="D342" i="1"/>
  <c r="I342" i="1"/>
  <c r="R342" i="1"/>
  <c r="V342" i="1"/>
  <c r="AC342" i="1"/>
  <c r="AB342" i="1" s="1"/>
  <c r="AD342" i="1"/>
  <c r="CR342" i="1" s="1"/>
  <c r="Q342" i="1" s="1"/>
  <c r="AE342" i="1"/>
  <c r="AF342" i="1"/>
  <c r="AG342" i="1"/>
  <c r="AH342" i="1"/>
  <c r="CV342" i="1" s="1"/>
  <c r="U342" i="1" s="1"/>
  <c r="AI342" i="1"/>
  <c r="AJ342" i="1"/>
  <c r="CX342" i="1" s="1"/>
  <c r="W342" i="1" s="1"/>
  <c r="CS342" i="1"/>
  <c r="CT342" i="1"/>
  <c r="S342" i="1" s="1"/>
  <c r="CU342" i="1"/>
  <c r="T342" i="1" s="1"/>
  <c r="CW342" i="1"/>
  <c r="FR342" i="1"/>
  <c r="GK342" i="1"/>
  <c r="GL342" i="1"/>
  <c r="GN342" i="1"/>
  <c r="GP342" i="1"/>
  <c r="GV342" i="1"/>
  <c r="GX342" i="1"/>
  <c r="I343" i="1"/>
  <c r="AC343" i="1"/>
  <c r="CQ343" i="1" s="1"/>
  <c r="AE343" i="1"/>
  <c r="AD343" i="1" s="1"/>
  <c r="CR343" i="1" s="1"/>
  <c r="Q343" i="1" s="1"/>
  <c r="AF343" i="1"/>
  <c r="AB343" i="1" s="1"/>
  <c r="AG343" i="1"/>
  <c r="CU343" i="1" s="1"/>
  <c r="AH343" i="1"/>
  <c r="AI343" i="1"/>
  <c r="CW343" i="1" s="1"/>
  <c r="V343" i="1" s="1"/>
  <c r="AJ343" i="1"/>
  <c r="CX343" i="1" s="1"/>
  <c r="W343" i="1" s="1"/>
  <c r="CS343" i="1"/>
  <c r="R343" i="1" s="1"/>
  <c r="GK343" i="1" s="1"/>
  <c r="CT343" i="1"/>
  <c r="S343" i="1" s="1"/>
  <c r="CV343" i="1"/>
  <c r="U343" i="1" s="1"/>
  <c r="FR343" i="1"/>
  <c r="GL343" i="1"/>
  <c r="GN343" i="1"/>
  <c r="GP343" i="1"/>
  <c r="GV343" i="1"/>
  <c r="GX343" i="1" s="1"/>
  <c r="C344" i="1"/>
  <c r="D344" i="1"/>
  <c r="T344" i="1"/>
  <c r="U344" i="1"/>
  <c r="AC344" i="1"/>
  <c r="CQ344" i="1" s="1"/>
  <c r="P344" i="1" s="1"/>
  <c r="AE344" i="1"/>
  <c r="CS344" i="1" s="1"/>
  <c r="R344" i="1" s="1"/>
  <c r="AF344" i="1"/>
  <c r="AG344" i="1"/>
  <c r="AH344" i="1"/>
  <c r="AI344" i="1"/>
  <c r="CW344" i="1" s="1"/>
  <c r="V344" i="1" s="1"/>
  <c r="AJ344" i="1"/>
  <c r="CT344" i="1"/>
  <c r="S344" i="1" s="1"/>
  <c r="CU344" i="1"/>
  <c r="CV344" i="1"/>
  <c r="CX344" i="1"/>
  <c r="W344" i="1" s="1"/>
  <c r="FR344" i="1"/>
  <c r="GK344" i="1"/>
  <c r="GL344" i="1"/>
  <c r="GN344" i="1"/>
  <c r="GP344" i="1"/>
  <c r="GV344" i="1"/>
  <c r="GX344" i="1" s="1"/>
  <c r="I345" i="1"/>
  <c r="R345" i="1"/>
  <c r="V345" i="1"/>
  <c r="AC345" i="1"/>
  <c r="AB345" i="1" s="1"/>
  <c r="AD345" i="1"/>
  <c r="CR345" i="1" s="1"/>
  <c r="Q345" i="1" s="1"/>
  <c r="AE345" i="1"/>
  <c r="AF345" i="1"/>
  <c r="AG345" i="1"/>
  <c r="AH345" i="1"/>
  <c r="CV345" i="1" s="1"/>
  <c r="U345" i="1" s="1"/>
  <c r="AI345" i="1"/>
  <c r="AJ345" i="1"/>
  <c r="CX345" i="1" s="1"/>
  <c r="W345" i="1" s="1"/>
  <c r="CS345" i="1"/>
  <c r="CT345" i="1"/>
  <c r="S345" i="1" s="1"/>
  <c r="CU345" i="1"/>
  <c r="T345" i="1" s="1"/>
  <c r="CW345" i="1"/>
  <c r="FR345" i="1"/>
  <c r="GK345" i="1"/>
  <c r="GL345" i="1"/>
  <c r="GN345" i="1"/>
  <c r="GP345" i="1"/>
  <c r="GV345" i="1"/>
  <c r="GX345" i="1"/>
  <c r="C346" i="1"/>
  <c r="D346" i="1"/>
  <c r="R346" i="1"/>
  <c r="GK346" i="1" s="1"/>
  <c r="T346" i="1"/>
  <c r="AC346" i="1"/>
  <c r="AD346" i="1"/>
  <c r="AB346" i="1" s="1"/>
  <c r="AE346" i="1"/>
  <c r="AF346" i="1"/>
  <c r="CT346" i="1" s="1"/>
  <c r="S346" i="1" s="1"/>
  <c r="AG346" i="1"/>
  <c r="AH346" i="1"/>
  <c r="CV346" i="1" s="1"/>
  <c r="U346" i="1" s="1"/>
  <c r="AI346" i="1"/>
  <c r="AJ346" i="1"/>
  <c r="CX346" i="1" s="1"/>
  <c r="W346" i="1" s="1"/>
  <c r="CQ346" i="1"/>
  <c r="P346" i="1" s="1"/>
  <c r="CP346" i="1" s="1"/>
  <c r="O346" i="1" s="1"/>
  <c r="CR346" i="1"/>
  <c r="Q346" i="1" s="1"/>
  <c r="CS346" i="1"/>
  <c r="CU346" i="1"/>
  <c r="CW346" i="1"/>
  <c r="V346" i="1" s="1"/>
  <c r="FR346" i="1"/>
  <c r="GL346" i="1"/>
  <c r="GN346" i="1"/>
  <c r="GP346" i="1"/>
  <c r="GV346" i="1"/>
  <c r="GX346" i="1" s="1"/>
  <c r="I347" i="1"/>
  <c r="U347" i="1"/>
  <c r="W347" i="1"/>
  <c r="AC347" i="1"/>
  <c r="AB347" i="1" s="1"/>
  <c r="AD347" i="1"/>
  <c r="CR347" i="1" s="1"/>
  <c r="Q347" i="1" s="1"/>
  <c r="AE347" i="1"/>
  <c r="CS347" i="1" s="1"/>
  <c r="R347" i="1" s="1"/>
  <c r="AF347" i="1"/>
  <c r="AG347" i="1"/>
  <c r="AH347" i="1"/>
  <c r="AI347" i="1"/>
  <c r="CW347" i="1" s="1"/>
  <c r="V347" i="1" s="1"/>
  <c r="AJ347" i="1"/>
  <c r="CT347" i="1"/>
  <c r="S347" i="1" s="1"/>
  <c r="CU347" i="1"/>
  <c r="T347" i="1" s="1"/>
  <c r="CV347" i="1"/>
  <c r="CX347" i="1"/>
  <c r="FR347" i="1"/>
  <c r="GK347" i="1"/>
  <c r="GL347" i="1"/>
  <c r="GN347" i="1"/>
  <c r="GP347" i="1"/>
  <c r="GV347" i="1"/>
  <c r="GX347" i="1" s="1"/>
  <c r="C348" i="1"/>
  <c r="D348" i="1"/>
  <c r="AC348" i="1"/>
  <c r="CQ348" i="1" s="1"/>
  <c r="P348" i="1" s="1"/>
  <c r="AE348" i="1"/>
  <c r="AD348" i="1" s="1"/>
  <c r="AF348" i="1"/>
  <c r="AG348" i="1"/>
  <c r="CU348" i="1" s="1"/>
  <c r="T348" i="1" s="1"/>
  <c r="AH348" i="1"/>
  <c r="AI348" i="1"/>
  <c r="AJ348" i="1"/>
  <c r="CR348" i="1"/>
  <c r="Q348" i="1" s="1"/>
  <c r="CS348" i="1"/>
  <c r="R348" i="1" s="1"/>
  <c r="GK348" i="1" s="1"/>
  <c r="CT348" i="1"/>
  <c r="S348" i="1" s="1"/>
  <c r="CV348" i="1"/>
  <c r="U348" i="1" s="1"/>
  <c r="CW348" i="1"/>
  <c r="V348" i="1" s="1"/>
  <c r="CX348" i="1"/>
  <c r="W348" i="1" s="1"/>
  <c r="FR348" i="1"/>
  <c r="GL348" i="1"/>
  <c r="GN348" i="1"/>
  <c r="GP348" i="1"/>
  <c r="GV348" i="1"/>
  <c r="GX348" i="1"/>
  <c r="I349" i="1"/>
  <c r="P349" i="1" s="1"/>
  <c r="T349" i="1"/>
  <c r="AC349" i="1"/>
  <c r="AE349" i="1"/>
  <c r="AD349" i="1" s="1"/>
  <c r="AF349" i="1"/>
  <c r="CT349" i="1" s="1"/>
  <c r="AG349" i="1"/>
  <c r="AH349" i="1"/>
  <c r="CV349" i="1" s="1"/>
  <c r="U349" i="1" s="1"/>
  <c r="AI349" i="1"/>
  <c r="CW349" i="1" s="1"/>
  <c r="V349" i="1" s="1"/>
  <c r="AJ349" i="1"/>
  <c r="CX349" i="1" s="1"/>
  <c r="CQ349" i="1"/>
  <c r="CS349" i="1"/>
  <c r="R349" i="1" s="1"/>
  <c r="GK349" i="1" s="1"/>
  <c r="CU349" i="1"/>
  <c r="FR349" i="1"/>
  <c r="GL349" i="1"/>
  <c r="GN349" i="1"/>
  <c r="GP349" i="1"/>
  <c r="GV349" i="1"/>
  <c r="GX349" i="1"/>
  <c r="I350" i="1"/>
  <c r="S350" i="1"/>
  <c r="CZ350" i="1" s="1"/>
  <c r="Y350" i="1" s="1"/>
  <c r="W350" i="1"/>
  <c r="AC350" i="1"/>
  <c r="AD350" i="1"/>
  <c r="CR350" i="1" s="1"/>
  <c r="Q350" i="1" s="1"/>
  <c r="AE350" i="1"/>
  <c r="CS350" i="1" s="1"/>
  <c r="R350" i="1" s="1"/>
  <c r="AF350" i="1"/>
  <c r="AG350" i="1"/>
  <c r="AH350" i="1"/>
  <c r="AI350" i="1"/>
  <c r="CW350" i="1" s="1"/>
  <c r="V350" i="1" s="1"/>
  <c r="AJ350" i="1"/>
  <c r="CQ350" i="1"/>
  <c r="P350" i="1" s="1"/>
  <c r="CP350" i="1" s="1"/>
  <c r="O350" i="1" s="1"/>
  <c r="CT350" i="1"/>
  <c r="CU350" i="1"/>
  <c r="T350" i="1" s="1"/>
  <c r="CV350" i="1"/>
  <c r="U350" i="1" s="1"/>
  <c r="CX350" i="1"/>
  <c r="FR350" i="1"/>
  <c r="GK350" i="1"/>
  <c r="GL350" i="1"/>
  <c r="GN350" i="1"/>
  <c r="GP350" i="1"/>
  <c r="GV350" i="1"/>
  <c r="GX350" i="1" s="1"/>
  <c r="C351" i="1"/>
  <c r="D351" i="1"/>
  <c r="I351" i="1"/>
  <c r="Q351" i="1"/>
  <c r="R351" i="1"/>
  <c r="GK351" i="1" s="1"/>
  <c r="V351" i="1"/>
  <c r="AC351" i="1"/>
  <c r="AD351" i="1"/>
  <c r="AB351" i="1" s="1"/>
  <c r="AE351" i="1"/>
  <c r="AF351" i="1"/>
  <c r="CT351" i="1" s="1"/>
  <c r="S351" i="1" s="1"/>
  <c r="CY351" i="1" s="1"/>
  <c r="X351" i="1" s="1"/>
  <c r="AG351" i="1"/>
  <c r="AH351" i="1"/>
  <c r="AI351" i="1"/>
  <c r="AJ351" i="1"/>
  <c r="CX351" i="1" s="1"/>
  <c r="W351" i="1" s="1"/>
  <c r="CQ351" i="1"/>
  <c r="P351" i="1" s="1"/>
  <c r="CP351" i="1" s="1"/>
  <c r="O351" i="1" s="1"/>
  <c r="CR351" i="1"/>
  <c r="CS351" i="1"/>
  <c r="CU351" i="1"/>
  <c r="T351" i="1" s="1"/>
  <c r="CV351" i="1"/>
  <c r="U351" i="1" s="1"/>
  <c r="CW351" i="1"/>
  <c r="FR351" i="1"/>
  <c r="GL351" i="1"/>
  <c r="GN351" i="1"/>
  <c r="GP351" i="1"/>
  <c r="GV351" i="1"/>
  <c r="GX351" i="1" s="1"/>
  <c r="AC352" i="1"/>
  <c r="AB352" i="1" s="1"/>
  <c r="AD352" i="1"/>
  <c r="CR352" i="1" s="1"/>
  <c r="AE352" i="1"/>
  <c r="AF352" i="1"/>
  <c r="AG352" i="1"/>
  <c r="CU352" i="1" s="1"/>
  <c r="AH352" i="1"/>
  <c r="CV352" i="1" s="1"/>
  <c r="AI352" i="1"/>
  <c r="AJ352" i="1"/>
  <c r="CS352" i="1"/>
  <c r="CT352" i="1"/>
  <c r="CW352" i="1"/>
  <c r="CX352" i="1"/>
  <c r="FR352" i="1"/>
  <c r="GL352" i="1"/>
  <c r="GN352" i="1"/>
  <c r="GP352" i="1"/>
  <c r="GV352" i="1"/>
  <c r="C353" i="1"/>
  <c r="D353" i="1"/>
  <c r="I353" i="1"/>
  <c r="AC353" i="1"/>
  <c r="AB353" i="1" s="1"/>
  <c r="AD353" i="1"/>
  <c r="CR353" i="1" s="1"/>
  <c r="Q353" i="1" s="1"/>
  <c r="AE353" i="1"/>
  <c r="CS353" i="1" s="1"/>
  <c r="R353" i="1" s="1"/>
  <c r="GK353" i="1" s="1"/>
  <c r="AF353" i="1"/>
  <c r="AG353" i="1"/>
  <c r="AH353" i="1"/>
  <c r="CV353" i="1" s="1"/>
  <c r="U353" i="1" s="1"/>
  <c r="AI353" i="1"/>
  <c r="CW353" i="1" s="1"/>
  <c r="V353" i="1" s="1"/>
  <c r="AJ353" i="1"/>
  <c r="CQ353" i="1"/>
  <c r="P353" i="1" s="1"/>
  <c r="CP353" i="1" s="1"/>
  <c r="O353" i="1" s="1"/>
  <c r="CT353" i="1"/>
  <c r="S353" i="1" s="1"/>
  <c r="CU353" i="1"/>
  <c r="T353" i="1" s="1"/>
  <c r="CX353" i="1"/>
  <c r="W353" i="1" s="1"/>
  <c r="FR353" i="1"/>
  <c r="GL353" i="1"/>
  <c r="GN353" i="1"/>
  <c r="GP353" i="1"/>
  <c r="GV353" i="1"/>
  <c r="GX353" i="1" s="1"/>
  <c r="I354" i="1"/>
  <c r="AC354" i="1"/>
  <c r="AB354" i="1" s="1"/>
  <c r="AD354" i="1"/>
  <c r="CR354" i="1" s="1"/>
  <c r="Q354" i="1" s="1"/>
  <c r="AE354" i="1"/>
  <c r="AF354" i="1"/>
  <c r="AG354" i="1"/>
  <c r="CU354" i="1" s="1"/>
  <c r="T354" i="1" s="1"/>
  <c r="AH354" i="1"/>
  <c r="CV354" i="1" s="1"/>
  <c r="U354" i="1" s="1"/>
  <c r="AI354" i="1"/>
  <c r="AJ354" i="1"/>
  <c r="CS354" i="1"/>
  <c r="R354" i="1" s="1"/>
  <c r="GK354" i="1" s="1"/>
  <c r="CT354" i="1"/>
  <c r="S354" i="1" s="1"/>
  <c r="CW354" i="1"/>
  <c r="V354" i="1" s="1"/>
  <c r="CX354" i="1"/>
  <c r="W354" i="1" s="1"/>
  <c r="FR354" i="1"/>
  <c r="GL354" i="1"/>
  <c r="GN354" i="1"/>
  <c r="GP354" i="1"/>
  <c r="GV354" i="1"/>
  <c r="GX354" i="1"/>
  <c r="B356" i="1"/>
  <c r="B321" i="1" s="1"/>
  <c r="C356" i="1"/>
  <c r="C321" i="1" s="1"/>
  <c r="D356" i="1"/>
  <c r="D321" i="1" s="1"/>
  <c r="F356" i="1"/>
  <c r="F321" i="1" s="1"/>
  <c r="G356" i="1"/>
  <c r="G321" i="1" s="1"/>
  <c r="AO356" i="1"/>
  <c r="AO321" i="1" s="1"/>
  <c r="AP356" i="1"/>
  <c r="AP321" i="1" s="1"/>
  <c r="BB356" i="1"/>
  <c r="BB321" i="1" s="1"/>
  <c r="BX356" i="1"/>
  <c r="BX321" i="1" s="1"/>
  <c r="BY356" i="1"/>
  <c r="BY321" i="1" s="1"/>
  <c r="BZ356" i="1"/>
  <c r="BZ321" i="1" s="1"/>
  <c r="CD356" i="1"/>
  <c r="CD321" i="1" s="1"/>
  <c r="CK356" i="1"/>
  <c r="CK321" i="1" s="1"/>
  <c r="CL356" i="1"/>
  <c r="CL321" i="1" s="1"/>
  <c r="F360" i="1"/>
  <c r="F365" i="1"/>
  <c r="F369" i="1"/>
  <c r="D385" i="1"/>
  <c r="E387" i="1"/>
  <c r="Z387" i="1"/>
  <c r="AA387" i="1"/>
  <c r="AM387" i="1"/>
  <c r="AN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BQ387" i="1"/>
  <c r="BR387" i="1"/>
  <c r="BS387" i="1"/>
  <c r="BT387" i="1"/>
  <c r="BU387" i="1"/>
  <c r="BV387" i="1"/>
  <c r="BW387" i="1"/>
  <c r="CM387" i="1"/>
  <c r="CN387" i="1"/>
  <c r="CO387" i="1"/>
  <c r="CP387" i="1"/>
  <c r="CQ387" i="1"/>
  <c r="CR387" i="1"/>
  <c r="CS387" i="1"/>
  <c r="CT387" i="1"/>
  <c r="CU387" i="1"/>
  <c r="CV387" i="1"/>
  <c r="CW387" i="1"/>
  <c r="CX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DU387" i="1"/>
  <c r="DV387" i="1"/>
  <c r="DW387" i="1"/>
  <c r="DX387" i="1"/>
  <c r="DY387" i="1"/>
  <c r="DZ387" i="1"/>
  <c r="EA387" i="1"/>
  <c r="EB387" i="1"/>
  <c r="EC387" i="1"/>
  <c r="ED387" i="1"/>
  <c r="EE387" i="1"/>
  <c r="EF387" i="1"/>
  <c r="EG387" i="1"/>
  <c r="EH387" i="1"/>
  <c r="EI387" i="1"/>
  <c r="EJ387" i="1"/>
  <c r="EK387" i="1"/>
  <c r="EL387" i="1"/>
  <c r="EM387" i="1"/>
  <c r="EN387" i="1"/>
  <c r="EO387" i="1"/>
  <c r="EP387" i="1"/>
  <c r="EQ387" i="1"/>
  <c r="ER387" i="1"/>
  <c r="ES387" i="1"/>
  <c r="ET387" i="1"/>
  <c r="EU387" i="1"/>
  <c r="EV387" i="1"/>
  <c r="EW387" i="1"/>
  <c r="EX387" i="1"/>
  <c r="EY387" i="1"/>
  <c r="EZ387" i="1"/>
  <c r="FA387" i="1"/>
  <c r="FB387" i="1"/>
  <c r="FC387" i="1"/>
  <c r="FD387" i="1"/>
  <c r="FE387" i="1"/>
  <c r="FF387" i="1"/>
  <c r="FG387" i="1"/>
  <c r="FH387" i="1"/>
  <c r="FI387" i="1"/>
  <c r="FJ387" i="1"/>
  <c r="FK387" i="1"/>
  <c r="FL387" i="1"/>
  <c r="FM387" i="1"/>
  <c r="FN387" i="1"/>
  <c r="FO387" i="1"/>
  <c r="FP387" i="1"/>
  <c r="FQ387" i="1"/>
  <c r="FR387" i="1"/>
  <c r="FS387" i="1"/>
  <c r="FT387" i="1"/>
  <c r="FU387" i="1"/>
  <c r="FV387" i="1"/>
  <c r="FW387" i="1"/>
  <c r="FX387" i="1"/>
  <c r="FY387" i="1"/>
  <c r="FZ387" i="1"/>
  <c r="GA387" i="1"/>
  <c r="GB387" i="1"/>
  <c r="GC387" i="1"/>
  <c r="GD387" i="1"/>
  <c r="GE387" i="1"/>
  <c r="GF387" i="1"/>
  <c r="GG387" i="1"/>
  <c r="GH387" i="1"/>
  <c r="GI387" i="1"/>
  <c r="GJ387" i="1"/>
  <c r="GK387" i="1"/>
  <c r="GL387" i="1"/>
  <c r="GM387" i="1"/>
  <c r="GN387" i="1"/>
  <c r="GO387" i="1"/>
  <c r="GP387" i="1"/>
  <c r="GQ387" i="1"/>
  <c r="GR387" i="1"/>
  <c r="GS387" i="1"/>
  <c r="GT387" i="1"/>
  <c r="GU387" i="1"/>
  <c r="GV387" i="1"/>
  <c r="GW387" i="1"/>
  <c r="GX387" i="1"/>
  <c r="C389" i="1"/>
  <c r="D389" i="1"/>
  <c r="I389" i="1"/>
  <c r="I390" i="1" s="1"/>
  <c r="AC389" i="1"/>
  <c r="CQ389" i="1" s="1"/>
  <c r="P389" i="1" s="1"/>
  <c r="AE389" i="1"/>
  <c r="AD389" i="1" s="1"/>
  <c r="AF389" i="1"/>
  <c r="CT389" i="1" s="1"/>
  <c r="S389" i="1" s="1"/>
  <c r="AG389" i="1"/>
  <c r="CU389" i="1" s="1"/>
  <c r="T389" i="1" s="1"/>
  <c r="AH389" i="1"/>
  <c r="AI389" i="1"/>
  <c r="AJ389" i="1"/>
  <c r="CX389" i="1" s="1"/>
  <c r="W389" i="1" s="1"/>
  <c r="CS389" i="1"/>
  <c r="R389" i="1" s="1"/>
  <c r="GK389" i="1" s="1"/>
  <c r="CV389" i="1"/>
  <c r="U389" i="1" s="1"/>
  <c r="CW389" i="1"/>
  <c r="V389" i="1" s="1"/>
  <c r="FR389" i="1"/>
  <c r="GL389" i="1"/>
  <c r="GN389" i="1"/>
  <c r="GP389" i="1"/>
  <c r="GV389" i="1"/>
  <c r="GX389" i="1"/>
  <c r="AC390" i="1"/>
  <c r="AE390" i="1"/>
  <c r="AD390" i="1" s="1"/>
  <c r="AF390" i="1"/>
  <c r="CT390" i="1" s="1"/>
  <c r="S390" i="1" s="1"/>
  <c r="AG390" i="1"/>
  <c r="AH390" i="1"/>
  <c r="AI390" i="1"/>
  <c r="CW390" i="1" s="1"/>
  <c r="V390" i="1" s="1"/>
  <c r="AJ390" i="1"/>
  <c r="CX390" i="1" s="1"/>
  <c r="W390" i="1" s="1"/>
  <c r="CQ390" i="1"/>
  <c r="P390" i="1" s="1"/>
  <c r="CU390" i="1"/>
  <c r="T390" i="1" s="1"/>
  <c r="CV390" i="1"/>
  <c r="U390" i="1" s="1"/>
  <c r="FR390" i="1"/>
  <c r="GL390" i="1"/>
  <c r="GN390" i="1"/>
  <c r="GP390" i="1"/>
  <c r="GV390" i="1"/>
  <c r="GX390" i="1" s="1"/>
  <c r="C391" i="1"/>
  <c r="D391" i="1"/>
  <c r="I391" i="1"/>
  <c r="I392" i="1" s="1"/>
  <c r="AC391" i="1"/>
  <c r="CQ391" i="1" s="1"/>
  <c r="P391" i="1" s="1"/>
  <c r="AE391" i="1"/>
  <c r="AD391" i="1" s="1"/>
  <c r="AF391" i="1"/>
  <c r="CT391" i="1" s="1"/>
  <c r="S391" i="1" s="1"/>
  <c r="AG391" i="1"/>
  <c r="CU391" i="1" s="1"/>
  <c r="T391" i="1" s="1"/>
  <c r="AH391" i="1"/>
  <c r="AI391" i="1"/>
  <c r="AJ391" i="1"/>
  <c r="CX391" i="1" s="1"/>
  <c r="W391" i="1" s="1"/>
  <c r="CS391" i="1"/>
  <c r="R391" i="1" s="1"/>
  <c r="GK391" i="1" s="1"/>
  <c r="CV391" i="1"/>
  <c r="U391" i="1" s="1"/>
  <c r="CW391" i="1"/>
  <c r="V391" i="1" s="1"/>
  <c r="FR391" i="1"/>
  <c r="GL391" i="1"/>
  <c r="GN391" i="1"/>
  <c r="GP391" i="1"/>
  <c r="GV391" i="1"/>
  <c r="GX391" i="1"/>
  <c r="AC392" i="1"/>
  <c r="AE392" i="1"/>
  <c r="AD392" i="1" s="1"/>
  <c r="AF392" i="1"/>
  <c r="CT392" i="1" s="1"/>
  <c r="AG392" i="1"/>
  <c r="AH392" i="1"/>
  <c r="AI392" i="1"/>
  <c r="CW392" i="1" s="1"/>
  <c r="AJ392" i="1"/>
  <c r="CX392" i="1" s="1"/>
  <c r="CQ392" i="1"/>
  <c r="P392" i="1" s="1"/>
  <c r="CU392" i="1"/>
  <c r="CV392" i="1"/>
  <c r="FR392" i="1"/>
  <c r="GL392" i="1"/>
  <c r="GN392" i="1"/>
  <c r="GP392" i="1"/>
  <c r="GV392" i="1"/>
  <c r="AC393" i="1"/>
  <c r="AB393" i="1" s="1"/>
  <c r="AD393" i="1"/>
  <c r="CR393" i="1" s="1"/>
  <c r="AE393" i="1"/>
  <c r="CS393" i="1" s="1"/>
  <c r="AF393" i="1"/>
  <c r="AG393" i="1"/>
  <c r="AH393" i="1"/>
  <c r="CV393" i="1" s="1"/>
  <c r="AI393" i="1"/>
  <c r="CW393" i="1" s="1"/>
  <c r="AJ393" i="1"/>
  <c r="CQ393" i="1"/>
  <c r="CT393" i="1"/>
  <c r="CU393" i="1"/>
  <c r="CX393" i="1"/>
  <c r="FR393" i="1"/>
  <c r="GL393" i="1"/>
  <c r="GN393" i="1"/>
  <c r="GP393" i="1"/>
  <c r="GV393" i="1"/>
  <c r="C394" i="1"/>
  <c r="D394" i="1"/>
  <c r="I394" i="1"/>
  <c r="I395" i="1" s="1"/>
  <c r="AC394" i="1"/>
  <c r="AE394" i="1"/>
  <c r="AD394" i="1" s="1"/>
  <c r="AF394" i="1"/>
  <c r="CT394" i="1" s="1"/>
  <c r="S394" i="1" s="1"/>
  <c r="AG394" i="1"/>
  <c r="AH394" i="1"/>
  <c r="AI394" i="1"/>
  <c r="CW394" i="1" s="1"/>
  <c r="V394" i="1" s="1"/>
  <c r="AJ394" i="1"/>
  <c r="CX394" i="1" s="1"/>
  <c r="W394" i="1" s="1"/>
  <c r="CQ394" i="1"/>
  <c r="P394" i="1" s="1"/>
  <c r="CU394" i="1"/>
  <c r="T394" i="1" s="1"/>
  <c r="CV394" i="1"/>
  <c r="U394" i="1" s="1"/>
  <c r="FR394" i="1"/>
  <c r="GL394" i="1"/>
  <c r="GN394" i="1"/>
  <c r="GP394" i="1"/>
  <c r="GV394" i="1"/>
  <c r="GX394" i="1" s="1"/>
  <c r="AC395" i="1"/>
  <c r="AB395" i="1" s="1"/>
  <c r="AD395" i="1"/>
  <c r="CR395" i="1" s="1"/>
  <c r="Q395" i="1" s="1"/>
  <c r="AE395" i="1"/>
  <c r="CS395" i="1" s="1"/>
  <c r="R395" i="1" s="1"/>
  <c r="GK395" i="1" s="1"/>
  <c r="AF395" i="1"/>
  <c r="AG395" i="1"/>
  <c r="AH395" i="1"/>
  <c r="CV395" i="1" s="1"/>
  <c r="U395" i="1" s="1"/>
  <c r="AI395" i="1"/>
  <c r="CW395" i="1" s="1"/>
  <c r="V395" i="1" s="1"/>
  <c r="AJ395" i="1"/>
  <c r="CQ395" i="1"/>
  <c r="P395" i="1" s="1"/>
  <c r="CT395" i="1"/>
  <c r="S395" i="1" s="1"/>
  <c r="CU395" i="1"/>
  <c r="T395" i="1" s="1"/>
  <c r="CX395" i="1"/>
  <c r="FR395" i="1"/>
  <c r="GL395" i="1"/>
  <c r="GN395" i="1"/>
  <c r="GP395" i="1"/>
  <c r="GV395" i="1"/>
  <c r="GX395" i="1" s="1"/>
  <c r="C396" i="1"/>
  <c r="D396" i="1"/>
  <c r="I396" i="1"/>
  <c r="I397" i="1" s="1"/>
  <c r="AC396" i="1"/>
  <c r="AE396" i="1"/>
  <c r="AD396" i="1" s="1"/>
  <c r="AF396" i="1"/>
  <c r="CT396" i="1" s="1"/>
  <c r="S396" i="1" s="1"/>
  <c r="AG396" i="1"/>
  <c r="AH396" i="1"/>
  <c r="AI396" i="1"/>
  <c r="CW396" i="1" s="1"/>
  <c r="V396" i="1" s="1"/>
  <c r="AJ396" i="1"/>
  <c r="CX396" i="1" s="1"/>
  <c r="W396" i="1" s="1"/>
  <c r="CQ396" i="1"/>
  <c r="P396" i="1" s="1"/>
  <c r="CU396" i="1"/>
  <c r="T396" i="1" s="1"/>
  <c r="CV396" i="1"/>
  <c r="U396" i="1" s="1"/>
  <c r="FR396" i="1"/>
  <c r="GL396" i="1"/>
  <c r="GN396" i="1"/>
  <c r="GP396" i="1"/>
  <c r="GV396" i="1"/>
  <c r="GX396" i="1" s="1"/>
  <c r="AC397" i="1"/>
  <c r="AB397" i="1" s="1"/>
  <c r="AD397" i="1"/>
  <c r="CR397" i="1" s="1"/>
  <c r="Q397" i="1" s="1"/>
  <c r="AE397" i="1"/>
  <c r="CS397" i="1" s="1"/>
  <c r="R397" i="1" s="1"/>
  <c r="GK397" i="1" s="1"/>
  <c r="AF397" i="1"/>
  <c r="AG397" i="1"/>
  <c r="AH397" i="1"/>
  <c r="CV397" i="1" s="1"/>
  <c r="U397" i="1" s="1"/>
  <c r="AI397" i="1"/>
  <c r="CW397" i="1" s="1"/>
  <c r="V397" i="1" s="1"/>
  <c r="AJ397" i="1"/>
  <c r="CQ397" i="1"/>
  <c r="P397" i="1" s="1"/>
  <c r="CT397" i="1"/>
  <c r="S397" i="1" s="1"/>
  <c r="CU397" i="1"/>
  <c r="T397" i="1" s="1"/>
  <c r="CX397" i="1"/>
  <c r="W397" i="1" s="1"/>
  <c r="FR397" i="1"/>
  <c r="GL397" i="1"/>
  <c r="GN397" i="1"/>
  <c r="GP397" i="1"/>
  <c r="GV397" i="1"/>
  <c r="GX397" i="1" s="1"/>
  <c r="C398" i="1"/>
  <c r="D398" i="1"/>
  <c r="I398" i="1"/>
  <c r="I399" i="1" s="1"/>
  <c r="AC398" i="1"/>
  <c r="AE398" i="1"/>
  <c r="AD398" i="1" s="1"/>
  <c r="AF398" i="1"/>
  <c r="CT398" i="1" s="1"/>
  <c r="S398" i="1" s="1"/>
  <c r="AG398" i="1"/>
  <c r="AH398" i="1"/>
  <c r="AI398" i="1"/>
  <c r="CW398" i="1" s="1"/>
  <c r="V398" i="1" s="1"/>
  <c r="AJ398" i="1"/>
  <c r="CX398" i="1" s="1"/>
  <c r="W398" i="1" s="1"/>
  <c r="CQ398" i="1"/>
  <c r="P398" i="1" s="1"/>
  <c r="CU398" i="1"/>
  <c r="T398" i="1" s="1"/>
  <c r="CV398" i="1"/>
  <c r="U398" i="1" s="1"/>
  <c r="FR398" i="1"/>
  <c r="GL398" i="1"/>
  <c r="GN398" i="1"/>
  <c r="GP398" i="1"/>
  <c r="GV398" i="1"/>
  <c r="GX398" i="1" s="1"/>
  <c r="AC399" i="1"/>
  <c r="AB399" i="1" s="1"/>
  <c r="AD399" i="1"/>
  <c r="CR399" i="1" s="1"/>
  <c r="AE399" i="1"/>
  <c r="CS399" i="1" s="1"/>
  <c r="R399" i="1" s="1"/>
  <c r="GK399" i="1" s="1"/>
  <c r="AF399" i="1"/>
  <c r="AG399" i="1"/>
  <c r="AH399" i="1"/>
  <c r="CV399" i="1" s="1"/>
  <c r="AI399" i="1"/>
  <c r="CW399" i="1" s="1"/>
  <c r="V399" i="1" s="1"/>
  <c r="AJ399" i="1"/>
  <c r="CQ399" i="1"/>
  <c r="P399" i="1" s="1"/>
  <c r="CT399" i="1"/>
  <c r="CU399" i="1"/>
  <c r="T399" i="1" s="1"/>
  <c r="CX399" i="1"/>
  <c r="W399" i="1" s="1"/>
  <c r="FR399" i="1"/>
  <c r="GL399" i="1"/>
  <c r="GN399" i="1"/>
  <c r="GP399" i="1"/>
  <c r="GV399" i="1"/>
  <c r="GX399" i="1" s="1"/>
  <c r="C400" i="1"/>
  <c r="D400" i="1"/>
  <c r="I400" i="1"/>
  <c r="I401" i="1" s="1"/>
  <c r="AC400" i="1"/>
  <c r="AE400" i="1"/>
  <c r="AD400" i="1" s="1"/>
  <c r="AF400" i="1"/>
  <c r="CT400" i="1" s="1"/>
  <c r="S400" i="1" s="1"/>
  <c r="AG400" i="1"/>
  <c r="AH400" i="1"/>
  <c r="AI400" i="1"/>
  <c r="CW400" i="1" s="1"/>
  <c r="V400" i="1" s="1"/>
  <c r="AJ400" i="1"/>
  <c r="CX400" i="1" s="1"/>
  <c r="W400" i="1" s="1"/>
  <c r="CQ400" i="1"/>
  <c r="P400" i="1" s="1"/>
  <c r="CU400" i="1"/>
  <c r="T400" i="1" s="1"/>
  <c r="CV400" i="1"/>
  <c r="U400" i="1" s="1"/>
  <c r="FR400" i="1"/>
  <c r="GL400" i="1"/>
  <c r="GN400" i="1"/>
  <c r="GP400" i="1"/>
  <c r="GV400" i="1"/>
  <c r="GX400" i="1" s="1"/>
  <c r="AC401" i="1"/>
  <c r="AB401" i="1" s="1"/>
  <c r="AD401" i="1"/>
  <c r="CR401" i="1" s="1"/>
  <c r="AE401" i="1"/>
  <c r="CS401" i="1" s="1"/>
  <c r="AF401" i="1"/>
  <c r="AG401" i="1"/>
  <c r="AH401" i="1"/>
  <c r="CV401" i="1" s="1"/>
  <c r="AI401" i="1"/>
  <c r="CW401" i="1" s="1"/>
  <c r="AJ401" i="1"/>
  <c r="CQ401" i="1"/>
  <c r="P401" i="1" s="1"/>
  <c r="CT401" i="1"/>
  <c r="CU401" i="1"/>
  <c r="CX401" i="1"/>
  <c r="FR401" i="1"/>
  <c r="GL401" i="1"/>
  <c r="GN401" i="1"/>
  <c r="GP401" i="1"/>
  <c r="GV401" i="1"/>
  <c r="GX401" i="1" s="1"/>
  <c r="C402" i="1"/>
  <c r="D402" i="1"/>
  <c r="I402" i="1"/>
  <c r="I403" i="1" s="1"/>
  <c r="AC402" i="1"/>
  <c r="AE402" i="1"/>
  <c r="AD402" i="1" s="1"/>
  <c r="AF402" i="1"/>
  <c r="CT402" i="1" s="1"/>
  <c r="S402" i="1" s="1"/>
  <c r="AG402" i="1"/>
  <c r="AH402" i="1"/>
  <c r="AI402" i="1"/>
  <c r="CW402" i="1" s="1"/>
  <c r="V402" i="1" s="1"/>
  <c r="AJ402" i="1"/>
  <c r="CX402" i="1" s="1"/>
  <c r="W402" i="1" s="1"/>
  <c r="CQ402" i="1"/>
  <c r="P402" i="1" s="1"/>
  <c r="CU402" i="1"/>
  <c r="T402" i="1" s="1"/>
  <c r="CV402" i="1"/>
  <c r="U402" i="1" s="1"/>
  <c r="FR402" i="1"/>
  <c r="GL402" i="1"/>
  <c r="GN402" i="1"/>
  <c r="GP402" i="1"/>
  <c r="GV402" i="1"/>
  <c r="GX402" i="1" s="1"/>
  <c r="AC403" i="1"/>
  <c r="AB403" i="1" s="1"/>
  <c r="AD403" i="1"/>
  <c r="CR403" i="1" s="1"/>
  <c r="Q403" i="1" s="1"/>
  <c r="AE403" i="1"/>
  <c r="CS403" i="1" s="1"/>
  <c r="R403" i="1" s="1"/>
  <c r="GK403" i="1" s="1"/>
  <c r="AF403" i="1"/>
  <c r="AG403" i="1"/>
  <c r="AH403" i="1"/>
  <c r="CV403" i="1" s="1"/>
  <c r="U403" i="1" s="1"/>
  <c r="AI403" i="1"/>
  <c r="CW403" i="1" s="1"/>
  <c r="V403" i="1" s="1"/>
  <c r="AJ403" i="1"/>
  <c r="CQ403" i="1"/>
  <c r="P403" i="1" s="1"/>
  <c r="CT403" i="1"/>
  <c r="S403" i="1" s="1"/>
  <c r="CU403" i="1"/>
  <c r="T403" i="1" s="1"/>
  <c r="CX403" i="1"/>
  <c r="FR403" i="1"/>
  <c r="GL403" i="1"/>
  <c r="GN403" i="1"/>
  <c r="GP403" i="1"/>
  <c r="GV403" i="1"/>
  <c r="GX403" i="1" s="1"/>
  <c r="C404" i="1"/>
  <c r="D404" i="1"/>
  <c r="I404" i="1"/>
  <c r="I405" i="1" s="1"/>
  <c r="AC404" i="1"/>
  <c r="AE404" i="1"/>
  <c r="AD404" i="1" s="1"/>
  <c r="AF404" i="1"/>
  <c r="CT404" i="1" s="1"/>
  <c r="S404" i="1" s="1"/>
  <c r="AG404" i="1"/>
  <c r="AH404" i="1"/>
  <c r="AI404" i="1"/>
  <c r="CW404" i="1" s="1"/>
  <c r="V404" i="1" s="1"/>
  <c r="AJ404" i="1"/>
  <c r="CX404" i="1" s="1"/>
  <c r="W404" i="1" s="1"/>
  <c r="CQ404" i="1"/>
  <c r="P404" i="1" s="1"/>
  <c r="CU404" i="1"/>
  <c r="T404" i="1" s="1"/>
  <c r="CV404" i="1"/>
  <c r="U404" i="1" s="1"/>
  <c r="FR404" i="1"/>
  <c r="GL404" i="1"/>
  <c r="GN404" i="1"/>
  <c r="GP404" i="1"/>
  <c r="GV404" i="1"/>
  <c r="GX404" i="1" s="1"/>
  <c r="AC405" i="1"/>
  <c r="AB405" i="1" s="1"/>
  <c r="AD405" i="1"/>
  <c r="CR405" i="1" s="1"/>
  <c r="Q405" i="1" s="1"/>
  <c r="AE405" i="1"/>
  <c r="CS405" i="1" s="1"/>
  <c r="R405" i="1" s="1"/>
  <c r="GK405" i="1" s="1"/>
  <c r="AF405" i="1"/>
  <c r="AG405" i="1"/>
  <c r="AH405" i="1"/>
  <c r="CV405" i="1" s="1"/>
  <c r="U405" i="1" s="1"/>
  <c r="AI405" i="1"/>
  <c r="CW405" i="1" s="1"/>
  <c r="V405" i="1" s="1"/>
  <c r="AJ405" i="1"/>
  <c r="CQ405" i="1"/>
  <c r="P405" i="1" s="1"/>
  <c r="CT405" i="1"/>
  <c r="S405" i="1" s="1"/>
  <c r="CY405" i="1" s="1"/>
  <c r="X405" i="1" s="1"/>
  <c r="CU405" i="1"/>
  <c r="T405" i="1" s="1"/>
  <c r="CX405" i="1"/>
  <c r="W405" i="1" s="1"/>
  <c r="FR405" i="1"/>
  <c r="GL405" i="1"/>
  <c r="GN405" i="1"/>
  <c r="GP405" i="1"/>
  <c r="GV405" i="1"/>
  <c r="GX405" i="1" s="1"/>
  <c r="I406" i="1"/>
  <c r="AC406" i="1"/>
  <c r="AD406" i="1"/>
  <c r="CR406" i="1" s="1"/>
  <c r="Q406" i="1" s="1"/>
  <c r="AE406" i="1"/>
  <c r="AF406" i="1"/>
  <c r="AG406" i="1"/>
  <c r="CU406" i="1" s="1"/>
  <c r="T406" i="1" s="1"/>
  <c r="AH406" i="1"/>
  <c r="CV406" i="1" s="1"/>
  <c r="U406" i="1" s="1"/>
  <c r="AI406" i="1"/>
  <c r="AJ406" i="1"/>
  <c r="CS406" i="1"/>
  <c r="R406" i="1" s="1"/>
  <c r="GK406" i="1" s="1"/>
  <c r="CT406" i="1"/>
  <c r="S406" i="1" s="1"/>
  <c r="CW406" i="1"/>
  <c r="V406" i="1" s="1"/>
  <c r="CX406" i="1"/>
  <c r="W406" i="1" s="1"/>
  <c r="FR406" i="1"/>
  <c r="GL406" i="1"/>
  <c r="GN406" i="1"/>
  <c r="GP406" i="1"/>
  <c r="GV406" i="1"/>
  <c r="GX406" i="1"/>
  <c r="C407" i="1"/>
  <c r="D407" i="1"/>
  <c r="I407" i="1"/>
  <c r="P407" i="1"/>
  <c r="AC407" i="1"/>
  <c r="AD407" i="1"/>
  <c r="CR407" i="1" s="1"/>
  <c r="Q407" i="1" s="1"/>
  <c r="AE407" i="1"/>
  <c r="CS407" i="1" s="1"/>
  <c r="R407" i="1" s="1"/>
  <c r="GK407" i="1" s="1"/>
  <c r="AF407" i="1"/>
  <c r="AG407" i="1"/>
  <c r="AH407" i="1"/>
  <c r="CV407" i="1" s="1"/>
  <c r="U407" i="1" s="1"/>
  <c r="AI407" i="1"/>
  <c r="CW407" i="1" s="1"/>
  <c r="V407" i="1" s="1"/>
  <c r="AJ407" i="1"/>
  <c r="CQ407" i="1"/>
  <c r="CT407" i="1"/>
  <c r="S407" i="1" s="1"/>
  <c r="CZ407" i="1" s="1"/>
  <c r="Y407" i="1" s="1"/>
  <c r="CU407" i="1"/>
  <c r="T407" i="1" s="1"/>
  <c r="CX407" i="1"/>
  <c r="W407" i="1" s="1"/>
  <c r="FR407" i="1"/>
  <c r="GL407" i="1"/>
  <c r="GN407" i="1"/>
  <c r="GP407" i="1"/>
  <c r="GV407" i="1"/>
  <c r="GX407" i="1" s="1"/>
  <c r="I408" i="1"/>
  <c r="W408" i="1"/>
  <c r="AC408" i="1"/>
  <c r="AD408" i="1"/>
  <c r="CR408" i="1" s="1"/>
  <c r="Q408" i="1" s="1"/>
  <c r="AE408" i="1"/>
  <c r="AF408" i="1"/>
  <c r="AG408" i="1"/>
  <c r="CU408" i="1" s="1"/>
  <c r="T408" i="1" s="1"/>
  <c r="AH408" i="1"/>
  <c r="CV408" i="1" s="1"/>
  <c r="U408" i="1" s="1"/>
  <c r="AI408" i="1"/>
  <c r="AJ408" i="1"/>
  <c r="CS408" i="1"/>
  <c r="R408" i="1" s="1"/>
  <c r="CT408" i="1"/>
  <c r="S408" i="1" s="1"/>
  <c r="CW408" i="1"/>
  <c r="V408" i="1" s="1"/>
  <c r="CX408" i="1"/>
  <c r="FR408" i="1"/>
  <c r="GK408" i="1"/>
  <c r="GL408" i="1"/>
  <c r="GN408" i="1"/>
  <c r="GP408" i="1"/>
  <c r="GV408" i="1"/>
  <c r="GX408" i="1"/>
  <c r="C409" i="1"/>
  <c r="D409" i="1"/>
  <c r="I409" i="1"/>
  <c r="AC409" i="1"/>
  <c r="AB409" i="1" s="1"/>
  <c r="AD409" i="1"/>
  <c r="CR409" i="1" s="1"/>
  <c r="Q409" i="1" s="1"/>
  <c r="AE409" i="1"/>
  <c r="CS409" i="1" s="1"/>
  <c r="R409" i="1" s="1"/>
  <c r="GK409" i="1" s="1"/>
  <c r="AF409" i="1"/>
  <c r="AG409" i="1"/>
  <c r="AH409" i="1"/>
  <c r="CV409" i="1" s="1"/>
  <c r="U409" i="1" s="1"/>
  <c r="AI409" i="1"/>
  <c r="CW409" i="1" s="1"/>
  <c r="V409" i="1" s="1"/>
  <c r="AJ409" i="1"/>
  <c r="CQ409" i="1"/>
  <c r="P409" i="1" s="1"/>
  <c r="CP409" i="1" s="1"/>
  <c r="O409" i="1" s="1"/>
  <c r="CT409" i="1"/>
  <c r="S409" i="1" s="1"/>
  <c r="CZ409" i="1" s="1"/>
  <c r="Y409" i="1" s="1"/>
  <c r="CU409" i="1"/>
  <c r="T409" i="1" s="1"/>
  <c r="CX409" i="1"/>
  <c r="W409" i="1" s="1"/>
  <c r="CY409" i="1"/>
  <c r="X409" i="1" s="1"/>
  <c r="FR409" i="1"/>
  <c r="GL409" i="1"/>
  <c r="GN409" i="1"/>
  <c r="GP409" i="1"/>
  <c r="GV409" i="1"/>
  <c r="GX409" i="1" s="1"/>
  <c r="I410" i="1"/>
  <c r="W410" i="1"/>
  <c r="AC410" i="1"/>
  <c r="AD410" i="1"/>
  <c r="CR410" i="1" s="1"/>
  <c r="Q410" i="1" s="1"/>
  <c r="AE410" i="1"/>
  <c r="AF410" i="1"/>
  <c r="AG410" i="1"/>
  <c r="CU410" i="1" s="1"/>
  <c r="T410" i="1" s="1"/>
  <c r="AH410" i="1"/>
  <c r="CV410" i="1" s="1"/>
  <c r="U410" i="1" s="1"/>
  <c r="AI410" i="1"/>
  <c r="AJ410" i="1"/>
  <c r="CS410" i="1"/>
  <c r="R410" i="1" s="1"/>
  <c r="CT410" i="1"/>
  <c r="S410" i="1" s="1"/>
  <c r="CW410" i="1"/>
  <c r="V410" i="1" s="1"/>
  <c r="CX410" i="1"/>
  <c r="FR410" i="1"/>
  <c r="GK410" i="1"/>
  <c r="GL410" i="1"/>
  <c r="GN410" i="1"/>
  <c r="GP410" i="1"/>
  <c r="GV410" i="1"/>
  <c r="GX410" i="1"/>
  <c r="C411" i="1"/>
  <c r="D411" i="1"/>
  <c r="AC411" i="1"/>
  <c r="AE411" i="1"/>
  <c r="AF411" i="1"/>
  <c r="CT411" i="1" s="1"/>
  <c r="S411" i="1" s="1"/>
  <c r="AG411" i="1"/>
  <c r="AH411" i="1"/>
  <c r="AI411" i="1"/>
  <c r="CW411" i="1" s="1"/>
  <c r="V411" i="1" s="1"/>
  <c r="AJ411" i="1"/>
  <c r="CX411" i="1" s="1"/>
  <c r="W411" i="1" s="1"/>
  <c r="CQ411" i="1"/>
  <c r="P411" i="1" s="1"/>
  <c r="CU411" i="1"/>
  <c r="T411" i="1" s="1"/>
  <c r="CV411" i="1"/>
  <c r="U411" i="1" s="1"/>
  <c r="FR411" i="1"/>
  <c r="GL411" i="1"/>
  <c r="GN411" i="1"/>
  <c r="GP411" i="1"/>
  <c r="GV411" i="1"/>
  <c r="GX411" i="1" s="1"/>
  <c r="I412" i="1"/>
  <c r="T412" i="1"/>
  <c r="AC412" i="1"/>
  <c r="AD412" i="1"/>
  <c r="CR412" i="1" s="1"/>
  <c r="Q412" i="1" s="1"/>
  <c r="AE412" i="1"/>
  <c r="CS412" i="1" s="1"/>
  <c r="R412" i="1" s="1"/>
  <c r="GK412" i="1" s="1"/>
  <c r="AF412" i="1"/>
  <c r="AG412" i="1"/>
  <c r="AH412" i="1"/>
  <c r="CV412" i="1" s="1"/>
  <c r="U412" i="1" s="1"/>
  <c r="AI412" i="1"/>
  <c r="CW412" i="1" s="1"/>
  <c r="V412" i="1" s="1"/>
  <c r="AJ412" i="1"/>
  <c r="CQ412" i="1"/>
  <c r="P412" i="1" s="1"/>
  <c r="CP412" i="1" s="1"/>
  <c r="O412" i="1" s="1"/>
  <c r="CT412" i="1"/>
  <c r="S412" i="1" s="1"/>
  <c r="CZ412" i="1" s="1"/>
  <c r="Y412" i="1" s="1"/>
  <c r="CU412" i="1"/>
  <c r="CX412" i="1"/>
  <c r="W412" i="1" s="1"/>
  <c r="CY412" i="1"/>
  <c r="X412" i="1" s="1"/>
  <c r="FR412" i="1"/>
  <c r="GL412" i="1"/>
  <c r="GN412" i="1"/>
  <c r="GP412" i="1"/>
  <c r="GV412" i="1"/>
  <c r="GX412" i="1" s="1"/>
  <c r="C413" i="1"/>
  <c r="D413" i="1"/>
  <c r="AB413" i="1"/>
  <c r="AC413" i="1"/>
  <c r="CQ413" i="1" s="1"/>
  <c r="P413" i="1" s="1"/>
  <c r="AE413" i="1"/>
  <c r="AD413" i="1" s="1"/>
  <c r="AF413" i="1"/>
  <c r="AG413" i="1"/>
  <c r="CU413" i="1" s="1"/>
  <c r="T413" i="1" s="1"/>
  <c r="AH413" i="1"/>
  <c r="AI413" i="1"/>
  <c r="AJ413" i="1"/>
  <c r="CX413" i="1" s="1"/>
  <c r="W413" i="1" s="1"/>
  <c r="CR413" i="1"/>
  <c r="Q413" i="1" s="1"/>
  <c r="CS413" i="1"/>
  <c r="R413" i="1" s="1"/>
  <c r="GK413" i="1" s="1"/>
  <c r="CT413" i="1"/>
  <c r="S413" i="1" s="1"/>
  <c r="CV413" i="1"/>
  <c r="U413" i="1" s="1"/>
  <c r="CW413" i="1"/>
  <c r="V413" i="1" s="1"/>
  <c r="FR413" i="1"/>
  <c r="BY431" i="1" s="1"/>
  <c r="GL413" i="1"/>
  <c r="GN413" i="1"/>
  <c r="GP413" i="1"/>
  <c r="GV413" i="1"/>
  <c r="GX413" i="1"/>
  <c r="I414" i="1"/>
  <c r="R414" i="1"/>
  <c r="GK414" i="1" s="1"/>
  <c r="T414" i="1"/>
  <c r="AC414" i="1"/>
  <c r="AD414" i="1"/>
  <c r="AB414" i="1" s="1"/>
  <c r="AE414" i="1"/>
  <c r="AF414" i="1"/>
  <c r="CT414" i="1" s="1"/>
  <c r="AG414" i="1"/>
  <c r="AH414" i="1"/>
  <c r="CV414" i="1" s="1"/>
  <c r="U414" i="1" s="1"/>
  <c r="AI414" i="1"/>
  <c r="AJ414" i="1"/>
  <c r="CX414" i="1" s="1"/>
  <c r="CQ414" i="1"/>
  <c r="P414" i="1" s="1"/>
  <c r="CR414" i="1"/>
  <c r="Q414" i="1" s="1"/>
  <c r="CS414" i="1"/>
  <c r="CU414" i="1"/>
  <c r="CW414" i="1"/>
  <c r="V414" i="1" s="1"/>
  <c r="FR414" i="1"/>
  <c r="GL414" i="1"/>
  <c r="GN414" i="1"/>
  <c r="GP414" i="1"/>
  <c r="GV414" i="1"/>
  <c r="GX414" i="1" s="1"/>
  <c r="C415" i="1"/>
  <c r="D415" i="1"/>
  <c r="T415" i="1"/>
  <c r="V415" i="1"/>
  <c r="AC415" i="1"/>
  <c r="CQ415" i="1" s="1"/>
  <c r="P415" i="1" s="1"/>
  <c r="CP415" i="1" s="1"/>
  <c r="O415" i="1" s="1"/>
  <c r="AD415" i="1"/>
  <c r="CR415" i="1" s="1"/>
  <c r="Q415" i="1" s="1"/>
  <c r="AE415" i="1"/>
  <c r="AF415" i="1"/>
  <c r="AB415" i="1" s="1"/>
  <c r="AG415" i="1"/>
  <c r="AH415" i="1"/>
  <c r="CV415" i="1" s="1"/>
  <c r="U415" i="1" s="1"/>
  <c r="AI415" i="1"/>
  <c r="AJ415" i="1"/>
  <c r="CX415" i="1" s="1"/>
  <c r="W415" i="1" s="1"/>
  <c r="CS415" i="1"/>
  <c r="R415" i="1" s="1"/>
  <c r="GK415" i="1" s="1"/>
  <c r="CT415" i="1"/>
  <c r="S415" i="1" s="1"/>
  <c r="CU415" i="1"/>
  <c r="CW415" i="1"/>
  <c r="FR415" i="1"/>
  <c r="GL415" i="1"/>
  <c r="GN415" i="1"/>
  <c r="GP415" i="1"/>
  <c r="GV415" i="1"/>
  <c r="GX415" i="1"/>
  <c r="I416" i="1"/>
  <c r="AC416" i="1"/>
  <c r="CQ416" i="1" s="1"/>
  <c r="AE416" i="1"/>
  <c r="AD416" i="1" s="1"/>
  <c r="CR416" i="1" s="1"/>
  <c r="Q416" i="1" s="1"/>
  <c r="AF416" i="1"/>
  <c r="AG416" i="1"/>
  <c r="CU416" i="1" s="1"/>
  <c r="AH416" i="1"/>
  <c r="AI416" i="1"/>
  <c r="CW416" i="1" s="1"/>
  <c r="V416" i="1" s="1"/>
  <c r="AJ416" i="1"/>
  <c r="CS416" i="1"/>
  <c r="R416" i="1" s="1"/>
  <c r="GK416" i="1" s="1"/>
  <c r="CT416" i="1"/>
  <c r="S416" i="1" s="1"/>
  <c r="CV416" i="1"/>
  <c r="U416" i="1" s="1"/>
  <c r="CX416" i="1"/>
  <c r="W416" i="1" s="1"/>
  <c r="FR416" i="1"/>
  <c r="GL416" i="1"/>
  <c r="GN416" i="1"/>
  <c r="GP416" i="1"/>
  <c r="GV416" i="1"/>
  <c r="GX416" i="1" s="1"/>
  <c r="I417" i="1"/>
  <c r="P417" i="1"/>
  <c r="U417" i="1"/>
  <c r="AC417" i="1"/>
  <c r="AE417" i="1"/>
  <c r="AD417" i="1" s="1"/>
  <c r="AF417" i="1"/>
  <c r="CT417" i="1" s="1"/>
  <c r="S417" i="1" s="1"/>
  <c r="AG417" i="1"/>
  <c r="AH417" i="1"/>
  <c r="AI417" i="1"/>
  <c r="CW417" i="1" s="1"/>
  <c r="V417" i="1" s="1"/>
  <c r="AJ417" i="1"/>
  <c r="CX417" i="1" s="1"/>
  <c r="W417" i="1" s="1"/>
  <c r="CQ417" i="1"/>
  <c r="CS417" i="1"/>
  <c r="R417" i="1" s="1"/>
  <c r="CU417" i="1"/>
  <c r="T417" i="1" s="1"/>
  <c r="CV417" i="1"/>
  <c r="FR417" i="1"/>
  <c r="GL417" i="1"/>
  <c r="GN417" i="1"/>
  <c r="GP417" i="1"/>
  <c r="GV417" i="1"/>
  <c r="GX417" i="1"/>
  <c r="I418" i="1"/>
  <c r="S418" i="1"/>
  <c r="CY418" i="1" s="1"/>
  <c r="X418" i="1" s="1"/>
  <c r="T418" i="1"/>
  <c r="AC418" i="1"/>
  <c r="AE418" i="1"/>
  <c r="CS418" i="1" s="1"/>
  <c r="R418" i="1" s="1"/>
  <c r="AF418" i="1"/>
  <c r="AG418" i="1"/>
  <c r="AH418" i="1"/>
  <c r="AI418" i="1"/>
  <c r="CW418" i="1" s="1"/>
  <c r="V418" i="1" s="1"/>
  <c r="AJ418" i="1"/>
  <c r="CQ418" i="1"/>
  <c r="P418" i="1" s="1"/>
  <c r="CT418" i="1"/>
  <c r="CU418" i="1"/>
  <c r="CV418" i="1"/>
  <c r="U418" i="1" s="1"/>
  <c r="CX418" i="1"/>
  <c r="W418" i="1" s="1"/>
  <c r="FR418" i="1"/>
  <c r="GK418" i="1"/>
  <c r="GL418" i="1"/>
  <c r="GN418" i="1"/>
  <c r="GP418" i="1"/>
  <c r="GV418" i="1"/>
  <c r="GX418" i="1" s="1"/>
  <c r="I419" i="1"/>
  <c r="T419" i="1"/>
  <c r="V419" i="1"/>
  <c r="AC419" i="1"/>
  <c r="CQ419" i="1" s="1"/>
  <c r="P419" i="1" s="1"/>
  <c r="AD419" i="1"/>
  <c r="CR419" i="1" s="1"/>
  <c r="AE419" i="1"/>
  <c r="AF419" i="1"/>
  <c r="AB419" i="1" s="1"/>
  <c r="AG419" i="1"/>
  <c r="AH419" i="1"/>
  <c r="CV419" i="1" s="1"/>
  <c r="AI419" i="1"/>
  <c r="AJ419" i="1"/>
  <c r="CX419" i="1" s="1"/>
  <c r="W419" i="1" s="1"/>
  <c r="CS419" i="1"/>
  <c r="R419" i="1" s="1"/>
  <c r="GK419" i="1" s="1"/>
  <c r="CT419" i="1"/>
  <c r="S419" i="1" s="1"/>
  <c r="CU419" i="1"/>
  <c r="CW419" i="1"/>
  <c r="FR419" i="1"/>
  <c r="GL419" i="1"/>
  <c r="GN419" i="1"/>
  <c r="GP419" i="1"/>
  <c r="GV419" i="1"/>
  <c r="GX419" i="1"/>
  <c r="I420" i="1"/>
  <c r="AC420" i="1"/>
  <c r="CQ420" i="1" s="1"/>
  <c r="AE420" i="1"/>
  <c r="AD420" i="1" s="1"/>
  <c r="CR420" i="1" s="1"/>
  <c r="Q420" i="1" s="1"/>
  <c r="AF420" i="1"/>
  <c r="AG420" i="1"/>
  <c r="CU420" i="1" s="1"/>
  <c r="AH420" i="1"/>
  <c r="AI420" i="1"/>
  <c r="CW420" i="1" s="1"/>
  <c r="V420" i="1" s="1"/>
  <c r="AJ420" i="1"/>
  <c r="CS420" i="1"/>
  <c r="R420" i="1" s="1"/>
  <c r="GK420" i="1" s="1"/>
  <c r="CT420" i="1"/>
  <c r="S420" i="1" s="1"/>
  <c r="CV420" i="1"/>
  <c r="U420" i="1" s="1"/>
  <c r="CX420" i="1"/>
  <c r="W420" i="1" s="1"/>
  <c r="FR420" i="1"/>
  <c r="GL420" i="1"/>
  <c r="GN420" i="1"/>
  <c r="GP420" i="1"/>
  <c r="GV420" i="1"/>
  <c r="GX420" i="1" s="1"/>
  <c r="C421" i="1"/>
  <c r="D421" i="1"/>
  <c r="S421" i="1"/>
  <c r="CY421" i="1" s="1"/>
  <c r="X421" i="1" s="1"/>
  <c r="T421" i="1"/>
  <c r="AC421" i="1"/>
  <c r="AE421" i="1"/>
  <c r="CS421" i="1" s="1"/>
  <c r="R421" i="1" s="1"/>
  <c r="AF421" i="1"/>
  <c r="AG421" i="1"/>
  <c r="AH421" i="1"/>
  <c r="AI421" i="1"/>
  <c r="CW421" i="1" s="1"/>
  <c r="V421" i="1" s="1"/>
  <c r="AJ421" i="1"/>
  <c r="CQ421" i="1"/>
  <c r="P421" i="1" s="1"/>
  <c r="CT421" i="1"/>
  <c r="CU421" i="1"/>
  <c r="CV421" i="1"/>
  <c r="U421" i="1" s="1"/>
  <c r="CX421" i="1"/>
  <c r="W421" i="1" s="1"/>
  <c r="FR421" i="1"/>
  <c r="GK421" i="1"/>
  <c r="GL421" i="1"/>
  <c r="GN421" i="1"/>
  <c r="GP421" i="1"/>
  <c r="GV421" i="1"/>
  <c r="GX421" i="1" s="1"/>
  <c r="I422" i="1"/>
  <c r="T422" i="1"/>
  <c r="V422" i="1"/>
  <c r="AC422" i="1"/>
  <c r="CQ422" i="1" s="1"/>
  <c r="P422" i="1" s="1"/>
  <c r="AD422" i="1"/>
  <c r="CR422" i="1" s="1"/>
  <c r="AE422" i="1"/>
  <c r="AF422" i="1"/>
  <c r="AB422" i="1" s="1"/>
  <c r="AG422" i="1"/>
  <c r="AH422" i="1"/>
  <c r="CV422" i="1" s="1"/>
  <c r="AI422" i="1"/>
  <c r="AJ422" i="1"/>
  <c r="CX422" i="1" s="1"/>
  <c r="W422" i="1" s="1"/>
  <c r="CS422" i="1"/>
  <c r="R422" i="1" s="1"/>
  <c r="GK422" i="1" s="1"/>
  <c r="CT422" i="1"/>
  <c r="S422" i="1" s="1"/>
  <c r="CU422" i="1"/>
  <c r="CW422" i="1"/>
  <c r="FR422" i="1"/>
  <c r="GL422" i="1"/>
  <c r="GN422" i="1"/>
  <c r="GP422" i="1"/>
  <c r="GV422" i="1"/>
  <c r="GX422" i="1"/>
  <c r="I423" i="1"/>
  <c r="AC423" i="1"/>
  <c r="CQ423" i="1" s="1"/>
  <c r="AE423" i="1"/>
  <c r="AD423" i="1" s="1"/>
  <c r="CR423" i="1" s="1"/>
  <c r="Q423" i="1" s="1"/>
  <c r="AF423" i="1"/>
  <c r="AG423" i="1"/>
  <c r="CU423" i="1" s="1"/>
  <c r="AH423" i="1"/>
  <c r="AI423" i="1"/>
  <c r="CW423" i="1" s="1"/>
  <c r="V423" i="1" s="1"/>
  <c r="AJ423" i="1"/>
  <c r="CS423" i="1"/>
  <c r="R423" i="1" s="1"/>
  <c r="GK423" i="1" s="1"/>
  <c r="CT423" i="1"/>
  <c r="S423" i="1" s="1"/>
  <c r="CV423" i="1"/>
  <c r="U423" i="1" s="1"/>
  <c r="CX423" i="1"/>
  <c r="W423" i="1" s="1"/>
  <c r="FR423" i="1"/>
  <c r="GL423" i="1"/>
  <c r="GN423" i="1"/>
  <c r="GP423" i="1"/>
  <c r="GV423" i="1"/>
  <c r="GX423" i="1" s="1"/>
  <c r="I424" i="1"/>
  <c r="P424" i="1"/>
  <c r="U424" i="1"/>
  <c r="AC424" i="1"/>
  <c r="AE424" i="1"/>
  <c r="AD424" i="1" s="1"/>
  <c r="AF424" i="1"/>
  <c r="CT424" i="1" s="1"/>
  <c r="S424" i="1" s="1"/>
  <c r="CY424" i="1" s="1"/>
  <c r="X424" i="1" s="1"/>
  <c r="AG424" i="1"/>
  <c r="AH424" i="1"/>
  <c r="AI424" i="1"/>
  <c r="CW424" i="1" s="1"/>
  <c r="V424" i="1" s="1"/>
  <c r="AJ424" i="1"/>
  <c r="CX424" i="1" s="1"/>
  <c r="W424" i="1" s="1"/>
  <c r="CQ424" i="1"/>
  <c r="CS424" i="1"/>
  <c r="R424" i="1" s="1"/>
  <c r="CU424" i="1"/>
  <c r="T424" i="1" s="1"/>
  <c r="CV424" i="1"/>
  <c r="FR424" i="1"/>
  <c r="GL424" i="1"/>
  <c r="GN424" i="1"/>
  <c r="GP424" i="1"/>
  <c r="GV424" i="1"/>
  <c r="GX424" i="1"/>
  <c r="C425" i="1"/>
  <c r="D425" i="1"/>
  <c r="I425" i="1"/>
  <c r="CX741" i="3" s="1"/>
  <c r="AC425" i="1"/>
  <c r="CQ425" i="1" s="1"/>
  <c r="P425" i="1" s="1"/>
  <c r="AE425" i="1"/>
  <c r="AD425" i="1" s="1"/>
  <c r="AF425" i="1"/>
  <c r="AG425" i="1"/>
  <c r="CU425" i="1" s="1"/>
  <c r="T425" i="1" s="1"/>
  <c r="AH425" i="1"/>
  <c r="AI425" i="1"/>
  <c r="AJ425" i="1"/>
  <c r="CR425" i="1"/>
  <c r="Q425" i="1" s="1"/>
  <c r="CS425" i="1"/>
  <c r="R425" i="1" s="1"/>
  <c r="GK425" i="1" s="1"/>
  <c r="CT425" i="1"/>
  <c r="S425" i="1" s="1"/>
  <c r="CV425" i="1"/>
  <c r="U425" i="1" s="1"/>
  <c r="CW425" i="1"/>
  <c r="V425" i="1" s="1"/>
  <c r="CX425" i="1"/>
  <c r="W425" i="1" s="1"/>
  <c r="FR425" i="1"/>
  <c r="GL425" i="1"/>
  <c r="GO425" i="1"/>
  <c r="GP425" i="1"/>
  <c r="GV425" i="1"/>
  <c r="GX425" i="1"/>
  <c r="C426" i="1"/>
  <c r="D426" i="1"/>
  <c r="I426" i="1"/>
  <c r="R426" i="1"/>
  <c r="V426" i="1"/>
  <c r="AC426" i="1"/>
  <c r="AB426" i="1" s="1"/>
  <c r="AD426" i="1"/>
  <c r="CR426" i="1" s="1"/>
  <c r="Q426" i="1" s="1"/>
  <c r="AE426" i="1"/>
  <c r="AF426" i="1"/>
  <c r="AG426" i="1"/>
  <c r="AH426" i="1"/>
  <c r="CV426" i="1" s="1"/>
  <c r="U426" i="1" s="1"/>
  <c r="AI426" i="1"/>
  <c r="AJ426" i="1"/>
  <c r="CX426" i="1" s="1"/>
  <c r="W426" i="1" s="1"/>
  <c r="CS426" i="1"/>
  <c r="CT426" i="1"/>
  <c r="S426" i="1" s="1"/>
  <c r="CU426" i="1"/>
  <c r="T426" i="1" s="1"/>
  <c r="CW426" i="1"/>
  <c r="FR426" i="1"/>
  <c r="GK426" i="1"/>
  <c r="GL426" i="1"/>
  <c r="GN426" i="1"/>
  <c r="GP426" i="1"/>
  <c r="GV426" i="1"/>
  <c r="GX426" i="1"/>
  <c r="I427" i="1"/>
  <c r="AC427" i="1"/>
  <c r="CQ427" i="1" s="1"/>
  <c r="AE427" i="1"/>
  <c r="AD427" i="1" s="1"/>
  <c r="CR427" i="1" s="1"/>
  <c r="Q427" i="1" s="1"/>
  <c r="AF427" i="1"/>
  <c r="AB427" i="1" s="1"/>
  <c r="AG427" i="1"/>
  <c r="CU427" i="1" s="1"/>
  <c r="AH427" i="1"/>
  <c r="AI427" i="1"/>
  <c r="CW427" i="1" s="1"/>
  <c r="V427" i="1" s="1"/>
  <c r="AJ427" i="1"/>
  <c r="CX427" i="1" s="1"/>
  <c r="W427" i="1" s="1"/>
  <c r="CS427" i="1"/>
  <c r="R427" i="1" s="1"/>
  <c r="GK427" i="1" s="1"/>
  <c r="CT427" i="1"/>
  <c r="S427" i="1" s="1"/>
  <c r="CV427" i="1"/>
  <c r="U427" i="1" s="1"/>
  <c r="FR427" i="1"/>
  <c r="GL427" i="1"/>
  <c r="GN427" i="1"/>
  <c r="GP427" i="1"/>
  <c r="GV427" i="1"/>
  <c r="GX427" i="1" s="1"/>
  <c r="C428" i="1"/>
  <c r="D428" i="1"/>
  <c r="T428" i="1"/>
  <c r="U428" i="1"/>
  <c r="AC428" i="1"/>
  <c r="CQ428" i="1" s="1"/>
  <c r="P428" i="1" s="1"/>
  <c r="AE428" i="1"/>
  <c r="CS428" i="1" s="1"/>
  <c r="R428" i="1" s="1"/>
  <c r="AF428" i="1"/>
  <c r="AG428" i="1"/>
  <c r="AH428" i="1"/>
  <c r="AI428" i="1"/>
  <c r="CW428" i="1" s="1"/>
  <c r="V428" i="1" s="1"/>
  <c r="AJ428" i="1"/>
  <c r="CT428" i="1"/>
  <c r="S428" i="1" s="1"/>
  <c r="CU428" i="1"/>
  <c r="CV428" i="1"/>
  <c r="CX428" i="1"/>
  <c r="W428" i="1" s="1"/>
  <c r="FR428" i="1"/>
  <c r="GK428" i="1"/>
  <c r="GL428" i="1"/>
  <c r="BZ431" i="1" s="1"/>
  <c r="GN428" i="1"/>
  <c r="GP428" i="1"/>
  <c r="CD431" i="1" s="1"/>
  <c r="GV428" i="1"/>
  <c r="GX428" i="1" s="1"/>
  <c r="I429" i="1"/>
  <c r="R429" i="1"/>
  <c r="V429" i="1"/>
  <c r="AC429" i="1"/>
  <c r="AB429" i="1" s="1"/>
  <c r="AD429" i="1"/>
  <c r="CR429" i="1" s="1"/>
  <c r="Q429" i="1" s="1"/>
  <c r="AE429" i="1"/>
  <c r="AF429" i="1"/>
  <c r="AG429" i="1"/>
  <c r="AH429" i="1"/>
  <c r="CV429" i="1" s="1"/>
  <c r="U429" i="1" s="1"/>
  <c r="AI429" i="1"/>
  <c r="AJ429" i="1"/>
  <c r="CX429" i="1" s="1"/>
  <c r="W429" i="1" s="1"/>
  <c r="CS429" i="1"/>
  <c r="CT429" i="1"/>
  <c r="S429" i="1" s="1"/>
  <c r="CU429" i="1"/>
  <c r="T429" i="1" s="1"/>
  <c r="CW429" i="1"/>
  <c r="FR429" i="1"/>
  <c r="GK429" i="1"/>
  <c r="GL429" i="1"/>
  <c r="GN429" i="1"/>
  <c r="GP429" i="1"/>
  <c r="GV429" i="1"/>
  <c r="GX429" i="1"/>
  <c r="B431" i="1"/>
  <c r="B387" i="1" s="1"/>
  <c r="C431" i="1"/>
  <c r="C387" i="1" s="1"/>
  <c r="D431" i="1"/>
  <c r="D387" i="1" s="1"/>
  <c r="F431" i="1"/>
  <c r="F387" i="1" s="1"/>
  <c r="G431" i="1"/>
  <c r="G387" i="1" s="1"/>
  <c r="AO431" i="1"/>
  <c r="AO387" i="1" s="1"/>
  <c r="BB431" i="1"/>
  <c r="BB387" i="1" s="1"/>
  <c r="BC431" i="1"/>
  <c r="BC387" i="1" s="1"/>
  <c r="BX431" i="1"/>
  <c r="BX387" i="1" s="1"/>
  <c r="CK431" i="1"/>
  <c r="CK387" i="1" s="1"/>
  <c r="CL431" i="1"/>
  <c r="CL387" i="1" s="1"/>
  <c r="F444" i="1"/>
  <c r="B460" i="1"/>
  <c r="B278" i="1" s="1"/>
  <c r="C460" i="1"/>
  <c r="C278" i="1" s="1"/>
  <c r="D460" i="1"/>
  <c r="D278" i="1" s="1"/>
  <c r="F460" i="1"/>
  <c r="F278" i="1" s="1"/>
  <c r="G460" i="1"/>
  <c r="G278" i="1" s="1"/>
  <c r="BB460" i="1"/>
  <c r="BB278" i="1" s="1"/>
  <c r="F473" i="1"/>
  <c r="D489" i="1"/>
  <c r="E491" i="1"/>
  <c r="F491" i="1"/>
  <c r="Z491" i="1"/>
  <c r="AA491" i="1"/>
  <c r="AM491" i="1"/>
  <c r="AN491" i="1"/>
  <c r="BD491" i="1"/>
  <c r="BE491" i="1"/>
  <c r="BF491" i="1"/>
  <c r="BG491" i="1"/>
  <c r="BH491" i="1"/>
  <c r="BI491" i="1"/>
  <c r="BJ491" i="1"/>
  <c r="BK491" i="1"/>
  <c r="BL491" i="1"/>
  <c r="BM491" i="1"/>
  <c r="BN491" i="1"/>
  <c r="BO491" i="1"/>
  <c r="BP491" i="1"/>
  <c r="BQ491" i="1"/>
  <c r="BR491" i="1"/>
  <c r="BS491" i="1"/>
  <c r="BT491" i="1"/>
  <c r="BU491" i="1"/>
  <c r="BV491" i="1"/>
  <c r="BW491" i="1"/>
  <c r="CK491" i="1"/>
  <c r="CM491" i="1"/>
  <c r="CN491" i="1"/>
  <c r="CO491" i="1"/>
  <c r="CP491" i="1"/>
  <c r="CQ491" i="1"/>
  <c r="CR491" i="1"/>
  <c r="CS491" i="1"/>
  <c r="CT491" i="1"/>
  <c r="CU491" i="1"/>
  <c r="CV491" i="1"/>
  <c r="CW491" i="1"/>
  <c r="CX491" i="1"/>
  <c r="CY491" i="1"/>
  <c r="CZ491" i="1"/>
  <c r="DA491" i="1"/>
  <c r="DB491" i="1"/>
  <c r="DC491" i="1"/>
  <c r="DD491" i="1"/>
  <c r="DE491" i="1"/>
  <c r="DF491" i="1"/>
  <c r="DG491" i="1"/>
  <c r="DH491" i="1"/>
  <c r="DI491" i="1"/>
  <c r="DJ491" i="1"/>
  <c r="DK491" i="1"/>
  <c r="DL491" i="1"/>
  <c r="DM491" i="1"/>
  <c r="DN491" i="1"/>
  <c r="DO491" i="1"/>
  <c r="DP491" i="1"/>
  <c r="DQ491" i="1"/>
  <c r="DR491" i="1"/>
  <c r="DS491" i="1"/>
  <c r="DT491" i="1"/>
  <c r="DU491" i="1"/>
  <c r="DV491" i="1"/>
  <c r="DW491" i="1"/>
  <c r="DX491" i="1"/>
  <c r="DY491" i="1"/>
  <c r="DZ491" i="1"/>
  <c r="EA491" i="1"/>
  <c r="EB491" i="1"/>
  <c r="EC491" i="1"/>
  <c r="ED491" i="1"/>
  <c r="EE491" i="1"/>
  <c r="EF491" i="1"/>
  <c r="EG491" i="1"/>
  <c r="EH491" i="1"/>
  <c r="EI491" i="1"/>
  <c r="EJ491" i="1"/>
  <c r="EK491" i="1"/>
  <c r="EL491" i="1"/>
  <c r="EM491" i="1"/>
  <c r="EN491" i="1"/>
  <c r="EO491" i="1"/>
  <c r="EP491" i="1"/>
  <c r="EQ491" i="1"/>
  <c r="ER491" i="1"/>
  <c r="ES491" i="1"/>
  <c r="ET491" i="1"/>
  <c r="EU491" i="1"/>
  <c r="EV491" i="1"/>
  <c r="EW491" i="1"/>
  <c r="EX491" i="1"/>
  <c r="EY491" i="1"/>
  <c r="EZ491" i="1"/>
  <c r="FA491" i="1"/>
  <c r="FB491" i="1"/>
  <c r="FC491" i="1"/>
  <c r="FD491" i="1"/>
  <c r="FE491" i="1"/>
  <c r="FF491" i="1"/>
  <c r="FG491" i="1"/>
  <c r="FH491" i="1"/>
  <c r="FI491" i="1"/>
  <c r="FJ491" i="1"/>
  <c r="FK491" i="1"/>
  <c r="FL491" i="1"/>
  <c r="FM491" i="1"/>
  <c r="FN491" i="1"/>
  <c r="FO491" i="1"/>
  <c r="FP491" i="1"/>
  <c r="FQ491" i="1"/>
  <c r="FR491" i="1"/>
  <c r="FS491" i="1"/>
  <c r="FT491" i="1"/>
  <c r="FU491" i="1"/>
  <c r="FV491" i="1"/>
  <c r="FW491" i="1"/>
  <c r="FX491" i="1"/>
  <c r="FY491" i="1"/>
  <c r="FZ491" i="1"/>
  <c r="GA491" i="1"/>
  <c r="GB491" i="1"/>
  <c r="GC491" i="1"/>
  <c r="GD491" i="1"/>
  <c r="GE491" i="1"/>
  <c r="GF491" i="1"/>
  <c r="GG491" i="1"/>
  <c r="GH491" i="1"/>
  <c r="GI491" i="1"/>
  <c r="GJ491" i="1"/>
  <c r="GK491" i="1"/>
  <c r="GL491" i="1"/>
  <c r="GM491" i="1"/>
  <c r="GN491" i="1"/>
  <c r="GO491" i="1"/>
  <c r="GP491" i="1"/>
  <c r="GQ491" i="1"/>
  <c r="GR491" i="1"/>
  <c r="GS491" i="1"/>
  <c r="GT491" i="1"/>
  <c r="GU491" i="1"/>
  <c r="GV491" i="1"/>
  <c r="GW491" i="1"/>
  <c r="GX491" i="1"/>
  <c r="C493" i="1"/>
  <c r="D493" i="1"/>
  <c r="AC493" i="1"/>
  <c r="AB493" i="1" s="1"/>
  <c r="AD493" i="1"/>
  <c r="CR493" i="1" s="1"/>
  <c r="Q493" i="1" s="1"/>
  <c r="AE493" i="1"/>
  <c r="AF493" i="1"/>
  <c r="AG493" i="1"/>
  <c r="CU493" i="1" s="1"/>
  <c r="T493" i="1" s="1"/>
  <c r="AH493" i="1"/>
  <c r="CV493" i="1" s="1"/>
  <c r="U493" i="1" s="1"/>
  <c r="AI493" i="1"/>
  <c r="AJ493" i="1"/>
  <c r="CS493" i="1"/>
  <c r="R493" i="1" s="1"/>
  <c r="CT493" i="1"/>
  <c r="S493" i="1" s="1"/>
  <c r="CW493" i="1"/>
  <c r="V493" i="1" s="1"/>
  <c r="CX493" i="1"/>
  <c r="W493" i="1" s="1"/>
  <c r="FR493" i="1"/>
  <c r="BY498" i="1" s="1"/>
  <c r="GL493" i="1"/>
  <c r="GN493" i="1"/>
  <c r="GO493" i="1"/>
  <c r="CC498" i="1" s="1"/>
  <c r="GV493" i="1"/>
  <c r="GX493" i="1"/>
  <c r="C494" i="1"/>
  <c r="D494" i="1"/>
  <c r="AC494" i="1"/>
  <c r="AE494" i="1"/>
  <c r="AD494" i="1" s="1"/>
  <c r="AF494" i="1"/>
  <c r="CT494" i="1" s="1"/>
  <c r="S494" i="1" s="1"/>
  <c r="AG494" i="1"/>
  <c r="AH494" i="1"/>
  <c r="AI494" i="1"/>
  <c r="CW494" i="1" s="1"/>
  <c r="V494" i="1" s="1"/>
  <c r="AJ494" i="1"/>
  <c r="CX494" i="1" s="1"/>
  <c r="W494" i="1" s="1"/>
  <c r="CQ494" i="1"/>
  <c r="P494" i="1" s="1"/>
  <c r="CU494" i="1"/>
  <c r="T494" i="1" s="1"/>
  <c r="CV494" i="1"/>
  <c r="U494" i="1" s="1"/>
  <c r="FR494" i="1"/>
  <c r="GL494" i="1"/>
  <c r="GN494" i="1"/>
  <c r="GO494" i="1"/>
  <c r="GV494" i="1"/>
  <c r="GX494" i="1" s="1"/>
  <c r="C495" i="1"/>
  <c r="D495" i="1"/>
  <c r="I495" i="1"/>
  <c r="AC495" i="1"/>
  <c r="CQ495" i="1" s="1"/>
  <c r="P495" i="1" s="1"/>
  <c r="AE495" i="1"/>
  <c r="AD495" i="1" s="1"/>
  <c r="AF495" i="1"/>
  <c r="CT495" i="1" s="1"/>
  <c r="S495" i="1" s="1"/>
  <c r="AG495" i="1"/>
  <c r="CU495" i="1" s="1"/>
  <c r="T495" i="1" s="1"/>
  <c r="AH495" i="1"/>
  <c r="AI495" i="1"/>
  <c r="AJ495" i="1"/>
  <c r="CX495" i="1" s="1"/>
  <c r="W495" i="1" s="1"/>
  <c r="CS495" i="1"/>
  <c r="R495" i="1" s="1"/>
  <c r="GK495" i="1" s="1"/>
  <c r="CV495" i="1"/>
  <c r="U495" i="1" s="1"/>
  <c r="CW495" i="1"/>
  <c r="V495" i="1" s="1"/>
  <c r="FR495" i="1"/>
  <c r="GL495" i="1"/>
  <c r="GN495" i="1"/>
  <c r="CB498" i="1" s="1"/>
  <c r="GO495" i="1"/>
  <c r="GV495" i="1"/>
  <c r="GX495" i="1"/>
  <c r="C496" i="1"/>
  <c r="D496" i="1"/>
  <c r="AC496" i="1"/>
  <c r="AB496" i="1" s="1"/>
  <c r="AD496" i="1"/>
  <c r="CR496" i="1" s="1"/>
  <c r="Q496" i="1" s="1"/>
  <c r="AE496" i="1"/>
  <c r="CS496" i="1" s="1"/>
  <c r="R496" i="1" s="1"/>
  <c r="GK496" i="1" s="1"/>
  <c r="AF496" i="1"/>
  <c r="AG496" i="1"/>
  <c r="AH496" i="1"/>
  <c r="CV496" i="1" s="1"/>
  <c r="U496" i="1" s="1"/>
  <c r="AI496" i="1"/>
  <c r="CW496" i="1" s="1"/>
  <c r="V496" i="1" s="1"/>
  <c r="AJ496" i="1"/>
  <c r="CQ496" i="1"/>
  <c r="P496" i="1" s="1"/>
  <c r="CP496" i="1" s="1"/>
  <c r="O496" i="1" s="1"/>
  <c r="CT496" i="1"/>
  <c r="S496" i="1" s="1"/>
  <c r="CU496" i="1"/>
  <c r="T496" i="1" s="1"/>
  <c r="CX496" i="1"/>
  <c r="W496" i="1" s="1"/>
  <c r="FR496" i="1"/>
  <c r="GL496" i="1"/>
  <c r="BZ498" i="1" s="1"/>
  <c r="GN496" i="1"/>
  <c r="GO496" i="1"/>
  <c r="GV496" i="1"/>
  <c r="GX496" i="1" s="1"/>
  <c r="B498" i="1"/>
  <c r="B491" i="1" s="1"/>
  <c r="C498" i="1"/>
  <c r="C491" i="1" s="1"/>
  <c r="D498" i="1"/>
  <c r="D491" i="1" s="1"/>
  <c r="F498" i="1"/>
  <c r="G498" i="1"/>
  <c r="G491" i="1" s="1"/>
  <c r="BB498" i="1"/>
  <c r="BB491" i="1" s="1"/>
  <c r="BC498" i="1"/>
  <c r="BC491" i="1" s="1"/>
  <c r="BX498" i="1"/>
  <c r="BX491" i="1" s="1"/>
  <c r="CK498" i="1"/>
  <c r="CL498" i="1"/>
  <c r="CL491" i="1" s="1"/>
  <c r="F511" i="1"/>
  <c r="D527" i="1"/>
  <c r="B529" i="1"/>
  <c r="E529" i="1"/>
  <c r="G529" i="1"/>
  <c r="Z529" i="1"/>
  <c r="AA529" i="1"/>
  <c r="AM529" i="1"/>
  <c r="AN529" i="1"/>
  <c r="BD529" i="1"/>
  <c r="BE529" i="1"/>
  <c r="BF529" i="1"/>
  <c r="BG529" i="1"/>
  <c r="BH529" i="1"/>
  <c r="BI529" i="1"/>
  <c r="BJ529" i="1"/>
  <c r="BK529" i="1"/>
  <c r="BL529" i="1"/>
  <c r="BM529" i="1"/>
  <c r="BN529" i="1"/>
  <c r="BO529" i="1"/>
  <c r="BP529" i="1"/>
  <c r="BQ529" i="1"/>
  <c r="BR529" i="1"/>
  <c r="BS529" i="1"/>
  <c r="BT529" i="1"/>
  <c r="BU529" i="1"/>
  <c r="BV529" i="1"/>
  <c r="BW529" i="1"/>
  <c r="CL529" i="1"/>
  <c r="CM529" i="1"/>
  <c r="CN529" i="1"/>
  <c r="CO529" i="1"/>
  <c r="CP529" i="1"/>
  <c r="CQ529" i="1"/>
  <c r="CR529" i="1"/>
  <c r="CS529" i="1"/>
  <c r="CT529" i="1"/>
  <c r="CU529" i="1"/>
  <c r="CV529" i="1"/>
  <c r="CW529" i="1"/>
  <c r="CX529" i="1"/>
  <c r="CY529" i="1"/>
  <c r="CZ529" i="1"/>
  <c r="DA529" i="1"/>
  <c r="DB529" i="1"/>
  <c r="DC529" i="1"/>
  <c r="DD529" i="1"/>
  <c r="DE529" i="1"/>
  <c r="DF529" i="1"/>
  <c r="DG529" i="1"/>
  <c r="DH529" i="1"/>
  <c r="DI529" i="1"/>
  <c r="DJ529" i="1"/>
  <c r="DK529" i="1"/>
  <c r="DL529" i="1"/>
  <c r="DM529" i="1"/>
  <c r="DN529" i="1"/>
  <c r="DO529" i="1"/>
  <c r="DP529" i="1"/>
  <c r="DQ529" i="1"/>
  <c r="DR529" i="1"/>
  <c r="DS529" i="1"/>
  <c r="DT529" i="1"/>
  <c r="DU529" i="1"/>
  <c r="DV529" i="1"/>
  <c r="DW529" i="1"/>
  <c r="DX529" i="1"/>
  <c r="DY529" i="1"/>
  <c r="DZ529" i="1"/>
  <c r="EA529" i="1"/>
  <c r="EB529" i="1"/>
  <c r="EC529" i="1"/>
  <c r="ED529" i="1"/>
  <c r="EE529" i="1"/>
  <c r="EF529" i="1"/>
  <c r="EG529" i="1"/>
  <c r="EH529" i="1"/>
  <c r="EI529" i="1"/>
  <c r="EJ529" i="1"/>
  <c r="EK529" i="1"/>
  <c r="EL529" i="1"/>
  <c r="EM529" i="1"/>
  <c r="EN529" i="1"/>
  <c r="EO529" i="1"/>
  <c r="EP529" i="1"/>
  <c r="EQ529" i="1"/>
  <c r="ER529" i="1"/>
  <c r="ES529" i="1"/>
  <c r="ET529" i="1"/>
  <c r="EU529" i="1"/>
  <c r="EV529" i="1"/>
  <c r="EW529" i="1"/>
  <c r="EX529" i="1"/>
  <c r="EY529" i="1"/>
  <c r="EZ529" i="1"/>
  <c r="FA529" i="1"/>
  <c r="FB529" i="1"/>
  <c r="FC529" i="1"/>
  <c r="FD529" i="1"/>
  <c r="FE529" i="1"/>
  <c r="FF529" i="1"/>
  <c r="FG529" i="1"/>
  <c r="FH529" i="1"/>
  <c r="FI529" i="1"/>
  <c r="FJ529" i="1"/>
  <c r="FK529" i="1"/>
  <c r="FL529" i="1"/>
  <c r="FM529" i="1"/>
  <c r="FN529" i="1"/>
  <c r="FO529" i="1"/>
  <c r="FP529" i="1"/>
  <c r="FQ529" i="1"/>
  <c r="FR529" i="1"/>
  <c r="FS529" i="1"/>
  <c r="FT529" i="1"/>
  <c r="FU529" i="1"/>
  <c r="FV529" i="1"/>
  <c r="FW529" i="1"/>
  <c r="FX529" i="1"/>
  <c r="FY529" i="1"/>
  <c r="FZ529" i="1"/>
  <c r="GA529" i="1"/>
  <c r="GB529" i="1"/>
  <c r="GC529" i="1"/>
  <c r="GD529" i="1"/>
  <c r="GE529" i="1"/>
  <c r="GF529" i="1"/>
  <c r="GG529" i="1"/>
  <c r="GH529" i="1"/>
  <c r="GI529" i="1"/>
  <c r="GJ529" i="1"/>
  <c r="GK529" i="1"/>
  <c r="GL529" i="1"/>
  <c r="GM529" i="1"/>
  <c r="GN529" i="1"/>
  <c r="GO529" i="1"/>
  <c r="GP529" i="1"/>
  <c r="GQ529" i="1"/>
  <c r="GR529" i="1"/>
  <c r="GS529" i="1"/>
  <c r="GT529" i="1"/>
  <c r="GU529" i="1"/>
  <c r="GV529" i="1"/>
  <c r="GW529" i="1"/>
  <c r="GX529" i="1"/>
  <c r="C531" i="1"/>
  <c r="D531" i="1"/>
  <c r="AC531" i="1"/>
  <c r="AB531" i="1" s="1"/>
  <c r="AD531" i="1"/>
  <c r="CR531" i="1" s="1"/>
  <c r="Q531" i="1" s="1"/>
  <c r="AE531" i="1"/>
  <c r="CS531" i="1" s="1"/>
  <c r="R531" i="1" s="1"/>
  <c r="AF531" i="1"/>
  <c r="AG531" i="1"/>
  <c r="AH531" i="1"/>
  <c r="CV531" i="1" s="1"/>
  <c r="U531" i="1" s="1"/>
  <c r="AI531" i="1"/>
  <c r="CW531" i="1" s="1"/>
  <c r="V531" i="1" s="1"/>
  <c r="AJ531" i="1"/>
  <c r="CQ531" i="1"/>
  <c r="P531" i="1" s="1"/>
  <c r="CT531" i="1"/>
  <c r="S531" i="1" s="1"/>
  <c r="CU531" i="1"/>
  <c r="T531" i="1" s="1"/>
  <c r="CX531" i="1"/>
  <c r="W531" i="1" s="1"/>
  <c r="FR531" i="1"/>
  <c r="GL531" i="1"/>
  <c r="BZ539" i="1" s="1"/>
  <c r="GN531" i="1"/>
  <c r="GP531" i="1"/>
  <c r="CD539" i="1" s="1"/>
  <c r="GV531" i="1"/>
  <c r="GX531" i="1" s="1"/>
  <c r="I532" i="1"/>
  <c r="AC532" i="1"/>
  <c r="AB532" i="1" s="1"/>
  <c r="AD532" i="1"/>
  <c r="CR532" i="1" s="1"/>
  <c r="Q532" i="1" s="1"/>
  <c r="AE532" i="1"/>
  <c r="AF532" i="1"/>
  <c r="AG532" i="1"/>
  <c r="CU532" i="1" s="1"/>
  <c r="T532" i="1" s="1"/>
  <c r="AH532" i="1"/>
  <c r="CV532" i="1" s="1"/>
  <c r="U532" i="1" s="1"/>
  <c r="AI532" i="1"/>
  <c r="AJ532" i="1"/>
  <c r="CS532" i="1"/>
  <c r="R532" i="1" s="1"/>
  <c r="GK532" i="1" s="1"/>
  <c r="CT532" i="1"/>
  <c r="S532" i="1" s="1"/>
  <c r="CW532" i="1"/>
  <c r="V532" i="1" s="1"/>
  <c r="CX532" i="1"/>
  <c r="W532" i="1" s="1"/>
  <c r="FR532" i="1"/>
  <c r="GL532" i="1"/>
  <c r="GN532" i="1"/>
  <c r="GP532" i="1"/>
  <c r="GV532" i="1"/>
  <c r="GX532" i="1"/>
  <c r="C533" i="1"/>
  <c r="D533" i="1"/>
  <c r="I533" i="1"/>
  <c r="AC533" i="1"/>
  <c r="AB533" i="1" s="1"/>
  <c r="AD533" i="1"/>
  <c r="CR533" i="1" s="1"/>
  <c r="Q533" i="1" s="1"/>
  <c r="AE533" i="1"/>
  <c r="CS533" i="1" s="1"/>
  <c r="R533" i="1" s="1"/>
  <c r="GK533" i="1" s="1"/>
  <c r="AF533" i="1"/>
  <c r="AG533" i="1"/>
  <c r="AH533" i="1"/>
  <c r="CV533" i="1" s="1"/>
  <c r="U533" i="1" s="1"/>
  <c r="AI533" i="1"/>
  <c r="CW533" i="1" s="1"/>
  <c r="V533" i="1" s="1"/>
  <c r="AJ533" i="1"/>
  <c r="CQ533" i="1"/>
  <c r="P533" i="1" s="1"/>
  <c r="CP533" i="1" s="1"/>
  <c r="O533" i="1" s="1"/>
  <c r="CT533" i="1"/>
  <c r="S533" i="1" s="1"/>
  <c r="CU533" i="1"/>
  <c r="T533" i="1" s="1"/>
  <c r="CX533" i="1"/>
  <c r="W533" i="1" s="1"/>
  <c r="FR533" i="1"/>
  <c r="GL533" i="1"/>
  <c r="GN533" i="1"/>
  <c r="GP533" i="1"/>
  <c r="GV533" i="1"/>
  <c r="GX533" i="1" s="1"/>
  <c r="I534" i="1"/>
  <c r="AC534" i="1"/>
  <c r="AB534" i="1" s="1"/>
  <c r="AD534" i="1"/>
  <c r="CR534" i="1" s="1"/>
  <c r="Q534" i="1" s="1"/>
  <c r="AE534" i="1"/>
  <c r="AF534" i="1"/>
  <c r="AG534" i="1"/>
  <c r="CU534" i="1" s="1"/>
  <c r="T534" i="1" s="1"/>
  <c r="AH534" i="1"/>
  <c r="CV534" i="1" s="1"/>
  <c r="U534" i="1" s="1"/>
  <c r="AI534" i="1"/>
  <c r="AJ534" i="1"/>
  <c r="CS534" i="1"/>
  <c r="R534" i="1" s="1"/>
  <c r="GK534" i="1" s="1"/>
  <c r="CT534" i="1"/>
  <c r="S534" i="1" s="1"/>
  <c r="CW534" i="1"/>
  <c r="V534" i="1" s="1"/>
  <c r="CX534" i="1"/>
  <c r="W534" i="1" s="1"/>
  <c r="FR534" i="1"/>
  <c r="GL534" i="1"/>
  <c r="GN534" i="1"/>
  <c r="GP534" i="1"/>
  <c r="GV534" i="1"/>
  <c r="GX534" i="1"/>
  <c r="C535" i="1"/>
  <c r="D535" i="1"/>
  <c r="I535" i="1"/>
  <c r="AC535" i="1"/>
  <c r="AB535" i="1" s="1"/>
  <c r="AD535" i="1"/>
  <c r="CR535" i="1" s="1"/>
  <c r="Q535" i="1" s="1"/>
  <c r="AE535" i="1"/>
  <c r="CS535" i="1" s="1"/>
  <c r="R535" i="1" s="1"/>
  <c r="GK535" i="1" s="1"/>
  <c r="AF535" i="1"/>
  <c r="AG535" i="1"/>
  <c r="AH535" i="1"/>
  <c r="CV535" i="1" s="1"/>
  <c r="U535" i="1" s="1"/>
  <c r="AI535" i="1"/>
  <c r="CW535" i="1" s="1"/>
  <c r="V535" i="1" s="1"/>
  <c r="AJ535" i="1"/>
  <c r="CQ535" i="1"/>
  <c r="P535" i="1" s="1"/>
  <c r="CT535" i="1"/>
  <c r="S535" i="1" s="1"/>
  <c r="CU535" i="1"/>
  <c r="T535" i="1" s="1"/>
  <c r="CX535" i="1"/>
  <c r="W535" i="1" s="1"/>
  <c r="FR535" i="1"/>
  <c r="GL535" i="1"/>
  <c r="GN535" i="1"/>
  <c r="GP535" i="1"/>
  <c r="GV535" i="1"/>
  <c r="GX535" i="1" s="1"/>
  <c r="I536" i="1"/>
  <c r="AC536" i="1"/>
  <c r="AB536" i="1" s="1"/>
  <c r="AD536" i="1"/>
  <c r="CR536" i="1" s="1"/>
  <c r="Q536" i="1" s="1"/>
  <c r="AE536" i="1"/>
  <c r="AF536" i="1"/>
  <c r="AG536" i="1"/>
  <c r="CU536" i="1" s="1"/>
  <c r="T536" i="1" s="1"/>
  <c r="AH536" i="1"/>
  <c r="CV536" i="1" s="1"/>
  <c r="U536" i="1" s="1"/>
  <c r="AI536" i="1"/>
  <c r="AJ536" i="1"/>
  <c r="CS536" i="1"/>
  <c r="R536" i="1" s="1"/>
  <c r="GK536" i="1" s="1"/>
  <c r="CT536" i="1"/>
  <c r="S536" i="1" s="1"/>
  <c r="CW536" i="1"/>
  <c r="V536" i="1" s="1"/>
  <c r="CX536" i="1"/>
  <c r="W536" i="1" s="1"/>
  <c r="FR536" i="1"/>
  <c r="GL536" i="1"/>
  <c r="GN536" i="1"/>
  <c r="GP536" i="1"/>
  <c r="GV536" i="1"/>
  <c r="GX536" i="1"/>
  <c r="C537" i="1"/>
  <c r="D537" i="1"/>
  <c r="AC537" i="1"/>
  <c r="AE537" i="1"/>
  <c r="AD537" i="1" s="1"/>
  <c r="AF537" i="1"/>
  <c r="CT537" i="1" s="1"/>
  <c r="S537" i="1" s="1"/>
  <c r="AG537" i="1"/>
  <c r="AH537" i="1"/>
  <c r="AI537" i="1"/>
  <c r="CW537" i="1" s="1"/>
  <c r="V537" i="1" s="1"/>
  <c r="AJ537" i="1"/>
  <c r="CX537" i="1" s="1"/>
  <c r="W537" i="1" s="1"/>
  <c r="CQ537" i="1"/>
  <c r="P537" i="1" s="1"/>
  <c r="CU537" i="1"/>
  <c r="T537" i="1" s="1"/>
  <c r="CV537" i="1"/>
  <c r="U537" i="1" s="1"/>
  <c r="FR537" i="1"/>
  <c r="GL537" i="1"/>
  <c r="GN537" i="1"/>
  <c r="GP537" i="1"/>
  <c r="GV537" i="1"/>
  <c r="GX537" i="1" s="1"/>
  <c r="B539" i="1"/>
  <c r="C539" i="1"/>
  <c r="C529" i="1" s="1"/>
  <c r="D539" i="1"/>
  <c r="D529" i="1" s="1"/>
  <c r="F539" i="1"/>
  <c r="F529" i="1" s="1"/>
  <c r="G539" i="1"/>
  <c r="BC539" i="1"/>
  <c r="BC529" i="1" s="1"/>
  <c r="BX539" i="1"/>
  <c r="AO539" i="1" s="1"/>
  <c r="BY539" i="1"/>
  <c r="BY529" i="1" s="1"/>
  <c r="CB539" i="1"/>
  <c r="AS539" i="1" s="1"/>
  <c r="CK539" i="1"/>
  <c r="CK529" i="1" s="1"/>
  <c r="CL539" i="1"/>
  <c r="F555" i="1"/>
  <c r="D568" i="1"/>
  <c r="E570" i="1"/>
  <c r="Z570" i="1"/>
  <c r="AA570" i="1"/>
  <c r="AM570" i="1"/>
  <c r="AN570" i="1"/>
  <c r="BD570" i="1"/>
  <c r="BE570" i="1"/>
  <c r="BF570" i="1"/>
  <c r="BG570" i="1"/>
  <c r="BH570" i="1"/>
  <c r="BI570" i="1"/>
  <c r="BJ570" i="1"/>
  <c r="BK570" i="1"/>
  <c r="BL570" i="1"/>
  <c r="BM570" i="1"/>
  <c r="BN570" i="1"/>
  <c r="BO570" i="1"/>
  <c r="BP570" i="1"/>
  <c r="BQ570" i="1"/>
  <c r="BR570" i="1"/>
  <c r="BS570" i="1"/>
  <c r="BT570" i="1"/>
  <c r="BU570" i="1"/>
  <c r="BV570" i="1"/>
  <c r="BW570" i="1"/>
  <c r="CM570" i="1"/>
  <c r="CN570" i="1"/>
  <c r="CO570" i="1"/>
  <c r="CP570" i="1"/>
  <c r="CQ570" i="1"/>
  <c r="CR570" i="1"/>
  <c r="CS570" i="1"/>
  <c r="CT570" i="1"/>
  <c r="CU570" i="1"/>
  <c r="CV570" i="1"/>
  <c r="CW570" i="1"/>
  <c r="CX570" i="1"/>
  <c r="CY570" i="1"/>
  <c r="CZ570" i="1"/>
  <c r="DA570" i="1"/>
  <c r="DB570" i="1"/>
  <c r="DC570" i="1"/>
  <c r="DD570" i="1"/>
  <c r="DE570" i="1"/>
  <c r="DF570" i="1"/>
  <c r="DG570" i="1"/>
  <c r="DH570" i="1"/>
  <c r="DI570" i="1"/>
  <c r="DJ570" i="1"/>
  <c r="DK570" i="1"/>
  <c r="DL570" i="1"/>
  <c r="DM570" i="1"/>
  <c r="DN570" i="1"/>
  <c r="DO570" i="1"/>
  <c r="DP570" i="1"/>
  <c r="DQ570" i="1"/>
  <c r="DR570" i="1"/>
  <c r="DS570" i="1"/>
  <c r="DT570" i="1"/>
  <c r="DU570" i="1"/>
  <c r="DV570" i="1"/>
  <c r="DW570" i="1"/>
  <c r="DX570" i="1"/>
  <c r="DY570" i="1"/>
  <c r="DZ570" i="1"/>
  <c r="EA570" i="1"/>
  <c r="EB570" i="1"/>
  <c r="EC570" i="1"/>
  <c r="ED570" i="1"/>
  <c r="EE570" i="1"/>
  <c r="EF570" i="1"/>
  <c r="EG570" i="1"/>
  <c r="EH570" i="1"/>
  <c r="EI570" i="1"/>
  <c r="EJ570" i="1"/>
  <c r="EK570" i="1"/>
  <c r="EL570" i="1"/>
  <c r="EM570" i="1"/>
  <c r="EN570" i="1"/>
  <c r="EO570" i="1"/>
  <c r="EP570" i="1"/>
  <c r="EQ570" i="1"/>
  <c r="ER570" i="1"/>
  <c r="ES570" i="1"/>
  <c r="ET570" i="1"/>
  <c r="EU570" i="1"/>
  <c r="EV570" i="1"/>
  <c r="EW570" i="1"/>
  <c r="EX570" i="1"/>
  <c r="EY570" i="1"/>
  <c r="EZ570" i="1"/>
  <c r="FA570" i="1"/>
  <c r="FB570" i="1"/>
  <c r="FC570" i="1"/>
  <c r="FD570" i="1"/>
  <c r="FE570" i="1"/>
  <c r="FF570" i="1"/>
  <c r="FG570" i="1"/>
  <c r="FH570" i="1"/>
  <c r="FI570" i="1"/>
  <c r="FJ570" i="1"/>
  <c r="FK570" i="1"/>
  <c r="FL570" i="1"/>
  <c r="FM570" i="1"/>
  <c r="FN570" i="1"/>
  <c r="FO570" i="1"/>
  <c r="FP570" i="1"/>
  <c r="FQ570" i="1"/>
  <c r="FR570" i="1"/>
  <c r="FS570" i="1"/>
  <c r="FT570" i="1"/>
  <c r="FU570" i="1"/>
  <c r="FV570" i="1"/>
  <c r="FW570" i="1"/>
  <c r="FX570" i="1"/>
  <c r="FY570" i="1"/>
  <c r="FZ570" i="1"/>
  <c r="GA570" i="1"/>
  <c r="GB570" i="1"/>
  <c r="GC570" i="1"/>
  <c r="GD570" i="1"/>
  <c r="GE570" i="1"/>
  <c r="GF570" i="1"/>
  <c r="GG570" i="1"/>
  <c r="GH570" i="1"/>
  <c r="GI570" i="1"/>
  <c r="GJ570" i="1"/>
  <c r="GK570" i="1"/>
  <c r="GL570" i="1"/>
  <c r="GM570" i="1"/>
  <c r="GN570" i="1"/>
  <c r="GO570" i="1"/>
  <c r="GP570" i="1"/>
  <c r="GQ570" i="1"/>
  <c r="GR570" i="1"/>
  <c r="GS570" i="1"/>
  <c r="GT570" i="1"/>
  <c r="GU570" i="1"/>
  <c r="GV570" i="1"/>
  <c r="GW570" i="1"/>
  <c r="GX570" i="1"/>
  <c r="C572" i="1"/>
  <c r="D572" i="1"/>
  <c r="I572" i="1"/>
  <c r="AC572" i="1"/>
  <c r="AB572" i="1" s="1"/>
  <c r="AD572" i="1"/>
  <c r="CR572" i="1" s="1"/>
  <c r="Q572" i="1" s="1"/>
  <c r="AE572" i="1"/>
  <c r="CS572" i="1" s="1"/>
  <c r="R572" i="1" s="1"/>
  <c r="AF572" i="1"/>
  <c r="AG572" i="1"/>
  <c r="AH572" i="1"/>
  <c r="CV572" i="1" s="1"/>
  <c r="U572" i="1" s="1"/>
  <c r="AI572" i="1"/>
  <c r="CW572" i="1" s="1"/>
  <c r="V572" i="1" s="1"/>
  <c r="AJ572" i="1"/>
  <c r="CQ572" i="1"/>
  <c r="P572" i="1" s="1"/>
  <c r="CT572" i="1"/>
  <c r="S572" i="1" s="1"/>
  <c r="CU572" i="1"/>
  <c r="T572" i="1" s="1"/>
  <c r="CX572" i="1"/>
  <c r="W572" i="1" s="1"/>
  <c r="FR572" i="1"/>
  <c r="GL572" i="1"/>
  <c r="GN572" i="1"/>
  <c r="GP572" i="1"/>
  <c r="GV572" i="1"/>
  <c r="GX572" i="1" s="1"/>
  <c r="I573" i="1"/>
  <c r="AC573" i="1"/>
  <c r="AB573" i="1" s="1"/>
  <c r="AD573" i="1"/>
  <c r="CR573" i="1" s="1"/>
  <c r="Q573" i="1" s="1"/>
  <c r="AE573" i="1"/>
  <c r="AF573" i="1"/>
  <c r="AG573" i="1"/>
  <c r="CU573" i="1" s="1"/>
  <c r="T573" i="1" s="1"/>
  <c r="AH573" i="1"/>
  <c r="CV573" i="1" s="1"/>
  <c r="U573" i="1" s="1"/>
  <c r="AI573" i="1"/>
  <c r="AJ573" i="1"/>
  <c r="CS573" i="1"/>
  <c r="R573" i="1" s="1"/>
  <c r="GK573" i="1" s="1"/>
  <c r="CT573" i="1"/>
  <c r="S573" i="1" s="1"/>
  <c r="CW573" i="1"/>
  <c r="V573" i="1" s="1"/>
  <c r="CX573" i="1"/>
  <c r="W573" i="1" s="1"/>
  <c r="FR573" i="1"/>
  <c r="BY582" i="1" s="1"/>
  <c r="GL573" i="1"/>
  <c r="GN573" i="1"/>
  <c r="GP573" i="1"/>
  <c r="GV573" i="1"/>
  <c r="GX573" i="1"/>
  <c r="C574" i="1"/>
  <c r="D574" i="1"/>
  <c r="I574" i="1"/>
  <c r="AC574" i="1"/>
  <c r="AB574" i="1" s="1"/>
  <c r="AD574" i="1"/>
  <c r="CR574" i="1" s="1"/>
  <c r="Q574" i="1" s="1"/>
  <c r="AE574" i="1"/>
  <c r="CS574" i="1" s="1"/>
  <c r="R574" i="1" s="1"/>
  <c r="GK574" i="1" s="1"/>
  <c r="AF574" i="1"/>
  <c r="AG574" i="1"/>
  <c r="AH574" i="1"/>
  <c r="CV574" i="1" s="1"/>
  <c r="U574" i="1" s="1"/>
  <c r="AI574" i="1"/>
  <c r="CW574" i="1" s="1"/>
  <c r="V574" i="1" s="1"/>
  <c r="AJ574" i="1"/>
  <c r="CQ574" i="1"/>
  <c r="P574" i="1" s="1"/>
  <c r="CP574" i="1" s="1"/>
  <c r="O574" i="1" s="1"/>
  <c r="CT574" i="1"/>
  <c r="S574" i="1" s="1"/>
  <c r="CU574" i="1"/>
  <c r="T574" i="1" s="1"/>
  <c r="CX574" i="1"/>
  <c r="W574" i="1" s="1"/>
  <c r="FR574" i="1"/>
  <c r="GL574" i="1"/>
  <c r="GN574" i="1"/>
  <c r="GP574" i="1"/>
  <c r="GV574" i="1"/>
  <c r="GX574" i="1" s="1"/>
  <c r="I575" i="1"/>
  <c r="AC575" i="1"/>
  <c r="AB575" i="1" s="1"/>
  <c r="AD575" i="1"/>
  <c r="CR575" i="1" s="1"/>
  <c r="Q575" i="1" s="1"/>
  <c r="AE575" i="1"/>
  <c r="AF575" i="1"/>
  <c r="AG575" i="1"/>
  <c r="CU575" i="1" s="1"/>
  <c r="T575" i="1" s="1"/>
  <c r="AH575" i="1"/>
  <c r="CV575" i="1" s="1"/>
  <c r="U575" i="1" s="1"/>
  <c r="AI575" i="1"/>
  <c r="AJ575" i="1"/>
  <c r="CS575" i="1"/>
  <c r="R575" i="1" s="1"/>
  <c r="GK575" i="1" s="1"/>
  <c r="CT575" i="1"/>
  <c r="S575" i="1" s="1"/>
  <c r="CW575" i="1"/>
  <c r="V575" i="1" s="1"/>
  <c r="CX575" i="1"/>
  <c r="W575" i="1" s="1"/>
  <c r="FR575" i="1"/>
  <c r="GL575" i="1"/>
  <c r="GN575" i="1"/>
  <c r="GP575" i="1"/>
  <c r="GV575" i="1"/>
  <c r="GX575" i="1"/>
  <c r="C576" i="1"/>
  <c r="D576" i="1"/>
  <c r="I576" i="1"/>
  <c r="CX809" i="3" s="1"/>
  <c r="AC576" i="1"/>
  <c r="AB576" i="1" s="1"/>
  <c r="AD576" i="1"/>
  <c r="CR576" i="1" s="1"/>
  <c r="Q576" i="1" s="1"/>
  <c r="AE576" i="1"/>
  <c r="CS576" i="1" s="1"/>
  <c r="R576" i="1" s="1"/>
  <c r="GK576" i="1" s="1"/>
  <c r="AF576" i="1"/>
  <c r="AG576" i="1"/>
  <c r="AH576" i="1"/>
  <c r="CV576" i="1" s="1"/>
  <c r="U576" i="1" s="1"/>
  <c r="AI576" i="1"/>
  <c r="CW576" i="1" s="1"/>
  <c r="V576" i="1" s="1"/>
  <c r="AJ576" i="1"/>
  <c r="CQ576" i="1"/>
  <c r="P576" i="1" s="1"/>
  <c r="CT576" i="1"/>
  <c r="S576" i="1" s="1"/>
  <c r="CU576" i="1"/>
  <c r="T576" i="1" s="1"/>
  <c r="CX576" i="1"/>
  <c r="W576" i="1" s="1"/>
  <c r="FR576" i="1"/>
  <c r="GL576" i="1"/>
  <c r="GO576" i="1"/>
  <c r="GP576" i="1"/>
  <c r="GV576" i="1"/>
  <c r="GX576" i="1" s="1"/>
  <c r="C577" i="1"/>
  <c r="D577" i="1"/>
  <c r="I577" i="1"/>
  <c r="I578" i="1" s="1"/>
  <c r="AC577" i="1"/>
  <c r="AE577" i="1"/>
  <c r="AD577" i="1" s="1"/>
  <c r="AF577" i="1"/>
  <c r="CT577" i="1" s="1"/>
  <c r="S577" i="1" s="1"/>
  <c r="AG577" i="1"/>
  <c r="AH577" i="1"/>
  <c r="AI577" i="1"/>
  <c r="CW577" i="1" s="1"/>
  <c r="V577" i="1" s="1"/>
  <c r="AJ577" i="1"/>
  <c r="CX577" i="1" s="1"/>
  <c r="W577" i="1" s="1"/>
  <c r="CQ577" i="1"/>
  <c r="P577" i="1" s="1"/>
  <c r="CU577" i="1"/>
  <c r="T577" i="1" s="1"/>
  <c r="CV577" i="1"/>
  <c r="U577" i="1" s="1"/>
  <c r="FR577" i="1"/>
  <c r="GL577" i="1"/>
  <c r="GN577" i="1"/>
  <c r="GP577" i="1"/>
  <c r="GV577" i="1"/>
  <c r="GX577" i="1" s="1"/>
  <c r="AC578" i="1"/>
  <c r="AB578" i="1" s="1"/>
  <c r="AD578" i="1"/>
  <c r="CR578" i="1" s="1"/>
  <c r="AE578" i="1"/>
  <c r="CS578" i="1" s="1"/>
  <c r="R578" i="1" s="1"/>
  <c r="GK578" i="1" s="1"/>
  <c r="AF578" i="1"/>
  <c r="AG578" i="1"/>
  <c r="AH578" i="1"/>
  <c r="CV578" i="1" s="1"/>
  <c r="AI578" i="1"/>
  <c r="CW578" i="1" s="1"/>
  <c r="V578" i="1" s="1"/>
  <c r="AJ578" i="1"/>
  <c r="CQ578" i="1"/>
  <c r="P578" i="1" s="1"/>
  <c r="CT578" i="1"/>
  <c r="CU578" i="1"/>
  <c r="T578" i="1" s="1"/>
  <c r="CX578" i="1"/>
  <c r="FR578" i="1"/>
  <c r="GL578" i="1"/>
  <c r="GN578" i="1"/>
  <c r="GP578" i="1"/>
  <c r="GV578" i="1"/>
  <c r="GX578" i="1" s="1"/>
  <c r="C579" i="1"/>
  <c r="D579" i="1"/>
  <c r="I579" i="1"/>
  <c r="I580" i="1" s="1"/>
  <c r="AC579" i="1"/>
  <c r="AE579" i="1"/>
  <c r="AD579" i="1" s="1"/>
  <c r="AF579" i="1"/>
  <c r="CT579" i="1" s="1"/>
  <c r="S579" i="1" s="1"/>
  <c r="AG579" i="1"/>
  <c r="AH579" i="1"/>
  <c r="AI579" i="1"/>
  <c r="CW579" i="1" s="1"/>
  <c r="V579" i="1" s="1"/>
  <c r="AJ579" i="1"/>
  <c r="CX579" i="1" s="1"/>
  <c r="W579" i="1" s="1"/>
  <c r="CQ579" i="1"/>
  <c r="P579" i="1" s="1"/>
  <c r="CU579" i="1"/>
  <c r="T579" i="1" s="1"/>
  <c r="CV579" i="1"/>
  <c r="U579" i="1" s="1"/>
  <c r="FR579" i="1"/>
  <c r="GL579" i="1"/>
  <c r="GN579" i="1"/>
  <c r="GP579" i="1"/>
  <c r="GV579" i="1"/>
  <c r="GX579" i="1" s="1"/>
  <c r="AC580" i="1"/>
  <c r="AB580" i="1" s="1"/>
  <c r="AD580" i="1"/>
  <c r="CR580" i="1" s="1"/>
  <c r="Q580" i="1" s="1"/>
  <c r="AE580" i="1"/>
  <c r="CS580" i="1" s="1"/>
  <c r="AF580" i="1"/>
  <c r="AG580" i="1"/>
  <c r="AH580" i="1"/>
  <c r="CV580" i="1" s="1"/>
  <c r="U580" i="1" s="1"/>
  <c r="AI580" i="1"/>
  <c r="CW580" i="1" s="1"/>
  <c r="AJ580" i="1"/>
  <c r="CQ580" i="1"/>
  <c r="P580" i="1" s="1"/>
  <c r="CT580" i="1"/>
  <c r="S580" i="1" s="1"/>
  <c r="CU580" i="1"/>
  <c r="CX580" i="1"/>
  <c r="W580" i="1" s="1"/>
  <c r="FR580" i="1"/>
  <c r="GL580" i="1"/>
  <c r="BZ582" i="1" s="1"/>
  <c r="GN580" i="1"/>
  <c r="GP580" i="1"/>
  <c r="CD582" i="1" s="1"/>
  <c r="GV580" i="1"/>
  <c r="GX580" i="1" s="1"/>
  <c r="B582" i="1"/>
  <c r="B570" i="1" s="1"/>
  <c r="C582" i="1"/>
  <c r="C570" i="1" s="1"/>
  <c r="D582" i="1"/>
  <c r="D570" i="1" s="1"/>
  <c r="F582" i="1"/>
  <c r="F570" i="1" s="1"/>
  <c r="G582" i="1"/>
  <c r="G570" i="1" s="1"/>
  <c r="BB582" i="1"/>
  <c r="BB570" i="1" s="1"/>
  <c r="BC582" i="1"/>
  <c r="BC570" i="1" s="1"/>
  <c r="BX582" i="1"/>
  <c r="BX570" i="1" s="1"/>
  <c r="CK582" i="1"/>
  <c r="CK570" i="1" s="1"/>
  <c r="CL582" i="1"/>
  <c r="CL570" i="1" s="1"/>
  <c r="F595" i="1"/>
  <c r="D611" i="1"/>
  <c r="E613" i="1"/>
  <c r="Z613" i="1"/>
  <c r="AA613" i="1"/>
  <c r="AM613" i="1"/>
  <c r="AN613" i="1"/>
  <c r="BD613" i="1"/>
  <c r="BE613" i="1"/>
  <c r="BF613" i="1"/>
  <c r="BG613" i="1"/>
  <c r="BH613" i="1"/>
  <c r="BI613" i="1"/>
  <c r="BJ613" i="1"/>
  <c r="BK613" i="1"/>
  <c r="BL613" i="1"/>
  <c r="BM613" i="1"/>
  <c r="BN613" i="1"/>
  <c r="BO613" i="1"/>
  <c r="BP613" i="1"/>
  <c r="BQ613" i="1"/>
  <c r="BR613" i="1"/>
  <c r="BS613" i="1"/>
  <c r="BT613" i="1"/>
  <c r="BU613" i="1"/>
  <c r="BV613" i="1"/>
  <c r="BW613" i="1"/>
  <c r="CM613" i="1"/>
  <c r="CN613" i="1"/>
  <c r="CO613" i="1"/>
  <c r="CP613" i="1"/>
  <c r="CQ613" i="1"/>
  <c r="CR613" i="1"/>
  <c r="CS613" i="1"/>
  <c r="CT613" i="1"/>
  <c r="CU613" i="1"/>
  <c r="CV613" i="1"/>
  <c r="CW613" i="1"/>
  <c r="CX613" i="1"/>
  <c r="CY613" i="1"/>
  <c r="CZ613" i="1"/>
  <c r="DA613" i="1"/>
  <c r="DB613" i="1"/>
  <c r="DC613" i="1"/>
  <c r="DD613" i="1"/>
  <c r="DE613" i="1"/>
  <c r="DF613" i="1"/>
  <c r="DG613" i="1"/>
  <c r="DH613" i="1"/>
  <c r="DI613" i="1"/>
  <c r="DJ613" i="1"/>
  <c r="DK613" i="1"/>
  <c r="DL613" i="1"/>
  <c r="DM613" i="1"/>
  <c r="DN613" i="1"/>
  <c r="DO613" i="1"/>
  <c r="DP613" i="1"/>
  <c r="DQ613" i="1"/>
  <c r="DR613" i="1"/>
  <c r="DS613" i="1"/>
  <c r="DT613" i="1"/>
  <c r="DU613" i="1"/>
  <c r="DV613" i="1"/>
  <c r="DW613" i="1"/>
  <c r="DX613" i="1"/>
  <c r="DY613" i="1"/>
  <c r="DZ613" i="1"/>
  <c r="EA613" i="1"/>
  <c r="EB613" i="1"/>
  <c r="EC613" i="1"/>
  <c r="ED613" i="1"/>
  <c r="EE613" i="1"/>
  <c r="EF613" i="1"/>
  <c r="EG613" i="1"/>
  <c r="EH613" i="1"/>
  <c r="EI613" i="1"/>
  <c r="EJ613" i="1"/>
  <c r="EK613" i="1"/>
  <c r="EL613" i="1"/>
  <c r="EM613" i="1"/>
  <c r="EN613" i="1"/>
  <c r="EO613" i="1"/>
  <c r="EP613" i="1"/>
  <c r="EQ613" i="1"/>
  <c r="ER613" i="1"/>
  <c r="ES613" i="1"/>
  <c r="ET613" i="1"/>
  <c r="EU613" i="1"/>
  <c r="EV613" i="1"/>
  <c r="EW613" i="1"/>
  <c r="EX613" i="1"/>
  <c r="EY613" i="1"/>
  <c r="EZ613" i="1"/>
  <c r="FA613" i="1"/>
  <c r="FB613" i="1"/>
  <c r="FC613" i="1"/>
  <c r="FD613" i="1"/>
  <c r="FE613" i="1"/>
  <c r="FF613" i="1"/>
  <c r="FG613" i="1"/>
  <c r="FH613" i="1"/>
  <c r="FI613" i="1"/>
  <c r="FJ613" i="1"/>
  <c r="FK613" i="1"/>
  <c r="FL613" i="1"/>
  <c r="FM613" i="1"/>
  <c r="FN613" i="1"/>
  <c r="FO613" i="1"/>
  <c r="FP613" i="1"/>
  <c r="FQ613" i="1"/>
  <c r="FR613" i="1"/>
  <c r="FS613" i="1"/>
  <c r="FT613" i="1"/>
  <c r="FU613" i="1"/>
  <c r="FV613" i="1"/>
  <c r="FW613" i="1"/>
  <c r="FX613" i="1"/>
  <c r="FY613" i="1"/>
  <c r="FZ613" i="1"/>
  <c r="GA613" i="1"/>
  <c r="GB613" i="1"/>
  <c r="GC613" i="1"/>
  <c r="GD613" i="1"/>
  <c r="GE613" i="1"/>
  <c r="GF613" i="1"/>
  <c r="GG613" i="1"/>
  <c r="GH613" i="1"/>
  <c r="GI613" i="1"/>
  <c r="GJ613" i="1"/>
  <c r="GK613" i="1"/>
  <c r="GL613" i="1"/>
  <c r="GM613" i="1"/>
  <c r="GN613" i="1"/>
  <c r="GO613" i="1"/>
  <c r="GP613" i="1"/>
  <c r="GQ613" i="1"/>
  <c r="GR613" i="1"/>
  <c r="GS613" i="1"/>
  <c r="GT613" i="1"/>
  <c r="GU613" i="1"/>
  <c r="GV613" i="1"/>
  <c r="GW613" i="1"/>
  <c r="GX613" i="1"/>
  <c r="C615" i="1"/>
  <c r="D615" i="1"/>
  <c r="I615" i="1"/>
  <c r="S615" i="1"/>
  <c r="V615" i="1"/>
  <c r="AC615" i="1"/>
  <c r="AB615" i="1" s="1"/>
  <c r="AD615" i="1"/>
  <c r="CR615" i="1" s="1"/>
  <c r="Q615" i="1" s="1"/>
  <c r="AE615" i="1"/>
  <c r="AF615" i="1"/>
  <c r="AG615" i="1"/>
  <c r="AH615" i="1"/>
  <c r="CV615" i="1" s="1"/>
  <c r="U615" i="1" s="1"/>
  <c r="AI615" i="1"/>
  <c r="AJ615" i="1"/>
  <c r="CS615" i="1"/>
  <c r="R615" i="1" s="1"/>
  <c r="CT615" i="1"/>
  <c r="CU615" i="1"/>
  <c r="T615" i="1" s="1"/>
  <c r="CW615" i="1"/>
  <c r="CX615" i="1"/>
  <c r="W615" i="1" s="1"/>
  <c r="FR615" i="1"/>
  <c r="GL615" i="1"/>
  <c r="GO615" i="1"/>
  <c r="GP615" i="1"/>
  <c r="GV615" i="1"/>
  <c r="GX615" i="1"/>
  <c r="C616" i="1"/>
  <c r="D616" i="1"/>
  <c r="I616" i="1"/>
  <c r="S616" i="1"/>
  <c r="CY616" i="1" s="1"/>
  <c r="X616" i="1" s="1"/>
  <c r="U616" i="1"/>
  <c r="AC616" i="1"/>
  <c r="CQ616" i="1" s="1"/>
  <c r="P616" i="1" s="1"/>
  <c r="AE616" i="1"/>
  <c r="CS616" i="1" s="1"/>
  <c r="R616" i="1" s="1"/>
  <c r="AF616" i="1"/>
  <c r="AG616" i="1"/>
  <c r="AH616" i="1"/>
  <c r="AI616" i="1"/>
  <c r="CW616" i="1" s="1"/>
  <c r="V616" i="1" s="1"/>
  <c r="AJ616" i="1"/>
  <c r="CT616" i="1"/>
  <c r="CU616" i="1"/>
  <c r="T616" i="1" s="1"/>
  <c r="CV616" i="1"/>
  <c r="CX616" i="1"/>
  <c r="W616" i="1" s="1"/>
  <c r="CZ616" i="1"/>
  <c r="Y616" i="1" s="1"/>
  <c r="FR616" i="1"/>
  <c r="GK616" i="1"/>
  <c r="GL616" i="1"/>
  <c r="GO616" i="1"/>
  <c r="GP616" i="1"/>
  <c r="GV616" i="1"/>
  <c r="GX616" i="1" s="1"/>
  <c r="C617" i="1"/>
  <c r="D617" i="1"/>
  <c r="I617" i="1"/>
  <c r="I619" i="1" s="1"/>
  <c r="T617" i="1"/>
  <c r="AC617" i="1"/>
  <c r="AE617" i="1"/>
  <c r="AD617" i="1" s="1"/>
  <c r="AF617" i="1"/>
  <c r="CT617" i="1" s="1"/>
  <c r="AG617" i="1"/>
  <c r="AH617" i="1"/>
  <c r="AI617" i="1"/>
  <c r="CW617" i="1" s="1"/>
  <c r="V617" i="1" s="1"/>
  <c r="AJ617" i="1"/>
  <c r="CX617" i="1" s="1"/>
  <c r="CQ617" i="1"/>
  <c r="P617" i="1" s="1"/>
  <c r="CS617" i="1"/>
  <c r="R617" i="1" s="1"/>
  <c r="GK617" i="1" s="1"/>
  <c r="CU617" i="1"/>
  <c r="CV617" i="1"/>
  <c r="U617" i="1" s="1"/>
  <c r="FR617" i="1"/>
  <c r="GL617" i="1"/>
  <c r="GO617" i="1"/>
  <c r="GP617" i="1"/>
  <c r="GV617" i="1"/>
  <c r="GX617" i="1" s="1"/>
  <c r="AC618" i="1"/>
  <c r="AD618" i="1"/>
  <c r="CR618" i="1" s="1"/>
  <c r="AE618" i="1"/>
  <c r="CS618" i="1" s="1"/>
  <c r="AF618" i="1"/>
  <c r="AG618" i="1"/>
  <c r="AH618" i="1"/>
  <c r="AI618" i="1"/>
  <c r="CW618" i="1" s="1"/>
  <c r="AJ618" i="1"/>
  <c r="CQ618" i="1"/>
  <c r="CT618" i="1"/>
  <c r="CU618" i="1"/>
  <c r="CV618" i="1"/>
  <c r="CX618" i="1"/>
  <c r="FR618" i="1"/>
  <c r="GL618" i="1"/>
  <c r="GO618" i="1"/>
  <c r="GP618" i="1"/>
  <c r="GV618" i="1"/>
  <c r="AC619" i="1"/>
  <c r="AD619" i="1"/>
  <c r="CR619" i="1" s="1"/>
  <c r="AE619" i="1"/>
  <c r="AF619" i="1"/>
  <c r="AG619" i="1"/>
  <c r="AH619" i="1"/>
  <c r="CV619" i="1" s="1"/>
  <c r="AI619" i="1"/>
  <c r="AJ619" i="1"/>
  <c r="CX619" i="1" s="1"/>
  <c r="CQ619" i="1"/>
  <c r="P619" i="1" s="1"/>
  <c r="CS619" i="1"/>
  <c r="CT619" i="1"/>
  <c r="S619" i="1" s="1"/>
  <c r="CU619" i="1"/>
  <c r="CW619" i="1"/>
  <c r="V619" i="1" s="1"/>
  <c r="FR619" i="1"/>
  <c r="GL619" i="1"/>
  <c r="GO619" i="1"/>
  <c r="GP619" i="1"/>
  <c r="GV619" i="1"/>
  <c r="I620" i="1"/>
  <c r="AB620" i="1"/>
  <c r="AC620" i="1"/>
  <c r="CQ620" i="1" s="1"/>
  <c r="AE620" i="1"/>
  <c r="AD620" i="1" s="1"/>
  <c r="CR620" i="1" s="1"/>
  <c r="Q620" i="1" s="1"/>
  <c r="AF620" i="1"/>
  <c r="AG620" i="1"/>
  <c r="CU620" i="1" s="1"/>
  <c r="T620" i="1" s="1"/>
  <c r="AH620" i="1"/>
  <c r="AI620" i="1"/>
  <c r="CW620" i="1" s="1"/>
  <c r="V620" i="1" s="1"/>
  <c r="AJ620" i="1"/>
  <c r="CS620" i="1"/>
  <c r="R620" i="1" s="1"/>
  <c r="GK620" i="1" s="1"/>
  <c r="CT620" i="1"/>
  <c r="S620" i="1" s="1"/>
  <c r="CV620" i="1"/>
  <c r="U620" i="1" s="1"/>
  <c r="CX620" i="1"/>
  <c r="W620" i="1" s="1"/>
  <c r="FR620" i="1"/>
  <c r="GL620" i="1"/>
  <c r="GO620" i="1"/>
  <c r="GP620" i="1"/>
  <c r="GV620" i="1"/>
  <c r="GX620" i="1"/>
  <c r="AC621" i="1"/>
  <c r="AD621" i="1"/>
  <c r="AB621" i="1" s="1"/>
  <c r="AE621" i="1"/>
  <c r="AF621" i="1"/>
  <c r="CT621" i="1" s="1"/>
  <c r="AG621" i="1"/>
  <c r="AH621" i="1"/>
  <c r="CV621" i="1" s="1"/>
  <c r="AI621" i="1"/>
  <c r="AJ621" i="1"/>
  <c r="CX621" i="1" s="1"/>
  <c r="CQ621" i="1"/>
  <c r="CR621" i="1"/>
  <c r="CS621" i="1"/>
  <c r="CU621" i="1"/>
  <c r="CW621" i="1"/>
  <c r="FR621" i="1"/>
  <c r="GL621" i="1"/>
  <c r="GO621" i="1"/>
  <c r="GP621" i="1"/>
  <c r="GV621" i="1"/>
  <c r="C622" i="1"/>
  <c r="D622" i="1"/>
  <c r="I622" i="1"/>
  <c r="AC622" i="1"/>
  <c r="CQ622" i="1" s="1"/>
  <c r="P622" i="1" s="1"/>
  <c r="AE622" i="1"/>
  <c r="AD622" i="1" s="1"/>
  <c r="AB622" i="1" s="1"/>
  <c r="AF622" i="1"/>
  <c r="AG622" i="1"/>
  <c r="CU622" i="1" s="1"/>
  <c r="T622" i="1" s="1"/>
  <c r="AH622" i="1"/>
  <c r="AI622" i="1"/>
  <c r="CW622" i="1" s="1"/>
  <c r="V622" i="1" s="1"/>
  <c r="AJ622" i="1"/>
  <c r="CS622" i="1"/>
  <c r="R622" i="1" s="1"/>
  <c r="GK622" i="1" s="1"/>
  <c r="CT622" i="1"/>
  <c r="S622" i="1" s="1"/>
  <c r="CV622" i="1"/>
  <c r="U622" i="1" s="1"/>
  <c r="CX622" i="1"/>
  <c r="W622" i="1" s="1"/>
  <c r="FR622" i="1"/>
  <c r="GL622" i="1"/>
  <c r="GO622" i="1"/>
  <c r="GP622" i="1"/>
  <c r="GV622" i="1"/>
  <c r="GX622" i="1"/>
  <c r="I623" i="1"/>
  <c r="P623" i="1"/>
  <c r="R623" i="1"/>
  <c r="GK623" i="1" s="1"/>
  <c r="AC623" i="1"/>
  <c r="AD623" i="1"/>
  <c r="AE623" i="1"/>
  <c r="AF623" i="1"/>
  <c r="CT623" i="1" s="1"/>
  <c r="S623" i="1" s="1"/>
  <c r="CY623" i="1" s="1"/>
  <c r="X623" i="1" s="1"/>
  <c r="AG623" i="1"/>
  <c r="AH623" i="1"/>
  <c r="CV623" i="1" s="1"/>
  <c r="U623" i="1" s="1"/>
  <c r="AI623" i="1"/>
  <c r="AJ623" i="1"/>
  <c r="CX623" i="1" s="1"/>
  <c r="W623" i="1" s="1"/>
  <c r="CQ623" i="1"/>
  <c r="CR623" i="1"/>
  <c r="Q623" i="1" s="1"/>
  <c r="CS623" i="1"/>
  <c r="CU623" i="1"/>
  <c r="T623" i="1" s="1"/>
  <c r="CW623" i="1"/>
  <c r="V623" i="1" s="1"/>
  <c r="CZ623" i="1"/>
  <c r="Y623" i="1" s="1"/>
  <c r="FR623" i="1"/>
  <c r="GL623" i="1"/>
  <c r="GO623" i="1"/>
  <c r="GP623" i="1"/>
  <c r="GV623" i="1"/>
  <c r="GX623" i="1"/>
  <c r="AC624" i="1"/>
  <c r="CQ624" i="1" s="1"/>
  <c r="AE624" i="1"/>
  <c r="CS624" i="1" s="1"/>
  <c r="AF624" i="1"/>
  <c r="AG624" i="1"/>
  <c r="AH624" i="1"/>
  <c r="AI624" i="1"/>
  <c r="CW624" i="1" s="1"/>
  <c r="AJ624" i="1"/>
  <c r="CT624" i="1"/>
  <c r="CU624" i="1"/>
  <c r="CV624" i="1"/>
  <c r="CX624" i="1"/>
  <c r="FR624" i="1"/>
  <c r="GL624" i="1"/>
  <c r="GO624" i="1"/>
  <c r="GP624" i="1"/>
  <c r="GV624" i="1"/>
  <c r="I625" i="1"/>
  <c r="GX625" i="1" s="1"/>
  <c r="S625" i="1"/>
  <c r="V625" i="1"/>
  <c r="AC625" i="1"/>
  <c r="AB625" i="1" s="1"/>
  <c r="AD625" i="1"/>
  <c r="CR625" i="1" s="1"/>
  <c r="AE625" i="1"/>
  <c r="AF625" i="1"/>
  <c r="AG625" i="1"/>
  <c r="AH625" i="1"/>
  <c r="CV625" i="1" s="1"/>
  <c r="AI625" i="1"/>
  <c r="AJ625" i="1"/>
  <c r="CS625" i="1"/>
  <c r="R625" i="1" s="1"/>
  <c r="GK625" i="1" s="1"/>
  <c r="CT625" i="1"/>
  <c r="CU625" i="1"/>
  <c r="T625" i="1" s="1"/>
  <c r="CW625" i="1"/>
  <c r="CX625" i="1"/>
  <c r="W625" i="1" s="1"/>
  <c r="FR625" i="1"/>
  <c r="GL625" i="1"/>
  <c r="GO625" i="1"/>
  <c r="GP625" i="1"/>
  <c r="GV625" i="1"/>
  <c r="C626" i="1"/>
  <c r="D626" i="1"/>
  <c r="I626" i="1"/>
  <c r="CX873" i="3" s="1"/>
  <c r="S626" i="1"/>
  <c r="CY626" i="1" s="1"/>
  <c r="X626" i="1" s="1"/>
  <c r="U626" i="1"/>
  <c r="AC626" i="1"/>
  <c r="CQ626" i="1" s="1"/>
  <c r="P626" i="1" s="1"/>
  <c r="AE626" i="1"/>
  <c r="CS626" i="1" s="1"/>
  <c r="R626" i="1" s="1"/>
  <c r="AF626" i="1"/>
  <c r="AG626" i="1"/>
  <c r="AH626" i="1"/>
  <c r="AI626" i="1"/>
  <c r="CW626" i="1" s="1"/>
  <c r="V626" i="1" s="1"/>
  <c r="AJ626" i="1"/>
  <c r="CT626" i="1"/>
  <c r="CU626" i="1"/>
  <c r="T626" i="1" s="1"/>
  <c r="CV626" i="1"/>
  <c r="CX626" i="1"/>
  <c r="W626" i="1" s="1"/>
  <c r="CZ626" i="1"/>
  <c r="Y626" i="1" s="1"/>
  <c r="FR626" i="1"/>
  <c r="GK626" i="1"/>
  <c r="GL626" i="1"/>
  <c r="GO626" i="1"/>
  <c r="GP626" i="1"/>
  <c r="GV626" i="1"/>
  <c r="GX626" i="1" s="1"/>
  <c r="C627" i="1"/>
  <c r="D627" i="1"/>
  <c r="I627" i="1"/>
  <c r="T627" i="1"/>
  <c r="AC627" i="1"/>
  <c r="AE627" i="1"/>
  <c r="AD627" i="1" s="1"/>
  <c r="AF627" i="1"/>
  <c r="CT627" i="1" s="1"/>
  <c r="AG627" i="1"/>
  <c r="AH627" i="1"/>
  <c r="AI627" i="1"/>
  <c r="CW627" i="1" s="1"/>
  <c r="V627" i="1" s="1"/>
  <c r="AJ627" i="1"/>
  <c r="CX627" i="1" s="1"/>
  <c r="CQ627" i="1"/>
  <c r="P627" i="1" s="1"/>
  <c r="CS627" i="1"/>
  <c r="R627" i="1" s="1"/>
  <c r="GK627" i="1" s="1"/>
  <c r="CU627" i="1"/>
  <c r="CV627" i="1"/>
  <c r="U627" i="1" s="1"/>
  <c r="FR627" i="1"/>
  <c r="GL627" i="1"/>
  <c r="GO627" i="1"/>
  <c r="GP627" i="1"/>
  <c r="GV627" i="1"/>
  <c r="GX627" i="1" s="1"/>
  <c r="AC628" i="1"/>
  <c r="AD628" i="1"/>
  <c r="CR628" i="1" s="1"/>
  <c r="AE628" i="1"/>
  <c r="CS628" i="1" s="1"/>
  <c r="AF628" i="1"/>
  <c r="AG628" i="1"/>
  <c r="AH628" i="1"/>
  <c r="AI628" i="1"/>
  <c r="CW628" i="1" s="1"/>
  <c r="AJ628" i="1"/>
  <c r="CQ628" i="1"/>
  <c r="CT628" i="1"/>
  <c r="CU628" i="1"/>
  <c r="CV628" i="1"/>
  <c r="CX628" i="1"/>
  <c r="FR628" i="1"/>
  <c r="GL628" i="1"/>
  <c r="GO628" i="1"/>
  <c r="GP628" i="1"/>
  <c r="GV628" i="1"/>
  <c r="C629" i="1"/>
  <c r="D629" i="1"/>
  <c r="AC629" i="1"/>
  <c r="CQ629" i="1" s="1"/>
  <c r="P629" i="1" s="1"/>
  <c r="AE629" i="1"/>
  <c r="AD629" i="1" s="1"/>
  <c r="AF629" i="1"/>
  <c r="AG629" i="1"/>
  <c r="CU629" i="1" s="1"/>
  <c r="T629" i="1" s="1"/>
  <c r="AH629" i="1"/>
  <c r="AI629" i="1"/>
  <c r="AJ629" i="1"/>
  <c r="CX629" i="1" s="1"/>
  <c r="W629" i="1" s="1"/>
  <c r="CR629" i="1"/>
  <c r="Q629" i="1" s="1"/>
  <c r="CS629" i="1"/>
  <c r="R629" i="1" s="1"/>
  <c r="GK629" i="1" s="1"/>
  <c r="CT629" i="1"/>
  <c r="S629" i="1" s="1"/>
  <c r="CV629" i="1"/>
  <c r="U629" i="1" s="1"/>
  <c r="CW629" i="1"/>
  <c r="V629" i="1" s="1"/>
  <c r="FR629" i="1"/>
  <c r="GL629" i="1"/>
  <c r="GO629" i="1"/>
  <c r="GP629" i="1"/>
  <c r="GV629" i="1"/>
  <c r="GX629" i="1" s="1"/>
  <c r="C630" i="1"/>
  <c r="D630" i="1"/>
  <c r="I630" i="1"/>
  <c r="I631" i="1" s="1"/>
  <c r="AC630" i="1"/>
  <c r="AD630" i="1"/>
  <c r="AB630" i="1" s="1"/>
  <c r="AE630" i="1"/>
  <c r="AF630" i="1"/>
  <c r="CT630" i="1" s="1"/>
  <c r="S630" i="1" s="1"/>
  <c r="AG630" i="1"/>
  <c r="AH630" i="1"/>
  <c r="CV630" i="1" s="1"/>
  <c r="U630" i="1" s="1"/>
  <c r="AI630" i="1"/>
  <c r="AJ630" i="1"/>
  <c r="CX630" i="1" s="1"/>
  <c r="W630" i="1" s="1"/>
  <c r="CQ630" i="1"/>
  <c r="P630" i="1" s="1"/>
  <c r="CS630" i="1"/>
  <c r="R630" i="1" s="1"/>
  <c r="GK630" i="1" s="1"/>
  <c r="CU630" i="1"/>
  <c r="T630" i="1" s="1"/>
  <c r="CW630" i="1"/>
  <c r="V630" i="1" s="1"/>
  <c r="FR630" i="1"/>
  <c r="GL630" i="1"/>
  <c r="GO630" i="1"/>
  <c r="GP630" i="1"/>
  <c r="GV630" i="1"/>
  <c r="GX630" i="1"/>
  <c r="AC631" i="1"/>
  <c r="AE631" i="1"/>
  <c r="CS631" i="1" s="1"/>
  <c r="R631" i="1" s="1"/>
  <c r="GK631" i="1" s="1"/>
  <c r="AF631" i="1"/>
  <c r="AG631" i="1"/>
  <c r="CU631" i="1" s="1"/>
  <c r="AH631" i="1"/>
  <c r="AI631" i="1"/>
  <c r="CW631" i="1" s="1"/>
  <c r="V631" i="1" s="1"/>
  <c r="AJ631" i="1"/>
  <c r="CT631" i="1"/>
  <c r="CV631" i="1"/>
  <c r="CX631" i="1"/>
  <c r="W631" i="1" s="1"/>
  <c r="FR631" i="1"/>
  <c r="GL631" i="1"/>
  <c r="GO631" i="1"/>
  <c r="GP631" i="1"/>
  <c r="GV631" i="1"/>
  <c r="GX631" i="1" s="1"/>
  <c r="I632" i="1"/>
  <c r="AC632" i="1"/>
  <c r="AD632" i="1"/>
  <c r="CR632" i="1" s="1"/>
  <c r="Q632" i="1" s="1"/>
  <c r="AE632" i="1"/>
  <c r="AF632" i="1"/>
  <c r="AB632" i="1" s="1"/>
  <c r="AG632" i="1"/>
  <c r="AH632" i="1"/>
  <c r="CV632" i="1" s="1"/>
  <c r="U632" i="1" s="1"/>
  <c r="AI632" i="1"/>
  <c r="AJ632" i="1"/>
  <c r="CX632" i="1" s="1"/>
  <c r="W632" i="1" s="1"/>
  <c r="CQ632" i="1"/>
  <c r="P632" i="1" s="1"/>
  <c r="CS632" i="1"/>
  <c r="R632" i="1" s="1"/>
  <c r="GK632" i="1" s="1"/>
  <c r="CU632" i="1"/>
  <c r="T632" i="1" s="1"/>
  <c r="CW632" i="1"/>
  <c r="V632" i="1" s="1"/>
  <c r="FR632" i="1"/>
  <c r="GL632" i="1"/>
  <c r="GO632" i="1"/>
  <c r="GP632" i="1"/>
  <c r="GV632" i="1"/>
  <c r="GX632" i="1"/>
  <c r="C633" i="1"/>
  <c r="D633" i="1"/>
  <c r="I633" i="1"/>
  <c r="AC633" i="1"/>
  <c r="AE633" i="1"/>
  <c r="CS633" i="1" s="1"/>
  <c r="R633" i="1" s="1"/>
  <c r="GK633" i="1" s="1"/>
  <c r="AF633" i="1"/>
  <c r="AG633" i="1"/>
  <c r="CU633" i="1" s="1"/>
  <c r="T633" i="1" s="1"/>
  <c r="AH633" i="1"/>
  <c r="AI633" i="1"/>
  <c r="CW633" i="1" s="1"/>
  <c r="V633" i="1" s="1"/>
  <c r="AJ633" i="1"/>
  <c r="CT633" i="1"/>
  <c r="S633" i="1" s="1"/>
  <c r="CV633" i="1"/>
  <c r="U633" i="1" s="1"/>
  <c r="CX633" i="1"/>
  <c r="W633" i="1" s="1"/>
  <c r="FR633" i="1"/>
  <c r="GL633" i="1"/>
  <c r="GO633" i="1"/>
  <c r="GP633" i="1"/>
  <c r="GV633" i="1"/>
  <c r="GX633" i="1" s="1"/>
  <c r="B635" i="1"/>
  <c r="B613" i="1" s="1"/>
  <c r="C635" i="1"/>
  <c r="C613" i="1" s="1"/>
  <c r="D635" i="1"/>
  <c r="D613" i="1" s="1"/>
  <c r="F635" i="1"/>
  <c r="F613" i="1" s="1"/>
  <c r="G635" i="1"/>
  <c r="G613" i="1" s="1"/>
  <c r="AP635" i="1"/>
  <c r="AP613" i="1" s="1"/>
  <c r="AT635" i="1"/>
  <c r="AT613" i="1" s="1"/>
  <c r="BB635" i="1"/>
  <c r="BB613" i="1" s="1"/>
  <c r="BX635" i="1"/>
  <c r="BX613" i="1" s="1"/>
  <c r="BY635" i="1"/>
  <c r="BY613" i="1" s="1"/>
  <c r="BZ635" i="1"/>
  <c r="BZ613" i="1" s="1"/>
  <c r="CC635" i="1"/>
  <c r="CC613" i="1" s="1"/>
  <c r="CD635" i="1"/>
  <c r="CD613" i="1" s="1"/>
  <c r="CK635" i="1"/>
  <c r="CK613" i="1" s="1"/>
  <c r="CL635" i="1"/>
  <c r="CL613" i="1" s="1"/>
  <c r="F644" i="1"/>
  <c r="F648" i="1"/>
  <c r="D664" i="1"/>
  <c r="E666" i="1"/>
  <c r="F666" i="1"/>
  <c r="Z666" i="1"/>
  <c r="AA666" i="1"/>
  <c r="AM666" i="1"/>
  <c r="AN666" i="1"/>
  <c r="BD666" i="1"/>
  <c r="BE666" i="1"/>
  <c r="BF666" i="1"/>
  <c r="BG666" i="1"/>
  <c r="BH666" i="1"/>
  <c r="BI666" i="1"/>
  <c r="BJ666" i="1"/>
  <c r="BK666" i="1"/>
  <c r="BL666" i="1"/>
  <c r="BM666" i="1"/>
  <c r="BN666" i="1"/>
  <c r="BO666" i="1"/>
  <c r="BP666" i="1"/>
  <c r="BQ666" i="1"/>
  <c r="BR666" i="1"/>
  <c r="BS666" i="1"/>
  <c r="BT666" i="1"/>
  <c r="BU666" i="1"/>
  <c r="BV666" i="1"/>
  <c r="BW666" i="1"/>
  <c r="CK666" i="1"/>
  <c r="CM666" i="1"/>
  <c r="CN666" i="1"/>
  <c r="CO666" i="1"/>
  <c r="CP666" i="1"/>
  <c r="CQ666" i="1"/>
  <c r="CR666" i="1"/>
  <c r="CS666" i="1"/>
  <c r="CT666" i="1"/>
  <c r="CU666" i="1"/>
  <c r="CV666" i="1"/>
  <c r="CW666" i="1"/>
  <c r="CX666" i="1"/>
  <c r="CY666" i="1"/>
  <c r="CZ666" i="1"/>
  <c r="DA666" i="1"/>
  <c r="DB666" i="1"/>
  <c r="DC666" i="1"/>
  <c r="DD666" i="1"/>
  <c r="DE666" i="1"/>
  <c r="DF666" i="1"/>
  <c r="DG666" i="1"/>
  <c r="DH666" i="1"/>
  <c r="DI666" i="1"/>
  <c r="DJ666" i="1"/>
  <c r="DK666" i="1"/>
  <c r="DL666" i="1"/>
  <c r="DM666" i="1"/>
  <c r="DN666" i="1"/>
  <c r="DO666" i="1"/>
  <c r="DP666" i="1"/>
  <c r="DQ666" i="1"/>
  <c r="DR666" i="1"/>
  <c r="DS666" i="1"/>
  <c r="DT666" i="1"/>
  <c r="DU666" i="1"/>
  <c r="DV666" i="1"/>
  <c r="DW666" i="1"/>
  <c r="DX666" i="1"/>
  <c r="DY666" i="1"/>
  <c r="DZ666" i="1"/>
  <c r="EA666" i="1"/>
  <c r="EB666" i="1"/>
  <c r="EC666" i="1"/>
  <c r="ED666" i="1"/>
  <c r="EE666" i="1"/>
  <c r="EF666" i="1"/>
  <c r="EG666" i="1"/>
  <c r="EH666" i="1"/>
  <c r="EI666" i="1"/>
  <c r="EJ666" i="1"/>
  <c r="EK666" i="1"/>
  <c r="EL666" i="1"/>
  <c r="EM666" i="1"/>
  <c r="EN666" i="1"/>
  <c r="EO666" i="1"/>
  <c r="EP666" i="1"/>
  <c r="EQ666" i="1"/>
  <c r="ER666" i="1"/>
  <c r="ES666" i="1"/>
  <c r="ET666" i="1"/>
  <c r="EU666" i="1"/>
  <c r="EV666" i="1"/>
  <c r="EW666" i="1"/>
  <c r="EX666" i="1"/>
  <c r="EY666" i="1"/>
  <c r="EZ666" i="1"/>
  <c r="FA666" i="1"/>
  <c r="FB666" i="1"/>
  <c r="FC666" i="1"/>
  <c r="FD666" i="1"/>
  <c r="FE666" i="1"/>
  <c r="FF666" i="1"/>
  <c r="FG666" i="1"/>
  <c r="FH666" i="1"/>
  <c r="FI666" i="1"/>
  <c r="FJ666" i="1"/>
  <c r="FK666" i="1"/>
  <c r="FL666" i="1"/>
  <c r="FM666" i="1"/>
  <c r="FN666" i="1"/>
  <c r="FO666" i="1"/>
  <c r="FP666" i="1"/>
  <c r="FQ666" i="1"/>
  <c r="FR666" i="1"/>
  <c r="FS666" i="1"/>
  <c r="FT666" i="1"/>
  <c r="FU666" i="1"/>
  <c r="FV666" i="1"/>
  <c r="FW666" i="1"/>
  <c r="FX666" i="1"/>
  <c r="FY666" i="1"/>
  <c r="FZ666" i="1"/>
  <c r="GA666" i="1"/>
  <c r="GB666" i="1"/>
  <c r="GC666" i="1"/>
  <c r="GD666" i="1"/>
  <c r="GE666" i="1"/>
  <c r="GF666" i="1"/>
  <c r="GG666" i="1"/>
  <c r="GH666" i="1"/>
  <c r="GI666" i="1"/>
  <c r="GJ666" i="1"/>
  <c r="GK666" i="1"/>
  <c r="GL666" i="1"/>
  <c r="GM666" i="1"/>
  <c r="GN666" i="1"/>
  <c r="GO666" i="1"/>
  <c r="GP666" i="1"/>
  <c r="GQ666" i="1"/>
  <c r="GR666" i="1"/>
  <c r="GS666" i="1"/>
  <c r="GT666" i="1"/>
  <c r="GU666" i="1"/>
  <c r="GV666" i="1"/>
  <c r="GW666" i="1"/>
  <c r="GX666" i="1"/>
  <c r="C668" i="1"/>
  <c r="D668" i="1"/>
  <c r="I668" i="1"/>
  <c r="AC668" i="1"/>
  <c r="AD668" i="1"/>
  <c r="CR668" i="1" s="1"/>
  <c r="Q668" i="1" s="1"/>
  <c r="AE668" i="1"/>
  <c r="AF668" i="1"/>
  <c r="AB668" i="1" s="1"/>
  <c r="AG668" i="1"/>
  <c r="AH668" i="1"/>
  <c r="CV668" i="1" s="1"/>
  <c r="U668" i="1" s="1"/>
  <c r="AI668" i="1"/>
  <c r="AJ668" i="1"/>
  <c r="CX668" i="1" s="1"/>
  <c r="W668" i="1" s="1"/>
  <c r="CQ668" i="1"/>
  <c r="P668" i="1" s="1"/>
  <c r="CS668" i="1"/>
  <c r="R668" i="1" s="1"/>
  <c r="CU668" i="1"/>
  <c r="T668" i="1" s="1"/>
  <c r="CW668" i="1"/>
  <c r="V668" i="1" s="1"/>
  <c r="FR668" i="1"/>
  <c r="BY681" i="1" s="1"/>
  <c r="GL668" i="1"/>
  <c r="GO668" i="1"/>
  <c r="GP668" i="1"/>
  <c r="GV668" i="1"/>
  <c r="GX668" i="1"/>
  <c r="C669" i="1"/>
  <c r="D669" i="1"/>
  <c r="I669" i="1"/>
  <c r="AC669" i="1"/>
  <c r="AE669" i="1"/>
  <c r="CS669" i="1" s="1"/>
  <c r="R669" i="1" s="1"/>
  <c r="GK669" i="1" s="1"/>
  <c r="AF669" i="1"/>
  <c r="AG669" i="1"/>
  <c r="CU669" i="1" s="1"/>
  <c r="T669" i="1" s="1"/>
  <c r="AH669" i="1"/>
  <c r="AI669" i="1"/>
  <c r="CW669" i="1" s="1"/>
  <c r="V669" i="1" s="1"/>
  <c r="AJ669" i="1"/>
  <c r="CT669" i="1"/>
  <c r="S669" i="1" s="1"/>
  <c r="CV669" i="1"/>
  <c r="U669" i="1" s="1"/>
  <c r="CX669" i="1"/>
  <c r="W669" i="1" s="1"/>
  <c r="FR669" i="1"/>
  <c r="GL669" i="1"/>
  <c r="GO669" i="1"/>
  <c r="CC681" i="1" s="1"/>
  <c r="GP669" i="1"/>
  <c r="GV669" i="1"/>
  <c r="GX669" i="1" s="1"/>
  <c r="C670" i="1"/>
  <c r="D670" i="1"/>
  <c r="I670" i="1"/>
  <c r="I673" i="1" s="1"/>
  <c r="AC670" i="1"/>
  <c r="AD670" i="1"/>
  <c r="AB670" i="1" s="1"/>
  <c r="AE670" i="1"/>
  <c r="AF670" i="1"/>
  <c r="CT670" i="1" s="1"/>
  <c r="S670" i="1" s="1"/>
  <c r="AG670" i="1"/>
  <c r="AH670" i="1"/>
  <c r="CV670" i="1" s="1"/>
  <c r="U670" i="1" s="1"/>
  <c r="AI670" i="1"/>
  <c r="AJ670" i="1"/>
  <c r="CX670" i="1" s="1"/>
  <c r="W670" i="1" s="1"/>
  <c r="CQ670" i="1"/>
  <c r="P670" i="1" s="1"/>
  <c r="CS670" i="1"/>
  <c r="R670" i="1" s="1"/>
  <c r="GK670" i="1" s="1"/>
  <c r="CU670" i="1"/>
  <c r="T670" i="1" s="1"/>
  <c r="CW670" i="1"/>
  <c r="V670" i="1" s="1"/>
  <c r="FR670" i="1"/>
  <c r="GL670" i="1"/>
  <c r="GO670" i="1"/>
  <c r="GP670" i="1"/>
  <c r="GV670" i="1"/>
  <c r="GX670" i="1"/>
  <c r="I671" i="1"/>
  <c r="AC671" i="1"/>
  <c r="AE671" i="1"/>
  <c r="CS671" i="1" s="1"/>
  <c r="R671" i="1" s="1"/>
  <c r="GK671" i="1" s="1"/>
  <c r="AF671" i="1"/>
  <c r="AG671" i="1"/>
  <c r="CU671" i="1" s="1"/>
  <c r="T671" i="1" s="1"/>
  <c r="AH671" i="1"/>
  <c r="AI671" i="1"/>
  <c r="CW671" i="1" s="1"/>
  <c r="V671" i="1" s="1"/>
  <c r="AJ671" i="1"/>
  <c r="CT671" i="1"/>
  <c r="S671" i="1" s="1"/>
  <c r="CV671" i="1"/>
  <c r="U671" i="1" s="1"/>
  <c r="CX671" i="1"/>
  <c r="W671" i="1" s="1"/>
  <c r="FR671" i="1"/>
  <c r="GL671" i="1"/>
  <c r="GO671" i="1"/>
  <c r="GP671" i="1"/>
  <c r="GV671" i="1"/>
  <c r="GX671" i="1" s="1"/>
  <c r="I672" i="1"/>
  <c r="AC672" i="1"/>
  <c r="AD672" i="1"/>
  <c r="CR672" i="1" s="1"/>
  <c r="Q672" i="1" s="1"/>
  <c r="AE672" i="1"/>
  <c r="AF672" i="1"/>
  <c r="AB672" i="1" s="1"/>
  <c r="AG672" i="1"/>
  <c r="AH672" i="1"/>
  <c r="CV672" i="1" s="1"/>
  <c r="U672" i="1" s="1"/>
  <c r="AI672" i="1"/>
  <c r="AJ672" i="1"/>
  <c r="CX672" i="1" s="1"/>
  <c r="W672" i="1" s="1"/>
  <c r="CQ672" i="1"/>
  <c r="P672" i="1" s="1"/>
  <c r="CS672" i="1"/>
  <c r="R672" i="1" s="1"/>
  <c r="GK672" i="1" s="1"/>
  <c r="CU672" i="1"/>
  <c r="T672" i="1" s="1"/>
  <c r="CW672" i="1"/>
  <c r="V672" i="1" s="1"/>
  <c r="FR672" i="1"/>
  <c r="GL672" i="1"/>
  <c r="GO672" i="1"/>
  <c r="GP672" i="1"/>
  <c r="GV672" i="1"/>
  <c r="GX672" i="1"/>
  <c r="AC673" i="1"/>
  <c r="CQ673" i="1" s="1"/>
  <c r="AE673" i="1"/>
  <c r="AD673" i="1" s="1"/>
  <c r="CR673" i="1" s="1"/>
  <c r="Q673" i="1" s="1"/>
  <c r="AF673" i="1"/>
  <c r="AG673" i="1"/>
  <c r="CU673" i="1" s="1"/>
  <c r="AH673" i="1"/>
  <c r="AI673" i="1"/>
  <c r="CW673" i="1" s="1"/>
  <c r="V673" i="1" s="1"/>
  <c r="AJ673" i="1"/>
  <c r="CT673" i="1"/>
  <c r="CV673" i="1"/>
  <c r="CX673" i="1"/>
  <c r="W673" i="1" s="1"/>
  <c r="FR673" i="1"/>
  <c r="GL673" i="1"/>
  <c r="GO673" i="1"/>
  <c r="GP673" i="1"/>
  <c r="GV673" i="1"/>
  <c r="GX673" i="1" s="1"/>
  <c r="C674" i="1"/>
  <c r="D674" i="1"/>
  <c r="I674" i="1"/>
  <c r="I675" i="1" s="1"/>
  <c r="AC674" i="1"/>
  <c r="AD674" i="1"/>
  <c r="CR674" i="1" s="1"/>
  <c r="Q674" i="1" s="1"/>
  <c r="AE674" i="1"/>
  <c r="AF674" i="1"/>
  <c r="AB674" i="1" s="1"/>
  <c r="AG674" i="1"/>
  <c r="AH674" i="1"/>
  <c r="CV674" i="1" s="1"/>
  <c r="U674" i="1" s="1"/>
  <c r="AI674" i="1"/>
  <c r="AJ674" i="1"/>
  <c r="CX674" i="1" s="1"/>
  <c r="W674" i="1" s="1"/>
  <c r="CQ674" i="1"/>
  <c r="P674" i="1" s="1"/>
  <c r="CS674" i="1"/>
  <c r="R674" i="1" s="1"/>
  <c r="GK674" i="1" s="1"/>
  <c r="CU674" i="1"/>
  <c r="T674" i="1" s="1"/>
  <c r="CW674" i="1"/>
  <c r="V674" i="1" s="1"/>
  <c r="FR674" i="1"/>
  <c r="GL674" i="1"/>
  <c r="GO674" i="1"/>
  <c r="GP674" i="1"/>
  <c r="GV674" i="1"/>
  <c r="GX674" i="1"/>
  <c r="AC675" i="1"/>
  <c r="CQ675" i="1" s="1"/>
  <c r="AE675" i="1"/>
  <c r="AD675" i="1" s="1"/>
  <c r="CR675" i="1" s="1"/>
  <c r="Q675" i="1" s="1"/>
  <c r="AF675" i="1"/>
  <c r="AG675" i="1"/>
  <c r="CU675" i="1" s="1"/>
  <c r="AH675" i="1"/>
  <c r="AI675" i="1"/>
  <c r="CW675" i="1" s="1"/>
  <c r="V675" i="1" s="1"/>
  <c r="AJ675" i="1"/>
  <c r="CT675" i="1"/>
  <c r="CV675" i="1"/>
  <c r="CX675" i="1"/>
  <c r="W675" i="1" s="1"/>
  <c r="FR675" i="1"/>
  <c r="GL675" i="1"/>
  <c r="GO675" i="1"/>
  <c r="GP675" i="1"/>
  <c r="GV675" i="1"/>
  <c r="AC676" i="1"/>
  <c r="AD676" i="1"/>
  <c r="AB676" i="1" s="1"/>
  <c r="AE676" i="1"/>
  <c r="AF676" i="1"/>
  <c r="CT676" i="1" s="1"/>
  <c r="AG676" i="1"/>
  <c r="AH676" i="1"/>
  <c r="CV676" i="1" s="1"/>
  <c r="AI676" i="1"/>
  <c r="AJ676" i="1"/>
  <c r="CX676" i="1" s="1"/>
  <c r="CQ676" i="1"/>
  <c r="CS676" i="1"/>
  <c r="CU676" i="1"/>
  <c r="CW676" i="1"/>
  <c r="FR676" i="1"/>
  <c r="GL676" i="1"/>
  <c r="GO676" i="1"/>
  <c r="GP676" i="1"/>
  <c r="GV676" i="1"/>
  <c r="AC677" i="1"/>
  <c r="AE677" i="1"/>
  <c r="CS677" i="1" s="1"/>
  <c r="AF677" i="1"/>
  <c r="AG677" i="1"/>
  <c r="CU677" i="1" s="1"/>
  <c r="AH677" i="1"/>
  <c r="AI677" i="1"/>
  <c r="CW677" i="1" s="1"/>
  <c r="AJ677" i="1"/>
  <c r="CT677" i="1"/>
  <c r="CV677" i="1"/>
  <c r="CX677" i="1"/>
  <c r="FR677" i="1"/>
  <c r="GL677" i="1"/>
  <c r="GO677" i="1"/>
  <c r="GP677" i="1"/>
  <c r="GV677" i="1"/>
  <c r="C678" i="1"/>
  <c r="D678" i="1"/>
  <c r="I678" i="1"/>
  <c r="AC678" i="1"/>
  <c r="AD678" i="1"/>
  <c r="AB678" i="1" s="1"/>
  <c r="AE678" i="1"/>
  <c r="AF678" i="1"/>
  <c r="CT678" i="1" s="1"/>
  <c r="S678" i="1" s="1"/>
  <c r="AG678" i="1"/>
  <c r="AH678" i="1"/>
  <c r="CV678" i="1" s="1"/>
  <c r="U678" i="1" s="1"/>
  <c r="AI678" i="1"/>
  <c r="AJ678" i="1"/>
  <c r="CX678" i="1" s="1"/>
  <c r="W678" i="1" s="1"/>
  <c r="CQ678" i="1"/>
  <c r="P678" i="1" s="1"/>
  <c r="CS678" i="1"/>
  <c r="R678" i="1" s="1"/>
  <c r="GK678" i="1" s="1"/>
  <c r="CU678" i="1"/>
  <c r="T678" i="1" s="1"/>
  <c r="CW678" i="1"/>
  <c r="V678" i="1" s="1"/>
  <c r="FR678" i="1"/>
  <c r="GL678" i="1"/>
  <c r="GO678" i="1"/>
  <c r="GP678" i="1"/>
  <c r="GV678" i="1"/>
  <c r="GX678" i="1"/>
  <c r="C679" i="1"/>
  <c r="D679" i="1"/>
  <c r="I679" i="1"/>
  <c r="AC679" i="1"/>
  <c r="CQ679" i="1" s="1"/>
  <c r="P679" i="1" s="1"/>
  <c r="AE679" i="1"/>
  <c r="AD679" i="1" s="1"/>
  <c r="CR679" i="1" s="1"/>
  <c r="Q679" i="1" s="1"/>
  <c r="AF679" i="1"/>
  <c r="AG679" i="1"/>
  <c r="CU679" i="1" s="1"/>
  <c r="T679" i="1" s="1"/>
  <c r="AH679" i="1"/>
  <c r="AI679" i="1"/>
  <c r="CW679" i="1" s="1"/>
  <c r="V679" i="1" s="1"/>
  <c r="AJ679" i="1"/>
  <c r="CT679" i="1"/>
  <c r="S679" i="1" s="1"/>
  <c r="CV679" i="1"/>
  <c r="U679" i="1" s="1"/>
  <c r="CX679" i="1"/>
  <c r="W679" i="1" s="1"/>
  <c r="FR679" i="1"/>
  <c r="GL679" i="1"/>
  <c r="GO679" i="1"/>
  <c r="GP679" i="1"/>
  <c r="GV679" i="1"/>
  <c r="GX679" i="1" s="1"/>
  <c r="B681" i="1"/>
  <c r="B666" i="1" s="1"/>
  <c r="C681" i="1"/>
  <c r="C666" i="1" s="1"/>
  <c r="D681" i="1"/>
  <c r="D666" i="1" s="1"/>
  <c r="F681" i="1"/>
  <c r="G681" i="1"/>
  <c r="G666" i="1" s="1"/>
  <c r="BB681" i="1"/>
  <c r="BB666" i="1" s="1"/>
  <c r="BX681" i="1"/>
  <c r="BX666" i="1" s="1"/>
  <c r="BZ681" i="1"/>
  <c r="AQ681" i="1" s="1"/>
  <c r="CD681" i="1"/>
  <c r="AU681" i="1" s="1"/>
  <c r="CK681" i="1"/>
  <c r="CL681" i="1"/>
  <c r="BC681" i="1" s="1"/>
  <c r="F694" i="1"/>
  <c r="D710" i="1"/>
  <c r="B712" i="1"/>
  <c r="E712" i="1"/>
  <c r="Z712" i="1"/>
  <c r="AA712" i="1"/>
  <c r="AM712" i="1"/>
  <c r="AN712" i="1"/>
  <c r="BD712" i="1"/>
  <c r="BE712" i="1"/>
  <c r="BF712" i="1"/>
  <c r="BG712" i="1"/>
  <c r="BH712" i="1"/>
  <c r="BI712" i="1"/>
  <c r="BJ712" i="1"/>
  <c r="BK712" i="1"/>
  <c r="BL712" i="1"/>
  <c r="BM712" i="1"/>
  <c r="BN712" i="1"/>
  <c r="BO712" i="1"/>
  <c r="BP712" i="1"/>
  <c r="BQ712" i="1"/>
  <c r="BR712" i="1"/>
  <c r="BS712" i="1"/>
  <c r="BT712" i="1"/>
  <c r="BU712" i="1"/>
  <c r="BV712" i="1"/>
  <c r="BW712" i="1"/>
  <c r="CM712" i="1"/>
  <c r="CN712" i="1"/>
  <c r="CO712" i="1"/>
  <c r="CP712" i="1"/>
  <c r="CQ712" i="1"/>
  <c r="CR712" i="1"/>
  <c r="CS712" i="1"/>
  <c r="CT712" i="1"/>
  <c r="CU712" i="1"/>
  <c r="CV712" i="1"/>
  <c r="CW712" i="1"/>
  <c r="CX712" i="1"/>
  <c r="CY712" i="1"/>
  <c r="CZ712" i="1"/>
  <c r="DA712" i="1"/>
  <c r="DB712" i="1"/>
  <c r="DC712" i="1"/>
  <c r="DD712" i="1"/>
  <c r="DE712" i="1"/>
  <c r="DF712" i="1"/>
  <c r="DG712" i="1"/>
  <c r="DH712" i="1"/>
  <c r="DI712" i="1"/>
  <c r="DJ712" i="1"/>
  <c r="DK712" i="1"/>
  <c r="DL712" i="1"/>
  <c r="DM712" i="1"/>
  <c r="DN712" i="1"/>
  <c r="DO712" i="1"/>
  <c r="DP712" i="1"/>
  <c r="DQ712" i="1"/>
  <c r="DR712" i="1"/>
  <c r="DS712" i="1"/>
  <c r="DT712" i="1"/>
  <c r="DU712" i="1"/>
  <c r="DV712" i="1"/>
  <c r="DW712" i="1"/>
  <c r="DX712" i="1"/>
  <c r="DY712" i="1"/>
  <c r="DZ712" i="1"/>
  <c r="EA712" i="1"/>
  <c r="EB712" i="1"/>
  <c r="EC712" i="1"/>
  <c r="ED712" i="1"/>
  <c r="EE712" i="1"/>
  <c r="EF712" i="1"/>
  <c r="EG712" i="1"/>
  <c r="EH712" i="1"/>
  <c r="EI712" i="1"/>
  <c r="EJ712" i="1"/>
  <c r="EK712" i="1"/>
  <c r="EL712" i="1"/>
  <c r="EM712" i="1"/>
  <c r="EN712" i="1"/>
  <c r="EO712" i="1"/>
  <c r="EP712" i="1"/>
  <c r="EQ712" i="1"/>
  <c r="ER712" i="1"/>
  <c r="ES712" i="1"/>
  <c r="ET712" i="1"/>
  <c r="EU712" i="1"/>
  <c r="EV712" i="1"/>
  <c r="EW712" i="1"/>
  <c r="EX712" i="1"/>
  <c r="EY712" i="1"/>
  <c r="EZ712" i="1"/>
  <c r="FA712" i="1"/>
  <c r="FB712" i="1"/>
  <c r="FC712" i="1"/>
  <c r="FD712" i="1"/>
  <c r="FE712" i="1"/>
  <c r="FF712" i="1"/>
  <c r="FG712" i="1"/>
  <c r="FH712" i="1"/>
  <c r="FI712" i="1"/>
  <c r="FJ712" i="1"/>
  <c r="FK712" i="1"/>
  <c r="FL712" i="1"/>
  <c r="FM712" i="1"/>
  <c r="FN712" i="1"/>
  <c r="FO712" i="1"/>
  <c r="FP712" i="1"/>
  <c r="FQ712" i="1"/>
  <c r="FR712" i="1"/>
  <c r="FS712" i="1"/>
  <c r="FT712" i="1"/>
  <c r="FU712" i="1"/>
  <c r="FV712" i="1"/>
  <c r="FW712" i="1"/>
  <c r="FX712" i="1"/>
  <c r="FY712" i="1"/>
  <c r="FZ712" i="1"/>
  <c r="GA712" i="1"/>
  <c r="GB712" i="1"/>
  <c r="GC712" i="1"/>
  <c r="GD712" i="1"/>
  <c r="GE712" i="1"/>
  <c r="GF712" i="1"/>
  <c r="GG712" i="1"/>
  <c r="GH712" i="1"/>
  <c r="GI712" i="1"/>
  <c r="GJ712" i="1"/>
  <c r="GK712" i="1"/>
  <c r="GL712" i="1"/>
  <c r="GM712" i="1"/>
  <c r="GN712" i="1"/>
  <c r="GO712" i="1"/>
  <c r="GP712" i="1"/>
  <c r="GQ712" i="1"/>
  <c r="GR712" i="1"/>
  <c r="GS712" i="1"/>
  <c r="GT712" i="1"/>
  <c r="GU712" i="1"/>
  <c r="GV712" i="1"/>
  <c r="GW712" i="1"/>
  <c r="GX712" i="1"/>
  <c r="C714" i="1"/>
  <c r="D714" i="1"/>
  <c r="I714" i="1"/>
  <c r="AC714" i="1"/>
  <c r="AD714" i="1"/>
  <c r="AB714" i="1" s="1"/>
  <c r="AE714" i="1"/>
  <c r="AF714" i="1"/>
  <c r="CT714" i="1" s="1"/>
  <c r="S714" i="1" s="1"/>
  <c r="AG714" i="1"/>
  <c r="AH714" i="1"/>
  <c r="CV714" i="1" s="1"/>
  <c r="U714" i="1" s="1"/>
  <c r="AI714" i="1"/>
  <c r="AJ714" i="1"/>
  <c r="CX714" i="1" s="1"/>
  <c r="W714" i="1" s="1"/>
  <c r="CQ714" i="1"/>
  <c r="P714" i="1" s="1"/>
  <c r="CS714" i="1"/>
  <c r="R714" i="1" s="1"/>
  <c r="CU714" i="1"/>
  <c r="T714" i="1" s="1"/>
  <c r="CW714" i="1"/>
  <c r="V714" i="1" s="1"/>
  <c r="FR714" i="1"/>
  <c r="GL714" i="1"/>
  <c r="BZ732" i="1" s="1"/>
  <c r="GO714" i="1"/>
  <c r="GP714" i="1"/>
  <c r="CD732" i="1" s="1"/>
  <c r="GV714" i="1"/>
  <c r="GX714" i="1"/>
  <c r="C715" i="1"/>
  <c r="D715" i="1"/>
  <c r="I715" i="1"/>
  <c r="AC715" i="1"/>
  <c r="CQ715" i="1" s="1"/>
  <c r="P715" i="1" s="1"/>
  <c r="CP715" i="1" s="1"/>
  <c r="O715" i="1" s="1"/>
  <c r="AE715" i="1"/>
  <c r="AD715" i="1" s="1"/>
  <c r="CR715" i="1" s="1"/>
  <c r="Q715" i="1" s="1"/>
  <c r="AF715" i="1"/>
  <c r="AG715" i="1"/>
  <c r="CU715" i="1" s="1"/>
  <c r="T715" i="1" s="1"/>
  <c r="AH715" i="1"/>
  <c r="AI715" i="1"/>
  <c r="CW715" i="1" s="1"/>
  <c r="V715" i="1" s="1"/>
  <c r="AJ715" i="1"/>
  <c r="CT715" i="1"/>
  <c r="S715" i="1" s="1"/>
  <c r="CV715" i="1"/>
  <c r="U715" i="1" s="1"/>
  <c r="CX715" i="1"/>
  <c r="W715" i="1" s="1"/>
  <c r="FR715" i="1"/>
  <c r="GL715" i="1"/>
  <c r="GO715" i="1"/>
  <c r="GP715" i="1"/>
  <c r="GV715" i="1"/>
  <c r="GX715" i="1" s="1"/>
  <c r="C716" i="1"/>
  <c r="D716" i="1"/>
  <c r="I716" i="1"/>
  <c r="AC716" i="1"/>
  <c r="AD716" i="1"/>
  <c r="CR716" i="1" s="1"/>
  <c r="Q716" i="1" s="1"/>
  <c r="AE716" i="1"/>
  <c r="AF716" i="1"/>
  <c r="AB716" i="1" s="1"/>
  <c r="AG716" i="1"/>
  <c r="AH716" i="1"/>
  <c r="CV716" i="1" s="1"/>
  <c r="U716" i="1" s="1"/>
  <c r="AI716" i="1"/>
  <c r="AJ716" i="1"/>
  <c r="CX716" i="1" s="1"/>
  <c r="W716" i="1" s="1"/>
  <c r="CQ716" i="1"/>
  <c r="P716" i="1" s="1"/>
  <c r="CS716" i="1"/>
  <c r="R716" i="1" s="1"/>
  <c r="GK716" i="1" s="1"/>
  <c r="CU716" i="1"/>
  <c r="T716" i="1" s="1"/>
  <c r="CW716" i="1"/>
  <c r="V716" i="1" s="1"/>
  <c r="FR716" i="1"/>
  <c r="GL716" i="1"/>
  <c r="GO716" i="1"/>
  <c r="GP716" i="1"/>
  <c r="GV716" i="1"/>
  <c r="GX716" i="1"/>
  <c r="C717" i="1"/>
  <c r="D717" i="1"/>
  <c r="I717" i="1"/>
  <c r="I719" i="1" s="1"/>
  <c r="AC717" i="1"/>
  <c r="AE717" i="1"/>
  <c r="CS717" i="1" s="1"/>
  <c r="R717" i="1" s="1"/>
  <c r="GK717" i="1" s="1"/>
  <c r="AF717" i="1"/>
  <c r="AG717" i="1"/>
  <c r="CU717" i="1" s="1"/>
  <c r="T717" i="1" s="1"/>
  <c r="AH717" i="1"/>
  <c r="AI717" i="1"/>
  <c r="CW717" i="1" s="1"/>
  <c r="V717" i="1" s="1"/>
  <c r="AJ717" i="1"/>
  <c r="CT717" i="1"/>
  <c r="S717" i="1" s="1"/>
  <c r="CV717" i="1"/>
  <c r="U717" i="1" s="1"/>
  <c r="CX717" i="1"/>
  <c r="W717" i="1" s="1"/>
  <c r="FR717" i="1"/>
  <c r="GL717" i="1"/>
  <c r="GO717" i="1"/>
  <c r="GP717" i="1"/>
  <c r="GV717" i="1"/>
  <c r="GX717" i="1" s="1"/>
  <c r="I718" i="1"/>
  <c r="AC718" i="1"/>
  <c r="AD718" i="1"/>
  <c r="CR718" i="1" s="1"/>
  <c r="Q718" i="1" s="1"/>
  <c r="AE718" i="1"/>
  <c r="AF718" i="1"/>
  <c r="AB718" i="1" s="1"/>
  <c r="AG718" i="1"/>
  <c r="AH718" i="1"/>
  <c r="CV718" i="1" s="1"/>
  <c r="U718" i="1" s="1"/>
  <c r="AI718" i="1"/>
  <c r="AJ718" i="1"/>
  <c r="CX718" i="1" s="1"/>
  <c r="W718" i="1" s="1"/>
  <c r="CQ718" i="1"/>
  <c r="P718" i="1" s="1"/>
  <c r="CS718" i="1"/>
  <c r="R718" i="1" s="1"/>
  <c r="GK718" i="1" s="1"/>
  <c r="CU718" i="1"/>
  <c r="T718" i="1" s="1"/>
  <c r="CW718" i="1"/>
  <c r="V718" i="1" s="1"/>
  <c r="FR718" i="1"/>
  <c r="GL718" i="1"/>
  <c r="GO718" i="1"/>
  <c r="GP718" i="1"/>
  <c r="GV718" i="1"/>
  <c r="GX718" i="1"/>
  <c r="AC719" i="1"/>
  <c r="CQ719" i="1" s="1"/>
  <c r="P719" i="1" s="1"/>
  <c r="AE719" i="1"/>
  <c r="AD719" i="1" s="1"/>
  <c r="CR719" i="1" s="1"/>
  <c r="Q719" i="1" s="1"/>
  <c r="AF719" i="1"/>
  <c r="AG719" i="1"/>
  <c r="CU719" i="1" s="1"/>
  <c r="T719" i="1" s="1"/>
  <c r="AH719" i="1"/>
  <c r="AI719" i="1"/>
  <c r="CW719" i="1" s="1"/>
  <c r="V719" i="1" s="1"/>
  <c r="AJ719" i="1"/>
  <c r="CT719" i="1"/>
  <c r="S719" i="1" s="1"/>
  <c r="CV719" i="1"/>
  <c r="U719" i="1" s="1"/>
  <c r="CX719" i="1"/>
  <c r="W719" i="1" s="1"/>
  <c r="FR719" i="1"/>
  <c r="GL719" i="1"/>
  <c r="GO719" i="1"/>
  <c r="GP719" i="1"/>
  <c r="GV719" i="1"/>
  <c r="GX719" i="1" s="1"/>
  <c r="C720" i="1"/>
  <c r="D720" i="1"/>
  <c r="I720" i="1"/>
  <c r="I721" i="1" s="1"/>
  <c r="AC720" i="1"/>
  <c r="AD720" i="1"/>
  <c r="CR720" i="1" s="1"/>
  <c r="Q720" i="1" s="1"/>
  <c r="AE720" i="1"/>
  <c r="AF720" i="1"/>
  <c r="AB720" i="1" s="1"/>
  <c r="AG720" i="1"/>
  <c r="AH720" i="1"/>
  <c r="CV720" i="1" s="1"/>
  <c r="U720" i="1" s="1"/>
  <c r="AI720" i="1"/>
  <c r="AJ720" i="1"/>
  <c r="CX720" i="1" s="1"/>
  <c r="W720" i="1" s="1"/>
  <c r="CQ720" i="1"/>
  <c r="P720" i="1" s="1"/>
  <c r="CS720" i="1"/>
  <c r="R720" i="1" s="1"/>
  <c r="GK720" i="1" s="1"/>
  <c r="CU720" i="1"/>
  <c r="T720" i="1" s="1"/>
  <c r="CW720" i="1"/>
  <c r="V720" i="1" s="1"/>
  <c r="FR720" i="1"/>
  <c r="GL720" i="1"/>
  <c r="GO720" i="1"/>
  <c r="GP720" i="1"/>
  <c r="GV720" i="1"/>
  <c r="GX720" i="1"/>
  <c r="AC721" i="1"/>
  <c r="CQ721" i="1" s="1"/>
  <c r="P721" i="1" s="1"/>
  <c r="AE721" i="1"/>
  <c r="AD721" i="1" s="1"/>
  <c r="CR721" i="1" s="1"/>
  <c r="Q721" i="1" s="1"/>
  <c r="AF721" i="1"/>
  <c r="AG721" i="1"/>
  <c r="CU721" i="1" s="1"/>
  <c r="T721" i="1" s="1"/>
  <c r="AH721" i="1"/>
  <c r="AI721" i="1"/>
  <c r="CW721" i="1" s="1"/>
  <c r="V721" i="1" s="1"/>
  <c r="AJ721" i="1"/>
  <c r="CT721" i="1"/>
  <c r="S721" i="1" s="1"/>
  <c r="CV721" i="1"/>
  <c r="U721" i="1" s="1"/>
  <c r="CX721" i="1"/>
  <c r="W721" i="1" s="1"/>
  <c r="FR721" i="1"/>
  <c r="GL721" i="1"/>
  <c r="GO721" i="1"/>
  <c r="GP721" i="1"/>
  <c r="GV721" i="1"/>
  <c r="GX721" i="1" s="1"/>
  <c r="C722" i="1"/>
  <c r="D722" i="1"/>
  <c r="I722" i="1"/>
  <c r="I723" i="1" s="1"/>
  <c r="AC722" i="1"/>
  <c r="AD722" i="1"/>
  <c r="CR722" i="1" s="1"/>
  <c r="Q722" i="1" s="1"/>
  <c r="AE722" i="1"/>
  <c r="AF722" i="1"/>
  <c r="AB722" i="1" s="1"/>
  <c r="AG722" i="1"/>
  <c r="AH722" i="1"/>
  <c r="CV722" i="1" s="1"/>
  <c r="U722" i="1" s="1"/>
  <c r="AI722" i="1"/>
  <c r="AJ722" i="1"/>
  <c r="CX722" i="1" s="1"/>
  <c r="W722" i="1" s="1"/>
  <c r="CQ722" i="1"/>
  <c r="P722" i="1" s="1"/>
  <c r="CS722" i="1"/>
  <c r="R722" i="1" s="1"/>
  <c r="GK722" i="1" s="1"/>
  <c r="CU722" i="1"/>
  <c r="T722" i="1" s="1"/>
  <c r="CW722" i="1"/>
  <c r="V722" i="1" s="1"/>
  <c r="FR722" i="1"/>
  <c r="GL722" i="1"/>
  <c r="GO722" i="1"/>
  <c r="GP722" i="1"/>
  <c r="GV722" i="1"/>
  <c r="GX722" i="1"/>
  <c r="AC723" i="1"/>
  <c r="CQ723" i="1" s="1"/>
  <c r="P723" i="1" s="1"/>
  <c r="AE723" i="1"/>
  <c r="AD723" i="1" s="1"/>
  <c r="CR723" i="1" s="1"/>
  <c r="Q723" i="1" s="1"/>
  <c r="AF723" i="1"/>
  <c r="AG723" i="1"/>
  <c r="CU723" i="1" s="1"/>
  <c r="T723" i="1" s="1"/>
  <c r="AH723" i="1"/>
  <c r="AI723" i="1"/>
  <c r="CW723" i="1" s="1"/>
  <c r="V723" i="1" s="1"/>
  <c r="AJ723" i="1"/>
  <c r="CT723" i="1"/>
  <c r="S723" i="1" s="1"/>
  <c r="CV723" i="1"/>
  <c r="U723" i="1" s="1"/>
  <c r="CX723" i="1"/>
  <c r="W723" i="1" s="1"/>
  <c r="FR723" i="1"/>
  <c r="GL723" i="1"/>
  <c r="GO723" i="1"/>
  <c r="GP723" i="1"/>
  <c r="GV723" i="1"/>
  <c r="GX723" i="1" s="1"/>
  <c r="AC724" i="1"/>
  <c r="AD724" i="1"/>
  <c r="AB724" i="1" s="1"/>
  <c r="AE724" i="1"/>
  <c r="AF724" i="1"/>
  <c r="CT724" i="1" s="1"/>
  <c r="AG724" i="1"/>
  <c r="AH724" i="1"/>
  <c r="CV724" i="1" s="1"/>
  <c r="AI724" i="1"/>
  <c r="AJ724" i="1"/>
  <c r="CX724" i="1" s="1"/>
  <c r="CQ724" i="1"/>
  <c r="CS724" i="1"/>
  <c r="CU724" i="1"/>
  <c r="CW724" i="1"/>
  <c r="FR724" i="1"/>
  <c r="GL724" i="1"/>
  <c r="GO724" i="1"/>
  <c r="GP724" i="1"/>
  <c r="GV724" i="1"/>
  <c r="C725" i="1"/>
  <c r="D725" i="1"/>
  <c r="I725" i="1"/>
  <c r="AC725" i="1"/>
  <c r="CQ725" i="1" s="1"/>
  <c r="P725" i="1" s="1"/>
  <c r="AE725" i="1"/>
  <c r="AD725" i="1" s="1"/>
  <c r="CR725" i="1" s="1"/>
  <c r="Q725" i="1" s="1"/>
  <c r="AF725" i="1"/>
  <c r="AG725" i="1"/>
  <c r="CU725" i="1" s="1"/>
  <c r="T725" i="1" s="1"/>
  <c r="AH725" i="1"/>
  <c r="AI725" i="1"/>
  <c r="CW725" i="1" s="1"/>
  <c r="V725" i="1" s="1"/>
  <c r="AJ725" i="1"/>
  <c r="CT725" i="1"/>
  <c r="S725" i="1" s="1"/>
  <c r="CV725" i="1"/>
  <c r="U725" i="1" s="1"/>
  <c r="CX725" i="1"/>
  <c r="W725" i="1" s="1"/>
  <c r="FR725" i="1"/>
  <c r="GL725" i="1"/>
  <c r="GO725" i="1"/>
  <c r="GP725" i="1"/>
  <c r="GV725" i="1"/>
  <c r="GX725" i="1" s="1"/>
  <c r="I726" i="1"/>
  <c r="AC726" i="1"/>
  <c r="AD726" i="1"/>
  <c r="AB726" i="1" s="1"/>
  <c r="AE726" i="1"/>
  <c r="AF726" i="1"/>
  <c r="CT726" i="1" s="1"/>
  <c r="S726" i="1" s="1"/>
  <c r="AG726" i="1"/>
  <c r="AH726" i="1"/>
  <c r="CV726" i="1" s="1"/>
  <c r="U726" i="1" s="1"/>
  <c r="AI726" i="1"/>
  <c r="AJ726" i="1"/>
  <c r="CX726" i="1" s="1"/>
  <c r="W726" i="1" s="1"/>
  <c r="CQ726" i="1"/>
  <c r="P726" i="1" s="1"/>
  <c r="CS726" i="1"/>
  <c r="R726" i="1" s="1"/>
  <c r="GK726" i="1" s="1"/>
  <c r="CU726" i="1"/>
  <c r="T726" i="1" s="1"/>
  <c r="CW726" i="1"/>
  <c r="V726" i="1" s="1"/>
  <c r="FR726" i="1"/>
  <c r="GL726" i="1"/>
  <c r="GO726" i="1"/>
  <c r="GP726" i="1"/>
  <c r="GV726" i="1"/>
  <c r="GX726" i="1"/>
  <c r="I727" i="1"/>
  <c r="AC727" i="1"/>
  <c r="AE727" i="1"/>
  <c r="CS727" i="1" s="1"/>
  <c r="R727" i="1" s="1"/>
  <c r="GK727" i="1" s="1"/>
  <c r="AF727" i="1"/>
  <c r="AG727" i="1"/>
  <c r="CU727" i="1" s="1"/>
  <c r="T727" i="1" s="1"/>
  <c r="AH727" i="1"/>
  <c r="AI727" i="1"/>
  <c r="CW727" i="1" s="1"/>
  <c r="V727" i="1" s="1"/>
  <c r="AJ727" i="1"/>
  <c r="CT727" i="1"/>
  <c r="S727" i="1" s="1"/>
  <c r="CV727" i="1"/>
  <c r="U727" i="1" s="1"/>
  <c r="CX727" i="1"/>
  <c r="W727" i="1" s="1"/>
  <c r="FR727" i="1"/>
  <c r="GL727" i="1"/>
  <c r="GO727" i="1"/>
  <c r="GP727" i="1"/>
  <c r="GV727" i="1"/>
  <c r="GX727" i="1" s="1"/>
  <c r="C728" i="1"/>
  <c r="D728" i="1"/>
  <c r="I728" i="1"/>
  <c r="AC728" i="1"/>
  <c r="AB728" i="1" s="1"/>
  <c r="AD728" i="1"/>
  <c r="CR728" i="1" s="1"/>
  <c r="Q728" i="1" s="1"/>
  <c r="AE728" i="1"/>
  <c r="AF728" i="1"/>
  <c r="AG728" i="1"/>
  <c r="AH728" i="1"/>
  <c r="CV728" i="1" s="1"/>
  <c r="U728" i="1" s="1"/>
  <c r="AI728" i="1"/>
  <c r="AJ728" i="1"/>
  <c r="CQ728" i="1"/>
  <c r="P728" i="1" s="1"/>
  <c r="CP728" i="1" s="1"/>
  <c r="O728" i="1" s="1"/>
  <c r="CS728" i="1"/>
  <c r="R728" i="1" s="1"/>
  <c r="GK728" i="1" s="1"/>
  <c r="CT728" i="1"/>
  <c r="S728" i="1" s="1"/>
  <c r="CU728" i="1"/>
  <c r="T728" i="1" s="1"/>
  <c r="CW728" i="1"/>
  <c r="V728" i="1" s="1"/>
  <c r="CX728" i="1"/>
  <c r="W728" i="1" s="1"/>
  <c r="FR728" i="1"/>
  <c r="GL728" i="1"/>
  <c r="GO728" i="1"/>
  <c r="GP728" i="1"/>
  <c r="GV728" i="1"/>
  <c r="GX728" i="1"/>
  <c r="I729" i="1"/>
  <c r="AC729" i="1"/>
  <c r="AE729" i="1"/>
  <c r="AD729" i="1" s="1"/>
  <c r="CR729" i="1" s="1"/>
  <c r="Q729" i="1" s="1"/>
  <c r="AF729" i="1"/>
  <c r="AG729" i="1"/>
  <c r="CU729" i="1" s="1"/>
  <c r="T729" i="1" s="1"/>
  <c r="AH729" i="1"/>
  <c r="AI729" i="1"/>
  <c r="AJ729" i="1"/>
  <c r="CS729" i="1"/>
  <c r="R729" i="1" s="1"/>
  <c r="GK729" i="1" s="1"/>
  <c r="CT729" i="1"/>
  <c r="S729" i="1" s="1"/>
  <c r="CV729" i="1"/>
  <c r="U729" i="1" s="1"/>
  <c r="CW729" i="1"/>
  <c r="V729" i="1" s="1"/>
  <c r="CX729" i="1"/>
  <c r="W729" i="1" s="1"/>
  <c r="FR729" i="1"/>
  <c r="GL729" i="1"/>
  <c r="GO729" i="1"/>
  <c r="GP729" i="1"/>
  <c r="GV729" i="1"/>
  <c r="GX729" i="1"/>
  <c r="I730" i="1"/>
  <c r="AC730" i="1"/>
  <c r="AE730" i="1"/>
  <c r="AD730" i="1" s="1"/>
  <c r="AF730" i="1"/>
  <c r="CT730" i="1" s="1"/>
  <c r="S730" i="1" s="1"/>
  <c r="AG730" i="1"/>
  <c r="AH730" i="1"/>
  <c r="AI730" i="1"/>
  <c r="AJ730" i="1"/>
  <c r="CX730" i="1" s="1"/>
  <c r="W730" i="1" s="1"/>
  <c r="CQ730" i="1"/>
  <c r="P730" i="1" s="1"/>
  <c r="CS730" i="1"/>
  <c r="R730" i="1" s="1"/>
  <c r="GK730" i="1" s="1"/>
  <c r="CU730" i="1"/>
  <c r="T730" i="1" s="1"/>
  <c r="CV730" i="1"/>
  <c r="U730" i="1" s="1"/>
  <c r="CW730" i="1"/>
  <c r="V730" i="1" s="1"/>
  <c r="FR730" i="1"/>
  <c r="GL730" i="1"/>
  <c r="GO730" i="1"/>
  <c r="GP730" i="1"/>
  <c r="GV730" i="1"/>
  <c r="GX730" i="1"/>
  <c r="B732" i="1"/>
  <c r="C732" i="1"/>
  <c r="C712" i="1" s="1"/>
  <c r="D732" i="1"/>
  <c r="D712" i="1" s="1"/>
  <c r="F732" i="1"/>
  <c r="F712" i="1" s="1"/>
  <c r="G732" i="1"/>
  <c r="G712" i="1" s="1"/>
  <c r="AO732" i="1"/>
  <c r="AO712" i="1" s="1"/>
  <c r="BC732" i="1"/>
  <c r="BC712" i="1" s="1"/>
  <c r="BX732" i="1"/>
  <c r="BX712" i="1" s="1"/>
  <c r="BY732" i="1"/>
  <c r="BY712" i="1" s="1"/>
  <c r="CC732" i="1"/>
  <c r="CC712" i="1" s="1"/>
  <c r="CK732" i="1"/>
  <c r="CK712" i="1" s="1"/>
  <c r="CL732" i="1"/>
  <c r="CL712" i="1" s="1"/>
  <c r="F736" i="1"/>
  <c r="F748" i="1"/>
  <c r="B761" i="1"/>
  <c r="B22" i="1" s="1"/>
  <c r="C761" i="1"/>
  <c r="C22" i="1" s="1"/>
  <c r="D761" i="1"/>
  <c r="D22" i="1" s="1"/>
  <c r="F761" i="1"/>
  <c r="F22" i="1" s="1"/>
  <c r="G761" i="1"/>
  <c r="G22" i="1" s="1"/>
  <c r="B793" i="1"/>
  <c r="B18" i="1" s="1"/>
  <c r="C793" i="1"/>
  <c r="C18" i="1" s="1"/>
  <c r="D793" i="1"/>
  <c r="D18" i="1" s="1"/>
  <c r="F793" i="1"/>
  <c r="F18" i="1" s="1"/>
  <c r="G793" i="1"/>
  <c r="G18" i="1" s="1"/>
  <c r="X911" i="5" l="1"/>
  <c r="G847" i="5"/>
  <c r="O847" i="5" s="1"/>
  <c r="J628" i="5"/>
  <c r="P628" i="5" s="1"/>
  <c r="W1343" i="5"/>
  <c r="G857" i="5"/>
  <c r="O857" i="5" s="1"/>
  <c r="X799" i="5"/>
  <c r="W293" i="5"/>
  <c r="G1425" i="5"/>
  <c r="O1425" i="5" s="1"/>
  <c r="G1449" i="5"/>
  <c r="O1449" i="5" s="1"/>
  <c r="X821" i="5"/>
  <c r="X1171" i="5"/>
  <c r="X945" i="5"/>
  <c r="W559" i="5"/>
  <c r="J1402" i="5"/>
  <c r="P1402" i="5" s="1"/>
  <c r="J1287" i="5"/>
  <c r="P1287" i="5" s="1"/>
  <c r="G405" i="5"/>
  <c r="O405" i="5" s="1"/>
  <c r="G1119" i="5"/>
  <c r="O1119" i="5" s="1"/>
  <c r="G1139" i="5"/>
  <c r="O1139" i="5" s="1"/>
  <c r="G1148" i="5" s="1"/>
  <c r="J923" i="5"/>
  <c r="P923" i="5" s="1"/>
  <c r="G278" i="5"/>
  <c r="O278" i="5" s="1"/>
  <c r="W329" i="5"/>
  <c r="J1200" i="5"/>
  <c r="P1200" i="5" s="1"/>
  <c r="J779" i="5"/>
  <c r="P779" i="5" s="1"/>
  <c r="J245" i="5"/>
  <c r="P245" i="5" s="1"/>
  <c r="W570" i="5"/>
  <c r="W202" i="5"/>
  <c r="W1437" i="5"/>
  <c r="G1079" i="5"/>
  <c r="O1079" i="5" s="1"/>
  <c r="X1010" i="5"/>
  <c r="G650" i="5"/>
  <c r="O650" i="5" s="1"/>
  <c r="G1343" i="5"/>
  <c r="O1343" i="5" s="1"/>
  <c r="X1189" i="5"/>
  <c r="J799" i="5"/>
  <c r="P799" i="5" s="1"/>
  <c r="W1449" i="5"/>
  <c r="G1248" i="5"/>
  <c r="O1248" i="5" s="1"/>
  <c r="W1402" i="5"/>
  <c r="G934" i="5"/>
  <c r="O934" i="5" s="1"/>
  <c r="G570" i="5"/>
  <c r="O570" i="5" s="1"/>
  <c r="W245" i="5"/>
  <c r="J1171" i="5"/>
  <c r="P1171" i="5" s="1"/>
  <c r="J329" i="5"/>
  <c r="P329" i="5" s="1"/>
  <c r="J307" i="5"/>
  <c r="P307" i="5" s="1"/>
  <c r="X1071" i="5"/>
  <c r="X1030" i="5"/>
  <c r="G897" i="5"/>
  <c r="O897" i="5" s="1"/>
  <c r="X788" i="5"/>
  <c r="G976" i="5"/>
  <c r="O976" i="5" s="1"/>
  <c r="X847" i="5"/>
  <c r="G965" i="5"/>
  <c r="O965" i="5" s="1"/>
  <c r="G259" i="5"/>
  <c r="O259" i="5" s="1"/>
  <c r="X976" i="5"/>
  <c r="G1010" i="5"/>
  <c r="O1010" i="5" s="1"/>
  <c r="W374" i="5"/>
  <c r="J965" i="5"/>
  <c r="P965" i="5" s="1"/>
  <c r="X999" i="5"/>
  <c r="W673" i="5"/>
  <c r="W581" i="5"/>
  <c r="J535" i="5"/>
  <c r="P535" i="5" s="1"/>
  <c r="J317" i="5"/>
  <c r="P317" i="5" s="1"/>
  <c r="X954" i="5"/>
  <c r="J236" i="5"/>
  <c r="P236" i="5" s="1"/>
  <c r="G444" i="5"/>
  <c r="O444" i="5" s="1"/>
  <c r="X988" i="5"/>
  <c r="J821" i="5"/>
  <c r="P821" i="5" s="1"/>
  <c r="J1343" i="5"/>
  <c r="P1343" i="5" s="1"/>
  <c r="J1362" i="5" s="1"/>
  <c r="J1248" i="5"/>
  <c r="P1248" i="5" s="1"/>
  <c r="G757" i="5"/>
  <c r="O757" i="5" s="1"/>
  <c r="G547" i="5"/>
  <c r="O547" i="5" s="1"/>
  <c r="J1425" i="5"/>
  <c r="P1425" i="5" s="1"/>
  <c r="G829" i="5"/>
  <c r="O829" i="5" s="1"/>
  <c r="J363" i="5"/>
  <c r="P363" i="5" s="1"/>
  <c r="G1189" i="5"/>
  <c r="O1189" i="5" s="1"/>
  <c r="J1053" i="5"/>
  <c r="P1053" i="5" s="1"/>
  <c r="G954" i="5"/>
  <c r="O954" i="5" s="1"/>
  <c r="W1266" i="5"/>
  <c r="J1437" i="5"/>
  <c r="P1437" i="5" s="1"/>
  <c r="J1160" i="5"/>
  <c r="P1160" i="5" s="1"/>
  <c r="J934" i="5"/>
  <c r="P934" i="5" s="1"/>
  <c r="J341" i="5"/>
  <c r="P341" i="5" s="1"/>
  <c r="G169" i="5"/>
  <c r="O169" i="5" s="1"/>
  <c r="J224" i="5"/>
  <c r="P224" i="5" s="1"/>
  <c r="G489" i="5"/>
  <c r="O489" i="5" s="1"/>
  <c r="G421" i="5"/>
  <c r="O421" i="5" s="1"/>
  <c r="J1139" i="5"/>
  <c r="P1139" i="5" s="1"/>
  <c r="J1148" i="5" s="1"/>
  <c r="X886" i="5"/>
  <c r="J810" i="5"/>
  <c r="P810" i="5" s="1"/>
  <c r="J757" i="5"/>
  <c r="P757" i="5" s="1"/>
  <c r="J181" i="5"/>
  <c r="P181" i="5" s="1"/>
  <c r="G616" i="5"/>
  <c r="O616" i="5" s="1"/>
  <c r="G559" i="5"/>
  <c r="O559" i="5" s="1"/>
  <c r="G511" i="5"/>
  <c r="O511" i="5" s="1"/>
  <c r="G1200" i="5"/>
  <c r="O1200" i="5" s="1"/>
  <c r="J374" i="5"/>
  <c r="P374" i="5" s="1"/>
  <c r="W1330" i="5"/>
  <c r="G875" i="5"/>
  <c r="O875" i="5" s="1"/>
  <c r="G1413" i="5"/>
  <c r="O1413" i="5" s="1"/>
  <c r="G1451" i="5" s="1"/>
  <c r="X1119" i="5"/>
  <c r="J444" i="5"/>
  <c r="P444" i="5" s="1"/>
  <c r="G432" i="5"/>
  <c r="O432" i="5" s="1"/>
  <c r="J421" i="5"/>
  <c r="P421" i="5" s="1"/>
  <c r="J1110" i="5"/>
  <c r="G988" i="5"/>
  <c r="O988" i="5" s="1"/>
  <c r="G236" i="5"/>
  <c r="O236" i="5" s="1"/>
  <c r="G1043" i="5"/>
  <c r="O1043" i="5" s="1"/>
  <c r="G911" i="5"/>
  <c r="O911" i="5" s="1"/>
  <c r="J1010" i="5"/>
  <c r="P1010" i="5" s="1"/>
  <c r="J746" i="5"/>
  <c r="P746" i="5" s="1"/>
  <c r="J489" i="5"/>
  <c r="P489" i="5" s="1"/>
  <c r="X923" i="5"/>
  <c r="J604" i="5"/>
  <c r="P604" i="5" s="1"/>
  <c r="J1266" i="5"/>
  <c r="P1266" i="5" s="1"/>
  <c r="W363" i="5"/>
  <c r="G779" i="5"/>
  <c r="O779" i="5" s="1"/>
  <c r="G1362" i="5"/>
  <c r="G1110" i="5"/>
  <c r="G1235" i="5"/>
  <c r="O1235" i="5" s="1"/>
  <c r="G1298" i="5" s="1"/>
  <c r="G821" i="5"/>
  <c r="O821" i="5" s="1"/>
  <c r="J432" i="5"/>
  <c r="P432" i="5" s="1"/>
  <c r="J455" i="5"/>
  <c r="P455" i="5" s="1"/>
  <c r="X810" i="5"/>
  <c r="G746" i="5"/>
  <c r="O746" i="5" s="1"/>
  <c r="W511" i="5"/>
  <c r="X757" i="5"/>
  <c r="X779" i="5"/>
  <c r="X1053" i="5"/>
  <c r="G18" i="5"/>
  <c r="W489" i="5"/>
  <c r="G20" i="5"/>
  <c r="J734" i="5"/>
  <c r="J156" i="5"/>
  <c r="G734" i="5"/>
  <c r="G156" i="5"/>
  <c r="CZ721" i="1"/>
  <c r="Y721" i="1" s="1"/>
  <c r="BZ712" i="1"/>
  <c r="CG732" i="1"/>
  <c r="AQ732" i="1"/>
  <c r="CZ730" i="1"/>
  <c r="Y730" i="1" s="1"/>
  <c r="CY730" i="1"/>
  <c r="X730" i="1" s="1"/>
  <c r="CY728" i="1"/>
  <c r="X728" i="1" s="1"/>
  <c r="CZ728" i="1"/>
  <c r="Y728" i="1" s="1"/>
  <c r="CY726" i="1"/>
  <c r="X726" i="1" s="1"/>
  <c r="CZ726" i="1"/>
  <c r="Y726" i="1" s="1"/>
  <c r="BC666" i="1"/>
  <c r="F697" i="1"/>
  <c r="U675" i="1"/>
  <c r="P673" i="1"/>
  <c r="CZ669" i="1"/>
  <c r="Y669" i="1" s="1"/>
  <c r="CY669" i="1"/>
  <c r="X669" i="1" s="1"/>
  <c r="CR730" i="1"/>
  <c r="Q730" i="1" s="1"/>
  <c r="AB730" i="1"/>
  <c r="CZ729" i="1"/>
  <c r="Y729" i="1" s="1"/>
  <c r="CY729" i="1"/>
  <c r="X729" i="1" s="1"/>
  <c r="AB729" i="1"/>
  <c r="CZ727" i="1"/>
  <c r="Y727" i="1" s="1"/>
  <c r="CY727" i="1"/>
  <c r="X727" i="1" s="1"/>
  <c r="CZ717" i="1"/>
  <c r="Y717" i="1" s="1"/>
  <c r="CY717" i="1"/>
  <c r="X717" i="1" s="1"/>
  <c r="CP716" i="1"/>
  <c r="O716" i="1" s="1"/>
  <c r="CD712" i="1"/>
  <c r="AU732" i="1"/>
  <c r="CY714" i="1"/>
  <c r="X714" i="1" s="1"/>
  <c r="CZ714" i="1"/>
  <c r="Y714" i="1" s="1"/>
  <c r="CP679" i="1"/>
  <c r="O679" i="1" s="1"/>
  <c r="S675" i="1"/>
  <c r="T675" i="1"/>
  <c r="S673" i="1"/>
  <c r="T673" i="1"/>
  <c r="CP670" i="1"/>
  <c r="O670" i="1" s="1"/>
  <c r="S631" i="1"/>
  <c r="T631" i="1"/>
  <c r="CY629" i="1"/>
  <c r="X629" i="1" s="1"/>
  <c r="CZ629" i="1"/>
  <c r="Y629" i="1" s="1"/>
  <c r="AB627" i="1"/>
  <c r="CR627" i="1"/>
  <c r="Q627" i="1" s="1"/>
  <c r="CY625" i="1"/>
  <c r="X625" i="1" s="1"/>
  <c r="W619" i="1"/>
  <c r="AB617" i="1"/>
  <c r="CR617" i="1"/>
  <c r="Q617" i="1" s="1"/>
  <c r="CP723" i="1"/>
  <c r="O723" i="1" s="1"/>
  <c r="CP721" i="1"/>
  <c r="O721" i="1" s="1"/>
  <c r="CP719" i="1"/>
  <c r="O719" i="1" s="1"/>
  <c r="AU666" i="1"/>
  <c r="F700" i="1"/>
  <c r="CY679" i="1"/>
  <c r="X679" i="1" s="1"/>
  <c r="CZ679" i="1"/>
  <c r="Y679" i="1" s="1"/>
  <c r="GX675" i="1"/>
  <c r="CY670" i="1"/>
  <c r="X670" i="1" s="1"/>
  <c r="CZ670" i="1"/>
  <c r="Y670" i="1" s="1"/>
  <c r="CP629" i="1"/>
  <c r="O629" i="1" s="1"/>
  <c r="CY622" i="1"/>
  <c r="X622" i="1" s="1"/>
  <c r="CZ622" i="1"/>
  <c r="Y622" i="1" s="1"/>
  <c r="CZ619" i="1"/>
  <c r="Y619" i="1" s="1"/>
  <c r="CY619" i="1"/>
  <c r="X619" i="1" s="1"/>
  <c r="CY615" i="1"/>
  <c r="X615" i="1" s="1"/>
  <c r="CP730" i="1"/>
  <c r="O730" i="1" s="1"/>
  <c r="AQ666" i="1"/>
  <c r="F691" i="1"/>
  <c r="CY678" i="1"/>
  <c r="X678" i="1" s="1"/>
  <c r="CZ678" i="1"/>
  <c r="Y678" i="1" s="1"/>
  <c r="CZ671" i="1"/>
  <c r="Y671" i="1" s="1"/>
  <c r="CY671" i="1"/>
  <c r="X671" i="1" s="1"/>
  <c r="AT681" i="1"/>
  <c r="CC666" i="1"/>
  <c r="GK668" i="1"/>
  <c r="CY630" i="1"/>
  <c r="X630" i="1" s="1"/>
  <c r="CZ630" i="1"/>
  <c r="Y630" i="1" s="1"/>
  <c r="GN728" i="1"/>
  <c r="GM728" i="1"/>
  <c r="CP725" i="1"/>
  <c r="O725" i="1" s="1"/>
  <c r="GK714" i="1"/>
  <c r="CY725" i="1"/>
  <c r="X725" i="1" s="1"/>
  <c r="CZ725" i="1"/>
  <c r="Y725" i="1" s="1"/>
  <c r="P675" i="1"/>
  <c r="CP675" i="1" s="1"/>
  <c r="O675" i="1" s="1"/>
  <c r="U673" i="1"/>
  <c r="AP681" i="1"/>
  <c r="CI681" i="1"/>
  <c r="BY666" i="1"/>
  <c r="CZ633" i="1"/>
  <c r="Y633" i="1" s="1"/>
  <c r="CY633" i="1"/>
  <c r="X633" i="1" s="1"/>
  <c r="U631" i="1"/>
  <c r="AB631" i="1"/>
  <c r="CY620" i="1"/>
  <c r="X620" i="1" s="1"/>
  <c r="CZ620" i="1"/>
  <c r="Y620" i="1" s="1"/>
  <c r="T619" i="1"/>
  <c r="GX619" i="1"/>
  <c r="R619" i="1"/>
  <c r="GK619" i="1" s="1"/>
  <c r="GK615" i="1"/>
  <c r="CI732" i="1"/>
  <c r="CX1012" i="3"/>
  <c r="CX1016" i="3"/>
  <c r="CX1020" i="3"/>
  <c r="CX1014" i="3"/>
  <c r="CX1011" i="3"/>
  <c r="CX1013" i="3"/>
  <c r="CX1019" i="3"/>
  <c r="CX1010" i="3"/>
  <c r="CX1018" i="3"/>
  <c r="CX1015" i="3"/>
  <c r="CX1017" i="3"/>
  <c r="BB732" i="1"/>
  <c r="AT732" i="1"/>
  <c r="AP732" i="1"/>
  <c r="CQ729" i="1"/>
  <c r="P729" i="1" s="1"/>
  <c r="CP729" i="1" s="1"/>
  <c r="O729" i="1" s="1"/>
  <c r="CQ727" i="1"/>
  <c r="P727" i="1" s="1"/>
  <c r="AD727" i="1"/>
  <c r="CR727" i="1" s="1"/>
  <c r="Q727" i="1" s="1"/>
  <c r="CR726" i="1"/>
  <c r="Q726" i="1" s="1"/>
  <c r="CP726" i="1" s="1"/>
  <c r="O726" i="1" s="1"/>
  <c r="CS725" i="1"/>
  <c r="R725" i="1" s="1"/>
  <c r="GK725" i="1" s="1"/>
  <c r="AB725" i="1"/>
  <c r="CX1000" i="3"/>
  <c r="CX1004" i="3"/>
  <c r="CX1008" i="3"/>
  <c r="CX1006" i="3"/>
  <c r="CX1003" i="3"/>
  <c r="CX1005" i="3"/>
  <c r="CX1002" i="3"/>
  <c r="CX1001" i="3"/>
  <c r="CX1007" i="3"/>
  <c r="CX1009" i="3"/>
  <c r="CR724" i="1"/>
  <c r="CS723" i="1"/>
  <c r="R723" i="1" s="1"/>
  <c r="GK723" i="1" s="1"/>
  <c r="AB723" i="1"/>
  <c r="CT722" i="1"/>
  <c r="S722" i="1" s="1"/>
  <c r="CS721" i="1"/>
  <c r="R721" i="1" s="1"/>
  <c r="GK721" i="1" s="1"/>
  <c r="AB721" i="1"/>
  <c r="CT720" i="1"/>
  <c r="S720" i="1" s="1"/>
  <c r="CS719" i="1"/>
  <c r="R719" i="1" s="1"/>
  <c r="GK719" i="1" s="1"/>
  <c r="AB719" i="1"/>
  <c r="CT718" i="1"/>
  <c r="S718" i="1" s="1"/>
  <c r="CQ717" i="1"/>
  <c r="P717" i="1" s="1"/>
  <c r="AD717" i="1"/>
  <c r="CR717" i="1" s="1"/>
  <c r="Q717" i="1" s="1"/>
  <c r="CT716" i="1"/>
  <c r="S716" i="1" s="1"/>
  <c r="CS715" i="1"/>
  <c r="R715" i="1" s="1"/>
  <c r="GK715" i="1" s="1"/>
  <c r="AB715" i="1"/>
  <c r="CX962" i="3"/>
  <c r="CX966" i="3"/>
  <c r="CX964" i="3"/>
  <c r="CX961" i="3"/>
  <c r="CX963" i="3"/>
  <c r="CX965" i="3"/>
  <c r="CR714" i="1"/>
  <c r="Q714" i="1" s="1"/>
  <c r="CP714" i="1" s="1"/>
  <c r="O714" i="1" s="1"/>
  <c r="CG681" i="1"/>
  <c r="AO681" i="1"/>
  <c r="CS679" i="1"/>
  <c r="R679" i="1" s="1"/>
  <c r="GK679" i="1" s="1"/>
  <c r="AB679" i="1"/>
  <c r="CX954" i="3"/>
  <c r="CX952" i="3"/>
  <c r="CX956" i="3"/>
  <c r="CX953" i="3"/>
  <c r="CX955" i="3"/>
  <c r="CX957" i="3"/>
  <c r="CR678" i="1"/>
  <c r="Q678" i="1" s="1"/>
  <c r="CP678" i="1" s="1"/>
  <c r="O678" i="1" s="1"/>
  <c r="CQ677" i="1"/>
  <c r="P677" i="1" s="1"/>
  <c r="AD677" i="1"/>
  <c r="CR677" i="1" s="1"/>
  <c r="Q677" i="1" s="1"/>
  <c r="CR676" i="1"/>
  <c r="Q676" i="1" s="1"/>
  <c r="CS675" i="1"/>
  <c r="R675" i="1" s="1"/>
  <c r="GK675" i="1" s="1"/>
  <c r="AB675" i="1"/>
  <c r="CT674" i="1"/>
  <c r="S674" i="1" s="1"/>
  <c r="CS673" i="1"/>
  <c r="R673" i="1" s="1"/>
  <c r="GK673" i="1" s="1"/>
  <c r="AB673" i="1"/>
  <c r="CT672" i="1"/>
  <c r="S672" i="1" s="1"/>
  <c r="CP672" i="1" s="1"/>
  <c r="O672" i="1" s="1"/>
  <c r="CQ671" i="1"/>
  <c r="P671" i="1" s="1"/>
  <c r="AD671" i="1"/>
  <c r="CR671" i="1" s="1"/>
  <c r="Q671" i="1" s="1"/>
  <c r="CR670" i="1"/>
  <c r="Q670" i="1" s="1"/>
  <c r="CQ669" i="1"/>
  <c r="P669" i="1" s="1"/>
  <c r="CP669" i="1" s="1"/>
  <c r="O669" i="1" s="1"/>
  <c r="AD669" i="1"/>
  <c r="CR669" i="1" s="1"/>
  <c r="Q669" i="1" s="1"/>
  <c r="AD681" i="1" s="1"/>
  <c r="CT668" i="1"/>
  <c r="S668" i="1" s="1"/>
  <c r="CL666" i="1"/>
  <c r="CD666" i="1"/>
  <c r="BZ666" i="1"/>
  <c r="F653" i="1"/>
  <c r="CI635" i="1"/>
  <c r="BC635" i="1"/>
  <c r="AU635" i="1"/>
  <c r="AQ635" i="1"/>
  <c r="CQ633" i="1"/>
  <c r="P633" i="1" s="1"/>
  <c r="AD633" i="1"/>
  <c r="CR633" i="1" s="1"/>
  <c r="Q633" i="1" s="1"/>
  <c r="CT632" i="1"/>
  <c r="S632" i="1" s="1"/>
  <c r="CP632" i="1" s="1"/>
  <c r="O632" i="1" s="1"/>
  <c r="CQ631" i="1"/>
  <c r="P631" i="1" s="1"/>
  <c r="CP631" i="1" s="1"/>
  <c r="O631" i="1" s="1"/>
  <c r="AD631" i="1"/>
  <c r="CR631" i="1" s="1"/>
  <c r="Q631" i="1" s="1"/>
  <c r="CR630" i="1"/>
  <c r="Q630" i="1" s="1"/>
  <c r="CP630" i="1" s="1"/>
  <c r="O630" i="1" s="1"/>
  <c r="AB628" i="1"/>
  <c r="AD626" i="1"/>
  <c r="CR626" i="1" s="1"/>
  <c r="Q626" i="1" s="1"/>
  <c r="CP626" i="1" s="1"/>
  <c r="O626" i="1" s="1"/>
  <c r="CQ625" i="1"/>
  <c r="P625" i="1" s="1"/>
  <c r="U625" i="1"/>
  <c r="Q625" i="1"/>
  <c r="CX857" i="3"/>
  <c r="CX861" i="3"/>
  <c r="CX865" i="3"/>
  <c r="CX869" i="3"/>
  <c r="CX860" i="3"/>
  <c r="CX862" i="3"/>
  <c r="CX868" i="3"/>
  <c r="CX871" i="3"/>
  <c r="CX859" i="3"/>
  <c r="CX867" i="3"/>
  <c r="CX870" i="3"/>
  <c r="CX856" i="3"/>
  <c r="CX858" i="3"/>
  <c r="CX864" i="3"/>
  <c r="CX866" i="3"/>
  <c r="CX863" i="3"/>
  <c r="CX872" i="3"/>
  <c r="I624" i="1"/>
  <c r="T624" i="1" s="1"/>
  <c r="I621" i="1"/>
  <c r="Q621" i="1" s="1"/>
  <c r="P620" i="1"/>
  <c r="CP620" i="1" s="1"/>
  <c r="O620" i="1" s="1"/>
  <c r="AB618" i="1"/>
  <c r="AD616" i="1"/>
  <c r="CR616" i="1" s="1"/>
  <c r="Q616" i="1" s="1"/>
  <c r="CQ615" i="1"/>
  <c r="P615" i="1" s="1"/>
  <c r="T580" i="1"/>
  <c r="V580" i="1"/>
  <c r="R580" i="1"/>
  <c r="GK580" i="1" s="1"/>
  <c r="CR579" i="1"/>
  <c r="Q579" i="1" s="1"/>
  <c r="CP579" i="1" s="1"/>
  <c r="O579" i="1" s="1"/>
  <c r="AB579" i="1"/>
  <c r="S578" i="1"/>
  <c r="U578" i="1"/>
  <c r="Q578" i="1"/>
  <c r="CP578" i="1" s="1"/>
  <c r="O578" i="1" s="1"/>
  <c r="CP576" i="1"/>
  <c r="O576" i="1" s="1"/>
  <c r="CY575" i="1"/>
  <c r="X575" i="1" s="1"/>
  <c r="CZ575" i="1"/>
  <c r="Y575" i="1" s="1"/>
  <c r="AP582" i="1"/>
  <c r="CI582" i="1"/>
  <c r="BY570" i="1"/>
  <c r="AG582" i="1"/>
  <c r="AI582" i="1"/>
  <c r="GK572" i="1"/>
  <c r="CP535" i="1"/>
  <c r="O535" i="1" s="1"/>
  <c r="CY534" i="1"/>
  <c r="X534" i="1" s="1"/>
  <c r="CZ534" i="1"/>
  <c r="Y534" i="1" s="1"/>
  <c r="AG539" i="1"/>
  <c r="AI539" i="1"/>
  <c r="GK531" i="1"/>
  <c r="AQ498" i="1"/>
  <c r="BZ491" i="1"/>
  <c r="CY496" i="1"/>
  <c r="X496" i="1" s="1"/>
  <c r="CZ496" i="1"/>
  <c r="Y496" i="1" s="1"/>
  <c r="GP496" i="1" s="1"/>
  <c r="CR494" i="1"/>
  <c r="Q494" i="1" s="1"/>
  <c r="AD498" i="1" s="1"/>
  <c r="AB494" i="1"/>
  <c r="AF498" i="1"/>
  <c r="CY493" i="1"/>
  <c r="X493" i="1" s="1"/>
  <c r="CZ493" i="1"/>
  <c r="Y493" i="1" s="1"/>
  <c r="AH498" i="1"/>
  <c r="CZ429" i="1"/>
  <c r="Y429" i="1" s="1"/>
  <c r="CY429" i="1"/>
  <c r="X429" i="1" s="1"/>
  <c r="BZ387" i="1"/>
  <c r="AQ431" i="1"/>
  <c r="CG431" i="1"/>
  <c r="CY427" i="1"/>
  <c r="X427" i="1" s="1"/>
  <c r="CZ427" i="1"/>
  <c r="Y427" i="1" s="1"/>
  <c r="CP425" i="1"/>
  <c r="O425" i="1" s="1"/>
  <c r="GK424" i="1"/>
  <c r="CZ424" i="1"/>
  <c r="Y424" i="1" s="1"/>
  <c r="CZ415" i="1"/>
  <c r="Y415" i="1" s="1"/>
  <c r="CY415" i="1"/>
  <c r="X415" i="1" s="1"/>
  <c r="GM415" i="1" s="1"/>
  <c r="BY387" i="1"/>
  <c r="CI431" i="1"/>
  <c r="AP431" i="1"/>
  <c r="CY408" i="1"/>
  <c r="X408" i="1" s="1"/>
  <c r="CZ408" i="1"/>
  <c r="Y408" i="1" s="1"/>
  <c r="CX992" i="3"/>
  <c r="CX996" i="3"/>
  <c r="CX990" i="3"/>
  <c r="CX998" i="3"/>
  <c r="CX995" i="3"/>
  <c r="CX997" i="3"/>
  <c r="CX994" i="3"/>
  <c r="CX991" i="3"/>
  <c r="CX993" i="3"/>
  <c r="CX999" i="3"/>
  <c r="CX986" i="3"/>
  <c r="CX984" i="3"/>
  <c r="CX988" i="3"/>
  <c r="CX983" i="3"/>
  <c r="CX985" i="3"/>
  <c r="CX987" i="3"/>
  <c r="CX989" i="3"/>
  <c r="CX968" i="3"/>
  <c r="CX967" i="3"/>
  <c r="CX969" i="3"/>
  <c r="CX938" i="3"/>
  <c r="CX942" i="3"/>
  <c r="CX946" i="3"/>
  <c r="CX937" i="3"/>
  <c r="CX941" i="3"/>
  <c r="CX945" i="3"/>
  <c r="CX936" i="3"/>
  <c r="CX940" i="3"/>
  <c r="CX944" i="3"/>
  <c r="CX947" i="3"/>
  <c r="CX943" i="3"/>
  <c r="CX939" i="3"/>
  <c r="CX914" i="3"/>
  <c r="CX913" i="3"/>
  <c r="CX917" i="3"/>
  <c r="CX912" i="3"/>
  <c r="CX916" i="3"/>
  <c r="CX915" i="3"/>
  <c r="AB626" i="1"/>
  <c r="R624" i="1"/>
  <c r="GK624" i="1" s="1"/>
  <c r="AB623" i="1"/>
  <c r="CP623" i="1"/>
  <c r="O623" i="1" s="1"/>
  <c r="U619" i="1"/>
  <c r="Q619" i="1"/>
  <c r="CP619" i="1" s="1"/>
  <c r="O619" i="1" s="1"/>
  <c r="AB616" i="1"/>
  <c r="BZ570" i="1"/>
  <c r="AQ582" i="1"/>
  <c r="CY580" i="1"/>
  <c r="X580" i="1" s="1"/>
  <c r="CZ580" i="1"/>
  <c r="Y580" i="1" s="1"/>
  <c r="CP577" i="1"/>
  <c r="O577" i="1" s="1"/>
  <c r="AF582" i="1"/>
  <c r="CY572" i="1"/>
  <c r="X572" i="1" s="1"/>
  <c r="CZ572" i="1"/>
  <c r="Y572" i="1" s="1"/>
  <c r="AH582" i="1"/>
  <c r="AD582" i="1"/>
  <c r="AO529" i="1"/>
  <c r="F543" i="1"/>
  <c r="CR537" i="1"/>
  <c r="Q537" i="1" s="1"/>
  <c r="AB537" i="1"/>
  <c r="CY536" i="1"/>
  <c r="X536" i="1" s="1"/>
  <c r="CZ536" i="1"/>
  <c r="Y536" i="1" s="1"/>
  <c r="AQ539" i="1"/>
  <c r="BZ529" i="1"/>
  <c r="CY531" i="1"/>
  <c r="X531" i="1" s="1"/>
  <c r="CZ531" i="1"/>
  <c r="Y531" i="1" s="1"/>
  <c r="AF539" i="1"/>
  <c r="AH539" i="1"/>
  <c r="AD539" i="1"/>
  <c r="GM496" i="1"/>
  <c r="CZ495" i="1"/>
  <c r="Y495" i="1" s="1"/>
  <c r="CY495" i="1"/>
  <c r="X495" i="1" s="1"/>
  <c r="AP498" i="1"/>
  <c r="BY491" i="1"/>
  <c r="CI498" i="1"/>
  <c r="GK493" i="1"/>
  <c r="AG498" i="1"/>
  <c r="CP428" i="1"/>
  <c r="O428" i="1" s="1"/>
  <c r="CZ422" i="1"/>
  <c r="Y422" i="1" s="1"/>
  <c r="CY422" i="1"/>
  <c r="X422" i="1" s="1"/>
  <c r="CZ419" i="1"/>
  <c r="Y419" i="1" s="1"/>
  <c r="CY419" i="1"/>
  <c r="X419" i="1" s="1"/>
  <c r="CY417" i="1"/>
  <c r="X417" i="1" s="1"/>
  <c r="GO415" i="1"/>
  <c r="CP413" i="1"/>
  <c r="O413" i="1" s="1"/>
  <c r="GO412" i="1"/>
  <c r="GM412" i="1"/>
  <c r="CY406" i="1"/>
  <c r="X406" i="1" s="1"/>
  <c r="CZ406" i="1"/>
  <c r="Y406" i="1" s="1"/>
  <c r="CX970" i="3"/>
  <c r="CX974" i="3"/>
  <c r="CX978" i="3"/>
  <c r="CX982" i="3"/>
  <c r="CX972" i="3"/>
  <c r="CX976" i="3"/>
  <c r="CX980" i="3"/>
  <c r="CX971" i="3"/>
  <c r="CX973" i="3"/>
  <c r="CX975" i="3"/>
  <c r="CX977" i="3"/>
  <c r="CX979" i="3"/>
  <c r="CX981" i="3"/>
  <c r="I677" i="1"/>
  <c r="T677" i="1" s="1"/>
  <c r="CX918" i="3"/>
  <c r="CX920" i="3"/>
  <c r="CX919" i="3"/>
  <c r="CG635" i="1"/>
  <c r="AO635" i="1"/>
  <c r="CX906" i="3"/>
  <c r="CX910" i="3"/>
  <c r="CX909" i="3"/>
  <c r="CX908" i="3"/>
  <c r="CX911" i="3"/>
  <c r="CX907" i="3"/>
  <c r="AB629" i="1"/>
  <c r="W627" i="1"/>
  <c r="S627" i="1"/>
  <c r="AD624" i="1"/>
  <c r="CR624" i="1" s="1"/>
  <c r="Q624" i="1" s="1"/>
  <c r="CR622" i="1"/>
  <c r="Q622" i="1" s="1"/>
  <c r="CP622" i="1" s="1"/>
  <c r="O622" i="1" s="1"/>
  <c r="W617" i="1"/>
  <c r="S617" i="1"/>
  <c r="CP580" i="1"/>
  <c r="O580" i="1" s="1"/>
  <c r="W578" i="1"/>
  <c r="AJ582" i="1" s="1"/>
  <c r="CY574" i="1"/>
  <c r="X574" i="1" s="1"/>
  <c r="CZ574" i="1"/>
  <c r="Y574" i="1" s="1"/>
  <c r="GO574" i="1" s="1"/>
  <c r="CJ582" i="1"/>
  <c r="CP572" i="1"/>
  <c r="O572" i="1" s="1"/>
  <c r="CY533" i="1"/>
  <c r="X533" i="1" s="1"/>
  <c r="CZ533" i="1"/>
  <c r="Y533" i="1" s="1"/>
  <c r="CJ539" i="1"/>
  <c r="CP531" i="1"/>
  <c r="O531" i="1" s="1"/>
  <c r="CR495" i="1"/>
  <c r="Q495" i="1" s="1"/>
  <c r="AB495" i="1"/>
  <c r="AT498" i="1"/>
  <c r="CC491" i="1"/>
  <c r="AJ498" i="1"/>
  <c r="CD387" i="1"/>
  <c r="AU431" i="1"/>
  <c r="CY428" i="1"/>
  <c r="X428" i="1" s="1"/>
  <c r="CZ428" i="1"/>
  <c r="Y428" i="1" s="1"/>
  <c r="AB417" i="1"/>
  <c r="CR417" i="1"/>
  <c r="Q417" i="1" s="1"/>
  <c r="CP417" i="1" s="1"/>
  <c r="O417" i="1" s="1"/>
  <c r="CY416" i="1"/>
  <c r="X416" i="1" s="1"/>
  <c r="CZ416" i="1"/>
  <c r="Y416" i="1" s="1"/>
  <c r="CY410" i="1"/>
  <c r="X410" i="1" s="1"/>
  <c r="CZ410" i="1"/>
  <c r="Y410" i="1" s="1"/>
  <c r="I724" i="1"/>
  <c r="GX724" i="1" s="1"/>
  <c r="CJ732" i="1" s="1"/>
  <c r="CX958" i="3"/>
  <c r="CX960" i="3"/>
  <c r="CX959" i="3"/>
  <c r="CX950" i="3"/>
  <c r="CX949" i="3"/>
  <c r="CX948" i="3"/>
  <c r="CX951" i="3"/>
  <c r="I676" i="1"/>
  <c r="GX676" i="1" s="1"/>
  <c r="CX922" i="3"/>
  <c r="CX926" i="3"/>
  <c r="CX930" i="3"/>
  <c r="CX934" i="3"/>
  <c r="CX921" i="3"/>
  <c r="CX925" i="3"/>
  <c r="CX929" i="3"/>
  <c r="CX933" i="3"/>
  <c r="CX924" i="3"/>
  <c r="CX928" i="3"/>
  <c r="CX932" i="3"/>
  <c r="CX935" i="3"/>
  <c r="CX931" i="3"/>
  <c r="CX927" i="3"/>
  <c r="CX923" i="3"/>
  <c r="CX899" i="3"/>
  <c r="CX898" i="3"/>
  <c r="CX902" i="3"/>
  <c r="CX901" i="3"/>
  <c r="CX905" i="3"/>
  <c r="CX900" i="3"/>
  <c r="CX904" i="3"/>
  <c r="CX903" i="3"/>
  <c r="CX875" i="3"/>
  <c r="CX879" i="3"/>
  <c r="CX883" i="3"/>
  <c r="CX887" i="3"/>
  <c r="CX874" i="3"/>
  <c r="CX878" i="3"/>
  <c r="CX882" i="3"/>
  <c r="CX886" i="3"/>
  <c r="CX877" i="3"/>
  <c r="CX881" i="3"/>
  <c r="CX885" i="3"/>
  <c r="CX876" i="3"/>
  <c r="CX880" i="3"/>
  <c r="CX884" i="3"/>
  <c r="CX888" i="3"/>
  <c r="I628" i="1"/>
  <c r="Q628" i="1" s="1"/>
  <c r="CZ625" i="1"/>
  <c r="Y625" i="1" s="1"/>
  <c r="AB624" i="1"/>
  <c r="W621" i="1"/>
  <c r="S621" i="1"/>
  <c r="AB619" i="1"/>
  <c r="CX845" i="3"/>
  <c r="CX849" i="3"/>
  <c r="CX853" i="3"/>
  <c r="CX844" i="3"/>
  <c r="CX846" i="3"/>
  <c r="CX852" i="3"/>
  <c r="CX854" i="3"/>
  <c r="CX843" i="3"/>
  <c r="CX851" i="3"/>
  <c r="CX848" i="3"/>
  <c r="CX850" i="3"/>
  <c r="CX847" i="3"/>
  <c r="CX855" i="3"/>
  <c r="I618" i="1"/>
  <c r="P618" i="1" s="1"/>
  <c r="CZ615" i="1"/>
  <c r="Y615" i="1" s="1"/>
  <c r="CD570" i="1"/>
  <c r="AU582" i="1"/>
  <c r="CR577" i="1"/>
  <c r="Q577" i="1" s="1"/>
  <c r="AB577" i="1"/>
  <c r="CY576" i="1"/>
  <c r="X576" i="1" s="1"/>
  <c r="CZ576" i="1"/>
  <c r="Y576" i="1" s="1"/>
  <c r="GM574" i="1"/>
  <c r="CY573" i="1"/>
  <c r="X573" i="1" s="1"/>
  <c r="CZ573" i="1"/>
  <c r="Y573" i="1" s="1"/>
  <c r="AS529" i="1"/>
  <c r="F556" i="1"/>
  <c r="CP537" i="1"/>
  <c r="O537" i="1" s="1"/>
  <c r="CY535" i="1"/>
  <c r="X535" i="1" s="1"/>
  <c r="CZ535" i="1"/>
  <c r="Y535" i="1" s="1"/>
  <c r="GO533" i="1"/>
  <c r="GM533" i="1"/>
  <c r="CY532" i="1"/>
  <c r="X532" i="1" s="1"/>
  <c r="CZ532" i="1"/>
  <c r="Y532" i="1" s="1"/>
  <c r="AU539" i="1"/>
  <c r="CD529" i="1"/>
  <c r="AJ539" i="1"/>
  <c r="CB491" i="1"/>
  <c r="AS498" i="1"/>
  <c r="CP495" i="1"/>
  <c r="O495" i="1" s="1"/>
  <c r="CJ498" i="1"/>
  <c r="AI498" i="1"/>
  <c r="CZ426" i="1"/>
  <c r="Y426" i="1" s="1"/>
  <c r="CY426" i="1"/>
  <c r="X426" i="1" s="1"/>
  <c r="CY425" i="1"/>
  <c r="X425" i="1" s="1"/>
  <c r="CZ425" i="1"/>
  <c r="Y425" i="1" s="1"/>
  <c r="AB424" i="1"/>
  <c r="CR424" i="1"/>
  <c r="Q424" i="1" s="1"/>
  <c r="CY423" i="1"/>
  <c r="X423" i="1" s="1"/>
  <c r="CZ423" i="1"/>
  <c r="Y423" i="1" s="1"/>
  <c r="CY420" i="1"/>
  <c r="X420" i="1" s="1"/>
  <c r="CZ420" i="1"/>
  <c r="Y420" i="1" s="1"/>
  <c r="GK417" i="1"/>
  <c r="CZ417" i="1"/>
  <c r="Y417" i="1" s="1"/>
  <c r="CY413" i="1"/>
  <c r="X413" i="1" s="1"/>
  <c r="CZ413" i="1"/>
  <c r="Y413" i="1" s="1"/>
  <c r="GO409" i="1"/>
  <c r="GM409" i="1"/>
  <c r="CX837" i="3"/>
  <c r="CX841" i="3"/>
  <c r="CX838" i="3"/>
  <c r="CX840" i="3"/>
  <c r="CX842" i="3"/>
  <c r="CX839" i="3"/>
  <c r="F598" i="1"/>
  <c r="CG582" i="1"/>
  <c r="AO582" i="1"/>
  <c r="CX805" i="3"/>
  <c r="CX804" i="3"/>
  <c r="CX806" i="3"/>
  <c r="CX803" i="3"/>
  <c r="CX802" i="3"/>
  <c r="CX808" i="3"/>
  <c r="CX807" i="3"/>
  <c r="CX793" i="3"/>
  <c r="CX797" i="3"/>
  <c r="CX801" i="3"/>
  <c r="CX796" i="3"/>
  <c r="CX798" i="3"/>
  <c r="CX795" i="3"/>
  <c r="CX792" i="3"/>
  <c r="CX794" i="3"/>
  <c r="CX800" i="3"/>
  <c r="CX799" i="3"/>
  <c r="BB539" i="1"/>
  <c r="AP539" i="1"/>
  <c r="CX780" i="3"/>
  <c r="CX781" i="3"/>
  <c r="CX785" i="3"/>
  <c r="CX789" i="3"/>
  <c r="CX782" i="3"/>
  <c r="CX788" i="3"/>
  <c r="CX787" i="3"/>
  <c r="CX784" i="3"/>
  <c r="CX786" i="3"/>
  <c r="CX779" i="3"/>
  <c r="CX783" i="3"/>
  <c r="CX776" i="3"/>
  <c r="CX777" i="3"/>
  <c r="CX778" i="3"/>
  <c r="CX775" i="3"/>
  <c r="CB529" i="1"/>
  <c r="BX529" i="1"/>
  <c r="F514" i="1"/>
  <c r="CG498" i="1"/>
  <c r="AO498" i="1"/>
  <c r="AO460" i="1"/>
  <c r="F447" i="1"/>
  <c r="F435" i="1"/>
  <c r="AD428" i="1"/>
  <c r="CR428" i="1" s="1"/>
  <c r="Q428" i="1" s="1"/>
  <c r="P427" i="1"/>
  <c r="CP427" i="1" s="1"/>
  <c r="O427" i="1" s="1"/>
  <c r="CX744" i="3"/>
  <c r="CX748" i="3"/>
  <c r="CX752" i="3"/>
  <c r="CX745" i="3"/>
  <c r="CX749" i="3"/>
  <c r="CX743" i="3"/>
  <c r="CX747" i="3"/>
  <c r="CX751" i="3"/>
  <c r="CX742" i="3"/>
  <c r="CX746" i="3"/>
  <c r="CX750" i="3"/>
  <c r="T423" i="1"/>
  <c r="AB423" i="1"/>
  <c r="U422" i="1"/>
  <c r="Q422" i="1"/>
  <c r="CP422" i="1" s="1"/>
  <c r="O422" i="1" s="1"/>
  <c r="CZ421" i="1"/>
  <c r="Y421" i="1" s="1"/>
  <c r="T420" i="1"/>
  <c r="AB420" i="1"/>
  <c r="U419" i="1"/>
  <c r="Q419" i="1"/>
  <c r="CP419" i="1" s="1"/>
  <c r="O419" i="1" s="1"/>
  <c r="CZ418" i="1"/>
  <c r="Y418" i="1" s="1"/>
  <c r="T416" i="1"/>
  <c r="AB416" i="1"/>
  <c r="W414" i="1"/>
  <c r="S414" i="1"/>
  <c r="AB412" i="1"/>
  <c r="AB410" i="1"/>
  <c r="CQ410" i="1"/>
  <c r="P410" i="1" s="1"/>
  <c r="CP410" i="1" s="1"/>
  <c r="O410" i="1" s="1"/>
  <c r="CP405" i="1"/>
  <c r="O405" i="1" s="1"/>
  <c r="CP404" i="1"/>
  <c r="O404" i="1" s="1"/>
  <c r="W403" i="1"/>
  <c r="T401" i="1"/>
  <c r="V401" i="1"/>
  <c r="R401" i="1"/>
  <c r="GK401" i="1" s="1"/>
  <c r="CR400" i="1"/>
  <c r="Q400" i="1" s="1"/>
  <c r="AB400" i="1"/>
  <c r="S399" i="1"/>
  <c r="U399" i="1"/>
  <c r="Q399" i="1"/>
  <c r="CP397" i="1"/>
  <c r="O397" i="1" s="1"/>
  <c r="CP396" i="1"/>
  <c r="O396" i="1" s="1"/>
  <c r="W395" i="1"/>
  <c r="T393" i="1"/>
  <c r="R393" i="1"/>
  <c r="GK393" i="1" s="1"/>
  <c r="U392" i="1"/>
  <c r="AH431" i="1" s="1"/>
  <c r="V392" i="1"/>
  <c r="CR392" i="1"/>
  <c r="Q392" i="1" s="1"/>
  <c r="AB392" i="1"/>
  <c r="CR391" i="1"/>
  <c r="Q391" i="1" s="1"/>
  <c r="AB391" i="1"/>
  <c r="CY353" i="1"/>
  <c r="X353" i="1" s="1"/>
  <c r="CZ353" i="1"/>
  <c r="Y353" i="1" s="1"/>
  <c r="CY348" i="1"/>
  <c r="X348" i="1" s="1"/>
  <c r="CZ348" i="1"/>
  <c r="Y348" i="1" s="1"/>
  <c r="CZ345" i="1"/>
  <c r="Y345" i="1" s="1"/>
  <c r="CY345" i="1"/>
  <c r="X345" i="1" s="1"/>
  <c r="CY343" i="1"/>
  <c r="X343" i="1" s="1"/>
  <c r="CZ343" i="1"/>
  <c r="Y343" i="1" s="1"/>
  <c r="CP341" i="1"/>
  <c r="O341" i="1" s="1"/>
  <c r="GK340" i="1"/>
  <c r="CZ340" i="1"/>
  <c r="Y340" i="1" s="1"/>
  <c r="GK333" i="1"/>
  <c r="CZ333" i="1"/>
  <c r="Y333" i="1" s="1"/>
  <c r="Q330" i="1"/>
  <c r="CS579" i="1"/>
  <c r="R579" i="1" s="1"/>
  <c r="GK579" i="1" s="1"/>
  <c r="CX821" i="3"/>
  <c r="CX825" i="3"/>
  <c r="CX829" i="3"/>
  <c r="CX833" i="3"/>
  <c r="CX822" i="3"/>
  <c r="CX828" i="3"/>
  <c r="CX830" i="3"/>
  <c r="CX827" i="3"/>
  <c r="CX824" i="3"/>
  <c r="CX826" i="3"/>
  <c r="CX832" i="3"/>
  <c r="CX823" i="3"/>
  <c r="CX831" i="3"/>
  <c r="CS577" i="1"/>
  <c r="R577" i="1" s="1"/>
  <c r="GK577" i="1" s="1"/>
  <c r="CX813" i="3"/>
  <c r="CX817" i="3"/>
  <c r="CX812" i="3"/>
  <c r="CX814" i="3"/>
  <c r="CX820" i="3"/>
  <c r="CX811" i="3"/>
  <c r="CX819" i="3"/>
  <c r="CX810" i="3"/>
  <c r="CX816" i="3"/>
  <c r="CX818" i="3"/>
  <c r="CX815" i="3"/>
  <c r="CQ575" i="1"/>
  <c r="P575" i="1" s="1"/>
  <c r="CP575" i="1" s="1"/>
  <c r="O575" i="1" s="1"/>
  <c r="CQ573" i="1"/>
  <c r="P573" i="1" s="1"/>
  <c r="CP573" i="1" s="1"/>
  <c r="O573" i="1" s="1"/>
  <c r="CG539" i="1"/>
  <c r="CS537" i="1"/>
  <c r="R537" i="1" s="1"/>
  <c r="GK537" i="1" s="1"/>
  <c r="CQ536" i="1"/>
  <c r="P536" i="1" s="1"/>
  <c r="CP536" i="1" s="1"/>
  <c r="O536" i="1" s="1"/>
  <c r="CQ534" i="1"/>
  <c r="P534" i="1" s="1"/>
  <c r="CP534" i="1" s="1"/>
  <c r="O534" i="1" s="1"/>
  <c r="CQ532" i="1"/>
  <c r="P532" i="1" s="1"/>
  <c r="CP532" i="1" s="1"/>
  <c r="O532" i="1" s="1"/>
  <c r="CS494" i="1"/>
  <c r="R494" i="1" s="1"/>
  <c r="GK494" i="1" s="1"/>
  <c r="CQ493" i="1"/>
  <c r="P493" i="1" s="1"/>
  <c r="CQ429" i="1"/>
  <c r="P429" i="1" s="1"/>
  <c r="CP429" i="1" s="1"/>
  <c r="O429" i="1" s="1"/>
  <c r="AB428" i="1"/>
  <c r="T427" i="1"/>
  <c r="CQ426" i="1"/>
  <c r="P426" i="1" s="1"/>
  <c r="CP426" i="1" s="1"/>
  <c r="O426" i="1" s="1"/>
  <c r="AD411" i="1"/>
  <c r="CS411" i="1"/>
  <c r="R411" i="1" s="1"/>
  <c r="CY411" i="1" s="1"/>
  <c r="X411" i="1" s="1"/>
  <c r="AB408" i="1"/>
  <c r="CQ408" i="1"/>
  <c r="P408" i="1" s="1"/>
  <c r="CP408" i="1" s="1"/>
  <c r="O408" i="1" s="1"/>
  <c r="CR402" i="1"/>
  <c r="Q402" i="1" s="1"/>
  <c r="CP402" i="1" s="1"/>
  <c r="O402" i="1" s="1"/>
  <c r="AB402" i="1"/>
  <c r="S401" i="1"/>
  <c r="U401" i="1"/>
  <c r="Q401" i="1"/>
  <c r="CP401" i="1" s="1"/>
  <c r="O401" i="1" s="1"/>
  <c r="CP399" i="1"/>
  <c r="O399" i="1" s="1"/>
  <c r="CR394" i="1"/>
  <c r="Q394" i="1" s="1"/>
  <c r="AB394" i="1"/>
  <c r="S393" i="1"/>
  <c r="U393" i="1"/>
  <c r="Q393" i="1"/>
  <c r="T392" i="1"/>
  <c r="CP391" i="1"/>
  <c r="O391" i="1" s="1"/>
  <c r="CY390" i="1"/>
  <c r="X390" i="1" s="1"/>
  <c r="CZ390" i="1"/>
  <c r="Y390" i="1" s="1"/>
  <c r="CZ389" i="1"/>
  <c r="Y389" i="1" s="1"/>
  <c r="CY389" i="1"/>
  <c r="X389" i="1" s="1"/>
  <c r="GO353" i="1"/>
  <c r="GM353" i="1"/>
  <c r="CP348" i="1"/>
  <c r="O348" i="1" s="1"/>
  <c r="CY347" i="1"/>
  <c r="X347" i="1" s="1"/>
  <c r="CZ347" i="1"/>
  <c r="Y347" i="1" s="1"/>
  <c r="CP335" i="1"/>
  <c r="O335" i="1" s="1"/>
  <c r="CX764" i="3"/>
  <c r="CX765" i="3"/>
  <c r="CP424" i="1"/>
  <c r="O424" i="1" s="1"/>
  <c r="CP407" i="1"/>
  <c r="O407" i="1" s="1"/>
  <c r="AB406" i="1"/>
  <c r="CQ406" i="1"/>
  <c r="P406" i="1" s="1"/>
  <c r="CP406" i="1" s="1"/>
  <c r="O406" i="1" s="1"/>
  <c r="CR404" i="1"/>
  <c r="Q404" i="1" s="1"/>
  <c r="AB404" i="1"/>
  <c r="CY403" i="1"/>
  <c r="X403" i="1" s="1"/>
  <c r="CZ403" i="1"/>
  <c r="Y403" i="1" s="1"/>
  <c r="CP400" i="1"/>
  <c r="O400" i="1" s="1"/>
  <c r="CY398" i="1"/>
  <c r="X398" i="1" s="1"/>
  <c r="CZ398" i="1"/>
  <c r="Y398" i="1" s="1"/>
  <c r="CR396" i="1"/>
  <c r="Q396" i="1" s="1"/>
  <c r="AB396" i="1"/>
  <c r="CY395" i="1"/>
  <c r="X395" i="1" s="1"/>
  <c r="CZ395" i="1"/>
  <c r="Y395" i="1" s="1"/>
  <c r="P393" i="1"/>
  <c r="CR390" i="1"/>
  <c r="Q390" i="1" s="1"/>
  <c r="CP390" i="1" s="1"/>
  <c r="O390" i="1" s="1"/>
  <c r="AB390" i="1"/>
  <c r="CR389" i="1"/>
  <c r="Q389" i="1" s="1"/>
  <c r="AB389" i="1"/>
  <c r="CY354" i="1"/>
  <c r="X354" i="1" s="1"/>
  <c r="CZ354" i="1"/>
  <c r="Y354" i="1" s="1"/>
  <c r="CY344" i="1"/>
  <c r="X344" i="1" s="1"/>
  <c r="CZ344" i="1"/>
  <c r="Y344" i="1" s="1"/>
  <c r="CR335" i="1"/>
  <c r="Q335" i="1" s="1"/>
  <c r="AB335" i="1"/>
  <c r="U330" i="1"/>
  <c r="Q324" i="1"/>
  <c r="CX836" i="3"/>
  <c r="CX835" i="3"/>
  <c r="CX834" i="3"/>
  <c r="CI539" i="1"/>
  <c r="AB425" i="1"/>
  <c r="P423" i="1"/>
  <c r="CP423" i="1" s="1"/>
  <c r="O423" i="1" s="1"/>
  <c r="AD421" i="1"/>
  <c r="CR421" i="1" s="1"/>
  <c r="Q421" i="1" s="1"/>
  <c r="CP421" i="1" s="1"/>
  <c r="O421" i="1" s="1"/>
  <c r="P420" i="1"/>
  <c r="CP420" i="1" s="1"/>
  <c r="O420" i="1" s="1"/>
  <c r="AD418" i="1"/>
  <c r="CR418" i="1" s="1"/>
  <c r="Q418" i="1" s="1"/>
  <c r="CP418" i="1" s="1"/>
  <c r="O418" i="1" s="1"/>
  <c r="P416" i="1"/>
  <c r="CP416" i="1" s="1"/>
  <c r="O416" i="1" s="1"/>
  <c r="CY407" i="1"/>
  <c r="X407" i="1" s="1"/>
  <c r="AB407" i="1"/>
  <c r="CZ405" i="1"/>
  <c r="Y405" i="1" s="1"/>
  <c r="CP403" i="1"/>
  <c r="O403" i="1" s="1"/>
  <c r="W401" i="1"/>
  <c r="CY400" i="1"/>
  <c r="X400" i="1" s="1"/>
  <c r="CZ400" i="1"/>
  <c r="Y400" i="1" s="1"/>
  <c r="CR398" i="1"/>
  <c r="Q398" i="1" s="1"/>
  <c r="CP398" i="1" s="1"/>
  <c r="O398" i="1" s="1"/>
  <c r="AB398" i="1"/>
  <c r="CY397" i="1"/>
  <c r="X397" i="1" s="1"/>
  <c r="CZ397" i="1"/>
  <c r="Y397" i="1" s="1"/>
  <c r="CP395" i="1"/>
  <c r="O395" i="1" s="1"/>
  <c r="CP394" i="1"/>
  <c r="O394" i="1" s="1"/>
  <c r="W393" i="1"/>
  <c r="GX392" i="1"/>
  <c r="W392" i="1"/>
  <c r="S392" i="1"/>
  <c r="CP392" i="1" s="1"/>
  <c r="O392" i="1" s="1"/>
  <c r="CZ391" i="1"/>
  <c r="Y391" i="1" s="1"/>
  <c r="CY391" i="1"/>
  <c r="X391" i="1" s="1"/>
  <c r="CP389" i="1"/>
  <c r="O389" i="1" s="1"/>
  <c r="CR349" i="1"/>
  <c r="Q349" i="1" s="1"/>
  <c r="CP349" i="1" s="1"/>
  <c r="O349" i="1" s="1"/>
  <c r="AB349" i="1"/>
  <c r="CZ342" i="1"/>
  <c r="Y342" i="1" s="1"/>
  <c r="CY342" i="1"/>
  <c r="X342" i="1" s="1"/>
  <c r="CY341" i="1"/>
  <c r="X341" i="1" s="1"/>
  <c r="CZ341" i="1"/>
  <c r="Y341" i="1" s="1"/>
  <c r="AB340" i="1"/>
  <c r="CR340" i="1"/>
  <c r="Q340" i="1" s="1"/>
  <c r="CY339" i="1"/>
  <c r="X339" i="1" s="1"/>
  <c r="CZ339" i="1"/>
  <c r="Y339" i="1" s="1"/>
  <c r="CP339" i="1"/>
  <c r="O339" i="1" s="1"/>
  <c r="AB333" i="1"/>
  <c r="CR333" i="1"/>
  <c r="Q333" i="1" s="1"/>
  <c r="T330" i="1"/>
  <c r="CP329" i="1"/>
  <c r="O329" i="1" s="1"/>
  <c r="CX688" i="3"/>
  <c r="CX692" i="3"/>
  <c r="CX687" i="3"/>
  <c r="CX691" i="3"/>
  <c r="CX686" i="3"/>
  <c r="CX690" i="3"/>
  <c r="CX685" i="3"/>
  <c r="CX689" i="3"/>
  <c r="CX693" i="3"/>
  <c r="CX676" i="3"/>
  <c r="CX680" i="3"/>
  <c r="CX684" i="3"/>
  <c r="CX679" i="3"/>
  <c r="CX683" i="3"/>
  <c r="CX678" i="3"/>
  <c r="CX682" i="3"/>
  <c r="CX677" i="3"/>
  <c r="CX681" i="3"/>
  <c r="I393" i="1"/>
  <c r="V393" i="1" s="1"/>
  <c r="CX588" i="3"/>
  <c r="CX592" i="3"/>
  <c r="CX596" i="3"/>
  <c r="CX591" i="3"/>
  <c r="CX595" i="3"/>
  <c r="CX599" i="3"/>
  <c r="CX590" i="3"/>
  <c r="CX594" i="3"/>
  <c r="CX598" i="3"/>
  <c r="CX589" i="3"/>
  <c r="CX593" i="3"/>
  <c r="CX597" i="3"/>
  <c r="CX576" i="3"/>
  <c r="CX580" i="3"/>
  <c r="CX584" i="3"/>
  <c r="CX575" i="3"/>
  <c r="CX579" i="3"/>
  <c r="CX583" i="3"/>
  <c r="CX587" i="3"/>
  <c r="CX578" i="3"/>
  <c r="CX582" i="3"/>
  <c r="CX586" i="3"/>
  <c r="CX577" i="3"/>
  <c r="CX581" i="3"/>
  <c r="CX585" i="3"/>
  <c r="I352" i="1"/>
  <c r="GX352" i="1" s="1"/>
  <c r="CY350" i="1"/>
  <c r="X350" i="1" s="1"/>
  <c r="GM350" i="1" s="1"/>
  <c r="CZ346" i="1"/>
  <c r="Y346" i="1" s="1"/>
  <c r="AD344" i="1"/>
  <c r="CR344" i="1" s="1"/>
  <c r="Q344" i="1" s="1"/>
  <c r="CP344" i="1" s="1"/>
  <c r="O344" i="1" s="1"/>
  <c r="P343" i="1"/>
  <c r="CP343" i="1" s="1"/>
  <c r="O343" i="1" s="1"/>
  <c r="CX537" i="3"/>
  <c r="CX541" i="3"/>
  <c r="CX545" i="3"/>
  <c r="CX535" i="3"/>
  <c r="CX543" i="3"/>
  <c r="CX540" i="3"/>
  <c r="CX542" i="3"/>
  <c r="CX539" i="3"/>
  <c r="CX536" i="3"/>
  <c r="CX538" i="3"/>
  <c r="CX544" i="3"/>
  <c r="AB339" i="1"/>
  <c r="W337" i="1"/>
  <c r="S337" i="1"/>
  <c r="AD334" i="1"/>
  <c r="CR334" i="1" s="1"/>
  <c r="R332" i="1"/>
  <c r="GK332" i="1" s="1"/>
  <c r="CX497" i="3"/>
  <c r="CX499" i="3"/>
  <c r="CX498" i="3"/>
  <c r="CX500" i="3"/>
  <c r="I332" i="1"/>
  <c r="T332" i="1" s="1"/>
  <c r="W329" i="1"/>
  <c r="S329" i="1"/>
  <c r="T327" i="1"/>
  <c r="W327" i="1"/>
  <c r="S327" i="1"/>
  <c r="AD326" i="1"/>
  <c r="CR326" i="1" s="1"/>
  <c r="P323" i="1"/>
  <c r="AB323" i="1"/>
  <c r="AI290" i="1"/>
  <c r="S210" i="1"/>
  <c r="T210" i="1"/>
  <c r="GX206" i="1"/>
  <c r="CP205" i="1"/>
  <c r="O205" i="1" s="1"/>
  <c r="S202" i="1"/>
  <c r="T202" i="1"/>
  <c r="CZ200" i="1"/>
  <c r="Y200" i="1" s="1"/>
  <c r="CY200" i="1"/>
  <c r="X200" i="1" s="1"/>
  <c r="W197" i="1"/>
  <c r="AB195" i="1"/>
  <c r="CR195" i="1"/>
  <c r="CR193" i="1"/>
  <c r="Q193" i="1" s="1"/>
  <c r="AB193" i="1"/>
  <c r="S190" i="1"/>
  <c r="CP189" i="1"/>
  <c r="O189" i="1" s="1"/>
  <c r="CP187" i="1"/>
  <c r="O187" i="1" s="1"/>
  <c r="V179" i="1"/>
  <c r="GX177" i="1"/>
  <c r="R177" i="1"/>
  <c r="GK177" i="1" s="1"/>
  <c r="CS404" i="1"/>
  <c r="R404" i="1" s="1"/>
  <c r="GK404" i="1" s="1"/>
  <c r="CX668" i="3"/>
  <c r="CX672" i="3"/>
  <c r="CX667" i="3"/>
  <c r="CX671" i="3"/>
  <c r="CX675" i="3"/>
  <c r="CX666" i="3"/>
  <c r="CX670" i="3"/>
  <c r="CX674" i="3"/>
  <c r="CX669" i="3"/>
  <c r="CX673" i="3"/>
  <c r="CS402" i="1"/>
  <c r="R402" i="1" s="1"/>
  <c r="GK402" i="1" s="1"/>
  <c r="CX656" i="3"/>
  <c r="CX660" i="3"/>
  <c r="CX664" i="3"/>
  <c r="CX655" i="3"/>
  <c r="CX659" i="3"/>
  <c r="CX663" i="3"/>
  <c r="CX654" i="3"/>
  <c r="CX658" i="3"/>
  <c r="CX662" i="3"/>
  <c r="CX653" i="3"/>
  <c r="CX657" i="3"/>
  <c r="CX661" i="3"/>
  <c r="CX665" i="3"/>
  <c r="CS400" i="1"/>
  <c r="R400" i="1" s="1"/>
  <c r="GK400" i="1" s="1"/>
  <c r="CX644" i="3"/>
  <c r="CX648" i="3"/>
  <c r="CX652" i="3"/>
  <c r="CX643" i="3"/>
  <c r="CX647" i="3"/>
  <c r="CX651" i="3"/>
  <c r="CX642" i="3"/>
  <c r="CX646" i="3"/>
  <c r="CX650" i="3"/>
  <c r="CX645" i="3"/>
  <c r="CX649" i="3"/>
  <c r="CS398" i="1"/>
  <c r="R398" i="1" s="1"/>
  <c r="GK398" i="1" s="1"/>
  <c r="CX640" i="3"/>
  <c r="CX639" i="3"/>
  <c r="CX638" i="3"/>
  <c r="CX641" i="3"/>
  <c r="CS396" i="1"/>
  <c r="R396" i="1" s="1"/>
  <c r="GK396" i="1" s="1"/>
  <c r="CX632" i="3"/>
  <c r="CX636" i="3"/>
  <c r="CX631" i="3"/>
  <c r="CX635" i="3"/>
  <c r="CX630" i="3"/>
  <c r="CX634" i="3"/>
  <c r="CX629" i="3"/>
  <c r="CX633" i="3"/>
  <c r="CX637" i="3"/>
  <c r="CS394" i="1"/>
  <c r="R394" i="1" s="1"/>
  <c r="GK394" i="1" s="1"/>
  <c r="CX620" i="3"/>
  <c r="CX624" i="3"/>
  <c r="CX628" i="3"/>
  <c r="CX619" i="3"/>
  <c r="CX623" i="3"/>
  <c r="CX627" i="3"/>
  <c r="CX618" i="3"/>
  <c r="CX622" i="3"/>
  <c r="CX626" i="3"/>
  <c r="CX621" i="3"/>
  <c r="CX625" i="3"/>
  <c r="CS392" i="1"/>
  <c r="R392" i="1" s="1"/>
  <c r="GK392" i="1" s="1"/>
  <c r="CS390" i="1"/>
  <c r="R390" i="1" s="1"/>
  <c r="CI356" i="1"/>
  <c r="BC356" i="1"/>
  <c r="AU356" i="1"/>
  <c r="AQ356" i="1"/>
  <c r="CQ354" i="1"/>
  <c r="P354" i="1" s="1"/>
  <c r="CP354" i="1" s="1"/>
  <c r="O354" i="1" s="1"/>
  <c r="CQ352" i="1"/>
  <c r="P352" i="1" s="1"/>
  <c r="W349" i="1"/>
  <c r="S349" i="1"/>
  <c r="CQ347" i="1"/>
  <c r="P347" i="1" s="1"/>
  <c r="CP347" i="1" s="1"/>
  <c r="O347" i="1" s="1"/>
  <c r="CY346" i="1"/>
  <c r="X346" i="1" s="1"/>
  <c r="GO346" i="1" s="1"/>
  <c r="CQ345" i="1"/>
  <c r="P345" i="1" s="1"/>
  <c r="CP345" i="1" s="1"/>
  <c r="O345" i="1" s="1"/>
  <c r="T343" i="1"/>
  <c r="CQ342" i="1"/>
  <c r="P342" i="1" s="1"/>
  <c r="CP342" i="1" s="1"/>
  <c r="O342" i="1" s="1"/>
  <c r="V338" i="1"/>
  <c r="CX521" i="3"/>
  <c r="CX525" i="3"/>
  <c r="CX523" i="3"/>
  <c r="CX520" i="3"/>
  <c r="CX522" i="3"/>
  <c r="CX519" i="3"/>
  <c r="CX527" i="3"/>
  <c r="CX524" i="3"/>
  <c r="CX526" i="3"/>
  <c r="I338" i="1"/>
  <c r="T338" i="1" s="1"/>
  <c r="W335" i="1"/>
  <c r="S335" i="1"/>
  <c r="AB334" i="1"/>
  <c r="CQ332" i="1"/>
  <c r="P332" i="1" s="1"/>
  <c r="R330" i="1"/>
  <c r="GK330" i="1" s="1"/>
  <c r="CX489" i="3"/>
  <c r="CX493" i="3"/>
  <c r="CX491" i="3"/>
  <c r="CX488" i="3"/>
  <c r="CX490" i="3"/>
  <c r="CX496" i="3"/>
  <c r="CX487" i="3"/>
  <c r="CX495" i="3"/>
  <c r="CX492" i="3"/>
  <c r="CX494" i="3"/>
  <c r="I330" i="1"/>
  <c r="CX479" i="3"/>
  <c r="CX483" i="3"/>
  <c r="CX481" i="3"/>
  <c r="CX485" i="3"/>
  <c r="CX478" i="3"/>
  <c r="CX480" i="3"/>
  <c r="CX482" i="3"/>
  <c r="CX484" i="3"/>
  <c r="CX486" i="3"/>
  <c r="I328" i="1"/>
  <c r="W328" i="1" s="1"/>
  <c r="AB326" i="1"/>
  <c r="CP325" i="1"/>
  <c r="O325" i="1" s="1"/>
  <c r="AB325" i="1"/>
  <c r="S324" i="1"/>
  <c r="V324" i="1"/>
  <c r="CY323" i="1"/>
  <c r="X323" i="1" s="1"/>
  <c r="CZ323" i="1"/>
  <c r="Y323" i="1" s="1"/>
  <c r="AH290" i="1"/>
  <c r="AJ282" i="1"/>
  <c r="W290" i="1"/>
  <c r="CY284" i="1"/>
  <c r="X284" i="1" s="1"/>
  <c r="CZ284" i="1"/>
  <c r="Y284" i="1" s="1"/>
  <c r="AF290" i="1"/>
  <c r="GX210" i="1"/>
  <c r="AB208" i="1"/>
  <c r="CY205" i="1"/>
  <c r="X205" i="1" s="1"/>
  <c r="CZ205" i="1"/>
  <c r="Y205" i="1" s="1"/>
  <c r="GX202" i="1"/>
  <c r="R195" i="1"/>
  <c r="GK195" i="1" s="1"/>
  <c r="CY194" i="1"/>
  <c r="X194" i="1" s="1"/>
  <c r="CZ194" i="1"/>
  <c r="Y194" i="1" s="1"/>
  <c r="CY186" i="1"/>
  <c r="X186" i="1" s="1"/>
  <c r="CZ186" i="1"/>
  <c r="Y186" i="1" s="1"/>
  <c r="GM186" i="1" s="1"/>
  <c r="T179" i="1"/>
  <c r="CY178" i="1"/>
  <c r="X178" i="1" s="1"/>
  <c r="CZ178" i="1"/>
  <c r="Y178" i="1" s="1"/>
  <c r="GN174" i="1"/>
  <c r="GM174" i="1"/>
  <c r="CX608" i="3"/>
  <c r="CX612" i="3"/>
  <c r="CX616" i="3"/>
  <c r="CX607" i="3"/>
  <c r="CX611" i="3"/>
  <c r="CX615" i="3"/>
  <c r="CX610" i="3"/>
  <c r="CX614" i="3"/>
  <c r="CX609" i="3"/>
  <c r="CX613" i="3"/>
  <c r="CX617" i="3"/>
  <c r="CX600" i="3"/>
  <c r="CX604" i="3"/>
  <c r="CX603" i="3"/>
  <c r="CX602" i="3"/>
  <c r="CX606" i="3"/>
  <c r="CX601" i="3"/>
  <c r="CX605" i="3"/>
  <c r="CP340" i="1"/>
  <c r="O340" i="1" s="1"/>
  <c r="CX513" i="3"/>
  <c r="CX517" i="3"/>
  <c r="CX515" i="3"/>
  <c r="CX512" i="3"/>
  <c r="CX514" i="3"/>
  <c r="CX516" i="3"/>
  <c r="CX518" i="3"/>
  <c r="I336" i="1"/>
  <c r="W336" i="1" s="1"/>
  <c r="CP333" i="1"/>
  <c r="O333" i="1" s="1"/>
  <c r="GX332" i="1"/>
  <c r="R328" i="1"/>
  <c r="GK328" i="1" s="1"/>
  <c r="GX324" i="1"/>
  <c r="W324" i="1"/>
  <c r="CD282" i="1"/>
  <c r="AU290" i="1"/>
  <c r="CY287" i="1"/>
  <c r="X287" i="1" s="1"/>
  <c r="CZ287" i="1"/>
  <c r="Y287" i="1" s="1"/>
  <c r="CZ285" i="1"/>
  <c r="Y285" i="1" s="1"/>
  <c r="CY285" i="1"/>
  <c r="X285" i="1" s="1"/>
  <c r="CJ290" i="1"/>
  <c r="AG290" i="1"/>
  <c r="CR284" i="1"/>
  <c r="Q284" i="1" s="1"/>
  <c r="AD290" i="1" s="1"/>
  <c r="AB284" i="1"/>
  <c r="CZ208" i="1"/>
  <c r="Y208" i="1" s="1"/>
  <c r="CY208" i="1"/>
  <c r="X208" i="1" s="1"/>
  <c r="CY201" i="1"/>
  <c r="X201" i="1" s="1"/>
  <c r="CZ201" i="1"/>
  <c r="Y201" i="1" s="1"/>
  <c r="U196" i="1"/>
  <c r="P195" i="1"/>
  <c r="CP193" i="1"/>
  <c r="O193" i="1" s="1"/>
  <c r="CZ189" i="1"/>
  <c r="Y189" i="1" s="1"/>
  <c r="CY189" i="1"/>
  <c r="X189" i="1" s="1"/>
  <c r="CY188" i="1"/>
  <c r="X188" i="1" s="1"/>
  <c r="CZ188" i="1"/>
  <c r="Y188" i="1" s="1"/>
  <c r="CZ187" i="1"/>
  <c r="Y187" i="1" s="1"/>
  <c r="CY187" i="1"/>
  <c r="X187" i="1" s="1"/>
  <c r="GN186" i="1"/>
  <c r="CR183" i="1"/>
  <c r="Q183" i="1" s="1"/>
  <c r="CP183" i="1" s="1"/>
  <c r="O183" i="1" s="1"/>
  <c r="AB183" i="1"/>
  <c r="CY177" i="1"/>
  <c r="X177" i="1" s="1"/>
  <c r="W176" i="1"/>
  <c r="Q176" i="1"/>
  <c r="AB175" i="1"/>
  <c r="CR175" i="1"/>
  <c r="Q175" i="1" s="1"/>
  <c r="CP175" i="1" s="1"/>
  <c r="O175" i="1" s="1"/>
  <c r="CG356" i="1"/>
  <c r="V352" i="1"/>
  <c r="CZ351" i="1"/>
  <c r="Y351" i="1" s="1"/>
  <c r="GO351" i="1" s="1"/>
  <c r="AB350" i="1"/>
  <c r="AB348" i="1"/>
  <c r="AB341" i="1"/>
  <c r="GX338" i="1"/>
  <c r="AB338" i="1"/>
  <c r="AD336" i="1"/>
  <c r="CR336" i="1" s="1"/>
  <c r="Q336" i="1" s="1"/>
  <c r="CX501" i="3"/>
  <c r="CX505" i="3"/>
  <c r="CX509" i="3"/>
  <c r="CX507" i="3"/>
  <c r="CX504" i="3"/>
  <c r="CX506" i="3"/>
  <c r="CX503" i="3"/>
  <c r="CX511" i="3"/>
  <c r="CX502" i="3"/>
  <c r="CX508" i="3"/>
  <c r="CX510" i="3"/>
  <c r="I334" i="1"/>
  <c r="P334" i="1" s="1"/>
  <c r="CZ331" i="1"/>
  <c r="Y331" i="1" s="1"/>
  <c r="GO331" i="1" s="1"/>
  <c r="GX330" i="1"/>
  <c r="AB330" i="1"/>
  <c r="AD328" i="1"/>
  <c r="CR328" i="1" s="1"/>
  <c r="Q328" i="1" s="1"/>
  <c r="P327" i="1"/>
  <c r="CP327" i="1" s="1"/>
  <c r="O327" i="1" s="1"/>
  <c r="CZ325" i="1"/>
  <c r="Y325" i="1" s="1"/>
  <c r="CX472" i="3"/>
  <c r="CX471" i="3"/>
  <c r="CX475" i="3"/>
  <c r="CX473" i="3"/>
  <c r="CX477" i="3"/>
  <c r="CX470" i="3"/>
  <c r="CX474" i="3"/>
  <c r="CX476" i="3"/>
  <c r="I326" i="1"/>
  <c r="U326" i="1" s="1"/>
  <c r="AB324" i="1"/>
  <c r="CX464" i="3"/>
  <c r="CX468" i="3"/>
  <c r="CX463" i="3"/>
  <c r="CX467" i="3"/>
  <c r="CX465" i="3"/>
  <c r="CX469" i="3"/>
  <c r="CX466" i="3"/>
  <c r="I324" i="1"/>
  <c r="CL282" i="1"/>
  <c r="BC290" i="1"/>
  <c r="CG282" i="1"/>
  <c r="AX290" i="1"/>
  <c r="CZ288" i="1"/>
  <c r="Y288" i="1" s="1"/>
  <c r="CY288" i="1"/>
  <c r="X288" i="1" s="1"/>
  <c r="AB288" i="1"/>
  <c r="CP287" i="1"/>
  <c r="O287" i="1" s="1"/>
  <c r="CY286" i="1"/>
  <c r="X286" i="1" s="1"/>
  <c r="GN286" i="1" s="1"/>
  <c r="CZ286" i="1"/>
  <c r="Y286" i="1" s="1"/>
  <c r="AE290" i="1"/>
  <c r="GK284" i="1"/>
  <c r="CZ214" i="1"/>
  <c r="Y214" i="1" s="1"/>
  <c r="CY214" i="1"/>
  <c r="X214" i="1" s="1"/>
  <c r="CP213" i="1"/>
  <c r="O213" i="1" s="1"/>
  <c r="CZ211" i="1"/>
  <c r="Y211" i="1" s="1"/>
  <c r="CY211" i="1"/>
  <c r="X211" i="1" s="1"/>
  <c r="U210" i="1"/>
  <c r="P210" i="1"/>
  <c r="CP210" i="1" s="1"/>
  <c r="O210" i="1" s="1"/>
  <c r="CZ206" i="1"/>
  <c r="Y206" i="1" s="1"/>
  <c r="CY206" i="1"/>
  <c r="X206" i="1" s="1"/>
  <c r="T206" i="1"/>
  <c r="CZ204" i="1"/>
  <c r="Y204" i="1" s="1"/>
  <c r="CY204" i="1"/>
  <c r="X204" i="1" s="1"/>
  <c r="U202" i="1"/>
  <c r="CY199" i="1"/>
  <c r="X199" i="1" s="1"/>
  <c r="CZ199" i="1"/>
  <c r="Y199" i="1" s="1"/>
  <c r="CY198" i="1"/>
  <c r="X198" i="1" s="1"/>
  <c r="CP197" i="1"/>
  <c r="O197" i="1" s="1"/>
  <c r="U195" i="1"/>
  <c r="T197" i="1"/>
  <c r="GX197" i="1"/>
  <c r="R197" i="1"/>
  <c r="GK197" i="1" s="1"/>
  <c r="CY180" i="1"/>
  <c r="X180" i="1" s="1"/>
  <c r="CZ180" i="1"/>
  <c r="Y180" i="1" s="1"/>
  <c r="Q179" i="1"/>
  <c r="U179" i="1"/>
  <c r="U176" i="1"/>
  <c r="CI290" i="1"/>
  <c r="AQ290" i="1"/>
  <c r="CQ288" i="1"/>
  <c r="P288" i="1" s="1"/>
  <c r="CP288" i="1" s="1"/>
  <c r="O288" i="1" s="1"/>
  <c r="CS287" i="1"/>
  <c r="R287" i="1" s="1"/>
  <c r="GK287" i="1" s="1"/>
  <c r="CX452" i="3"/>
  <c r="CX451" i="3"/>
  <c r="CX449" i="3"/>
  <c r="CX453" i="3"/>
  <c r="CX454" i="3"/>
  <c r="CX450" i="3"/>
  <c r="CQ285" i="1"/>
  <c r="P285" i="1" s="1"/>
  <c r="CP285" i="1" s="1"/>
  <c r="O285" i="1" s="1"/>
  <c r="BZ282" i="1"/>
  <c r="CI218" i="1"/>
  <c r="BC218" i="1"/>
  <c r="AU218" i="1"/>
  <c r="AQ218" i="1"/>
  <c r="CQ214" i="1"/>
  <c r="P214" i="1" s="1"/>
  <c r="CP214" i="1" s="1"/>
  <c r="O214" i="1" s="1"/>
  <c r="AD214" i="1"/>
  <c r="CR214" i="1" s="1"/>
  <c r="Q214" i="1" s="1"/>
  <c r="CS213" i="1"/>
  <c r="R213" i="1" s="1"/>
  <c r="GK213" i="1" s="1"/>
  <c r="AB213" i="1"/>
  <c r="CT212" i="1"/>
  <c r="S212" i="1" s="1"/>
  <c r="CP212" i="1" s="1"/>
  <c r="O212" i="1" s="1"/>
  <c r="CQ211" i="1"/>
  <c r="P211" i="1" s="1"/>
  <c r="AD211" i="1"/>
  <c r="CR211" i="1" s="1"/>
  <c r="Q211" i="1" s="1"/>
  <c r="CS210" i="1"/>
  <c r="R210" i="1" s="1"/>
  <c r="GK210" i="1" s="1"/>
  <c r="AB210" i="1"/>
  <c r="CT209" i="1"/>
  <c r="S209" i="1" s="1"/>
  <c r="CP209" i="1" s="1"/>
  <c r="O209" i="1" s="1"/>
  <c r="CQ208" i="1"/>
  <c r="P208" i="1" s="1"/>
  <c r="CP208" i="1" s="1"/>
  <c r="O208" i="1" s="1"/>
  <c r="AD208" i="1"/>
  <c r="CR208" i="1" s="1"/>
  <c r="Q208" i="1" s="1"/>
  <c r="CT207" i="1"/>
  <c r="S207" i="1" s="1"/>
  <c r="CP207" i="1" s="1"/>
  <c r="O207" i="1" s="1"/>
  <c r="CQ206" i="1"/>
  <c r="P206" i="1" s="1"/>
  <c r="AD206" i="1"/>
  <c r="CR206" i="1" s="1"/>
  <c r="Q206" i="1" s="1"/>
  <c r="CR205" i="1"/>
  <c r="Q205" i="1" s="1"/>
  <c r="CQ204" i="1"/>
  <c r="P204" i="1" s="1"/>
  <c r="CP204" i="1" s="1"/>
  <c r="O204" i="1" s="1"/>
  <c r="AD204" i="1"/>
  <c r="CR204" i="1" s="1"/>
  <c r="Q204" i="1" s="1"/>
  <c r="CT203" i="1"/>
  <c r="S203" i="1" s="1"/>
  <c r="CQ202" i="1"/>
  <c r="P202" i="1" s="1"/>
  <c r="AD202" i="1"/>
  <c r="CR202" i="1" s="1"/>
  <c r="Q202" i="1" s="1"/>
  <c r="CR201" i="1"/>
  <c r="Q201" i="1" s="1"/>
  <c r="CP201" i="1" s="1"/>
  <c r="O201" i="1" s="1"/>
  <c r="CQ200" i="1"/>
  <c r="P200" i="1" s="1"/>
  <c r="CP200" i="1" s="1"/>
  <c r="O200" i="1" s="1"/>
  <c r="AD200" i="1"/>
  <c r="CR200" i="1" s="1"/>
  <c r="Q200" i="1" s="1"/>
  <c r="CR199" i="1"/>
  <c r="Q199" i="1" s="1"/>
  <c r="CP199" i="1" s="1"/>
  <c r="O199" i="1" s="1"/>
  <c r="CS198" i="1"/>
  <c r="R198" i="1" s="1"/>
  <c r="GK198" i="1" s="1"/>
  <c r="AB198" i="1"/>
  <c r="AB196" i="1"/>
  <c r="T194" i="1"/>
  <c r="AB194" i="1"/>
  <c r="W193" i="1"/>
  <c r="S193" i="1"/>
  <c r="P188" i="1"/>
  <c r="CP188" i="1" s="1"/>
  <c r="O188" i="1" s="1"/>
  <c r="AB186" i="1"/>
  <c r="W183" i="1"/>
  <c r="S183" i="1"/>
  <c r="CX339" i="3"/>
  <c r="CX338" i="3"/>
  <c r="CX340" i="3"/>
  <c r="CX337" i="3"/>
  <c r="CX342" i="3"/>
  <c r="CX341" i="3"/>
  <c r="I182" i="1"/>
  <c r="GX182" i="1" s="1"/>
  <c r="I179" i="1"/>
  <c r="CR178" i="1"/>
  <c r="Q178" i="1" s="1"/>
  <c r="P178" i="1"/>
  <c r="AB176" i="1"/>
  <c r="S172" i="1"/>
  <c r="U172" i="1"/>
  <c r="Q172" i="1"/>
  <c r="CP170" i="1"/>
  <c r="O170" i="1" s="1"/>
  <c r="CY169" i="1"/>
  <c r="X169" i="1" s="1"/>
  <c r="CZ169" i="1"/>
  <c r="Y169" i="1" s="1"/>
  <c r="CY164" i="1"/>
  <c r="X164" i="1" s="1"/>
  <c r="CZ164" i="1"/>
  <c r="Y164" i="1" s="1"/>
  <c r="CY159" i="1"/>
  <c r="X159" i="1" s="1"/>
  <c r="GM159" i="1" s="1"/>
  <c r="CZ159" i="1"/>
  <c r="Y159" i="1" s="1"/>
  <c r="CY158" i="1"/>
  <c r="X158" i="1" s="1"/>
  <c r="CP155" i="1"/>
  <c r="O155" i="1" s="1"/>
  <c r="CY153" i="1"/>
  <c r="X153" i="1" s="1"/>
  <c r="CZ153" i="1"/>
  <c r="Y153" i="1" s="1"/>
  <c r="CP151" i="1"/>
  <c r="O151" i="1" s="1"/>
  <c r="CY150" i="1"/>
  <c r="X150" i="1" s="1"/>
  <c r="CZ150" i="1"/>
  <c r="Y150" i="1" s="1"/>
  <c r="CY145" i="1"/>
  <c r="X145" i="1" s="1"/>
  <c r="CY143" i="1"/>
  <c r="X143" i="1" s="1"/>
  <c r="CX444" i="3"/>
  <c r="CX443" i="3"/>
  <c r="CX442" i="3"/>
  <c r="BB218" i="1"/>
  <c r="AT218" i="1"/>
  <c r="U197" i="1"/>
  <c r="Q197" i="1"/>
  <c r="GX196" i="1"/>
  <c r="CX367" i="3"/>
  <c r="CX371" i="3"/>
  <c r="CX370" i="3"/>
  <c r="CX372" i="3"/>
  <c r="CX369" i="3"/>
  <c r="CX375" i="3"/>
  <c r="CX366" i="3"/>
  <c r="CX368" i="3"/>
  <c r="CX374" i="3"/>
  <c r="CX373" i="3"/>
  <c r="I196" i="1"/>
  <c r="CX363" i="3"/>
  <c r="CX362" i="3"/>
  <c r="CX364" i="3"/>
  <c r="CX361" i="3"/>
  <c r="CX365" i="3"/>
  <c r="R192" i="1"/>
  <c r="GK192" i="1" s="1"/>
  <c r="AB191" i="1"/>
  <c r="CP191" i="1"/>
  <c r="O191" i="1" s="1"/>
  <c r="CX343" i="3"/>
  <c r="CX347" i="3"/>
  <c r="CX346" i="3"/>
  <c r="CX348" i="3"/>
  <c r="CX345" i="3"/>
  <c r="CX344" i="3"/>
  <c r="CX349" i="3"/>
  <c r="I184" i="1"/>
  <c r="U184" i="1" s="1"/>
  <c r="R182" i="1"/>
  <c r="GK182" i="1" s="1"/>
  <c r="AB181" i="1"/>
  <c r="CP181" i="1"/>
  <c r="O181" i="1" s="1"/>
  <c r="U177" i="1"/>
  <c r="Q177" i="1"/>
  <c r="CP177" i="1" s="1"/>
  <c r="O177" i="1" s="1"/>
  <c r="CP172" i="1"/>
  <c r="O172" i="1" s="1"/>
  <c r="GM164" i="1"/>
  <c r="GN164" i="1"/>
  <c r="AB158" i="1"/>
  <c r="CR158" i="1"/>
  <c r="Q158" i="1" s="1"/>
  <c r="CP158" i="1" s="1"/>
  <c r="O158" i="1" s="1"/>
  <c r="CZ156" i="1"/>
  <c r="Y156" i="1" s="1"/>
  <c r="CY156" i="1"/>
  <c r="X156" i="1" s="1"/>
  <c r="CP150" i="1"/>
  <c r="O150" i="1" s="1"/>
  <c r="CZ147" i="1"/>
  <c r="Y147" i="1" s="1"/>
  <c r="CY147" i="1"/>
  <c r="X147" i="1" s="1"/>
  <c r="CX447" i="3"/>
  <c r="CX445" i="3"/>
  <c r="CX446" i="3"/>
  <c r="CG218" i="1"/>
  <c r="AO218" i="1"/>
  <c r="CX412" i="3"/>
  <c r="CX416" i="3"/>
  <c r="CX411" i="3"/>
  <c r="CX415" i="3"/>
  <c r="CX419" i="3"/>
  <c r="CX409" i="3"/>
  <c r="CX413" i="3"/>
  <c r="CX417" i="3"/>
  <c r="CX410" i="3"/>
  <c r="CX418" i="3"/>
  <c r="CX414" i="3"/>
  <c r="CX400" i="3"/>
  <c r="CX399" i="3"/>
  <c r="CX397" i="3"/>
  <c r="CX401" i="3"/>
  <c r="CX398" i="3"/>
  <c r="V196" i="1"/>
  <c r="R196" i="1"/>
  <c r="GK196" i="1" s="1"/>
  <c r="W195" i="1"/>
  <c r="AD192" i="1"/>
  <c r="CR192" i="1" s="1"/>
  <c r="CR190" i="1"/>
  <c r="Q190" i="1" s="1"/>
  <c r="P190" i="1"/>
  <c r="CP190" i="1" s="1"/>
  <c r="O190" i="1" s="1"/>
  <c r="CX359" i="3"/>
  <c r="CX356" i="3"/>
  <c r="CX358" i="3"/>
  <c r="CX360" i="3"/>
  <c r="CX357" i="3"/>
  <c r="I192" i="1"/>
  <c r="W192" i="1" s="1"/>
  <c r="I185" i="1"/>
  <c r="W185" i="1" s="1"/>
  <c r="AB184" i="1"/>
  <c r="AD182" i="1"/>
  <c r="CR182" i="1" s="1"/>
  <c r="CR180" i="1"/>
  <c r="Q180" i="1" s="1"/>
  <c r="CP180" i="1" s="1"/>
  <c r="O180" i="1" s="1"/>
  <c r="V176" i="1"/>
  <c r="R176" i="1"/>
  <c r="GK176" i="1" s="1"/>
  <c r="S175" i="1"/>
  <c r="CY173" i="1"/>
  <c r="X173" i="1" s="1"/>
  <c r="CZ173" i="1"/>
  <c r="Y173" i="1" s="1"/>
  <c r="CY168" i="1"/>
  <c r="X168" i="1" s="1"/>
  <c r="GN168" i="1" s="1"/>
  <c r="CZ168" i="1"/>
  <c r="Y168" i="1" s="1"/>
  <c r="CR167" i="1"/>
  <c r="Q167" i="1" s="1"/>
  <c r="CP167" i="1" s="1"/>
  <c r="O167" i="1" s="1"/>
  <c r="AB167" i="1"/>
  <c r="CZ166" i="1"/>
  <c r="Y166" i="1" s="1"/>
  <c r="CY166" i="1"/>
  <c r="X166" i="1" s="1"/>
  <c r="CY165" i="1"/>
  <c r="X165" i="1" s="1"/>
  <c r="CZ165" i="1"/>
  <c r="Y165" i="1" s="1"/>
  <c r="CY163" i="1"/>
  <c r="X163" i="1" s="1"/>
  <c r="CZ163" i="1"/>
  <c r="Y163" i="1" s="1"/>
  <c r="GN159" i="1"/>
  <c r="GK158" i="1"/>
  <c r="CZ158" i="1"/>
  <c r="Y158" i="1" s="1"/>
  <c r="CY152" i="1"/>
  <c r="X152" i="1" s="1"/>
  <c r="CZ152" i="1"/>
  <c r="Y152" i="1" s="1"/>
  <c r="CZ151" i="1"/>
  <c r="Y151" i="1" s="1"/>
  <c r="CY151" i="1"/>
  <c r="X151" i="1" s="1"/>
  <c r="CY148" i="1"/>
  <c r="X148" i="1" s="1"/>
  <c r="CZ148" i="1"/>
  <c r="Y148" i="1" s="1"/>
  <c r="CX404" i="3"/>
  <c r="CX408" i="3"/>
  <c r="CX403" i="3"/>
  <c r="CX407" i="3"/>
  <c r="CX405" i="3"/>
  <c r="CX406" i="3"/>
  <c r="CX402" i="3"/>
  <c r="CX384" i="3"/>
  <c r="CX388" i="3"/>
  <c r="CX392" i="3"/>
  <c r="CX396" i="3"/>
  <c r="CX387" i="3"/>
  <c r="CX391" i="3"/>
  <c r="CX395" i="3"/>
  <c r="CX385" i="3"/>
  <c r="CX389" i="3"/>
  <c r="CX393" i="3"/>
  <c r="CX394" i="3"/>
  <c r="CX390" i="3"/>
  <c r="CX386" i="3"/>
  <c r="AB197" i="1"/>
  <c r="I195" i="1"/>
  <c r="T195" i="1" s="1"/>
  <c r="P194" i="1"/>
  <c r="CP194" i="1" s="1"/>
  <c r="O194" i="1" s="1"/>
  <c r="T190" i="1"/>
  <c r="AB187" i="1"/>
  <c r="U185" i="1"/>
  <c r="Q185" i="1"/>
  <c r="GX184" i="1"/>
  <c r="AB182" i="1"/>
  <c r="W179" i="1"/>
  <c r="S179" i="1"/>
  <c r="CX331" i="3"/>
  <c r="CX335" i="3"/>
  <c r="CX330" i="3"/>
  <c r="CX332" i="3"/>
  <c r="CX329" i="3"/>
  <c r="CX328" i="3"/>
  <c r="CX334" i="3"/>
  <c r="CX336" i="3"/>
  <c r="CX333" i="3"/>
  <c r="I176" i="1"/>
  <c r="T176" i="1" s="1"/>
  <c r="CR171" i="1"/>
  <c r="Q171" i="1" s="1"/>
  <c r="CP171" i="1" s="1"/>
  <c r="O171" i="1" s="1"/>
  <c r="AB171" i="1"/>
  <c r="CY170" i="1"/>
  <c r="X170" i="1" s="1"/>
  <c r="CZ170" i="1"/>
  <c r="Y170" i="1" s="1"/>
  <c r="GM168" i="1"/>
  <c r="CR166" i="1"/>
  <c r="Q166" i="1" s="1"/>
  <c r="CP166" i="1" s="1"/>
  <c r="O166" i="1" s="1"/>
  <c r="AB166" i="1"/>
  <c r="CP163" i="1"/>
  <c r="O163" i="1" s="1"/>
  <c r="GN162" i="1"/>
  <c r="GM162" i="1"/>
  <c r="CY157" i="1"/>
  <c r="X157" i="1" s="1"/>
  <c r="CZ157" i="1"/>
  <c r="Y157" i="1" s="1"/>
  <c r="CY155" i="1"/>
  <c r="X155" i="1" s="1"/>
  <c r="CZ155" i="1"/>
  <c r="Y155" i="1" s="1"/>
  <c r="CP153" i="1"/>
  <c r="O153" i="1" s="1"/>
  <c r="GN149" i="1"/>
  <c r="GM149" i="1"/>
  <c r="CX376" i="3"/>
  <c r="CX380" i="3"/>
  <c r="CX379" i="3"/>
  <c r="CX383" i="3"/>
  <c r="CX377" i="3"/>
  <c r="CX381" i="3"/>
  <c r="CX378" i="3"/>
  <c r="CX382" i="3"/>
  <c r="CX351" i="3"/>
  <c r="CX355" i="3"/>
  <c r="CX354" i="3"/>
  <c r="CX353" i="3"/>
  <c r="CX350" i="3"/>
  <c r="CX352" i="3"/>
  <c r="CX319" i="3"/>
  <c r="CX323" i="3"/>
  <c r="CX327" i="3"/>
  <c r="CX316" i="3"/>
  <c r="CX322" i="3"/>
  <c r="CX324" i="3"/>
  <c r="CX321" i="3"/>
  <c r="CX318" i="3"/>
  <c r="CX320" i="3"/>
  <c r="CX326" i="3"/>
  <c r="CX317" i="3"/>
  <c r="CX325" i="3"/>
  <c r="CX299" i="3"/>
  <c r="CX303" i="3"/>
  <c r="CX300" i="3"/>
  <c r="CX302" i="3"/>
  <c r="CX304" i="3"/>
  <c r="CX301" i="3"/>
  <c r="CX291" i="3"/>
  <c r="CX295" i="3"/>
  <c r="CX290" i="3"/>
  <c r="CX292" i="3"/>
  <c r="CX298" i="3"/>
  <c r="CX297" i="3"/>
  <c r="CX294" i="3"/>
  <c r="CX296" i="3"/>
  <c r="CX293" i="3"/>
  <c r="CX284" i="3"/>
  <c r="CX287" i="3"/>
  <c r="CX289" i="3"/>
  <c r="CX286" i="3"/>
  <c r="CX288" i="3"/>
  <c r="CX285" i="3"/>
  <c r="CX280" i="3"/>
  <c r="CX279" i="3"/>
  <c r="CX283" i="3"/>
  <c r="CX278" i="3"/>
  <c r="CX282" i="3"/>
  <c r="CX277" i="3"/>
  <c r="CX281" i="3"/>
  <c r="W160" i="1"/>
  <c r="S160" i="1"/>
  <c r="T157" i="1"/>
  <c r="AB157" i="1"/>
  <c r="CQ156" i="1"/>
  <c r="P156" i="1" s="1"/>
  <c r="U156" i="1"/>
  <c r="Q156" i="1"/>
  <c r="AD153" i="1"/>
  <c r="CR153" i="1" s="1"/>
  <c r="Q153" i="1" s="1"/>
  <c r="P152" i="1"/>
  <c r="CP152" i="1" s="1"/>
  <c r="O152" i="1" s="1"/>
  <c r="AB150" i="1"/>
  <c r="CR148" i="1"/>
  <c r="Q148" i="1" s="1"/>
  <c r="P148" i="1"/>
  <c r="CZ146" i="1"/>
  <c r="Y146" i="1" s="1"/>
  <c r="AD142" i="1"/>
  <c r="CR142" i="1" s="1"/>
  <c r="Q142" i="1" s="1"/>
  <c r="CS142" i="1"/>
  <c r="R142" i="1" s="1"/>
  <c r="AD140" i="1"/>
  <c r="CR140" i="1" s="1"/>
  <c r="CS140" i="1"/>
  <c r="W139" i="1"/>
  <c r="S139" i="1"/>
  <c r="AB139" i="1"/>
  <c r="T138" i="1"/>
  <c r="U137" i="1"/>
  <c r="Q137" i="1"/>
  <c r="CP137" i="1" s="1"/>
  <c r="O137" i="1" s="1"/>
  <c r="AD136" i="1"/>
  <c r="CR136" i="1" s="1"/>
  <c r="Q136" i="1" s="1"/>
  <c r="CP136" i="1" s="1"/>
  <c r="O136" i="1" s="1"/>
  <c r="CS136" i="1"/>
  <c r="R136" i="1" s="1"/>
  <c r="W135" i="1"/>
  <c r="S135" i="1"/>
  <c r="AB135" i="1"/>
  <c r="CZ134" i="1"/>
  <c r="Y134" i="1" s="1"/>
  <c r="CY134" i="1"/>
  <c r="X134" i="1" s="1"/>
  <c r="GX132" i="1"/>
  <c r="V131" i="1"/>
  <c r="S128" i="1"/>
  <c r="CY126" i="1"/>
  <c r="X126" i="1" s="1"/>
  <c r="CZ126" i="1"/>
  <c r="Y126" i="1" s="1"/>
  <c r="CZ125" i="1"/>
  <c r="Y125" i="1" s="1"/>
  <c r="GM125" i="1" s="1"/>
  <c r="CY125" i="1"/>
  <c r="X125" i="1" s="1"/>
  <c r="CZ122" i="1"/>
  <c r="Y122" i="1" s="1"/>
  <c r="CY122" i="1"/>
  <c r="X122" i="1" s="1"/>
  <c r="GK120" i="1"/>
  <c r="CZ120" i="1"/>
  <c r="Y120" i="1" s="1"/>
  <c r="CQ173" i="1"/>
  <c r="P173" i="1" s="1"/>
  <c r="CP173" i="1" s="1"/>
  <c r="O173" i="1" s="1"/>
  <c r="CS171" i="1"/>
  <c r="R171" i="1" s="1"/>
  <c r="GK171" i="1" s="1"/>
  <c r="CX307" i="3"/>
  <c r="CX311" i="3"/>
  <c r="CX315" i="3"/>
  <c r="CX306" i="3"/>
  <c r="CX308" i="3"/>
  <c r="CX314" i="3"/>
  <c r="CX305" i="3"/>
  <c r="CX313" i="3"/>
  <c r="CX310" i="3"/>
  <c r="CX312" i="3"/>
  <c r="CX309" i="3"/>
  <c r="CQ169" i="1"/>
  <c r="P169" i="1" s="1"/>
  <c r="CP169" i="1" s="1"/>
  <c r="O169" i="1" s="1"/>
  <c r="CS167" i="1"/>
  <c r="R167" i="1" s="1"/>
  <c r="GK167" i="1" s="1"/>
  <c r="CQ165" i="1"/>
  <c r="P165" i="1" s="1"/>
  <c r="CP165" i="1" s="1"/>
  <c r="O165" i="1" s="1"/>
  <c r="CQ161" i="1"/>
  <c r="CZ154" i="1"/>
  <c r="Y154" i="1" s="1"/>
  <c r="GM154" i="1" s="1"/>
  <c r="AB153" i="1"/>
  <c r="T148" i="1"/>
  <c r="CQ147" i="1"/>
  <c r="P147" i="1" s="1"/>
  <c r="CP147" i="1" s="1"/>
  <c r="O147" i="1" s="1"/>
  <c r="GX145" i="1"/>
  <c r="AB145" i="1"/>
  <c r="CQ144" i="1"/>
  <c r="CZ143" i="1"/>
  <c r="Y143" i="1" s="1"/>
  <c r="GM143" i="1" s="1"/>
  <c r="AB143" i="1"/>
  <c r="CQ142" i="1"/>
  <c r="P142" i="1" s="1"/>
  <c r="CP142" i="1" s="1"/>
  <c r="O142" i="1" s="1"/>
  <c r="CY142" i="1"/>
  <c r="X142" i="1" s="1"/>
  <c r="GX139" i="1"/>
  <c r="T139" i="1"/>
  <c r="W138" i="1"/>
  <c r="CX217" i="3"/>
  <c r="CX216" i="3"/>
  <c r="CX220" i="3"/>
  <c r="CX224" i="3"/>
  <c r="CX215" i="3"/>
  <c r="CX219" i="3"/>
  <c r="CX223" i="3"/>
  <c r="CX218" i="3"/>
  <c r="CX222" i="3"/>
  <c r="CX221" i="3"/>
  <c r="CX225" i="3"/>
  <c r="I138" i="1"/>
  <c r="U138" i="1" s="1"/>
  <c r="CY136" i="1"/>
  <c r="X136" i="1" s="1"/>
  <c r="GX135" i="1"/>
  <c r="T135" i="1"/>
  <c r="W132" i="1"/>
  <c r="Q132" i="1"/>
  <c r="T131" i="1"/>
  <c r="W131" i="1"/>
  <c r="CY130" i="1"/>
  <c r="X130" i="1" s="1"/>
  <c r="CZ130" i="1"/>
  <c r="Y130" i="1" s="1"/>
  <c r="CZ127" i="1"/>
  <c r="Y127" i="1" s="1"/>
  <c r="CY127" i="1"/>
  <c r="X127" i="1" s="1"/>
  <c r="GM127" i="1" s="1"/>
  <c r="CY123" i="1"/>
  <c r="X123" i="1" s="1"/>
  <c r="CZ123" i="1"/>
  <c r="Y123" i="1" s="1"/>
  <c r="CY115" i="1"/>
  <c r="X115" i="1" s="1"/>
  <c r="CZ115" i="1"/>
  <c r="Y115" i="1" s="1"/>
  <c r="CY113" i="1"/>
  <c r="X113" i="1" s="1"/>
  <c r="CZ113" i="1"/>
  <c r="Y113" i="1" s="1"/>
  <c r="AB155" i="1"/>
  <c r="CZ145" i="1"/>
  <c r="Y145" i="1" s="1"/>
  <c r="GX138" i="1"/>
  <c r="AD138" i="1"/>
  <c r="CR138" i="1" s="1"/>
  <c r="Q138" i="1" s="1"/>
  <c r="CS138" i="1"/>
  <c r="R138" i="1" s="1"/>
  <c r="GK138" i="1" s="1"/>
  <c r="CY137" i="1"/>
  <c r="X137" i="1" s="1"/>
  <c r="CZ137" i="1"/>
  <c r="Y137" i="1" s="1"/>
  <c r="AB137" i="1"/>
  <c r="U132" i="1"/>
  <c r="P132" i="1"/>
  <c r="GN125" i="1"/>
  <c r="CY124" i="1"/>
  <c r="X124" i="1" s="1"/>
  <c r="CZ124" i="1"/>
  <c r="Y124" i="1" s="1"/>
  <c r="CP114" i="1"/>
  <c r="O114" i="1" s="1"/>
  <c r="AB163" i="1"/>
  <c r="CX272" i="3"/>
  <c r="CX276" i="3"/>
  <c r="CX271" i="3"/>
  <c r="CX275" i="3"/>
  <c r="CX274" i="3"/>
  <c r="CX273" i="3"/>
  <c r="I161" i="1"/>
  <c r="Q161" i="1" s="1"/>
  <c r="P157" i="1"/>
  <c r="CP157" i="1" s="1"/>
  <c r="O157" i="1" s="1"/>
  <c r="CX264" i="3"/>
  <c r="CX268" i="3"/>
  <c r="CX267" i="3"/>
  <c r="CX266" i="3"/>
  <c r="CX270" i="3"/>
  <c r="CX265" i="3"/>
  <c r="CX269" i="3"/>
  <c r="AD150" i="1"/>
  <c r="CR150" i="1" s="1"/>
  <c r="Q150" i="1" s="1"/>
  <c r="AD146" i="1"/>
  <c r="CR146" i="1" s="1"/>
  <c r="Q146" i="1" s="1"/>
  <c r="CP146" i="1" s="1"/>
  <c r="O146" i="1" s="1"/>
  <c r="U145" i="1"/>
  <c r="Q145" i="1"/>
  <c r="CP145" i="1" s="1"/>
  <c r="O145" i="1" s="1"/>
  <c r="CX240" i="3"/>
  <c r="CX239" i="3"/>
  <c r="CX238" i="3"/>
  <c r="CX242" i="3"/>
  <c r="CX237" i="3"/>
  <c r="CX241" i="3"/>
  <c r="I144" i="1"/>
  <c r="T144" i="1" s="1"/>
  <c r="AB141" i="1"/>
  <c r="CR141" i="1"/>
  <c r="Q141" i="1" s="1"/>
  <c r="CP139" i="1"/>
  <c r="O139" i="1" s="1"/>
  <c r="CX228" i="3"/>
  <c r="CX227" i="3"/>
  <c r="CX226" i="3"/>
  <c r="I141" i="1"/>
  <c r="I140" i="1"/>
  <c r="U140" i="1" s="1"/>
  <c r="S138" i="1"/>
  <c r="CP135" i="1"/>
  <c r="O135" i="1" s="1"/>
  <c r="AB134" i="1"/>
  <c r="S132" i="1"/>
  <c r="P131" i="1"/>
  <c r="R131" i="1"/>
  <c r="GK131" i="1" s="1"/>
  <c r="GX131" i="1"/>
  <c r="GN127" i="1"/>
  <c r="CP124" i="1"/>
  <c r="O124" i="1" s="1"/>
  <c r="T121" i="1"/>
  <c r="CR120" i="1"/>
  <c r="Q120" i="1" s="1"/>
  <c r="AB120" i="1"/>
  <c r="CY119" i="1"/>
  <c r="X119" i="1" s="1"/>
  <c r="CZ119" i="1"/>
  <c r="Y119" i="1" s="1"/>
  <c r="CP119" i="1"/>
  <c r="O119" i="1" s="1"/>
  <c r="CY117" i="1"/>
  <c r="X117" i="1" s="1"/>
  <c r="CZ117" i="1"/>
  <c r="Y117" i="1" s="1"/>
  <c r="CZ116" i="1"/>
  <c r="Y116" i="1" s="1"/>
  <c r="GM116" i="1" s="1"/>
  <c r="CY116" i="1"/>
  <c r="X116" i="1" s="1"/>
  <c r="GN112" i="1"/>
  <c r="GM112" i="1"/>
  <c r="CX244" i="3"/>
  <c r="CX248" i="3"/>
  <c r="CX252" i="3"/>
  <c r="CX243" i="3"/>
  <c r="CX247" i="3"/>
  <c r="CX251" i="3"/>
  <c r="CX255" i="3"/>
  <c r="CX246" i="3"/>
  <c r="CX250" i="3"/>
  <c r="CX254" i="3"/>
  <c r="CX245" i="3"/>
  <c r="CX249" i="3"/>
  <c r="CX253" i="3"/>
  <c r="CX232" i="3"/>
  <c r="CX236" i="3"/>
  <c r="CX231" i="3"/>
  <c r="CX235" i="3"/>
  <c r="CX230" i="3"/>
  <c r="CX234" i="3"/>
  <c r="CX229" i="3"/>
  <c r="CX233" i="3"/>
  <c r="AB138" i="1"/>
  <c r="AB136" i="1"/>
  <c r="CQ134" i="1"/>
  <c r="P134" i="1" s="1"/>
  <c r="CP134" i="1" s="1"/>
  <c r="O134" i="1" s="1"/>
  <c r="AD134" i="1"/>
  <c r="CR134" i="1" s="1"/>
  <c r="Q134" i="1" s="1"/>
  <c r="CT133" i="1"/>
  <c r="S133" i="1" s="1"/>
  <c r="CS132" i="1"/>
  <c r="R132" i="1" s="1"/>
  <c r="GK132" i="1" s="1"/>
  <c r="AB132" i="1"/>
  <c r="I132" i="1"/>
  <c r="V132" i="1" s="1"/>
  <c r="P130" i="1"/>
  <c r="CP130" i="1" s="1"/>
  <c r="O130" i="1" s="1"/>
  <c r="P126" i="1"/>
  <c r="CP126" i="1" s="1"/>
  <c r="O126" i="1" s="1"/>
  <c r="AB124" i="1"/>
  <c r="T123" i="1"/>
  <c r="AB123" i="1"/>
  <c r="CQ122" i="1"/>
  <c r="P122" i="1" s="1"/>
  <c r="CP122" i="1" s="1"/>
  <c r="O122" i="1" s="1"/>
  <c r="U122" i="1"/>
  <c r="Q122" i="1"/>
  <c r="GX121" i="1"/>
  <c r="CX163" i="3"/>
  <c r="CX167" i="3"/>
  <c r="CX171" i="3"/>
  <c r="CX162" i="3"/>
  <c r="CX166" i="3"/>
  <c r="CX170" i="3"/>
  <c r="CX165" i="3"/>
  <c r="CX169" i="3"/>
  <c r="CX173" i="3"/>
  <c r="CX164" i="3"/>
  <c r="CX168" i="3"/>
  <c r="CX172" i="3"/>
  <c r="I121" i="1"/>
  <c r="S121" i="1" s="1"/>
  <c r="P117" i="1"/>
  <c r="CP117" i="1" s="1"/>
  <c r="O117" i="1" s="1"/>
  <c r="P113" i="1"/>
  <c r="CP113" i="1" s="1"/>
  <c r="O113" i="1" s="1"/>
  <c r="P111" i="1"/>
  <c r="CP111" i="1" s="1"/>
  <c r="O111" i="1" s="1"/>
  <c r="AB111" i="1"/>
  <c r="CP108" i="1"/>
  <c r="O108" i="1" s="1"/>
  <c r="CY107" i="1"/>
  <c r="X107" i="1" s="1"/>
  <c r="CZ107" i="1"/>
  <c r="Y107" i="1" s="1"/>
  <c r="CY105" i="1"/>
  <c r="X105" i="1" s="1"/>
  <c r="CZ105" i="1"/>
  <c r="Y105" i="1" s="1"/>
  <c r="CY104" i="1"/>
  <c r="X104" i="1" s="1"/>
  <c r="GM104" i="1" s="1"/>
  <c r="CZ104" i="1"/>
  <c r="Y104" i="1" s="1"/>
  <c r="GN104" i="1" s="1"/>
  <c r="AB104" i="1"/>
  <c r="CY100" i="1"/>
  <c r="X100" i="1" s="1"/>
  <c r="CZ100" i="1"/>
  <c r="Y100" i="1" s="1"/>
  <c r="AB99" i="1"/>
  <c r="CP98" i="1"/>
  <c r="O98" i="1" s="1"/>
  <c r="CP95" i="1"/>
  <c r="O95" i="1" s="1"/>
  <c r="CP94" i="1"/>
  <c r="O94" i="1" s="1"/>
  <c r="CZ92" i="1"/>
  <c r="Y92" i="1" s="1"/>
  <c r="GM92" i="1" s="1"/>
  <c r="CY92" i="1"/>
  <c r="X92" i="1" s="1"/>
  <c r="CZ90" i="1"/>
  <c r="Y90" i="1" s="1"/>
  <c r="CY90" i="1"/>
  <c r="X90" i="1" s="1"/>
  <c r="CY89" i="1"/>
  <c r="X89" i="1" s="1"/>
  <c r="CZ89" i="1"/>
  <c r="Y89" i="1" s="1"/>
  <c r="CX195" i="3"/>
  <c r="CX199" i="3"/>
  <c r="CX194" i="3"/>
  <c r="CX198" i="3"/>
  <c r="CX197" i="3"/>
  <c r="CX196" i="3"/>
  <c r="CX201" i="3"/>
  <c r="CX200" i="3"/>
  <c r="AB129" i="1"/>
  <c r="CP129" i="1"/>
  <c r="O129" i="1" s="1"/>
  <c r="V121" i="1"/>
  <c r="R121" i="1"/>
  <c r="GK121" i="1" s="1"/>
  <c r="CP120" i="1"/>
  <c r="O120" i="1" s="1"/>
  <c r="CY111" i="1"/>
  <c r="X111" i="1" s="1"/>
  <c r="CZ111" i="1"/>
  <c r="Y111" i="1" s="1"/>
  <c r="CY109" i="1"/>
  <c r="X109" i="1" s="1"/>
  <c r="CZ109" i="1"/>
  <c r="Y109" i="1" s="1"/>
  <c r="CR107" i="1"/>
  <c r="Q107" i="1" s="1"/>
  <c r="AB107" i="1"/>
  <c r="CZ106" i="1"/>
  <c r="Y106" i="1" s="1"/>
  <c r="CY106" i="1"/>
  <c r="X106" i="1" s="1"/>
  <c r="CY103" i="1"/>
  <c r="X103" i="1" s="1"/>
  <c r="CZ103" i="1"/>
  <c r="Y103" i="1" s="1"/>
  <c r="CZ101" i="1"/>
  <c r="Y101" i="1" s="1"/>
  <c r="CY101" i="1"/>
  <c r="X101" i="1" s="1"/>
  <c r="CY98" i="1"/>
  <c r="X98" i="1" s="1"/>
  <c r="CZ98" i="1"/>
  <c r="Y98" i="1" s="1"/>
  <c r="CY96" i="1"/>
  <c r="X96" i="1" s="1"/>
  <c r="CZ96" i="1"/>
  <c r="Y96" i="1" s="1"/>
  <c r="CY95" i="1"/>
  <c r="X95" i="1" s="1"/>
  <c r="CZ95" i="1"/>
  <c r="Y95" i="1" s="1"/>
  <c r="S85" i="1"/>
  <c r="CX202" i="3"/>
  <c r="CX206" i="3"/>
  <c r="CX210" i="3"/>
  <c r="CX205" i="3"/>
  <c r="CX209" i="3"/>
  <c r="CX213" i="3"/>
  <c r="CX204" i="3"/>
  <c r="CX208" i="3"/>
  <c r="CX212" i="3"/>
  <c r="CX203" i="3"/>
  <c r="CX207" i="3"/>
  <c r="CX211" i="3"/>
  <c r="CX214" i="3"/>
  <c r="CX187" i="3"/>
  <c r="CX191" i="3"/>
  <c r="CX186" i="3"/>
  <c r="CX190" i="3"/>
  <c r="CX189" i="3"/>
  <c r="CX193" i="3"/>
  <c r="CX188" i="3"/>
  <c r="CX192" i="3"/>
  <c r="CR128" i="1"/>
  <c r="Q128" i="1" s="1"/>
  <c r="P128" i="1"/>
  <c r="CP128" i="1" s="1"/>
  <c r="O128" i="1" s="1"/>
  <c r="CX179" i="3"/>
  <c r="CX183" i="3"/>
  <c r="CX182" i="3"/>
  <c r="CX181" i="3"/>
  <c r="CX185" i="3"/>
  <c r="CX180" i="3"/>
  <c r="CX184" i="3"/>
  <c r="AD121" i="1"/>
  <c r="CR121" i="1" s="1"/>
  <c r="Q121" i="1" s="1"/>
  <c r="AB112" i="1"/>
  <c r="CZ110" i="1"/>
  <c r="Y110" i="1" s="1"/>
  <c r="CY110" i="1"/>
  <c r="X110" i="1" s="1"/>
  <c r="AB110" i="1"/>
  <c r="CR109" i="1"/>
  <c r="Q109" i="1" s="1"/>
  <c r="CP109" i="1" s="1"/>
  <c r="O109" i="1" s="1"/>
  <c r="AB109" i="1"/>
  <c r="CP105" i="1"/>
  <c r="O105" i="1" s="1"/>
  <c r="CP102" i="1"/>
  <c r="O102" i="1" s="1"/>
  <c r="CP100" i="1"/>
  <c r="O100" i="1" s="1"/>
  <c r="CR98" i="1"/>
  <c r="Q98" i="1" s="1"/>
  <c r="AB98" i="1"/>
  <c r="CP96" i="1"/>
  <c r="O96" i="1" s="1"/>
  <c r="CR95" i="1"/>
  <c r="Q95" i="1" s="1"/>
  <c r="AB95" i="1"/>
  <c r="GN92" i="1"/>
  <c r="CY91" i="1"/>
  <c r="X91" i="1" s="1"/>
  <c r="CZ91" i="1"/>
  <c r="Y91" i="1" s="1"/>
  <c r="CP90" i="1"/>
  <c r="O90" i="1" s="1"/>
  <c r="CP87" i="1"/>
  <c r="O87" i="1" s="1"/>
  <c r="S131" i="1"/>
  <c r="T128" i="1"/>
  <c r="P123" i="1"/>
  <c r="CP123" i="1" s="1"/>
  <c r="O123" i="1" s="1"/>
  <c r="AB119" i="1"/>
  <c r="CZ118" i="1"/>
  <c r="Y118" i="1" s="1"/>
  <c r="GM118" i="1" s="1"/>
  <c r="AD115" i="1"/>
  <c r="CR115" i="1" s="1"/>
  <c r="Q115" i="1" s="1"/>
  <c r="CP115" i="1" s="1"/>
  <c r="O115" i="1" s="1"/>
  <c r="CZ114" i="1"/>
  <c r="Y114" i="1" s="1"/>
  <c r="AB108" i="1"/>
  <c r="CP107" i="1"/>
  <c r="O107" i="1" s="1"/>
  <c r="CP103" i="1"/>
  <c r="O103" i="1" s="1"/>
  <c r="R97" i="1"/>
  <c r="GK97" i="1" s="1"/>
  <c r="CY94" i="1"/>
  <c r="X94" i="1" s="1"/>
  <c r="CZ94" i="1"/>
  <c r="Y94" i="1" s="1"/>
  <c r="AB94" i="1"/>
  <c r="CY93" i="1"/>
  <c r="X93" i="1" s="1"/>
  <c r="GN93" i="1" s="1"/>
  <c r="CZ93" i="1"/>
  <c r="Y93" i="1" s="1"/>
  <c r="CZ88" i="1"/>
  <c r="Y88" i="1" s="1"/>
  <c r="CY88" i="1"/>
  <c r="X88" i="1" s="1"/>
  <c r="CY86" i="1"/>
  <c r="X86" i="1" s="1"/>
  <c r="CP84" i="1"/>
  <c r="O84" i="1" s="1"/>
  <c r="CQ110" i="1"/>
  <c r="P110" i="1" s="1"/>
  <c r="CP110" i="1" s="1"/>
  <c r="O110" i="1" s="1"/>
  <c r="CS108" i="1"/>
  <c r="R108" i="1" s="1"/>
  <c r="GK108" i="1" s="1"/>
  <c r="CQ106" i="1"/>
  <c r="P106" i="1" s="1"/>
  <c r="CP106" i="1" s="1"/>
  <c r="O106" i="1" s="1"/>
  <c r="CS104" i="1"/>
  <c r="R104" i="1" s="1"/>
  <c r="GK104" i="1" s="1"/>
  <c r="CX128" i="3"/>
  <c r="CX132" i="3"/>
  <c r="CX136" i="3"/>
  <c r="CX131" i="3"/>
  <c r="CX135" i="3"/>
  <c r="CX139" i="3"/>
  <c r="CX130" i="3"/>
  <c r="CX134" i="3"/>
  <c r="CX138" i="3"/>
  <c r="CX129" i="3"/>
  <c r="CX133" i="3"/>
  <c r="CX137" i="3"/>
  <c r="CS102" i="1"/>
  <c r="R102" i="1" s="1"/>
  <c r="GK102" i="1" s="1"/>
  <c r="CQ101" i="1"/>
  <c r="P101" i="1" s="1"/>
  <c r="CP101" i="1" s="1"/>
  <c r="O101" i="1" s="1"/>
  <c r="CS99" i="1"/>
  <c r="R99" i="1" s="1"/>
  <c r="GK99" i="1" s="1"/>
  <c r="CS96" i="1"/>
  <c r="R96" i="1" s="1"/>
  <c r="GK96" i="1" s="1"/>
  <c r="CS94" i="1"/>
  <c r="R94" i="1" s="1"/>
  <c r="GK94" i="1" s="1"/>
  <c r="CX100" i="3"/>
  <c r="CX99" i="3"/>
  <c r="CX103" i="3"/>
  <c r="CX102" i="3"/>
  <c r="CX101" i="3"/>
  <c r="AB91" i="1"/>
  <c r="P89" i="1"/>
  <c r="CP89" i="1" s="1"/>
  <c r="O89" i="1" s="1"/>
  <c r="CZ87" i="1"/>
  <c r="Y87" i="1" s="1"/>
  <c r="V85" i="1"/>
  <c r="W84" i="1"/>
  <c r="S84" i="1"/>
  <c r="BB51" i="1"/>
  <c r="CY47" i="1"/>
  <c r="X47" i="1" s="1"/>
  <c r="CZ47" i="1"/>
  <c r="Y47" i="1" s="1"/>
  <c r="GN47" i="1" s="1"/>
  <c r="GX44" i="1"/>
  <c r="CJ51" i="1" s="1"/>
  <c r="S44" i="1"/>
  <c r="AB44" i="1"/>
  <c r="CY43" i="1"/>
  <c r="X43" i="1" s="1"/>
  <c r="CZ43" i="1"/>
  <c r="Y43" i="1" s="1"/>
  <c r="CP37" i="1"/>
  <c r="O37" i="1" s="1"/>
  <c r="AB35" i="1"/>
  <c r="CZ33" i="1"/>
  <c r="Y33" i="1" s="1"/>
  <c r="CY33" i="1"/>
  <c r="X33" i="1" s="1"/>
  <c r="AH51" i="1"/>
  <c r="CX140" i="3"/>
  <c r="CX141" i="3"/>
  <c r="CX104" i="3"/>
  <c r="CX108" i="3"/>
  <c r="CX112" i="3"/>
  <c r="CX107" i="3"/>
  <c r="CX111" i="3"/>
  <c r="CX106" i="3"/>
  <c r="CX110" i="3"/>
  <c r="CX105" i="3"/>
  <c r="CX109" i="3"/>
  <c r="T89" i="1"/>
  <c r="CQ88" i="1"/>
  <c r="P88" i="1" s="1"/>
  <c r="CP88" i="1" s="1"/>
  <c r="O88" i="1" s="1"/>
  <c r="CQ85" i="1"/>
  <c r="CX60" i="3"/>
  <c r="CX64" i="3"/>
  <c r="CX68" i="3"/>
  <c r="CX63" i="3"/>
  <c r="CX67" i="3"/>
  <c r="CX71" i="3"/>
  <c r="CX62" i="3"/>
  <c r="CX66" i="3"/>
  <c r="CX70" i="3"/>
  <c r="CX61" i="3"/>
  <c r="CX65" i="3"/>
  <c r="CX69" i="3"/>
  <c r="I85" i="1"/>
  <c r="BZ30" i="1"/>
  <c r="AQ51" i="1"/>
  <c r="W44" i="1"/>
  <c r="AJ51" i="1" s="1"/>
  <c r="P44" i="1"/>
  <c r="CP44" i="1" s="1"/>
  <c r="O44" i="1" s="1"/>
  <c r="CR43" i="1"/>
  <c r="Q43" i="1" s="1"/>
  <c r="AB43" i="1"/>
  <c r="CP41" i="1"/>
  <c r="O41" i="1" s="1"/>
  <c r="CY39" i="1"/>
  <c r="X39" i="1" s="1"/>
  <c r="CZ39" i="1"/>
  <c r="Y39" i="1" s="1"/>
  <c r="CZ38" i="1"/>
  <c r="Y38" i="1" s="1"/>
  <c r="CP36" i="1"/>
  <c r="O36" i="1" s="1"/>
  <c r="CP35" i="1"/>
  <c r="O35" i="1" s="1"/>
  <c r="CR33" i="1"/>
  <c r="Q33" i="1" s="1"/>
  <c r="CP33" i="1" s="1"/>
  <c r="O33" i="1" s="1"/>
  <c r="AB33" i="1"/>
  <c r="CY32" i="1"/>
  <c r="X32" i="1" s="1"/>
  <c r="CZ32" i="1"/>
  <c r="Y32" i="1" s="1"/>
  <c r="CX144" i="3"/>
  <c r="CX143" i="3"/>
  <c r="CX147" i="3"/>
  <c r="CX142" i="3"/>
  <c r="CX146" i="3"/>
  <c r="CX145" i="3"/>
  <c r="CX84" i="3"/>
  <c r="CX88" i="3"/>
  <c r="CX87" i="3"/>
  <c r="CX86" i="3"/>
  <c r="CX90" i="3"/>
  <c r="CX85" i="3"/>
  <c r="CX89" i="3"/>
  <c r="CZ86" i="1"/>
  <c r="Y86" i="1" s="1"/>
  <c r="BY30" i="1"/>
  <c r="CI51" i="1"/>
  <c r="AX51" i="1"/>
  <c r="AP51" i="1"/>
  <c r="F74" i="1"/>
  <c r="V30" i="1"/>
  <c r="CY48" i="1"/>
  <c r="X48" i="1" s="1"/>
  <c r="CZ48" i="1"/>
  <c r="Y48" i="1" s="1"/>
  <c r="GM47" i="1"/>
  <c r="CY45" i="1"/>
  <c r="X45" i="1" s="1"/>
  <c r="CZ45" i="1"/>
  <c r="Y45" i="1" s="1"/>
  <c r="CZ40" i="1"/>
  <c r="Y40" i="1" s="1"/>
  <c r="CY40" i="1"/>
  <c r="X40" i="1" s="1"/>
  <c r="CY37" i="1"/>
  <c r="X37" i="1" s="1"/>
  <c r="CZ37" i="1"/>
  <c r="Y37" i="1" s="1"/>
  <c r="CY36" i="1"/>
  <c r="X36" i="1" s="1"/>
  <c r="CZ36" i="1"/>
  <c r="Y36" i="1" s="1"/>
  <c r="CZ34" i="1"/>
  <c r="Y34" i="1" s="1"/>
  <c r="I97" i="1"/>
  <c r="GX97" i="1" s="1"/>
  <c r="AD91" i="1"/>
  <c r="CR91" i="1" s="1"/>
  <c r="Q91" i="1" s="1"/>
  <c r="CP91" i="1" s="1"/>
  <c r="O91" i="1" s="1"/>
  <c r="U90" i="1"/>
  <c r="Q90" i="1"/>
  <c r="AD87" i="1"/>
  <c r="CR87" i="1" s="1"/>
  <c r="Q87" i="1" s="1"/>
  <c r="U86" i="1"/>
  <c r="Q86" i="1"/>
  <c r="CP86" i="1" s="1"/>
  <c r="O86" i="1" s="1"/>
  <c r="CL30" i="1"/>
  <c r="BC51" i="1"/>
  <c r="CD30" i="1"/>
  <c r="AU51" i="1"/>
  <c r="CZ49" i="1"/>
  <c r="Y49" i="1" s="1"/>
  <c r="CY49" i="1"/>
  <c r="X49" i="1" s="1"/>
  <c r="AB49" i="1"/>
  <c r="CR48" i="1"/>
  <c r="Q48" i="1" s="1"/>
  <c r="CP48" i="1" s="1"/>
  <c r="O48" i="1" s="1"/>
  <c r="AB48" i="1"/>
  <c r="CZ46" i="1"/>
  <c r="Y46" i="1" s="1"/>
  <c r="CY46" i="1"/>
  <c r="X46" i="1" s="1"/>
  <c r="AB46" i="1"/>
  <c r="CR45" i="1"/>
  <c r="Q45" i="1" s="1"/>
  <c r="CP45" i="1" s="1"/>
  <c r="O45" i="1" s="1"/>
  <c r="AB45" i="1"/>
  <c r="CP43" i="1"/>
  <c r="O43" i="1" s="1"/>
  <c r="CP42" i="1"/>
  <c r="O42" i="1" s="1"/>
  <c r="CY41" i="1"/>
  <c r="X41" i="1" s="1"/>
  <c r="CZ41" i="1"/>
  <c r="Y41" i="1" s="1"/>
  <c r="CP39" i="1"/>
  <c r="O39" i="1" s="1"/>
  <c r="CR36" i="1"/>
  <c r="Q36" i="1" s="1"/>
  <c r="AB36" i="1"/>
  <c r="CR34" i="1"/>
  <c r="Q34" i="1" s="1"/>
  <c r="CP34" i="1" s="1"/>
  <c r="O34" i="1" s="1"/>
  <c r="AB34" i="1"/>
  <c r="CX92" i="3"/>
  <c r="CX96" i="3"/>
  <c r="CX91" i="3"/>
  <c r="CX95" i="3"/>
  <c r="CX94" i="3"/>
  <c r="CX98" i="3"/>
  <c r="CX93" i="3"/>
  <c r="CX97" i="3"/>
  <c r="CX72" i="3"/>
  <c r="CX76" i="3"/>
  <c r="CX80" i="3"/>
  <c r="CX75" i="3"/>
  <c r="CX79" i="3"/>
  <c r="CX83" i="3"/>
  <c r="CX74" i="3"/>
  <c r="CX78" i="3"/>
  <c r="CX82" i="3"/>
  <c r="CX73" i="3"/>
  <c r="CX77" i="3"/>
  <c r="CX81" i="3"/>
  <c r="CQ49" i="1"/>
  <c r="P49" i="1" s="1"/>
  <c r="CP49" i="1" s="1"/>
  <c r="O49" i="1" s="1"/>
  <c r="CQ46" i="1"/>
  <c r="P46" i="1" s="1"/>
  <c r="CP46" i="1" s="1"/>
  <c r="O46" i="1" s="1"/>
  <c r="CS44" i="1"/>
  <c r="R44" i="1" s="1"/>
  <c r="GK44" i="1" s="1"/>
  <c r="CS42" i="1"/>
  <c r="R42" i="1" s="1"/>
  <c r="GK42" i="1" s="1"/>
  <c r="CQ40" i="1"/>
  <c r="P40" i="1" s="1"/>
  <c r="CP40" i="1" s="1"/>
  <c r="O40" i="1" s="1"/>
  <c r="CS38" i="1"/>
  <c r="R38" i="1" s="1"/>
  <c r="GK38" i="1" s="1"/>
  <c r="CX12" i="3"/>
  <c r="CX16" i="3"/>
  <c r="CX11" i="3"/>
  <c r="CX15" i="3"/>
  <c r="CX14" i="3"/>
  <c r="CX13" i="3"/>
  <c r="CX17" i="3"/>
  <c r="CS35" i="1"/>
  <c r="R35" i="1" s="1"/>
  <c r="GK35" i="1" s="1"/>
  <c r="T32" i="1"/>
  <c r="AG51" i="1" s="1"/>
  <c r="AB32" i="1"/>
  <c r="CX28" i="3"/>
  <c r="CX31" i="3"/>
  <c r="CX30" i="3"/>
  <c r="CX29" i="3"/>
  <c r="CX2" i="3"/>
  <c r="CX1" i="3"/>
  <c r="CS34" i="1"/>
  <c r="R34" i="1" s="1"/>
  <c r="CX35" i="3"/>
  <c r="CX34" i="3"/>
  <c r="CX33" i="3"/>
  <c r="CX36" i="3"/>
  <c r="CX40" i="3"/>
  <c r="CX39" i="3"/>
  <c r="CX38" i="3"/>
  <c r="CX37" i="3"/>
  <c r="CX20" i="3"/>
  <c r="CX24" i="3"/>
  <c r="CX19" i="3"/>
  <c r="CX23" i="3"/>
  <c r="CX18" i="3"/>
  <c r="CX22" i="3"/>
  <c r="CX26" i="3"/>
  <c r="CX21" i="3"/>
  <c r="CX25" i="3"/>
  <c r="P32" i="1"/>
  <c r="J1202" i="5" l="1"/>
  <c r="J1451" i="5"/>
  <c r="G1202" i="5"/>
  <c r="J1081" i="5"/>
  <c r="J1298" i="5"/>
  <c r="G1082" i="5"/>
  <c r="J899" i="5"/>
  <c r="G687" i="5"/>
  <c r="J687" i="5"/>
  <c r="J1082" i="5"/>
  <c r="G1081" i="5"/>
  <c r="J1452" i="5"/>
  <c r="G686" i="5"/>
  <c r="G15" i="5"/>
  <c r="J686" i="5"/>
  <c r="G1452" i="5"/>
  <c r="G14" i="5"/>
  <c r="G899" i="5"/>
  <c r="G16" i="5"/>
  <c r="GM86" i="1"/>
  <c r="GN86" i="1"/>
  <c r="GN91" i="1"/>
  <c r="GM91" i="1"/>
  <c r="GM109" i="1"/>
  <c r="GN109" i="1"/>
  <c r="GN146" i="1"/>
  <c r="GM146" i="1"/>
  <c r="GN201" i="1"/>
  <c r="GM201" i="1"/>
  <c r="GM45" i="1"/>
  <c r="GN45" i="1"/>
  <c r="CJ30" i="1"/>
  <c r="BA51" i="1"/>
  <c r="GN199" i="1"/>
  <c r="GM199" i="1"/>
  <c r="GM398" i="1"/>
  <c r="GO398" i="1"/>
  <c r="BA732" i="1"/>
  <c r="CJ712" i="1"/>
  <c r="W582" i="1"/>
  <c r="AJ570" i="1"/>
  <c r="AD491" i="1"/>
  <c r="Q498" i="1"/>
  <c r="GN630" i="1"/>
  <c r="GM630" i="1"/>
  <c r="GN714" i="1"/>
  <c r="GM714" i="1"/>
  <c r="AJ30" i="1"/>
  <c r="W51" i="1"/>
  <c r="GM145" i="1"/>
  <c r="GN145" i="1"/>
  <c r="GM137" i="1"/>
  <c r="GN137" i="1"/>
  <c r="GM166" i="1"/>
  <c r="GN166" i="1"/>
  <c r="GO344" i="1"/>
  <c r="GM344" i="1"/>
  <c r="GO418" i="1"/>
  <c r="GM418" i="1"/>
  <c r="AH387" i="1"/>
  <c r="U431" i="1"/>
  <c r="GO417" i="1"/>
  <c r="GM417" i="1"/>
  <c r="GN678" i="1"/>
  <c r="GM678" i="1"/>
  <c r="GM48" i="1"/>
  <c r="GN48" i="1"/>
  <c r="GM158" i="1"/>
  <c r="GN158" i="1"/>
  <c r="GM419" i="1"/>
  <c r="GO419" i="1"/>
  <c r="GM619" i="1"/>
  <c r="GN619" i="1"/>
  <c r="GN626" i="1"/>
  <c r="GM626" i="1"/>
  <c r="GM726" i="1"/>
  <c r="GN726" i="1"/>
  <c r="GN115" i="1"/>
  <c r="GM115" i="1"/>
  <c r="GO421" i="1"/>
  <c r="GM421" i="1"/>
  <c r="GM422" i="1"/>
  <c r="GO422" i="1"/>
  <c r="AD666" i="1"/>
  <c r="Q681" i="1"/>
  <c r="GM88" i="1"/>
  <c r="GN88" i="1"/>
  <c r="CY44" i="1"/>
  <c r="X44" i="1" s="1"/>
  <c r="CZ44" i="1"/>
  <c r="Y44" i="1" s="1"/>
  <c r="AF51" i="1"/>
  <c r="GK34" i="1"/>
  <c r="AE51" i="1"/>
  <c r="BC30" i="1"/>
  <c r="F67" i="1"/>
  <c r="BC247" i="1"/>
  <c r="F58" i="1"/>
  <c r="AX30" i="1"/>
  <c r="CZ42" i="1"/>
  <c r="Y42" i="1" s="1"/>
  <c r="CY38" i="1"/>
  <c r="X38" i="1" s="1"/>
  <c r="U85" i="1"/>
  <c r="W85" i="1"/>
  <c r="AH30" i="1"/>
  <c r="U51" i="1"/>
  <c r="GN103" i="1"/>
  <c r="GM103" i="1"/>
  <c r="CY131" i="1"/>
  <c r="X131" i="1" s="1"/>
  <c r="CZ131" i="1"/>
  <c r="Y131" i="1" s="1"/>
  <c r="GN105" i="1"/>
  <c r="GM105" i="1"/>
  <c r="T85" i="1"/>
  <c r="GM95" i="1"/>
  <c r="GN95" i="1"/>
  <c r="GM113" i="1"/>
  <c r="GN113" i="1"/>
  <c r="GM130" i="1"/>
  <c r="GN130" i="1"/>
  <c r="CP131" i="1"/>
  <c r="O131" i="1" s="1"/>
  <c r="GX141" i="1"/>
  <c r="P141" i="1"/>
  <c r="U141" i="1"/>
  <c r="CP32" i="1"/>
  <c r="O32" i="1" s="1"/>
  <c r="AC51" i="1"/>
  <c r="GM40" i="1"/>
  <c r="GN40" i="1"/>
  <c r="GM49" i="1"/>
  <c r="GN49" i="1"/>
  <c r="GM42" i="1"/>
  <c r="GN42" i="1"/>
  <c r="AU30" i="1"/>
  <c r="F70" i="1"/>
  <c r="AU247" i="1"/>
  <c r="GX85" i="1"/>
  <c r="CY42" i="1"/>
  <c r="X42" i="1" s="1"/>
  <c r="P85" i="1"/>
  <c r="CY35" i="1"/>
  <c r="X35" i="1" s="1"/>
  <c r="GM35" i="1" s="1"/>
  <c r="R85" i="1"/>
  <c r="GM89" i="1"/>
  <c r="GN89" i="1"/>
  <c r="U97" i="1"/>
  <c r="GM107" i="1"/>
  <c r="GN107" i="1"/>
  <c r="AB121" i="1"/>
  <c r="T97" i="1"/>
  <c r="CY102" i="1"/>
  <c r="X102" i="1" s="1"/>
  <c r="GM129" i="1"/>
  <c r="GN129" i="1"/>
  <c r="P97" i="1"/>
  <c r="CZ99" i="1"/>
  <c r="Y99" i="1" s="1"/>
  <c r="AB115" i="1"/>
  <c r="AB140" i="1"/>
  <c r="GN119" i="1"/>
  <c r="GM119" i="1"/>
  <c r="T132" i="1"/>
  <c r="P138" i="1"/>
  <c r="CP138" i="1" s="1"/>
  <c r="O138" i="1" s="1"/>
  <c r="W140" i="1"/>
  <c r="R141" i="1"/>
  <c r="GK141" i="1" s="1"/>
  <c r="GX144" i="1"/>
  <c r="GM157" i="1"/>
  <c r="GN157" i="1"/>
  <c r="GX161" i="1"/>
  <c r="U121" i="1"/>
  <c r="V138" i="1"/>
  <c r="GN118" i="1"/>
  <c r="S141" i="1"/>
  <c r="AB142" i="1"/>
  <c r="P144" i="1"/>
  <c r="GN165" i="1"/>
  <c r="GM165" i="1"/>
  <c r="CY128" i="1"/>
  <c r="X128" i="1" s="1"/>
  <c r="CZ128" i="1"/>
  <c r="Y128" i="1" s="1"/>
  <c r="GX140" i="1"/>
  <c r="R144" i="1"/>
  <c r="GK144" i="1" s="1"/>
  <c r="CP148" i="1"/>
  <c r="O148" i="1" s="1"/>
  <c r="R161" i="1"/>
  <c r="GK161" i="1" s="1"/>
  <c r="CZ171" i="1"/>
  <c r="Y171" i="1" s="1"/>
  <c r="CY175" i="1"/>
  <c r="X175" i="1" s="1"/>
  <c r="GM175" i="1" s="1"/>
  <c r="CZ175" i="1"/>
  <c r="Y175" i="1" s="1"/>
  <c r="Q182" i="1"/>
  <c r="S195" i="1"/>
  <c r="AO82" i="1"/>
  <c r="F222" i="1"/>
  <c r="AO247" i="1"/>
  <c r="CZ167" i="1"/>
  <c r="Y167" i="1" s="1"/>
  <c r="GX176" i="1"/>
  <c r="W196" i="1"/>
  <c r="T196" i="1"/>
  <c r="GN154" i="1"/>
  <c r="CY172" i="1"/>
  <c r="X172" i="1" s="1"/>
  <c r="CZ172" i="1"/>
  <c r="Y172" i="1" s="1"/>
  <c r="GX179" i="1"/>
  <c r="R179" i="1"/>
  <c r="GK179" i="1" s="1"/>
  <c r="V184" i="1"/>
  <c r="CY193" i="1"/>
  <c r="X193" i="1" s="1"/>
  <c r="CZ193" i="1"/>
  <c r="Y193" i="1" s="1"/>
  <c r="CP202" i="1"/>
  <c r="O202" i="1" s="1"/>
  <c r="AQ82" i="1"/>
  <c r="F228" i="1"/>
  <c r="P176" i="1"/>
  <c r="P184" i="1"/>
  <c r="CZ198" i="1"/>
  <c r="Y198" i="1" s="1"/>
  <c r="GM198" i="1" s="1"/>
  <c r="AB200" i="1"/>
  <c r="GO287" i="1"/>
  <c r="GM287" i="1"/>
  <c r="F297" i="1"/>
  <c r="AX282" i="1"/>
  <c r="T324" i="1"/>
  <c r="P324" i="1"/>
  <c r="CP324" i="1" s="1"/>
  <c r="O324" i="1" s="1"/>
  <c r="V326" i="1"/>
  <c r="V334" i="1"/>
  <c r="R352" i="1"/>
  <c r="GK352" i="1" s="1"/>
  <c r="CZ177" i="1"/>
  <c r="Y177" i="1" s="1"/>
  <c r="GM177" i="1" s="1"/>
  <c r="S184" i="1"/>
  <c r="GX195" i="1"/>
  <c r="AB206" i="1"/>
  <c r="AB211" i="1"/>
  <c r="Q290" i="1"/>
  <c r="AD282" i="1"/>
  <c r="V328" i="1"/>
  <c r="V336" i="1"/>
  <c r="V185" i="1"/>
  <c r="T192" i="1"/>
  <c r="P196" i="1"/>
  <c r="AK290" i="1"/>
  <c r="GM286" i="1"/>
  <c r="R324" i="1"/>
  <c r="GO325" i="1"/>
  <c r="GM325" i="1"/>
  <c r="W330" i="1"/>
  <c r="S330" i="1"/>
  <c r="V330" i="1"/>
  <c r="CY335" i="1"/>
  <c r="X335" i="1" s="1"/>
  <c r="CZ335" i="1"/>
  <c r="Y335" i="1" s="1"/>
  <c r="R338" i="1"/>
  <c r="GK338" i="1" s="1"/>
  <c r="AB344" i="1"/>
  <c r="CY349" i="1"/>
  <c r="X349" i="1" s="1"/>
  <c r="GO349" i="1" s="1"/>
  <c r="CZ349" i="1"/>
  <c r="Y349" i="1" s="1"/>
  <c r="AQ321" i="1"/>
  <c r="F366" i="1"/>
  <c r="GK390" i="1"/>
  <c r="GM390" i="1" s="1"/>
  <c r="AE431" i="1"/>
  <c r="CY190" i="1"/>
  <c r="X190" i="1" s="1"/>
  <c r="CZ190" i="1"/>
  <c r="Y190" i="1" s="1"/>
  <c r="CZ202" i="1"/>
  <c r="Y202" i="1" s="1"/>
  <c r="CY202" i="1"/>
  <c r="X202" i="1" s="1"/>
  <c r="CY210" i="1"/>
  <c r="X210" i="1" s="1"/>
  <c r="CZ210" i="1"/>
  <c r="Y210" i="1" s="1"/>
  <c r="CP284" i="1"/>
  <c r="O284" i="1" s="1"/>
  <c r="Q326" i="1"/>
  <c r="CY329" i="1"/>
  <c r="X329" i="1" s="1"/>
  <c r="CZ329" i="1"/>
  <c r="Y329" i="1" s="1"/>
  <c r="V332" i="1"/>
  <c r="CY337" i="1"/>
  <c r="X337" i="1" s="1"/>
  <c r="CZ337" i="1"/>
  <c r="Y337" i="1" s="1"/>
  <c r="U328" i="1"/>
  <c r="GO339" i="1"/>
  <c r="GM339" i="1"/>
  <c r="AJ431" i="1"/>
  <c r="GO395" i="1"/>
  <c r="GM395" i="1"/>
  <c r="GO420" i="1"/>
  <c r="GM420" i="1"/>
  <c r="AZ539" i="1"/>
  <c r="CI529" i="1"/>
  <c r="U324" i="1"/>
  <c r="GM346" i="1"/>
  <c r="GX393" i="1"/>
  <c r="P330" i="1"/>
  <c r="CP330" i="1" s="1"/>
  <c r="O330" i="1" s="1"/>
  <c r="CP337" i="1"/>
  <c r="O337" i="1" s="1"/>
  <c r="T352" i="1"/>
  <c r="AG431" i="1"/>
  <c r="CY401" i="1"/>
  <c r="X401" i="1" s="1"/>
  <c r="GO401" i="1" s="1"/>
  <c r="CZ401" i="1"/>
  <c r="Y401" i="1" s="1"/>
  <c r="CY404" i="1"/>
  <c r="X404" i="1" s="1"/>
  <c r="AB411" i="1"/>
  <c r="CR411" i="1"/>
  <c r="Q411" i="1" s="1"/>
  <c r="CP411" i="1" s="1"/>
  <c r="O411" i="1" s="1"/>
  <c r="GM429" i="1"/>
  <c r="GO429" i="1"/>
  <c r="GO534" i="1"/>
  <c r="GM534" i="1"/>
  <c r="GO573" i="1"/>
  <c r="GM573" i="1"/>
  <c r="T326" i="1"/>
  <c r="S334" i="1"/>
  <c r="U352" i="1"/>
  <c r="CY402" i="1"/>
  <c r="X402" i="1" s="1"/>
  <c r="GM402" i="1" s="1"/>
  <c r="GM410" i="1"/>
  <c r="GO410" i="1"/>
  <c r="CY414" i="1"/>
  <c r="X414" i="1" s="1"/>
  <c r="CZ414" i="1"/>
  <c r="Y414" i="1" s="1"/>
  <c r="AB418" i="1"/>
  <c r="AO491" i="1"/>
  <c r="F502" i="1"/>
  <c r="AP529" i="1"/>
  <c r="F548" i="1"/>
  <c r="AX582" i="1"/>
  <c r="CG570" i="1"/>
  <c r="CP414" i="1"/>
  <c r="O414" i="1" s="1"/>
  <c r="CJ491" i="1"/>
  <c r="BA498" i="1"/>
  <c r="W539" i="1"/>
  <c r="AJ529" i="1"/>
  <c r="CP494" i="1"/>
  <c r="O494" i="1" s="1"/>
  <c r="GO531" i="1"/>
  <c r="GM531" i="1"/>
  <c r="AB539" i="1"/>
  <c r="AC582" i="1"/>
  <c r="R618" i="1"/>
  <c r="CY627" i="1"/>
  <c r="X627" i="1" s="1"/>
  <c r="CZ627" i="1"/>
  <c r="Y627" i="1" s="1"/>
  <c r="CG613" i="1"/>
  <c r="AX635" i="1"/>
  <c r="AE498" i="1"/>
  <c r="F507" i="1"/>
  <c r="AP491" i="1"/>
  <c r="V624" i="1"/>
  <c r="CI387" i="1"/>
  <c r="AZ431" i="1"/>
  <c r="GN425" i="1"/>
  <c r="CB431" i="1" s="1"/>
  <c r="GM425" i="1"/>
  <c r="AQ387" i="1"/>
  <c r="F441" i="1"/>
  <c r="AF491" i="1"/>
  <c r="S498" i="1"/>
  <c r="AE582" i="1"/>
  <c r="CY578" i="1"/>
  <c r="X578" i="1" s="1"/>
  <c r="GO578" i="1" s="1"/>
  <c r="CZ578" i="1"/>
  <c r="Y578" i="1" s="1"/>
  <c r="CP625" i="1"/>
  <c r="O625" i="1" s="1"/>
  <c r="CP633" i="1"/>
  <c r="O633" i="1" s="1"/>
  <c r="CI613" i="1"/>
  <c r="AZ635" i="1"/>
  <c r="CY716" i="1"/>
  <c r="X716" i="1" s="1"/>
  <c r="CZ716" i="1"/>
  <c r="Y716" i="1" s="1"/>
  <c r="Q724" i="1"/>
  <c r="GN729" i="1"/>
  <c r="GM729" i="1"/>
  <c r="W624" i="1"/>
  <c r="U677" i="1"/>
  <c r="V724" i="1"/>
  <c r="AI732" i="1" s="1"/>
  <c r="GM725" i="1"/>
  <c r="GN725" i="1"/>
  <c r="U628" i="1"/>
  <c r="AB669" i="1"/>
  <c r="W677" i="1"/>
  <c r="U621" i="1"/>
  <c r="P624" i="1"/>
  <c r="AB671" i="1"/>
  <c r="S676" i="1"/>
  <c r="S677" i="1"/>
  <c r="CP718" i="1"/>
  <c r="O718" i="1" s="1"/>
  <c r="CY721" i="1"/>
  <c r="X721" i="1" s="1"/>
  <c r="AP30" i="1"/>
  <c r="F60" i="1"/>
  <c r="AP247" i="1"/>
  <c r="GM36" i="1"/>
  <c r="GN36" i="1"/>
  <c r="GM106" i="1"/>
  <c r="GN106" i="1"/>
  <c r="GM123" i="1"/>
  <c r="GN123" i="1"/>
  <c r="GN87" i="1"/>
  <c r="GM87" i="1"/>
  <c r="GM96" i="1"/>
  <c r="GN96" i="1"/>
  <c r="GN100" i="1"/>
  <c r="GM100" i="1"/>
  <c r="CY85" i="1"/>
  <c r="X85" i="1" s="1"/>
  <c r="CZ85" i="1"/>
  <c r="Y85" i="1" s="1"/>
  <c r="GM120" i="1"/>
  <c r="GN120" i="1"/>
  <c r="V97" i="1"/>
  <c r="CY99" i="1"/>
  <c r="X99" i="1" s="1"/>
  <c r="GM117" i="1"/>
  <c r="GN117" i="1"/>
  <c r="GM134" i="1"/>
  <c r="GN134" i="1"/>
  <c r="CY132" i="1"/>
  <c r="X132" i="1" s="1"/>
  <c r="CZ132" i="1"/>
  <c r="Y132" i="1" s="1"/>
  <c r="CY138" i="1"/>
  <c r="X138" i="1" s="1"/>
  <c r="CZ138" i="1"/>
  <c r="Y138" i="1" s="1"/>
  <c r="U144" i="1"/>
  <c r="W144" i="1"/>
  <c r="U161" i="1"/>
  <c r="W161" i="1"/>
  <c r="CP132" i="1"/>
  <c r="O132" i="1" s="1"/>
  <c r="GN116" i="1"/>
  <c r="P121" i="1"/>
  <c r="CP121" i="1" s="1"/>
  <c r="O121" i="1" s="1"/>
  <c r="W141" i="1"/>
  <c r="GK136" i="1"/>
  <c r="CZ136" i="1"/>
  <c r="Y136" i="1" s="1"/>
  <c r="GN136" i="1" s="1"/>
  <c r="R140" i="1"/>
  <c r="GK140" i="1" s="1"/>
  <c r="GK142" i="1"/>
  <c r="GN142" i="1" s="1"/>
  <c r="CZ142" i="1"/>
  <c r="Y142" i="1" s="1"/>
  <c r="V144" i="1"/>
  <c r="V161" i="1"/>
  <c r="S161" i="1"/>
  <c r="CY171" i="1"/>
  <c r="X171" i="1" s="1"/>
  <c r="GM171" i="1" s="1"/>
  <c r="GN190" i="1"/>
  <c r="GM190" i="1"/>
  <c r="CG82" i="1"/>
  <c r="AX218" i="1"/>
  <c r="T161" i="1"/>
  <c r="CY167" i="1"/>
  <c r="X167" i="1" s="1"/>
  <c r="GM167" i="1" s="1"/>
  <c r="GM151" i="1"/>
  <c r="GN151" i="1"/>
  <c r="GM170" i="1"/>
  <c r="GN170" i="1"/>
  <c r="U182" i="1"/>
  <c r="S182" i="1"/>
  <c r="CY183" i="1"/>
  <c r="X183" i="1" s="1"/>
  <c r="GM183" i="1" s="1"/>
  <c r="CZ183" i="1"/>
  <c r="Y183" i="1" s="1"/>
  <c r="GM200" i="1"/>
  <c r="GN200" i="1"/>
  <c r="CY203" i="1"/>
  <c r="X203" i="1" s="1"/>
  <c r="CZ203" i="1"/>
  <c r="Y203" i="1" s="1"/>
  <c r="GM208" i="1"/>
  <c r="GN208" i="1"/>
  <c r="AU82" i="1"/>
  <c r="F237" i="1"/>
  <c r="GM285" i="1"/>
  <c r="GN285" i="1"/>
  <c r="GM288" i="1"/>
  <c r="GO288" i="1"/>
  <c r="S185" i="1"/>
  <c r="AB202" i="1"/>
  <c r="GM210" i="1"/>
  <c r="GN210" i="1"/>
  <c r="AE282" i="1"/>
  <c r="R290" i="1"/>
  <c r="S326" i="1"/>
  <c r="T290" i="1"/>
  <c r="AG282" i="1"/>
  <c r="GO340" i="1"/>
  <c r="GM340" i="1"/>
  <c r="CY197" i="1"/>
  <c r="X197" i="1" s="1"/>
  <c r="W282" i="1"/>
  <c r="F314" i="1"/>
  <c r="AI356" i="1"/>
  <c r="GM345" i="1"/>
  <c r="GO345" i="1"/>
  <c r="AU321" i="1"/>
  <c r="F375" i="1"/>
  <c r="V195" i="1"/>
  <c r="GN205" i="1"/>
  <c r="GM205" i="1"/>
  <c r="CZ213" i="1"/>
  <c r="Y213" i="1" s="1"/>
  <c r="AI282" i="1"/>
  <c r="V290" i="1"/>
  <c r="W326" i="1"/>
  <c r="AJ356" i="1" s="1"/>
  <c r="Q334" i="1"/>
  <c r="CP334" i="1" s="1"/>
  <c r="O334" i="1" s="1"/>
  <c r="GO329" i="1"/>
  <c r="GM329" i="1"/>
  <c r="CJ431" i="1"/>
  <c r="GO403" i="1"/>
  <c r="GM403" i="1"/>
  <c r="Q338" i="1"/>
  <c r="GM406" i="1"/>
  <c r="GO406" i="1"/>
  <c r="GO424" i="1"/>
  <c r="GM424" i="1"/>
  <c r="GM331" i="1"/>
  <c r="W334" i="1"/>
  <c r="GO348" i="1"/>
  <c r="GM348" i="1"/>
  <c r="GM408" i="1"/>
  <c r="GO408" i="1"/>
  <c r="GM426" i="1"/>
  <c r="GO426" i="1"/>
  <c r="CP493" i="1"/>
  <c r="O493" i="1" s="1"/>
  <c r="AC498" i="1"/>
  <c r="GO536" i="1"/>
  <c r="GM536" i="1"/>
  <c r="GO575" i="1"/>
  <c r="GM575" i="1"/>
  <c r="P336" i="1"/>
  <c r="GM351" i="1"/>
  <c r="S352" i="1"/>
  <c r="AI431" i="1"/>
  <c r="CY399" i="1"/>
  <c r="X399" i="1" s="1"/>
  <c r="CZ399" i="1"/>
  <c r="Y399" i="1" s="1"/>
  <c r="GO399" i="1" s="1"/>
  <c r="AX498" i="1"/>
  <c r="CG491" i="1"/>
  <c r="BB529" i="1"/>
  <c r="F552" i="1"/>
  <c r="V498" i="1"/>
  <c r="AI491" i="1"/>
  <c r="GM495" i="1"/>
  <c r="GP495" i="1"/>
  <c r="CZ579" i="1"/>
  <c r="Y579" i="1" s="1"/>
  <c r="W628" i="1"/>
  <c r="T628" i="1"/>
  <c r="AJ491" i="1"/>
  <c r="W498" i="1"/>
  <c r="BA539" i="1"/>
  <c r="CJ529" i="1"/>
  <c r="GO572" i="1"/>
  <c r="AB582" i="1"/>
  <c r="GM572" i="1"/>
  <c r="CZ577" i="1"/>
  <c r="Y577" i="1" s="1"/>
  <c r="AL582" i="1" s="1"/>
  <c r="GO580" i="1"/>
  <c r="GM580" i="1"/>
  <c r="V618" i="1"/>
  <c r="AD529" i="1"/>
  <c r="Q539" i="1"/>
  <c r="GM623" i="1"/>
  <c r="GN623" i="1"/>
  <c r="AH491" i="1"/>
  <c r="U498" i="1"/>
  <c r="AI529" i="1"/>
  <c r="V539" i="1"/>
  <c r="GO535" i="1"/>
  <c r="GM535" i="1"/>
  <c r="CI570" i="1"/>
  <c r="AZ582" i="1"/>
  <c r="GM576" i="1"/>
  <c r="GN576" i="1"/>
  <c r="CB582" i="1" s="1"/>
  <c r="GM620" i="1"/>
  <c r="GN620" i="1"/>
  <c r="GX624" i="1"/>
  <c r="AQ613" i="1"/>
  <c r="F645" i="1"/>
  <c r="CY668" i="1"/>
  <c r="X668" i="1" s="1"/>
  <c r="AF681" i="1"/>
  <c r="CZ668" i="1"/>
  <c r="Y668" i="1" s="1"/>
  <c r="AO666" i="1"/>
  <c r="F685" i="1"/>
  <c r="CY722" i="1"/>
  <c r="X722" i="1" s="1"/>
  <c r="CZ722" i="1"/>
  <c r="Y722" i="1" s="1"/>
  <c r="AP712" i="1"/>
  <c r="F741" i="1"/>
  <c r="AB717" i="1"/>
  <c r="U618" i="1"/>
  <c r="T676" i="1"/>
  <c r="AG681" i="1" s="1"/>
  <c r="W676" i="1"/>
  <c r="AJ681" i="1" s="1"/>
  <c r="U724" i="1"/>
  <c r="AH732" i="1" s="1"/>
  <c r="S628" i="1"/>
  <c r="CZ631" i="1"/>
  <c r="Y631" i="1" s="1"/>
  <c r="CY631" i="1"/>
  <c r="X631" i="1" s="1"/>
  <c r="GN631" i="1" s="1"/>
  <c r="GN670" i="1"/>
  <c r="GM670" i="1"/>
  <c r="CY675" i="1"/>
  <c r="X675" i="1" s="1"/>
  <c r="GM675" i="1" s="1"/>
  <c r="CZ675" i="1"/>
  <c r="Y675" i="1" s="1"/>
  <c r="GM679" i="1"/>
  <c r="GN679" i="1"/>
  <c r="T724" i="1"/>
  <c r="AG732" i="1" s="1"/>
  <c r="AB677" i="1"/>
  <c r="CP722" i="1"/>
  <c r="O722" i="1" s="1"/>
  <c r="AB727" i="1"/>
  <c r="CZ719" i="1"/>
  <c r="Y719" i="1" s="1"/>
  <c r="CZ723" i="1"/>
  <c r="Y723" i="1" s="1"/>
  <c r="GM43" i="1"/>
  <c r="GN43" i="1"/>
  <c r="AQ30" i="1"/>
  <c r="F61" i="1"/>
  <c r="AQ247" i="1"/>
  <c r="BB30" i="1"/>
  <c r="F64" i="1"/>
  <c r="BB247" i="1"/>
  <c r="GM33" i="1"/>
  <c r="GN33" i="1"/>
  <c r="GO41" i="1"/>
  <c r="CC51" i="1" s="1"/>
  <c r="GM41" i="1"/>
  <c r="AD51" i="1"/>
  <c r="CY84" i="1"/>
  <c r="X84" i="1" s="1"/>
  <c r="CZ84" i="1"/>
  <c r="Y84" i="1" s="1"/>
  <c r="AB87" i="1"/>
  <c r="GM101" i="1"/>
  <c r="GN101" i="1"/>
  <c r="W97" i="1"/>
  <c r="CZ108" i="1"/>
  <c r="Y108" i="1" s="1"/>
  <c r="GM90" i="1"/>
  <c r="GN90" i="1"/>
  <c r="S97" i="1"/>
  <c r="GN128" i="1"/>
  <c r="GM128" i="1"/>
  <c r="GM93" i="1"/>
  <c r="Q85" i="1"/>
  <c r="GM94" i="1"/>
  <c r="GN94" i="1"/>
  <c r="GM98" i="1"/>
  <c r="GN98" i="1"/>
  <c r="GM111" i="1"/>
  <c r="GN111" i="1"/>
  <c r="CZ121" i="1"/>
  <c r="Y121" i="1" s="1"/>
  <c r="CY121" i="1"/>
  <c r="X121" i="1" s="1"/>
  <c r="GM122" i="1"/>
  <c r="GN122" i="1"/>
  <c r="GM126" i="1"/>
  <c r="GN126" i="1"/>
  <c r="GN124" i="1"/>
  <c r="GM124" i="1"/>
  <c r="GN114" i="1"/>
  <c r="GM114" i="1"/>
  <c r="T140" i="1"/>
  <c r="W121" i="1"/>
  <c r="P140" i="1"/>
  <c r="V141" i="1"/>
  <c r="GN169" i="1"/>
  <c r="GM169" i="1"/>
  <c r="Q140" i="1"/>
  <c r="AB146" i="1"/>
  <c r="CY160" i="1"/>
  <c r="X160" i="1" s="1"/>
  <c r="CZ160" i="1"/>
  <c r="Y160" i="1" s="1"/>
  <c r="CZ179" i="1"/>
  <c r="Y179" i="1" s="1"/>
  <c r="CY179" i="1"/>
  <c r="X179" i="1" s="1"/>
  <c r="AB192" i="1"/>
  <c r="S144" i="1"/>
  <c r="R185" i="1"/>
  <c r="GK185" i="1" s="1"/>
  <c r="T185" i="1"/>
  <c r="GX185" i="1"/>
  <c r="T141" i="1"/>
  <c r="V182" i="1"/>
  <c r="V192" i="1"/>
  <c r="AT82" i="1"/>
  <c r="F236" i="1"/>
  <c r="GM155" i="1"/>
  <c r="GN155" i="1"/>
  <c r="CP160" i="1"/>
  <c r="O160" i="1" s="1"/>
  <c r="CP178" i="1"/>
  <c r="O178" i="1" s="1"/>
  <c r="GM188" i="1"/>
  <c r="GN188" i="1"/>
  <c r="CP206" i="1"/>
  <c r="O206" i="1" s="1"/>
  <c r="CY209" i="1"/>
  <c r="X209" i="1" s="1"/>
  <c r="GM209" i="1" s="1"/>
  <c r="CZ209" i="1"/>
  <c r="Y209" i="1" s="1"/>
  <c r="CP211" i="1"/>
  <c r="O211" i="1" s="1"/>
  <c r="BC82" i="1"/>
  <c r="F234" i="1"/>
  <c r="AQ282" i="1"/>
  <c r="F300" i="1"/>
  <c r="AQ460" i="1"/>
  <c r="P182" i="1"/>
  <c r="CP182" i="1" s="1"/>
  <c r="O182" i="1" s="1"/>
  <c r="BC282" i="1"/>
  <c r="F306" i="1"/>
  <c r="BC460" i="1"/>
  <c r="CG321" i="1"/>
  <c r="AX356" i="1"/>
  <c r="AX460" i="1" s="1"/>
  <c r="GM193" i="1"/>
  <c r="GN193" i="1"/>
  <c r="GN198" i="1"/>
  <c r="AB214" i="1"/>
  <c r="CJ282" i="1"/>
  <c r="BA290" i="1"/>
  <c r="GO333" i="1"/>
  <c r="GM333" i="1"/>
  <c r="S176" i="1"/>
  <c r="W182" i="1"/>
  <c r="CZ197" i="1"/>
  <c r="Y197" i="1" s="1"/>
  <c r="AF282" i="1"/>
  <c r="S290" i="1"/>
  <c r="CY324" i="1"/>
  <c r="X324" i="1" s="1"/>
  <c r="CZ324" i="1"/>
  <c r="Y324" i="1" s="1"/>
  <c r="S328" i="1"/>
  <c r="T328" i="1"/>
  <c r="W338" i="1"/>
  <c r="S338" i="1"/>
  <c r="GM342" i="1"/>
  <c r="GO342" i="1"/>
  <c r="BC321" i="1"/>
  <c r="F372" i="1"/>
  <c r="P179" i="1"/>
  <c r="CP179" i="1" s="1"/>
  <c r="O179" i="1" s="1"/>
  <c r="GM187" i="1"/>
  <c r="GN187" i="1"/>
  <c r="Q196" i="1"/>
  <c r="CY213" i="1"/>
  <c r="X213" i="1" s="1"/>
  <c r="GM213" i="1" s="1"/>
  <c r="GX326" i="1"/>
  <c r="CJ356" i="1" s="1"/>
  <c r="AB328" i="1"/>
  <c r="U332" i="1"/>
  <c r="W332" i="1"/>
  <c r="AB336" i="1"/>
  <c r="GM343" i="1"/>
  <c r="GO343" i="1"/>
  <c r="GO416" i="1"/>
  <c r="GM416" i="1"/>
  <c r="GO423" i="1"/>
  <c r="GM423" i="1"/>
  <c r="P326" i="1"/>
  <c r="CP326" i="1" s="1"/>
  <c r="O326" i="1" s="1"/>
  <c r="S332" i="1"/>
  <c r="GO335" i="1"/>
  <c r="GM335" i="1"/>
  <c r="GO350" i="1"/>
  <c r="CZ396" i="1"/>
  <c r="Y396" i="1" s="1"/>
  <c r="GN341" i="1"/>
  <c r="CB356" i="1" s="1"/>
  <c r="GM341" i="1"/>
  <c r="CZ394" i="1"/>
  <c r="Y394" i="1" s="1"/>
  <c r="GO397" i="1"/>
  <c r="GM397" i="1"/>
  <c r="AB421" i="1"/>
  <c r="CZ494" i="1"/>
  <c r="Y494" i="1" s="1"/>
  <c r="F515" i="1"/>
  <c r="AS491" i="1"/>
  <c r="F558" i="1"/>
  <c r="AU529" i="1"/>
  <c r="CY579" i="1"/>
  <c r="X579" i="1" s="1"/>
  <c r="GM579" i="1" s="1"/>
  <c r="W618" i="1"/>
  <c r="AJ635" i="1" s="1"/>
  <c r="T618" i="1"/>
  <c r="CJ570" i="1"/>
  <c r="BA582" i="1"/>
  <c r="CY577" i="1"/>
  <c r="X577" i="1" s="1"/>
  <c r="AK582" i="1" s="1"/>
  <c r="CY617" i="1"/>
  <c r="X617" i="1" s="1"/>
  <c r="CZ617" i="1"/>
  <c r="Y617" i="1" s="1"/>
  <c r="GN622" i="1"/>
  <c r="GM622" i="1"/>
  <c r="R628" i="1"/>
  <c r="GK628" i="1" s="1"/>
  <c r="GM413" i="1"/>
  <c r="GO413" i="1"/>
  <c r="GO428" i="1"/>
  <c r="GM428" i="1"/>
  <c r="AZ498" i="1"/>
  <c r="CI491" i="1"/>
  <c r="AH529" i="1"/>
  <c r="U539" i="1"/>
  <c r="AD570" i="1"/>
  <c r="Q582" i="1"/>
  <c r="S582" i="1"/>
  <c r="AF570" i="1"/>
  <c r="GX618" i="1"/>
  <c r="GX628" i="1"/>
  <c r="AL498" i="1"/>
  <c r="F508" i="1"/>
  <c r="AQ491" i="1"/>
  <c r="AG529" i="1"/>
  <c r="T539" i="1"/>
  <c r="CZ537" i="1"/>
  <c r="Y537" i="1" s="1"/>
  <c r="AL539" i="1" s="1"/>
  <c r="V582" i="1"/>
  <c r="AI570" i="1"/>
  <c r="AP570" i="1"/>
  <c r="F591" i="1"/>
  <c r="CP615" i="1"/>
  <c r="O615" i="1" s="1"/>
  <c r="AC635" i="1"/>
  <c r="P621" i="1"/>
  <c r="CP621" i="1" s="1"/>
  <c r="O621" i="1" s="1"/>
  <c r="GX621" i="1"/>
  <c r="R621" i="1"/>
  <c r="GK621" i="1" s="1"/>
  <c r="CY632" i="1"/>
  <c r="X632" i="1" s="1"/>
  <c r="GN632" i="1" s="1"/>
  <c r="CZ632" i="1"/>
  <c r="Y632" i="1" s="1"/>
  <c r="AU613" i="1"/>
  <c r="F654" i="1"/>
  <c r="CP671" i="1"/>
  <c r="O671" i="1" s="1"/>
  <c r="CY674" i="1"/>
  <c r="X674" i="1" s="1"/>
  <c r="CZ674" i="1"/>
  <c r="Y674" i="1" s="1"/>
  <c r="AX681" i="1"/>
  <c r="CG666" i="1"/>
  <c r="CP717" i="1"/>
  <c r="O717" i="1" s="1"/>
  <c r="CZ720" i="1"/>
  <c r="Y720" i="1" s="1"/>
  <c r="CY720" i="1"/>
  <c r="X720" i="1" s="1"/>
  <c r="AT712" i="1"/>
  <c r="F750" i="1"/>
  <c r="CI666" i="1"/>
  <c r="AZ681" i="1"/>
  <c r="U676" i="1"/>
  <c r="AH681" i="1" s="1"/>
  <c r="CP720" i="1"/>
  <c r="O720" i="1" s="1"/>
  <c r="V621" i="1"/>
  <c r="F699" i="1"/>
  <c r="AT666" i="1"/>
  <c r="R677" i="1"/>
  <c r="GK677" i="1" s="1"/>
  <c r="GM730" i="1"/>
  <c r="GN730" i="1"/>
  <c r="P628" i="1"/>
  <c r="CP628" i="1" s="1"/>
  <c r="O628" i="1" s="1"/>
  <c r="CP674" i="1"/>
  <c r="O674" i="1" s="1"/>
  <c r="V676" i="1"/>
  <c r="GM719" i="1"/>
  <c r="GN719" i="1"/>
  <c r="R724" i="1"/>
  <c r="GK724" i="1" s="1"/>
  <c r="Q618" i="1"/>
  <c r="CP618" i="1" s="1"/>
  <c r="O618" i="1" s="1"/>
  <c r="P676" i="1"/>
  <c r="CP676" i="1" s="1"/>
  <c r="O676" i="1" s="1"/>
  <c r="GM716" i="1"/>
  <c r="GN716" i="1"/>
  <c r="CZ715" i="1"/>
  <c r="Y715" i="1" s="1"/>
  <c r="S724" i="1"/>
  <c r="AF732" i="1" s="1"/>
  <c r="AQ712" i="1"/>
  <c r="F742" i="1"/>
  <c r="CY719" i="1"/>
  <c r="X719" i="1" s="1"/>
  <c r="CY723" i="1"/>
  <c r="X723" i="1" s="1"/>
  <c r="GM723" i="1" s="1"/>
  <c r="GN39" i="1"/>
  <c r="GM39" i="1"/>
  <c r="GM44" i="1"/>
  <c r="GN44" i="1"/>
  <c r="GN37" i="1"/>
  <c r="GM37" i="1"/>
  <c r="AG30" i="1"/>
  <c r="T51" i="1"/>
  <c r="CY34" i="1"/>
  <c r="X34" i="1" s="1"/>
  <c r="AK51" i="1" s="1"/>
  <c r="GM46" i="1"/>
  <c r="GN46" i="1"/>
  <c r="AZ51" i="1"/>
  <c r="CI30" i="1"/>
  <c r="CZ35" i="1"/>
  <c r="Y35" i="1" s="1"/>
  <c r="AL51" i="1" s="1"/>
  <c r="GM110" i="1"/>
  <c r="GN110" i="1"/>
  <c r="Q97" i="1"/>
  <c r="CY108" i="1"/>
  <c r="X108" i="1" s="1"/>
  <c r="CZ102" i="1"/>
  <c r="Y102" i="1" s="1"/>
  <c r="GM102" i="1" s="1"/>
  <c r="GM108" i="1"/>
  <c r="GN108" i="1"/>
  <c r="CY133" i="1"/>
  <c r="X133" i="1" s="1"/>
  <c r="CZ133" i="1"/>
  <c r="Y133" i="1" s="1"/>
  <c r="S140" i="1"/>
  <c r="GM147" i="1"/>
  <c r="GN147" i="1"/>
  <c r="P161" i="1"/>
  <c r="CP161" i="1" s="1"/>
  <c r="O161" i="1" s="1"/>
  <c r="GN173" i="1"/>
  <c r="GM173" i="1"/>
  <c r="CP133" i="1"/>
  <c r="O133" i="1" s="1"/>
  <c r="CY135" i="1"/>
  <c r="X135" i="1" s="1"/>
  <c r="GM135" i="1" s="1"/>
  <c r="CZ135" i="1"/>
  <c r="Y135" i="1" s="1"/>
  <c r="CY139" i="1"/>
  <c r="X139" i="1" s="1"/>
  <c r="GM139" i="1" s="1"/>
  <c r="CZ139" i="1"/>
  <c r="Y139" i="1" s="1"/>
  <c r="V140" i="1"/>
  <c r="AI218" i="1" s="1"/>
  <c r="GN143" i="1"/>
  <c r="GM152" i="1"/>
  <c r="GN152" i="1"/>
  <c r="CP156" i="1"/>
  <c r="O156" i="1" s="1"/>
  <c r="GN153" i="1"/>
  <c r="GM153" i="1"/>
  <c r="GN163" i="1"/>
  <c r="GM163" i="1"/>
  <c r="GM194" i="1"/>
  <c r="GN194" i="1"/>
  <c r="GN180" i="1"/>
  <c r="GM180" i="1"/>
  <c r="U192" i="1"/>
  <c r="S192" i="1"/>
  <c r="Q192" i="1"/>
  <c r="Q144" i="1"/>
  <c r="GN150" i="1"/>
  <c r="GM150" i="1"/>
  <c r="GM172" i="1"/>
  <c r="GN172" i="1"/>
  <c r="GM181" i="1"/>
  <c r="GN181" i="1"/>
  <c r="T184" i="1"/>
  <c r="W184" i="1"/>
  <c r="AJ218" i="1" s="1"/>
  <c r="GM191" i="1"/>
  <c r="GN191" i="1"/>
  <c r="BB82" i="1"/>
  <c r="F231" i="1"/>
  <c r="R184" i="1"/>
  <c r="GK184" i="1" s="1"/>
  <c r="GX192" i="1"/>
  <c r="GM204" i="1"/>
  <c r="GN204" i="1"/>
  <c r="CY207" i="1"/>
  <c r="X207" i="1" s="1"/>
  <c r="GM207" i="1" s="1"/>
  <c r="CZ207" i="1"/>
  <c r="Y207" i="1" s="1"/>
  <c r="CY212" i="1"/>
  <c r="X212" i="1" s="1"/>
  <c r="GM212" i="1" s="1"/>
  <c r="CZ212" i="1"/>
  <c r="Y212" i="1" s="1"/>
  <c r="GM214" i="1"/>
  <c r="GN214" i="1"/>
  <c r="CI82" i="1"/>
  <c r="AZ218" i="1"/>
  <c r="CI282" i="1"/>
  <c r="AZ290" i="1"/>
  <c r="T182" i="1"/>
  <c r="GM197" i="1"/>
  <c r="GN197" i="1"/>
  <c r="CP203" i="1"/>
  <c r="O203" i="1" s="1"/>
  <c r="R326" i="1"/>
  <c r="GK326" i="1" s="1"/>
  <c r="T334" i="1"/>
  <c r="U334" i="1"/>
  <c r="R334" i="1"/>
  <c r="GK334" i="1" s="1"/>
  <c r="Q184" i="1"/>
  <c r="AB204" i="1"/>
  <c r="AU282" i="1"/>
  <c r="F309" i="1"/>
  <c r="AU460" i="1"/>
  <c r="S336" i="1"/>
  <c r="T336" i="1"/>
  <c r="R336" i="1"/>
  <c r="GK336" i="1" s="1"/>
  <c r="P185" i="1"/>
  <c r="CP185" i="1" s="1"/>
  <c r="O185" i="1" s="1"/>
  <c r="P192" i="1"/>
  <c r="AL290" i="1"/>
  <c r="U290" i="1"/>
  <c r="AH282" i="1"/>
  <c r="GX334" i="1"/>
  <c r="GM347" i="1"/>
  <c r="GO347" i="1"/>
  <c r="GO354" i="1"/>
  <c r="GM354" i="1"/>
  <c r="CI321" i="1"/>
  <c r="AZ356" i="1"/>
  <c r="GM189" i="1"/>
  <c r="GN189" i="1"/>
  <c r="Q195" i="1"/>
  <c r="CP195" i="1" s="1"/>
  <c r="O195" i="1" s="1"/>
  <c r="S196" i="1"/>
  <c r="AC290" i="1"/>
  <c r="CP323" i="1"/>
  <c r="O323" i="1" s="1"/>
  <c r="CY327" i="1"/>
  <c r="X327" i="1" s="1"/>
  <c r="GO327" i="1" s="1"/>
  <c r="CZ327" i="1"/>
  <c r="Y327" i="1" s="1"/>
  <c r="GX328" i="1"/>
  <c r="GX336" i="1"/>
  <c r="P338" i="1"/>
  <c r="CP338" i="1" s="1"/>
  <c r="O338" i="1" s="1"/>
  <c r="GM389" i="1"/>
  <c r="GO389" i="1"/>
  <c r="CY392" i="1"/>
  <c r="X392" i="1" s="1"/>
  <c r="GM392" i="1" s="1"/>
  <c r="CZ392" i="1"/>
  <c r="Y392" i="1" s="1"/>
  <c r="AL431" i="1" s="1"/>
  <c r="AF431" i="1"/>
  <c r="P328" i="1"/>
  <c r="CP328" i="1" s="1"/>
  <c r="O328" i="1" s="1"/>
  <c r="W352" i="1"/>
  <c r="AD431" i="1"/>
  <c r="CP393" i="1"/>
  <c r="O393" i="1" s="1"/>
  <c r="AC431" i="1"/>
  <c r="GM400" i="1"/>
  <c r="GO400" i="1"/>
  <c r="GO407" i="1"/>
  <c r="GM407" i="1"/>
  <c r="Q332" i="1"/>
  <c r="CP332" i="1" s="1"/>
  <c r="O332" i="1" s="1"/>
  <c r="U336" i="1"/>
  <c r="GM391" i="1"/>
  <c r="GO391" i="1"/>
  <c r="CY393" i="1"/>
  <c r="X393" i="1" s="1"/>
  <c r="AK431" i="1" s="1"/>
  <c r="CZ393" i="1"/>
  <c r="Y393" i="1" s="1"/>
  <c r="CY396" i="1"/>
  <c r="X396" i="1" s="1"/>
  <c r="GM396" i="1" s="1"/>
  <c r="CZ404" i="1"/>
  <c r="Y404" i="1" s="1"/>
  <c r="GO404" i="1" s="1"/>
  <c r="GK411" i="1"/>
  <c r="CZ411" i="1"/>
  <c r="Y411" i="1" s="1"/>
  <c r="GO532" i="1"/>
  <c r="GM532" i="1"/>
  <c r="CG529" i="1"/>
  <c r="AX539" i="1"/>
  <c r="U338" i="1"/>
  <c r="Q352" i="1"/>
  <c r="CP352" i="1" s="1"/>
  <c r="O352" i="1" s="1"/>
  <c r="CY394" i="1"/>
  <c r="X394" i="1" s="1"/>
  <c r="GM394" i="1" s="1"/>
  <c r="CZ402" i="1"/>
  <c r="Y402" i="1" s="1"/>
  <c r="GO405" i="1"/>
  <c r="GM405" i="1"/>
  <c r="GM427" i="1"/>
  <c r="GO427" i="1"/>
  <c r="AO278" i="1"/>
  <c r="F464" i="1"/>
  <c r="AO570" i="1"/>
  <c r="F586" i="1"/>
  <c r="CY494" i="1"/>
  <c r="X494" i="1" s="1"/>
  <c r="AU570" i="1"/>
  <c r="F601" i="1"/>
  <c r="AU387" i="1"/>
  <c r="F450" i="1"/>
  <c r="F516" i="1"/>
  <c r="AT491" i="1"/>
  <c r="AC539" i="1"/>
  <c r="V628" i="1"/>
  <c r="AO613" i="1"/>
  <c r="F639" i="1"/>
  <c r="AG491" i="1"/>
  <c r="T498" i="1"/>
  <c r="S539" i="1"/>
  <c r="AF529" i="1"/>
  <c r="F549" i="1"/>
  <c r="AQ529" i="1"/>
  <c r="AH570" i="1"/>
  <c r="U582" i="1"/>
  <c r="GM577" i="1"/>
  <c r="GO577" i="1"/>
  <c r="AQ570" i="1"/>
  <c r="F592" i="1"/>
  <c r="AP387" i="1"/>
  <c r="F440" i="1"/>
  <c r="AP460" i="1"/>
  <c r="CG387" i="1"/>
  <c r="AX431" i="1"/>
  <c r="AK498" i="1"/>
  <c r="AE539" i="1"/>
  <c r="CY537" i="1"/>
  <c r="X537" i="1" s="1"/>
  <c r="GM537" i="1" s="1"/>
  <c r="T582" i="1"/>
  <c r="AG570" i="1"/>
  <c r="AD635" i="1"/>
  <c r="U624" i="1"/>
  <c r="S624" i="1"/>
  <c r="BC613" i="1"/>
  <c r="F651" i="1"/>
  <c r="GM669" i="1"/>
  <c r="GN669" i="1"/>
  <c r="CY672" i="1"/>
  <c r="X672" i="1" s="1"/>
  <c r="GM672" i="1" s="1"/>
  <c r="CZ672" i="1"/>
  <c r="Y672" i="1" s="1"/>
  <c r="CP677" i="1"/>
  <c r="O677" i="1" s="1"/>
  <c r="AD732" i="1"/>
  <c r="CZ718" i="1"/>
  <c r="Y718" i="1" s="1"/>
  <c r="CY718" i="1"/>
  <c r="X718" i="1" s="1"/>
  <c r="CP727" i="1"/>
  <c r="O727" i="1" s="1"/>
  <c r="BB712" i="1"/>
  <c r="F745" i="1"/>
  <c r="AZ732" i="1"/>
  <c r="CI712" i="1"/>
  <c r="CP616" i="1"/>
  <c r="O616" i="1" s="1"/>
  <c r="T621" i="1"/>
  <c r="CP668" i="1"/>
  <c r="O668" i="1" s="1"/>
  <c r="F690" i="1"/>
  <c r="AP666" i="1"/>
  <c r="R676" i="1"/>
  <c r="GK676" i="1" s="1"/>
  <c r="W724" i="1"/>
  <c r="AJ732" i="1" s="1"/>
  <c r="AE732" i="1"/>
  <c r="P724" i="1"/>
  <c r="CP724" i="1" s="1"/>
  <c r="O724" i="1" s="1"/>
  <c r="CP617" i="1"/>
  <c r="O617" i="1" s="1"/>
  <c r="CP627" i="1"/>
  <c r="O627" i="1" s="1"/>
  <c r="AB633" i="1"/>
  <c r="V677" i="1"/>
  <c r="GM629" i="1"/>
  <c r="GN629" i="1"/>
  <c r="GX677" i="1"/>
  <c r="CJ681" i="1" s="1"/>
  <c r="GM721" i="1"/>
  <c r="GN721" i="1"/>
  <c r="S618" i="1"/>
  <c r="AF635" i="1" s="1"/>
  <c r="CY673" i="1"/>
  <c r="X673" i="1" s="1"/>
  <c r="CZ673" i="1"/>
  <c r="Y673" i="1" s="1"/>
  <c r="F751" i="1"/>
  <c r="AU712" i="1"/>
  <c r="CP673" i="1"/>
  <c r="O673" i="1" s="1"/>
  <c r="CY715" i="1"/>
  <c r="X715" i="1" s="1"/>
  <c r="CG712" i="1"/>
  <c r="AX732" i="1"/>
  <c r="CJ666" i="1" l="1"/>
  <c r="BA681" i="1"/>
  <c r="AK387" i="1"/>
  <c r="X431" i="1"/>
  <c r="AF613" i="1"/>
  <c r="S635" i="1"/>
  <c r="AK30" i="1"/>
  <c r="X51" i="1"/>
  <c r="CJ321" i="1"/>
  <c r="BA356" i="1"/>
  <c r="AJ321" i="1"/>
  <c r="W356" i="1"/>
  <c r="AL387" i="1"/>
  <c r="Y431" i="1"/>
  <c r="S732" i="1"/>
  <c r="AF712" i="1"/>
  <c r="AX278" i="1"/>
  <c r="F467" i="1"/>
  <c r="AI82" i="1"/>
  <c r="V218" i="1"/>
  <c r="AL529" i="1"/>
  <c r="Y539" i="1"/>
  <c r="AL570" i="1"/>
  <c r="Y582" i="1"/>
  <c r="AJ82" i="1"/>
  <c r="W218" i="1"/>
  <c r="W247" i="1" s="1"/>
  <c r="X582" i="1"/>
  <c r="AK570" i="1"/>
  <c r="AJ613" i="1"/>
  <c r="W635" i="1"/>
  <c r="AL30" i="1"/>
  <c r="Y51" i="1"/>
  <c r="GM627" i="1"/>
  <c r="GN627" i="1"/>
  <c r="AB681" i="1"/>
  <c r="GM668" i="1"/>
  <c r="GN668" i="1"/>
  <c r="F743" i="1"/>
  <c r="AZ712" i="1"/>
  <c r="AE529" i="1"/>
  <c r="R539" i="1"/>
  <c r="F554" i="1"/>
  <c r="S529" i="1"/>
  <c r="AF387" i="1"/>
  <c r="S431" i="1"/>
  <c r="GM673" i="1"/>
  <c r="GN673" i="1"/>
  <c r="GM617" i="1"/>
  <c r="GN617" i="1"/>
  <c r="AK491" i="1"/>
  <c r="X498" i="1"/>
  <c r="T491" i="1"/>
  <c r="F519" i="1"/>
  <c r="AC387" i="1"/>
  <c r="P431" i="1"/>
  <c r="CH431" i="1"/>
  <c r="CE431" i="1"/>
  <c r="CF431" i="1"/>
  <c r="P290" i="1"/>
  <c r="CF290" i="1"/>
  <c r="AC282" i="1"/>
  <c r="CE290" i="1"/>
  <c r="CH290" i="1"/>
  <c r="CP192" i="1"/>
  <c r="O192" i="1" s="1"/>
  <c r="CY336" i="1"/>
  <c r="X336" i="1" s="1"/>
  <c r="CZ336" i="1"/>
  <c r="Y336" i="1" s="1"/>
  <c r="CY140" i="1"/>
  <c r="X140" i="1" s="1"/>
  <c r="CZ140" i="1"/>
  <c r="Y140" i="1" s="1"/>
  <c r="AI681" i="1"/>
  <c r="AE681" i="1"/>
  <c r="AZ666" i="1"/>
  <c r="F692" i="1"/>
  <c r="F688" i="1"/>
  <c r="AX666" i="1"/>
  <c r="GM615" i="1"/>
  <c r="GN615" i="1"/>
  <c r="V570" i="1"/>
  <c r="F605" i="1"/>
  <c r="CJ635" i="1"/>
  <c r="AZ491" i="1"/>
  <c r="F509" i="1"/>
  <c r="BA570" i="1"/>
  <c r="F602" i="1"/>
  <c r="GM404" i="1"/>
  <c r="CY328" i="1"/>
  <c r="X328" i="1" s="1"/>
  <c r="GM328" i="1" s="1"/>
  <c r="CZ328" i="1"/>
  <c r="Y328" i="1" s="1"/>
  <c r="AL356" i="1" s="1"/>
  <c r="GM211" i="1"/>
  <c r="GN211" i="1"/>
  <c r="AD218" i="1"/>
  <c r="GN102" i="1"/>
  <c r="CY628" i="1"/>
  <c r="X628" i="1" s="1"/>
  <c r="GM628" i="1" s="1"/>
  <c r="CZ628" i="1"/>
  <c r="Y628" i="1" s="1"/>
  <c r="AH635" i="1"/>
  <c r="GM631" i="1"/>
  <c r="CB570" i="1"/>
  <c r="AS582" i="1"/>
  <c r="U491" i="1"/>
  <c r="F520" i="1"/>
  <c r="AI635" i="1"/>
  <c r="BA529" i="1"/>
  <c r="F559" i="1"/>
  <c r="CY352" i="1"/>
  <c r="X352" i="1" s="1"/>
  <c r="GO352" i="1" s="1"/>
  <c r="CZ352" i="1"/>
  <c r="Y352" i="1" s="1"/>
  <c r="AB498" i="1"/>
  <c r="GP493" i="1"/>
  <c r="GM493" i="1"/>
  <c r="AD356" i="1"/>
  <c r="F313" i="1"/>
  <c r="V282" i="1"/>
  <c r="T282" i="1"/>
  <c r="F311" i="1"/>
  <c r="GN213" i="1"/>
  <c r="CZ182" i="1"/>
  <c r="Y182" i="1" s="1"/>
  <c r="GN182" i="1" s="1"/>
  <c r="CY182" i="1"/>
  <c r="X182" i="1" s="1"/>
  <c r="AX82" i="1"/>
  <c r="F225" i="1"/>
  <c r="GN121" i="1"/>
  <c r="GM121" i="1"/>
  <c r="GN723" i="1"/>
  <c r="CP624" i="1"/>
  <c r="O624" i="1" s="1"/>
  <c r="AZ613" i="1"/>
  <c r="F646" i="1"/>
  <c r="CB387" i="1"/>
  <c r="AS431" i="1"/>
  <c r="R498" i="1"/>
  <c r="AE491" i="1"/>
  <c r="CA539" i="1"/>
  <c r="W529" i="1"/>
  <c r="F563" i="1"/>
  <c r="AJ387" i="1"/>
  <c r="W431" i="1"/>
  <c r="CZ330" i="1"/>
  <c r="Y330" i="1" s="1"/>
  <c r="CY330" i="1"/>
  <c r="X330" i="1" s="1"/>
  <c r="GK324" i="1"/>
  <c r="AE356" i="1"/>
  <c r="CC290" i="1"/>
  <c r="CP176" i="1"/>
  <c r="O176" i="1" s="1"/>
  <c r="AO26" i="1"/>
  <c r="F251" i="1"/>
  <c r="AO761" i="1"/>
  <c r="CP144" i="1"/>
  <c r="O144" i="1" s="1"/>
  <c r="GN138" i="1"/>
  <c r="GM138" i="1"/>
  <c r="CP85" i="1"/>
  <c r="O85" i="1" s="1"/>
  <c r="AC218" i="1"/>
  <c r="GM32" i="1"/>
  <c r="GN32" i="1"/>
  <c r="AB51" i="1"/>
  <c r="CP141" i="1"/>
  <c r="O141" i="1" s="1"/>
  <c r="U30" i="1"/>
  <c r="F73" i="1"/>
  <c r="GM38" i="1"/>
  <c r="GN38" i="1"/>
  <c r="AC732" i="1"/>
  <c r="GM632" i="1"/>
  <c r="GM349" i="1"/>
  <c r="GM401" i="1"/>
  <c r="GO390" i="1"/>
  <c r="W30" i="1"/>
  <c r="F75" i="1"/>
  <c r="GM578" i="1"/>
  <c r="CA582" i="1" s="1"/>
  <c r="GN212" i="1"/>
  <c r="GM136" i="1"/>
  <c r="GN209" i="1"/>
  <c r="GN177" i="1"/>
  <c r="GN34" i="1"/>
  <c r="GN616" i="1"/>
  <c r="GM616" i="1"/>
  <c r="Q732" i="1"/>
  <c r="AD712" i="1"/>
  <c r="CZ624" i="1"/>
  <c r="Y624" i="1" s="1"/>
  <c r="CY624" i="1"/>
  <c r="X624" i="1" s="1"/>
  <c r="F603" i="1"/>
  <c r="T570" i="1"/>
  <c r="AX387" i="1"/>
  <c r="F438" i="1"/>
  <c r="AC529" i="1"/>
  <c r="CE539" i="1"/>
  <c r="P539" i="1"/>
  <c r="CF539" i="1"/>
  <c r="CH539" i="1"/>
  <c r="AX529" i="1"/>
  <c r="F546" i="1"/>
  <c r="GO393" i="1"/>
  <c r="CC431" i="1" s="1"/>
  <c r="GM393" i="1"/>
  <c r="GO394" i="1"/>
  <c r="CY196" i="1"/>
  <c r="X196" i="1" s="1"/>
  <c r="CZ196" i="1"/>
  <c r="Y196" i="1" s="1"/>
  <c r="AZ321" i="1"/>
  <c r="F367" i="1"/>
  <c r="AU278" i="1"/>
  <c r="F479" i="1"/>
  <c r="AZ82" i="1"/>
  <c r="F229" i="1"/>
  <c r="GM156" i="1"/>
  <c r="GN156" i="1"/>
  <c r="GN135" i="1"/>
  <c r="GM674" i="1"/>
  <c r="GN674" i="1"/>
  <c r="U529" i="1"/>
  <c r="F561" i="1"/>
  <c r="CB321" i="1"/>
  <c r="AS356" i="1"/>
  <c r="CZ338" i="1"/>
  <c r="Y338" i="1" s="1"/>
  <c r="CY338" i="1"/>
  <c r="X338" i="1" s="1"/>
  <c r="GM338" i="1" s="1"/>
  <c r="S282" i="1"/>
  <c r="F305" i="1"/>
  <c r="CY176" i="1"/>
  <c r="X176" i="1" s="1"/>
  <c r="CZ176" i="1"/>
  <c r="Y176" i="1" s="1"/>
  <c r="F310" i="1"/>
  <c r="BA282" i="1"/>
  <c r="GM327" i="1"/>
  <c r="CP140" i="1"/>
  <c r="O140" i="1" s="1"/>
  <c r="AD30" i="1"/>
  <c r="Q51" i="1"/>
  <c r="AQ26" i="1"/>
  <c r="F257" i="1"/>
  <c r="AQ761" i="1"/>
  <c r="GM722" i="1"/>
  <c r="GN722" i="1"/>
  <c r="U732" i="1"/>
  <c r="AH712" i="1"/>
  <c r="AK539" i="1"/>
  <c r="O582" i="1"/>
  <c r="AB570" i="1"/>
  <c r="W491" i="1"/>
  <c r="F522" i="1"/>
  <c r="CY621" i="1"/>
  <c r="X621" i="1" s="1"/>
  <c r="GO537" i="1"/>
  <c r="GO396" i="1"/>
  <c r="GM399" i="1"/>
  <c r="CA431" i="1" s="1"/>
  <c r="CY326" i="1"/>
  <c r="X326" i="1" s="1"/>
  <c r="CZ326" i="1"/>
  <c r="Y326" i="1" s="1"/>
  <c r="CZ185" i="1"/>
  <c r="Y185" i="1" s="1"/>
  <c r="CY185" i="1"/>
  <c r="X185" i="1" s="1"/>
  <c r="GN185" i="1" s="1"/>
  <c r="CY161" i="1"/>
  <c r="X161" i="1" s="1"/>
  <c r="GM161" i="1" s="1"/>
  <c r="CZ161" i="1"/>
  <c r="Y161" i="1" s="1"/>
  <c r="GM142" i="1"/>
  <c r="AP26" i="1"/>
  <c r="F256" i="1"/>
  <c r="AP761" i="1"/>
  <c r="GM718" i="1"/>
  <c r="CA732" i="1" s="1"/>
  <c r="GN718" i="1"/>
  <c r="AC681" i="1"/>
  <c r="AZ387" i="1"/>
  <c r="F442" i="1"/>
  <c r="AX613" i="1"/>
  <c r="F642" i="1"/>
  <c r="GK618" i="1"/>
  <c r="AE635" i="1"/>
  <c r="CC539" i="1"/>
  <c r="BA491" i="1"/>
  <c r="F518" i="1"/>
  <c r="AX570" i="1"/>
  <c r="F589" i="1"/>
  <c r="CY334" i="1"/>
  <c r="X334" i="1" s="1"/>
  <c r="GM334" i="1" s="1"/>
  <c r="CZ334" i="1"/>
  <c r="Y334" i="1" s="1"/>
  <c r="GO411" i="1"/>
  <c r="GM411" i="1"/>
  <c r="GO337" i="1"/>
  <c r="GM337" i="1"/>
  <c r="AH356" i="1"/>
  <c r="AE387" i="1"/>
  <c r="R431" i="1"/>
  <c r="F302" i="1"/>
  <c r="Q282" i="1"/>
  <c r="CY184" i="1"/>
  <c r="X184" i="1" s="1"/>
  <c r="CZ184" i="1"/>
  <c r="Y184" i="1" s="1"/>
  <c r="GM148" i="1"/>
  <c r="GN148" i="1"/>
  <c r="GN35" i="1"/>
  <c r="CJ218" i="1"/>
  <c r="AG218" i="1"/>
  <c r="AE30" i="1"/>
  <c r="R51" i="1"/>
  <c r="Q666" i="1"/>
  <c r="F693" i="1"/>
  <c r="W570" i="1"/>
  <c r="F606" i="1"/>
  <c r="GM34" i="1"/>
  <c r="F739" i="1"/>
  <c r="AX712" i="1"/>
  <c r="CY618" i="1"/>
  <c r="X618" i="1" s="1"/>
  <c r="CZ618" i="1"/>
  <c r="Y618" i="1" s="1"/>
  <c r="AL635" i="1" s="1"/>
  <c r="AE712" i="1"/>
  <c r="R732" i="1"/>
  <c r="GN727" i="1"/>
  <c r="GM727" i="1"/>
  <c r="F604" i="1"/>
  <c r="U570" i="1"/>
  <c r="AD387" i="1"/>
  <c r="Q431" i="1"/>
  <c r="AB431" i="1"/>
  <c r="AC356" i="1"/>
  <c r="U282" i="1"/>
  <c r="F312" i="1"/>
  <c r="GM133" i="1"/>
  <c r="GN133" i="1"/>
  <c r="GN628" i="1"/>
  <c r="GM720" i="1"/>
  <c r="GN720" i="1"/>
  <c r="GN717" i="1"/>
  <c r="GM717" i="1"/>
  <c r="T529" i="1"/>
  <c r="F560" i="1"/>
  <c r="AL491" i="1"/>
  <c r="Y498" i="1"/>
  <c r="S570" i="1"/>
  <c r="F597" i="1"/>
  <c r="AG635" i="1"/>
  <c r="CY332" i="1"/>
  <c r="X332" i="1" s="1"/>
  <c r="GM332" i="1" s="1"/>
  <c r="CZ332" i="1"/>
  <c r="Y332" i="1" s="1"/>
  <c r="GM182" i="1"/>
  <c r="GM178" i="1"/>
  <c r="GN178" i="1"/>
  <c r="CY144" i="1"/>
  <c r="X144" i="1" s="1"/>
  <c r="CZ144" i="1"/>
  <c r="Y144" i="1" s="1"/>
  <c r="CY97" i="1"/>
  <c r="X97" i="1" s="1"/>
  <c r="AK218" i="1" s="1"/>
  <c r="CZ97" i="1"/>
  <c r="Y97" i="1" s="1"/>
  <c r="AF218" i="1"/>
  <c r="BB26" i="1"/>
  <c r="F260" i="1"/>
  <c r="BB761" i="1"/>
  <c r="AJ666" i="1"/>
  <c r="W681" i="1"/>
  <c r="GN675" i="1"/>
  <c r="AL681" i="1"/>
  <c r="AZ570" i="1"/>
  <c r="F593" i="1"/>
  <c r="V529" i="1"/>
  <c r="F562" i="1"/>
  <c r="Q529" i="1"/>
  <c r="F551" i="1"/>
  <c r="CZ621" i="1"/>
  <c r="Y621" i="1" s="1"/>
  <c r="GN621" i="1" s="1"/>
  <c r="V491" i="1"/>
  <c r="F521" i="1"/>
  <c r="AX491" i="1"/>
  <c r="F505" i="1"/>
  <c r="CP336" i="1"/>
  <c r="O336" i="1" s="1"/>
  <c r="R282" i="1"/>
  <c r="F304" i="1"/>
  <c r="GM132" i="1"/>
  <c r="GN132" i="1"/>
  <c r="GN84" i="1"/>
  <c r="CY676" i="1"/>
  <c r="X676" i="1" s="1"/>
  <c r="AK681" i="1" s="1"/>
  <c r="CZ676" i="1"/>
  <c r="Y676" i="1" s="1"/>
  <c r="GM633" i="1"/>
  <c r="GN633" i="1"/>
  <c r="R582" i="1"/>
  <c r="AE570" i="1"/>
  <c r="CH582" i="1"/>
  <c r="CE582" i="1"/>
  <c r="P582" i="1"/>
  <c r="CF582" i="1"/>
  <c r="AC570" i="1"/>
  <c r="GP494" i="1"/>
  <c r="GM494" i="1"/>
  <c r="AG387" i="1"/>
  <c r="T431" i="1"/>
  <c r="GM330" i="1"/>
  <c r="GO330" i="1"/>
  <c r="GM284" i="1"/>
  <c r="CA290" i="1" s="1"/>
  <c r="GN284" i="1"/>
  <c r="CB290" i="1" s="1"/>
  <c r="AB290" i="1"/>
  <c r="X290" i="1"/>
  <c r="AK282" i="1"/>
  <c r="GO324" i="1"/>
  <c r="GM324" i="1"/>
  <c r="CZ141" i="1"/>
  <c r="Y141" i="1" s="1"/>
  <c r="AL218" i="1" s="1"/>
  <c r="CY141" i="1"/>
  <c r="X141" i="1" s="1"/>
  <c r="GK85" i="1"/>
  <c r="AE218" i="1"/>
  <c r="AU26" i="1"/>
  <c r="F266" i="1"/>
  <c r="GN139" i="1"/>
  <c r="GM131" i="1"/>
  <c r="GN131" i="1"/>
  <c r="BC26" i="1"/>
  <c r="F263" i="1"/>
  <c r="BC761" i="1"/>
  <c r="GO392" i="1"/>
  <c r="GO402" i="1"/>
  <c r="GN183" i="1"/>
  <c r="GN171" i="1"/>
  <c r="U387" i="1"/>
  <c r="F453" i="1"/>
  <c r="GN672" i="1"/>
  <c r="GO579" i="1"/>
  <c r="CC582" i="1" s="1"/>
  <c r="Q491" i="1"/>
  <c r="F510" i="1"/>
  <c r="GN175" i="1"/>
  <c r="GN207" i="1"/>
  <c r="GN167" i="1"/>
  <c r="BA30" i="1"/>
  <c r="F71" i="1"/>
  <c r="GM715" i="1"/>
  <c r="GN715" i="1"/>
  <c r="AJ712" i="1"/>
  <c r="W732" i="1"/>
  <c r="AD613" i="1"/>
  <c r="Q635" i="1"/>
  <c r="AP278" i="1"/>
  <c r="F469" i="1"/>
  <c r="GM323" i="1"/>
  <c r="GO323" i="1"/>
  <c r="AB356" i="1"/>
  <c r="Y290" i="1"/>
  <c r="AL282" i="1"/>
  <c r="GM203" i="1"/>
  <c r="GN203" i="1"/>
  <c r="F301" i="1"/>
  <c r="AZ282" i="1"/>
  <c r="AZ460" i="1"/>
  <c r="CZ192" i="1"/>
  <c r="Y192" i="1" s="1"/>
  <c r="CY192" i="1"/>
  <c r="X192" i="1" s="1"/>
  <c r="AZ30" i="1"/>
  <c r="F62" i="1"/>
  <c r="AZ247" i="1"/>
  <c r="T30" i="1"/>
  <c r="F72" i="1"/>
  <c r="CY724" i="1"/>
  <c r="X724" i="1" s="1"/>
  <c r="GM724" i="1" s="1"/>
  <c r="CZ724" i="1"/>
  <c r="Y724" i="1" s="1"/>
  <c r="AL732" i="1" s="1"/>
  <c r="GM676" i="1"/>
  <c r="AH666" i="1"/>
  <c r="U681" i="1"/>
  <c r="GM671" i="1"/>
  <c r="GN671" i="1"/>
  <c r="AC613" i="1"/>
  <c r="P635" i="1"/>
  <c r="CF635" i="1"/>
  <c r="CH635" i="1"/>
  <c r="CE635" i="1"/>
  <c r="Q570" i="1"/>
  <c r="F594" i="1"/>
  <c r="GO326" i="1"/>
  <c r="GM326" i="1"/>
  <c r="GN179" i="1"/>
  <c r="GM179" i="1"/>
  <c r="AF356" i="1"/>
  <c r="AX321" i="1"/>
  <c r="F363" i="1"/>
  <c r="BC278" i="1"/>
  <c r="F476" i="1"/>
  <c r="AQ278" i="1"/>
  <c r="F470" i="1"/>
  <c r="GM206" i="1"/>
  <c r="GN206" i="1"/>
  <c r="GM160" i="1"/>
  <c r="GN160" i="1"/>
  <c r="CC30" i="1"/>
  <c r="AT51" i="1"/>
  <c r="AG712" i="1"/>
  <c r="T732" i="1"/>
  <c r="AG666" i="1"/>
  <c r="T681" i="1"/>
  <c r="AF666" i="1"/>
  <c r="S681" i="1"/>
  <c r="AI387" i="1"/>
  <c r="V431" i="1"/>
  <c r="CH498" i="1"/>
  <c r="AC491" i="1"/>
  <c r="CE498" i="1"/>
  <c r="P498" i="1"/>
  <c r="CF498" i="1"/>
  <c r="CJ387" i="1"/>
  <c r="BA431" i="1"/>
  <c r="AI321" i="1"/>
  <c r="V356" i="1"/>
  <c r="GN99" i="1"/>
  <c r="GM99" i="1"/>
  <c r="GM84" i="1"/>
  <c r="CZ677" i="1"/>
  <c r="Y677" i="1" s="1"/>
  <c r="CY677" i="1"/>
  <c r="X677" i="1" s="1"/>
  <c r="GM677" i="1" s="1"/>
  <c r="AI712" i="1"/>
  <c r="V732" i="1"/>
  <c r="GM625" i="1"/>
  <c r="GN625" i="1"/>
  <c r="F513" i="1"/>
  <c r="S491" i="1"/>
  <c r="O539" i="1"/>
  <c r="AB529" i="1"/>
  <c r="GO414" i="1"/>
  <c r="GM414" i="1"/>
  <c r="F550" i="1"/>
  <c r="AZ529" i="1"/>
  <c r="CP196" i="1"/>
  <c r="O196" i="1" s="1"/>
  <c r="AG356" i="1"/>
  <c r="CP184" i="1"/>
  <c r="O184" i="1" s="1"/>
  <c r="GM202" i="1"/>
  <c r="GN202" i="1"/>
  <c r="CY195" i="1"/>
  <c r="X195" i="1" s="1"/>
  <c r="GM195" i="1" s="1"/>
  <c r="CZ195" i="1"/>
  <c r="Y195" i="1" s="1"/>
  <c r="CP97" i="1"/>
  <c r="O97" i="1" s="1"/>
  <c r="AC30" i="1"/>
  <c r="P51" i="1"/>
  <c r="CF51" i="1"/>
  <c r="CE51" i="1"/>
  <c r="CH51" i="1"/>
  <c r="AH218" i="1"/>
  <c r="AX247" i="1"/>
  <c r="AF30" i="1"/>
  <c r="S51" i="1"/>
  <c r="AB732" i="1"/>
  <c r="BA712" i="1"/>
  <c r="F752" i="1"/>
  <c r="AK82" i="1" l="1"/>
  <c r="X218" i="1"/>
  <c r="AR732" i="1"/>
  <c r="CA712" i="1"/>
  <c r="AL82" i="1"/>
  <c r="Y218" i="1"/>
  <c r="AK666" i="1"/>
  <c r="X681" i="1"/>
  <c r="CA570" i="1"/>
  <c r="AR582" i="1"/>
  <c r="AT582" i="1"/>
  <c r="CC570" i="1"/>
  <c r="AL613" i="1"/>
  <c r="Y635" i="1"/>
  <c r="CC387" i="1"/>
  <c r="AT431" i="1"/>
  <c r="CA387" i="1"/>
  <c r="AR431" i="1"/>
  <c r="AL321" i="1"/>
  <c r="Y356" i="1"/>
  <c r="Y460" i="1" s="1"/>
  <c r="W26" i="1"/>
  <c r="F271" i="1"/>
  <c r="AG321" i="1"/>
  <c r="T356" i="1"/>
  <c r="V712" i="1"/>
  <c r="F755" i="1"/>
  <c r="P491" i="1"/>
  <c r="F501" i="1"/>
  <c r="F66" i="1"/>
  <c r="S30" i="1"/>
  <c r="S247" i="1"/>
  <c r="BA387" i="1"/>
  <c r="F451" i="1"/>
  <c r="AE82" i="1"/>
  <c r="R218" i="1"/>
  <c r="R247" i="1" s="1"/>
  <c r="CE30" i="1"/>
  <c r="AV51" i="1"/>
  <c r="GN97" i="1"/>
  <c r="GM97" i="1"/>
  <c r="CF613" i="1"/>
  <c r="AW635" i="1"/>
  <c r="GN676" i="1"/>
  <c r="Q613" i="1"/>
  <c r="F647" i="1"/>
  <c r="CB282" i="1"/>
  <c r="AS290" i="1"/>
  <c r="CH570" i="1"/>
  <c r="AY582" i="1"/>
  <c r="W666" i="1"/>
  <c r="F705" i="1"/>
  <c r="AG613" i="1"/>
  <c r="T635" i="1"/>
  <c r="AC321" i="1"/>
  <c r="CH356" i="1"/>
  <c r="CE356" i="1"/>
  <c r="P356" i="1"/>
  <c r="CF356" i="1"/>
  <c r="AH321" i="1"/>
  <c r="U356" i="1"/>
  <c r="AX26" i="1"/>
  <c r="F254" i="1"/>
  <c r="AX761" i="1"/>
  <c r="CF30" i="1"/>
  <c r="AW51" i="1"/>
  <c r="GN184" i="1"/>
  <c r="GM184" i="1"/>
  <c r="F541" i="1"/>
  <c r="O529" i="1"/>
  <c r="V321" i="1"/>
  <c r="F379" i="1"/>
  <c r="CF491" i="1"/>
  <c r="AW498" i="1"/>
  <c r="AY498" i="1"/>
  <c r="CH491" i="1"/>
  <c r="P613" i="1"/>
  <c r="F638" i="1"/>
  <c r="F703" i="1"/>
  <c r="U666" i="1"/>
  <c r="Y732" i="1"/>
  <c r="AL712" i="1"/>
  <c r="Y282" i="1"/>
  <c r="F316" i="1"/>
  <c r="CA282" i="1"/>
  <c r="AR290" i="1"/>
  <c r="CF570" i="1"/>
  <c r="AW582" i="1"/>
  <c r="GO336" i="1"/>
  <c r="GM336" i="1"/>
  <c r="AF82" i="1"/>
  <c r="S218" i="1"/>
  <c r="AB387" i="1"/>
  <c r="O431" i="1"/>
  <c r="AK635" i="1"/>
  <c r="CJ82" i="1"/>
  <c r="BA218" i="1"/>
  <c r="AP22" i="1"/>
  <c r="F770" i="1"/>
  <c r="G16" i="2" s="1"/>
  <c r="G18" i="2" s="1"/>
  <c r="AP793" i="1"/>
  <c r="U712" i="1"/>
  <c r="F754" i="1"/>
  <c r="GN140" i="1"/>
  <c r="GM140" i="1"/>
  <c r="F373" i="1"/>
  <c r="AS321" i="1"/>
  <c r="GN161" i="1"/>
  <c r="GM185" i="1"/>
  <c r="AY539" i="1"/>
  <c r="CH529" i="1"/>
  <c r="Q712" i="1"/>
  <c r="F744" i="1"/>
  <c r="GN724" i="1"/>
  <c r="CB732" i="1" s="1"/>
  <c r="CA51" i="1"/>
  <c r="AB491" i="1"/>
  <c r="O498" i="1"/>
  <c r="CJ613" i="1"/>
  <c r="BA635" i="1"/>
  <c r="CB635" i="1"/>
  <c r="GN192" i="1"/>
  <c r="GM192" i="1"/>
  <c r="CF282" i="1"/>
  <c r="AW290" i="1"/>
  <c r="GO328" i="1"/>
  <c r="P387" i="1"/>
  <c r="F434" i="1"/>
  <c r="X491" i="1"/>
  <c r="F523" i="1"/>
  <c r="AB666" i="1"/>
  <c r="O681" i="1"/>
  <c r="GO334" i="1"/>
  <c r="F607" i="1"/>
  <c r="X570" i="1"/>
  <c r="GM618" i="1"/>
  <c r="F747" i="1"/>
  <c r="S712" i="1"/>
  <c r="F376" i="1"/>
  <c r="BA321" i="1"/>
  <c r="GM352" i="1"/>
  <c r="CA356" i="1" s="1"/>
  <c r="X387" i="1"/>
  <c r="F456" i="1"/>
  <c r="AH82" i="1"/>
  <c r="U218" i="1"/>
  <c r="AT30" i="1"/>
  <c r="F69" i="1"/>
  <c r="AT247" i="1"/>
  <c r="CE613" i="1"/>
  <c r="AV635" i="1"/>
  <c r="AZ26" i="1"/>
  <c r="F258" i="1"/>
  <c r="AZ761" i="1"/>
  <c r="AB321" i="1"/>
  <c r="O356" i="1"/>
  <c r="W712" i="1"/>
  <c r="F756" i="1"/>
  <c r="BC22" i="1"/>
  <c r="BC793" i="1"/>
  <c r="F777" i="1"/>
  <c r="X282" i="1"/>
  <c r="F315" i="1"/>
  <c r="P570" i="1"/>
  <c r="F585" i="1"/>
  <c r="R570" i="1"/>
  <c r="F596" i="1"/>
  <c r="AL666" i="1"/>
  <c r="Y681" i="1"/>
  <c r="BB22" i="1"/>
  <c r="BB793" i="1"/>
  <c r="F774" i="1"/>
  <c r="Q387" i="1"/>
  <c r="F443" i="1"/>
  <c r="GN677" i="1"/>
  <c r="CB681" i="1" s="1"/>
  <c r="F746" i="1"/>
  <c r="R712" i="1"/>
  <c r="R30" i="1"/>
  <c r="F65" i="1"/>
  <c r="R387" i="1"/>
  <c r="F445" i="1"/>
  <c r="CH681" i="1"/>
  <c r="CE681" i="1"/>
  <c r="AC666" i="1"/>
  <c r="P681" i="1"/>
  <c r="CF681" i="1"/>
  <c r="AK356" i="1"/>
  <c r="O570" i="1"/>
  <c r="F584" i="1"/>
  <c r="GO338" i="1"/>
  <c r="AW539" i="1"/>
  <c r="CF529" i="1"/>
  <c r="GN141" i="1"/>
  <c r="GM141" i="1"/>
  <c r="AC82" i="1"/>
  <c r="P218" i="1"/>
  <c r="CF218" i="1"/>
  <c r="CH218" i="1"/>
  <c r="CE218" i="1"/>
  <c r="GN144" i="1"/>
  <c r="GM144" i="1"/>
  <c r="GN176" i="1"/>
  <c r="GM176" i="1"/>
  <c r="F512" i="1"/>
  <c r="R491" i="1"/>
  <c r="AD321" i="1"/>
  <c r="Q356" i="1"/>
  <c r="F599" i="1"/>
  <c r="AS570" i="1"/>
  <c r="AH613" i="1"/>
  <c r="U635" i="1"/>
  <c r="CH282" i="1"/>
  <c r="AY290" i="1"/>
  <c r="F293" i="1"/>
  <c r="P282" i="1"/>
  <c r="CF387" i="1"/>
  <c r="AW431" i="1"/>
  <c r="GO332" i="1"/>
  <c r="W613" i="1"/>
  <c r="F659" i="1"/>
  <c r="W82" i="1"/>
  <c r="F242" i="1"/>
  <c r="GN618" i="1"/>
  <c r="GN195" i="1"/>
  <c r="AK732" i="1"/>
  <c r="AB712" i="1"/>
  <c r="O732" i="1"/>
  <c r="F54" i="1"/>
  <c r="P30" i="1"/>
  <c r="P247" i="1"/>
  <c r="V387" i="1"/>
  <c r="F454" i="1"/>
  <c r="AF321" i="1"/>
  <c r="S356" i="1"/>
  <c r="CH613" i="1"/>
  <c r="AY635" i="1"/>
  <c r="AZ278" i="1"/>
  <c r="F471" i="1"/>
  <c r="AB282" i="1"/>
  <c r="O290" i="1"/>
  <c r="CE570" i="1"/>
  <c r="AV582" i="1"/>
  <c r="Y491" i="1"/>
  <c r="F524" i="1"/>
  <c r="GM621" i="1"/>
  <c r="CA635" i="1" s="1"/>
  <c r="CC529" i="1"/>
  <c r="AT539" i="1"/>
  <c r="AK529" i="1"/>
  <c r="X539" i="1"/>
  <c r="Q30" i="1"/>
  <c r="F63" i="1"/>
  <c r="BA460" i="1"/>
  <c r="F542" i="1"/>
  <c r="P529" i="1"/>
  <c r="AB30" i="1"/>
  <c r="O51" i="1"/>
  <c r="GN85" i="1"/>
  <c r="CB218" i="1" s="1"/>
  <c r="GM85" i="1"/>
  <c r="CA218" i="1" s="1"/>
  <c r="AB218" i="1"/>
  <c r="AO22" i="1"/>
  <c r="AO793" i="1"/>
  <c r="F765" i="1"/>
  <c r="CC282" i="1"/>
  <c r="AT290" i="1"/>
  <c r="AS387" i="1"/>
  <c r="F448" i="1"/>
  <c r="GN624" i="1"/>
  <c r="GM624" i="1"/>
  <c r="V460" i="1"/>
  <c r="CA498" i="1"/>
  <c r="AI613" i="1"/>
  <c r="V635" i="1"/>
  <c r="AD82" i="1"/>
  <c r="Q218" i="1"/>
  <c r="Q247" i="1" s="1"/>
  <c r="AE666" i="1"/>
  <c r="R681" i="1"/>
  <c r="CE282" i="1"/>
  <c r="AV290" i="1"/>
  <c r="CE387" i="1"/>
  <c r="AV431" i="1"/>
  <c r="S387" i="1"/>
  <c r="F446" i="1"/>
  <c r="F553" i="1"/>
  <c r="R529" i="1"/>
  <c r="Y529" i="1"/>
  <c r="F565" i="1"/>
  <c r="V82" i="1"/>
  <c r="F241" i="1"/>
  <c r="V247" i="1"/>
  <c r="W321" i="1"/>
  <c r="F380" i="1"/>
  <c r="W460" i="1"/>
  <c r="W761" i="1" s="1"/>
  <c r="X30" i="1"/>
  <c r="F76" i="1"/>
  <c r="X247" i="1"/>
  <c r="S613" i="1"/>
  <c r="F650" i="1"/>
  <c r="BA666" i="1"/>
  <c r="F701" i="1"/>
  <c r="F702" i="1"/>
  <c r="T666" i="1"/>
  <c r="CH30" i="1"/>
  <c r="AY51" i="1"/>
  <c r="GN196" i="1"/>
  <c r="GM196" i="1"/>
  <c r="AV498" i="1"/>
  <c r="CE491" i="1"/>
  <c r="CC356" i="1"/>
  <c r="S666" i="1"/>
  <c r="F696" i="1"/>
  <c r="T712" i="1"/>
  <c r="F753" i="1"/>
  <c r="T387" i="1"/>
  <c r="F452" i="1"/>
  <c r="AG82" i="1"/>
  <c r="T218" i="1"/>
  <c r="AE613" i="1"/>
  <c r="R635" i="1"/>
  <c r="AQ22" i="1"/>
  <c r="AQ793" i="1"/>
  <c r="F771" i="1"/>
  <c r="AV539" i="1"/>
  <c r="CE529" i="1"/>
  <c r="AC712" i="1"/>
  <c r="CF732" i="1"/>
  <c r="P732" i="1"/>
  <c r="CH732" i="1"/>
  <c r="CE732" i="1"/>
  <c r="CB51" i="1"/>
  <c r="AE321" i="1"/>
  <c r="R356" i="1"/>
  <c r="W387" i="1"/>
  <c r="F455" i="1"/>
  <c r="AR539" i="1"/>
  <c r="CA529" i="1"/>
  <c r="CD498" i="1"/>
  <c r="AB635" i="1"/>
  <c r="AI666" i="1"/>
  <c r="V681" i="1"/>
  <c r="CH387" i="1"/>
  <c r="AY431" i="1"/>
  <c r="CA681" i="1"/>
  <c r="Y30" i="1"/>
  <c r="F77" i="1"/>
  <c r="Y247" i="1"/>
  <c r="F608" i="1"/>
  <c r="Y570" i="1"/>
  <c r="Y387" i="1"/>
  <c r="F457" i="1"/>
  <c r="W22" i="1" l="1"/>
  <c r="F785" i="1"/>
  <c r="W793" i="1"/>
  <c r="AS732" i="1"/>
  <c r="CB712" i="1"/>
  <c r="CB666" i="1"/>
  <c r="AS681" i="1"/>
  <c r="Q26" i="1"/>
  <c r="F259" i="1"/>
  <c r="Q761" i="1"/>
  <c r="CA82" i="1"/>
  <c r="AR218" i="1"/>
  <c r="CA321" i="1"/>
  <c r="AR356" i="1"/>
  <c r="CB82" i="1"/>
  <c r="AS218" i="1"/>
  <c r="CA613" i="1"/>
  <c r="AR635" i="1"/>
  <c r="Y278" i="1"/>
  <c r="F486" i="1"/>
  <c r="R26" i="1"/>
  <c r="F261" i="1"/>
  <c r="CA666" i="1"/>
  <c r="AR681" i="1"/>
  <c r="F735" i="1"/>
  <c r="P712" i="1"/>
  <c r="R613" i="1"/>
  <c r="F649" i="1"/>
  <c r="AV387" i="1"/>
  <c r="F436" i="1"/>
  <c r="O30" i="1"/>
  <c r="F53" i="1"/>
  <c r="O247" i="1"/>
  <c r="BA278" i="1"/>
  <c r="F480" i="1"/>
  <c r="P26" i="1"/>
  <c r="F250" i="1"/>
  <c r="P761" i="1"/>
  <c r="P82" i="1"/>
  <c r="F221" i="1"/>
  <c r="CB613" i="1"/>
  <c r="AS635" i="1"/>
  <c r="AK613" i="1"/>
  <c r="X635" i="1"/>
  <c r="AX22" i="1"/>
  <c r="F768" i="1"/>
  <c r="AX793" i="1"/>
  <c r="AS282" i="1"/>
  <c r="F307" i="1"/>
  <c r="AS460" i="1"/>
  <c r="Y26" i="1"/>
  <c r="F273" i="1"/>
  <c r="Y761" i="1"/>
  <c r="AY387" i="1"/>
  <c r="F439" i="1"/>
  <c r="AB613" i="1"/>
  <c r="O635" i="1"/>
  <c r="CB30" i="1"/>
  <c r="AS51" i="1"/>
  <c r="AW732" i="1"/>
  <c r="CF712" i="1"/>
  <c r="AB82" i="1"/>
  <c r="O218" i="1"/>
  <c r="AK712" i="1"/>
  <c r="X732" i="1"/>
  <c r="AW387" i="1"/>
  <c r="F437" i="1"/>
  <c r="U613" i="1"/>
  <c r="F657" i="1"/>
  <c r="Q321" i="1"/>
  <c r="F368" i="1"/>
  <c r="Q460" i="1"/>
  <c r="CE82" i="1"/>
  <c r="AV218" i="1"/>
  <c r="AW529" i="1"/>
  <c r="F545" i="1"/>
  <c r="AK321" i="1"/>
  <c r="X356" i="1"/>
  <c r="CE666" i="1"/>
  <c r="AV681" i="1"/>
  <c r="AT26" i="1"/>
  <c r="F265" i="1"/>
  <c r="O666" i="1"/>
  <c r="F683" i="1"/>
  <c r="BA613" i="1"/>
  <c r="F655" i="1"/>
  <c r="AR51" i="1"/>
  <c r="CA30" i="1"/>
  <c r="O387" i="1"/>
  <c r="F433" i="1"/>
  <c r="F317" i="1"/>
  <c r="AR282" i="1"/>
  <c r="AR460" i="1"/>
  <c r="AY491" i="1"/>
  <c r="F506" i="1"/>
  <c r="CF321" i="1"/>
  <c r="AW356" i="1"/>
  <c r="AT570" i="1"/>
  <c r="F600" i="1"/>
  <c r="AU498" i="1"/>
  <c r="CD491" i="1"/>
  <c r="AV732" i="1"/>
  <c r="CE712" i="1"/>
  <c r="AQ18" i="1"/>
  <c r="F803" i="1"/>
  <c r="T82" i="1"/>
  <c r="F239" i="1"/>
  <c r="T247" i="1"/>
  <c r="AR498" i="1"/>
  <c r="CA491" i="1"/>
  <c r="O282" i="1"/>
  <c r="F292" i="1"/>
  <c r="O460" i="1"/>
  <c r="AY681" i="1"/>
  <c r="CH666" i="1"/>
  <c r="BC18" i="1"/>
  <c r="F809" i="1"/>
  <c r="BA82" i="1"/>
  <c r="F238" i="1"/>
  <c r="BA247" i="1"/>
  <c r="AW491" i="1"/>
  <c r="F504" i="1"/>
  <c r="AW30" i="1"/>
  <c r="F57" i="1"/>
  <c r="P321" i="1"/>
  <c r="F359" i="1"/>
  <c r="T613" i="1"/>
  <c r="F656" i="1"/>
  <c r="AY570" i="1"/>
  <c r="F590" i="1"/>
  <c r="AW613" i="1"/>
  <c r="F641" i="1"/>
  <c r="AV30" i="1"/>
  <c r="F56" i="1"/>
  <c r="AV247" i="1"/>
  <c r="AR387" i="1"/>
  <c r="F458" i="1"/>
  <c r="Y613" i="1"/>
  <c r="F661" i="1"/>
  <c r="AR570" i="1"/>
  <c r="F609" i="1"/>
  <c r="Y82" i="1"/>
  <c r="F244" i="1"/>
  <c r="F759" i="1"/>
  <c r="AR712" i="1"/>
  <c r="F566" i="1"/>
  <c r="AR529" i="1"/>
  <c r="AT356" i="1"/>
  <c r="AT460" i="1" s="1"/>
  <c r="CC321" i="1"/>
  <c r="V26" i="1"/>
  <c r="F270" i="1"/>
  <c r="V761" i="1"/>
  <c r="AV282" i="1"/>
  <c r="F295" i="1"/>
  <c r="AV460" i="1"/>
  <c r="Q82" i="1"/>
  <c r="F230" i="1"/>
  <c r="F557" i="1"/>
  <c r="AT529" i="1"/>
  <c r="AY613" i="1"/>
  <c r="F643" i="1"/>
  <c r="AY282" i="1"/>
  <c r="F298" i="1"/>
  <c r="AY460" i="1"/>
  <c r="CH82" i="1"/>
  <c r="AY218" i="1"/>
  <c r="CF666" i="1"/>
  <c r="AW681" i="1"/>
  <c r="BB18" i="1"/>
  <c r="F806" i="1"/>
  <c r="O321" i="1"/>
  <c r="F358" i="1"/>
  <c r="AY529" i="1"/>
  <c r="F547" i="1"/>
  <c r="F704" i="1"/>
  <c r="V666" i="1"/>
  <c r="R321" i="1"/>
  <c r="F370" i="1"/>
  <c r="R460" i="1"/>
  <c r="CH712" i="1"/>
  <c r="AY732" i="1"/>
  <c r="AY30" i="1"/>
  <c r="F59" i="1"/>
  <c r="AY247" i="1"/>
  <c r="W278" i="1"/>
  <c r="F484" i="1"/>
  <c r="V278" i="1"/>
  <c r="F483" i="1"/>
  <c r="AO18" i="1"/>
  <c r="F797" i="1"/>
  <c r="O712" i="1"/>
  <c r="F734" i="1"/>
  <c r="P460" i="1"/>
  <c r="CF82" i="1"/>
  <c r="AW218" i="1"/>
  <c r="AW247" i="1" s="1"/>
  <c r="P666" i="1"/>
  <c r="F684" i="1"/>
  <c r="AV613" i="1"/>
  <c r="F640" i="1"/>
  <c r="F500" i="1"/>
  <c r="O491" i="1"/>
  <c r="AP18" i="1"/>
  <c r="F802" i="1"/>
  <c r="S82" i="1"/>
  <c r="F233" i="1"/>
  <c r="F588" i="1"/>
  <c r="AW570" i="1"/>
  <c r="Y712" i="1"/>
  <c r="F758" i="1"/>
  <c r="U321" i="1"/>
  <c r="F378" i="1"/>
  <c r="U460" i="1"/>
  <c r="CE321" i="1"/>
  <c r="AV356" i="1"/>
  <c r="T321" i="1"/>
  <c r="F377" i="1"/>
  <c r="T460" i="1"/>
  <c r="X82" i="1"/>
  <c r="F243" i="1"/>
  <c r="AV529" i="1"/>
  <c r="F544" i="1"/>
  <c r="AV491" i="1"/>
  <c r="F503" i="1"/>
  <c r="X26" i="1"/>
  <c r="F272" i="1"/>
  <c r="F695" i="1"/>
  <c r="R666" i="1"/>
  <c r="V613" i="1"/>
  <c r="F658" i="1"/>
  <c r="AT282" i="1"/>
  <c r="F308" i="1"/>
  <c r="X529" i="1"/>
  <c r="F564" i="1"/>
  <c r="F587" i="1"/>
  <c r="AV570" i="1"/>
  <c r="S321" i="1"/>
  <c r="F371" i="1"/>
  <c r="S460" i="1"/>
  <c r="F707" i="1"/>
  <c r="Y666" i="1"/>
  <c r="AZ22" i="1"/>
  <c r="AZ793" i="1"/>
  <c r="F772" i="1"/>
  <c r="U82" i="1"/>
  <c r="F240" i="1"/>
  <c r="U247" i="1"/>
  <c r="AW282" i="1"/>
  <c r="F296" i="1"/>
  <c r="AW460" i="1"/>
  <c r="CH321" i="1"/>
  <c r="AY356" i="1"/>
  <c r="R82" i="1"/>
  <c r="F232" i="1"/>
  <c r="S26" i="1"/>
  <c r="F262" i="1"/>
  <c r="Y321" i="1"/>
  <c r="F382" i="1"/>
  <c r="AT387" i="1"/>
  <c r="F449" i="1"/>
  <c r="F706" i="1"/>
  <c r="X666" i="1"/>
  <c r="AW26" i="1" l="1"/>
  <c r="F253" i="1"/>
  <c r="AW761" i="1"/>
  <c r="AT278" i="1"/>
  <c r="F478" i="1"/>
  <c r="AT761" i="1"/>
  <c r="S278" i="1"/>
  <c r="F475" i="1"/>
  <c r="R278" i="1"/>
  <c r="F474" i="1"/>
  <c r="AV278" i="1"/>
  <c r="F465" i="1"/>
  <c r="T26" i="1"/>
  <c r="F268" i="1"/>
  <c r="T761" i="1"/>
  <c r="Y22" i="1"/>
  <c r="Y793" i="1"/>
  <c r="F787" i="1"/>
  <c r="O26" i="1"/>
  <c r="F249" i="1"/>
  <c r="O761" i="1"/>
  <c r="Q22" i="1"/>
  <c r="Q793" i="1"/>
  <c r="F773" i="1"/>
  <c r="S761" i="1"/>
  <c r="AV321" i="1"/>
  <c r="F361" i="1"/>
  <c r="AY82" i="1"/>
  <c r="F226" i="1"/>
  <c r="F78" i="1"/>
  <c r="AR30" i="1"/>
  <c r="AR247" i="1"/>
  <c r="F686" i="1"/>
  <c r="AV666" i="1"/>
  <c r="Q278" i="1"/>
  <c r="F472" i="1"/>
  <c r="AW712" i="1"/>
  <c r="F738" i="1"/>
  <c r="X613" i="1"/>
  <c r="F660" i="1"/>
  <c r="AR666" i="1"/>
  <c r="F708" i="1"/>
  <c r="AY321" i="1"/>
  <c r="F364" i="1"/>
  <c r="T278" i="1"/>
  <c r="F481" i="1"/>
  <c r="P278" i="1"/>
  <c r="F463" i="1"/>
  <c r="F740" i="1"/>
  <c r="AY712" i="1"/>
  <c r="AY666" i="1"/>
  <c r="F689" i="1"/>
  <c r="AV712" i="1"/>
  <c r="F737" i="1"/>
  <c r="O82" i="1"/>
  <c r="F220" i="1"/>
  <c r="AS30" i="1"/>
  <c r="F68" i="1"/>
  <c r="AS247" i="1"/>
  <c r="AX18" i="1"/>
  <c r="F800" i="1"/>
  <c r="AS82" i="1"/>
  <c r="F235" i="1"/>
  <c r="AR82" i="1"/>
  <c r="F245" i="1"/>
  <c r="AS712" i="1"/>
  <c r="F749" i="1"/>
  <c r="AZ18" i="1"/>
  <c r="F804" i="1"/>
  <c r="AY26" i="1"/>
  <c r="F255" i="1"/>
  <c r="AY761" i="1"/>
  <c r="F687" i="1"/>
  <c r="AW666" i="1"/>
  <c r="AY278" i="1"/>
  <c r="F468" i="1"/>
  <c r="V22" i="1"/>
  <c r="V793" i="1"/>
  <c r="F784" i="1"/>
  <c r="AT321" i="1"/>
  <c r="F374" i="1"/>
  <c r="O278" i="1"/>
  <c r="F462" i="1"/>
  <c r="AR491" i="1"/>
  <c r="F525" i="1"/>
  <c r="AW321" i="1"/>
  <c r="F362" i="1"/>
  <c r="AR278" i="1"/>
  <c r="F487" i="1"/>
  <c r="X321" i="1"/>
  <c r="F381" i="1"/>
  <c r="X460" i="1"/>
  <c r="AV82" i="1"/>
  <c r="F223" i="1"/>
  <c r="AS278" i="1"/>
  <c r="F477" i="1"/>
  <c r="AS613" i="1"/>
  <c r="F652" i="1"/>
  <c r="P22" i="1"/>
  <c r="P793" i="1"/>
  <c r="F764" i="1"/>
  <c r="R761" i="1"/>
  <c r="F698" i="1"/>
  <c r="AS666" i="1"/>
  <c r="W18" i="1"/>
  <c r="F817" i="1"/>
  <c r="U26" i="1"/>
  <c r="F269" i="1"/>
  <c r="U761" i="1"/>
  <c r="U278" i="1"/>
  <c r="F482" i="1"/>
  <c r="AW82" i="1"/>
  <c r="F224" i="1"/>
  <c r="BA26" i="1"/>
  <c r="F267" i="1"/>
  <c r="BA761" i="1"/>
  <c r="X712" i="1"/>
  <c r="F757" i="1"/>
  <c r="AR321" i="1"/>
  <c r="F383" i="1"/>
  <c r="AW278" i="1"/>
  <c r="F466" i="1"/>
  <c r="AV26" i="1"/>
  <c r="F252" i="1"/>
  <c r="AV761" i="1"/>
  <c r="F517" i="1"/>
  <c r="AU491" i="1"/>
  <c r="AU761" i="1"/>
  <c r="O613" i="1"/>
  <c r="F637" i="1"/>
  <c r="AR613" i="1"/>
  <c r="F662" i="1"/>
  <c r="R22" i="1" l="1"/>
  <c r="F775" i="1"/>
  <c r="R793" i="1"/>
  <c r="V18" i="1"/>
  <c r="F816" i="1"/>
  <c r="AT22" i="1"/>
  <c r="AT793" i="1"/>
  <c r="F779" i="1"/>
  <c r="F16" i="2" s="1"/>
  <c r="F18" i="2" s="1"/>
  <c r="AV22" i="1"/>
  <c r="AV793" i="1"/>
  <c r="F766" i="1"/>
  <c r="U22" i="1"/>
  <c r="F783" i="1"/>
  <c r="U793" i="1"/>
  <c r="S22" i="1"/>
  <c r="S793" i="1"/>
  <c r="F776" i="1"/>
  <c r="J16" i="2" s="1"/>
  <c r="J18" i="2" s="1"/>
  <c r="O22" i="1"/>
  <c r="O793" i="1"/>
  <c r="F763" i="1"/>
  <c r="Y18" i="1"/>
  <c r="F819" i="1"/>
  <c r="AU22" i="1"/>
  <c r="F780" i="1"/>
  <c r="AU793" i="1"/>
  <c r="BA22" i="1"/>
  <c r="BA793" i="1"/>
  <c r="F781" i="1"/>
  <c r="P18" i="1"/>
  <c r="F796" i="1"/>
  <c r="X278" i="1"/>
  <c r="F485" i="1"/>
  <c r="X761" i="1"/>
  <c r="AY22" i="1"/>
  <c r="F769" i="1"/>
  <c r="AY793" i="1"/>
  <c r="AR26" i="1"/>
  <c r="F274" i="1"/>
  <c r="AR761" i="1"/>
  <c r="AS26" i="1"/>
  <c r="F264" i="1"/>
  <c r="AS761" i="1"/>
  <c r="Q18" i="1"/>
  <c r="F805" i="1"/>
  <c r="T22" i="1"/>
  <c r="F782" i="1"/>
  <c r="T793" i="1"/>
  <c r="AW22" i="1"/>
  <c r="F767" i="1"/>
  <c r="AW793" i="1"/>
  <c r="T18" i="1" l="1"/>
  <c r="F814" i="1"/>
  <c r="AR22" i="1"/>
  <c r="AR793" i="1"/>
  <c r="F788" i="1"/>
  <c r="F789" i="1" s="1"/>
  <c r="BA18" i="1"/>
  <c r="F813" i="1"/>
  <c r="O18" i="1"/>
  <c r="F795" i="1"/>
  <c r="AT18" i="1"/>
  <c r="F811" i="1"/>
  <c r="R18" i="1"/>
  <c r="F807" i="1"/>
  <c r="AW18" i="1"/>
  <c r="F799" i="1"/>
  <c r="AS22" i="1"/>
  <c r="F778" i="1"/>
  <c r="E16" i="2" s="1"/>
  <c r="AS793" i="1"/>
  <c r="U18" i="1"/>
  <c r="F815" i="1"/>
  <c r="AV18" i="1"/>
  <c r="F798" i="1"/>
  <c r="X22" i="1"/>
  <c r="F786" i="1"/>
  <c r="X793" i="1"/>
  <c r="AU18" i="1"/>
  <c r="F812" i="1"/>
  <c r="AY18" i="1"/>
  <c r="F801" i="1"/>
  <c r="H16" i="2"/>
  <c r="H18" i="2" s="1"/>
  <c r="S18" i="1"/>
  <c r="F808" i="1"/>
  <c r="AS18" i="1" l="1"/>
  <c r="F810" i="1"/>
  <c r="X18" i="1"/>
  <c r="F818" i="1"/>
  <c r="I16" i="2"/>
  <c r="I18" i="2" s="1"/>
  <c r="E18" i="2"/>
  <c r="F790" i="1"/>
  <c r="F791" i="1" s="1"/>
  <c r="AR18" i="1"/>
  <c r="F820" i="1"/>
</calcChain>
</file>

<file path=xl/sharedStrings.xml><?xml version="1.0" encoding="utf-8"?>
<sst xmlns="http://schemas.openxmlformats.org/spreadsheetml/2006/main" count="28111" uniqueCount="2006">
  <si>
    <t>Smeta.RU  (495) 974-1589</t>
  </si>
  <si>
    <t>_PS_</t>
  </si>
  <si>
    <t>Smeta.RU</t>
  </si>
  <si>
    <t>НИЯУ МИФИ  Доп. раб. место  MCCS-0027251</t>
  </si>
  <si>
    <t>Новый объект</t>
  </si>
  <si>
    <t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</si>
  <si>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</si>
  <si>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</si>
  <si>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</si>
  <si>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</si>
  <si>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</si>
  <si>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</si>
  <si>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</si>
  <si>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</si>
  <si>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</si>
  <si>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Новый подраздел</t>
  </si>
  <si>
    <t>1 Демонтаж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</si>
  <si>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</si>
  <si>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</si>
  <si>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</si>
  <si>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</si>
  <si>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</si>
  <si>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</si>
  <si>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</si>
  <si>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</si>
  <si>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</si>
  <si>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</si>
  <si>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</si>
  <si>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46-04-012-02</t>
  </si>
  <si>
    <t>Разборка деревянных заполнений проемов оконных без подоконных досок (фрамуга остеклённая,витражное остекление))</t>
  </si>
  <si>
    <t>ФЕР-2001, 46-04-012-02, приказ Минстроя России №1039/пр от 30.12.2016г.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</si>
  <si>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</si>
  <si>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</si>
  <si>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</si>
  <si>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</si>
  <si>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</si>
  <si>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</si>
  <si>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</si>
  <si>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</si>
  <si>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4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</si>
  <si>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</si>
  <si>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</si>
  <si>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</si>
  <si>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5</t>
  </si>
  <si>
    <t>10-04-014-01 прим.</t>
  </si>
  <si>
    <t>Демонтаж :Устройство сантехнических перегородок (стандартные туалетные кабины) на каркасе из алюминиевого профиля (Демонтаж кабинок сантехнических из ПВХ)</t>
  </si>
  <si>
    <t>ФЕР-2001, 10-04-014-01, приказ Минстроя России №886/пр от 15.06.2017</t>
  </si>
  <si>
    <t>Поправка: Табл.2, п.2  Наименование: При демонтаже (разборке) сборных деревянных конструкций</t>
  </si>
  <si>
    <t>)*0</t>
  </si>
  <si>
    <t>)*0,8</t>
  </si>
  <si>
    <t>Деревянные конструкции</t>
  </si>
  <si>
    <t>ФЕР-10</t>
  </si>
  <si>
    <t>Поправка: Табл.2, п.2</t>
  </si>
  <si>
    <t>6</t>
  </si>
  <si>
    <t>20-02-002-03 прим.</t>
  </si>
  <si>
    <t>Демонтаж:Установка решеток жалюзийных площадью в свету до 1,5 м2 (Жалюзи вертикальные)</t>
  </si>
  <si>
    <t>ШТ</t>
  </si>
  <si>
    <t>ФЕР-2001, 20-02-002-03,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</si>
  <si>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</si>
  <si>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)*0,4</t>
  </si>
  <si>
    <t>Вентиляция и кондиционирование</t>
  </si>
  <si>
    <t>ФЕР-20</t>
  </si>
  <si>
    <t>Поправка: МДС 81-36.2004, п.3.3.1.в</t>
  </si>
  <si>
    <t>7</t>
  </si>
  <si>
    <t>65-33-1</t>
  </si>
  <si>
    <t>Смена жалюзийных решеток</t>
  </si>
  <si>
    <t>100 ШТ</t>
  </si>
  <si>
    <t>ФЕРр-2001, 65-33-1, приказ Минстроя России №1039/пр от 30.12.2016г.</t>
  </si>
  <si>
    <t>Внтуренниие с/техработы: смена труб</t>
  </si>
  <si>
    <t>рФЕР-65</t>
  </si>
  <si>
    <t>7,1</t>
  </si>
  <si>
    <t>19.2.03.07-0006</t>
  </si>
  <si>
    <t>Решетка вентиляционная пластмассовая размером 300х300 мм</t>
  </si>
  <si>
    <t>шт.</t>
  </si>
  <si>
    <t>ФССЦ-2001, 19.2.03.07-0006, приказ Минстроя России №1039/пр от 30.12.2016г.</t>
  </si>
  <si>
    <t>7,2</t>
  </si>
  <si>
    <t>19.2.03.09</t>
  </si>
  <si>
    <t>Решетки жалюзийные</t>
  </si>
  <si>
    <t>8</t>
  </si>
  <si>
    <t>м08-02-472-06</t>
  </si>
  <si>
    <t>Демонтаж: Проводник заземляющий открыто по строительным основаниям из полосовой стали сечением 100 мм2 (шина заземления)</t>
  </si>
  <si>
    <t>ФЕРм-2001, м08-02-472-06,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</si>
  <si>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</si>
  <si>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</si>
  <si>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</si>
  <si>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</si>
  <si>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</si>
  <si>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9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</si>
  <si>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</si>
  <si>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</si>
  <si>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</si>
  <si>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Полы</t>
  </si>
  <si>
    <t>рФЕР-57</t>
  </si>
  <si>
    <t>10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</si>
  <si>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</si>
  <si>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</si>
  <si>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</si>
  <si>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10,1</t>
  </si>
  <si>
    <t>01.7.07.07</t>
  </si>
  <si>
    <t>Строительный мусор</t>
  </si>
  <si>
    <t>т</t>
  </si>
  <si>
    <t>11</t>
  </si>
  <si>
    <t>57-1-3</t>
  </si>
  <si>
    <t>Разборка оснований покрытия полов простильных полов(деревянные)</t>
  </si>
  <si>
    <t>ФЕРр-2001, 57-1-3, приказ Минстроя России №1039/пр от 30.12.2016г.</t>
  </si>
  <si>
    <t>12</t>
  </si>
  <si>
    <t>57-2-3 прим.</t>
  </si>
  <si>
    <t>Разборка покрытий полов из керамических плиток (керамогранит)</t>
  </si>
  <si>
    <t>ФЕРр-2001, 57-2-3, приказ Минстроя России №1039/пр от 30.12.2016г.</t>
  </si>
  <si>
    <t>13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</si>
  <si>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</si>
  <si>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</si>
  <si>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</si>
  <si>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</si>
  <si>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</si>
  <si>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14</t>
  </si>
  <si>
    <t>09-06-001-02</t>
  </si>
  <si>
    <t>Демонтаж: Монтаж лотков, решеток, затворов из полосовой и тонколистовой стали</t>
  </si>
  <si>
    <t>ФЕР-2001, 09-06-001-02,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</si>
  <si>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</si>
  <si>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)*0,7</t>
  </si>
  <si>
    <t>Металлические конструкции</t>
  </si>
  <si>
    <t>ФЕР-09</t>
  </si>
  <si>
    <t>Поправка: Прил. 9.3, п.5</t>
  </si>
  <si>
    <t>15</t>
  </si>
  <si>
    <t>59-4-1 прим.</t>
  </si>
  <si>
    <t>Разборка поручней деревянных прямой части</t>
  </si>
  <si>
    <t>ФЕРр-2001, 59-4-1, приказ Минстроя России №1039/пр от 30.12.2016г.</t>
  </si>
  <si>
    <t>Лестницы, кровля</t>
  </si>
  <si>
    <t>рФЕР-59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</si>
  <si>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</si>
  <si>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</si>
  <si>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</si>
  <si>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</si>
  <si>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</si>
  <si>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</si>
  <si>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</si>
  <si>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</si>
  <si>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</si>
  <si>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</si>
  <si>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</si>
  <si>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</si>
  <si>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</si>
  <si>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</si>
  <si>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</si>
  <si>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</si>
  <si>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</si>
  <si>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</si>
  <si>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</si>
  <si>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</si>
  <si>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</si>
  <si>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</si>
  <si>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</si>
  <si>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</si>
  <si>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</si>
  <si>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</si>
  <si>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</si>
  <si>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</si>
  <si>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</si>
  <si>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</si>
  <si>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</si>
  <si>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</si>
  <si>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</si>
  <si>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</si>
  <si>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</si>
  <si>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</si>
  <si>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</si>
  <si>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</si>
  <si>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</si>
  <si>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</si>
  <si>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</si>
  <si>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</si>
  <si>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</si>
  <si>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</si>
  <si>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</si>
  <si>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</si>
  <si>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</si>
  <si>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</si>
  <si>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</si>
  <si>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</si>
  <si>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</si>
  <si>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</si>
  <si>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Монтаж</t>
  </si>
  <si>
    <t>16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</si>
  <si>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</si>
  <si>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</si>
  <si>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</si>
  <si>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</si>
  <si>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</si>
  <si>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Поправка: МДС 81-35.2004, п.4.7</t>
  </si>
  <si>
    <t>16,1</t>
  </si>
  <si>
    <t>11.3.02.01-0019</t>
  </si>
  <si>
    <t>Блок оконный пластиковый двустворчатый, с глухой и поворотно-откидной створкой, двухкамерным стеклопакетом (32 мм), площадью до 3,5 м2</t>
  </si>
  <si>
    <t>м2</t>
  </si>
  <si>
    <t>ФССЦ-2001, 11.3.02.01-0019, приказ Минстроя России №1039/пр от 30.12.2016г.</t>
  </si>
  <si>
    <t>16,2</t>
  </si>
  <si>
    <t>11.3.02.03</t>
  </si>
  <si>
    <t>Блоки оконные пластиковые</t>
  </si>
  <si>
    <t>17</t>
  </si>
  <si>
    <t>10-01-034-03</t>
  </si>
  <si>
    <t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t>
  </si>
  <si>
    <t>ФЕР-2001, 10-01-034-03, приказ Минстроя России №1039/пр от 30.12.2016г.</t>
  </si>
  <si>
    <t>17,1</t>
  </si>
  <si>
    <t>11.3.02.02-0012</t>
  </si>
  <si>
    <t>Блок оконный пластиковый одностворчатый, с поворотно-откидной створкой, двухкамерным стеклопакетом (32 мм), площадью до 1 м2</t>
  </si>
  <si>
    <t>ФССЦ-2001, 11.3.02.02-0012, приказ Минстроя России №1039/пр от 30.12.2016г.</t>
  </si>
  <si>
    <t>17,2</t>
  </si>
  <si>
    <t>18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</si>
  <si>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</si>
  <si>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</si>
  <si>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</si>
  <si>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</si>
  <si>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</si>
  <si>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19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</si>
  <si>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</si>
  <si>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</si>
  <si>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</si>
  <si>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19,1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</si>
  <si>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</si>
  <si>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</si>
  <si>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</si>
  <si>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</si>
  <si>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19,2</t>
  </si>
  <si>
    <t>11.3.03.01</t>
  </si>
  <si>
    <t>Доски подоконные ПВХ</t>
  </si>
  <si>
    <t>20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</si>
  <si>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</si>
  <si>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</si>
  <si>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</si>
  <si>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Отделочные работы</t>
  </si>
  <si>
    <t>ФЕР-15</t>
  </si>
  <si>
    <t>21</t>
  </si>
  <si>
    <t>15-04-005-03</t>
  </si>
  <si>
    <t>Окраска поливинилацетатными водоэмульсионными составами улучшенная по штукатурке стен (откосы)</t>
  </si>
  <si>
    <t>ФЕР-2001, 15-04-005-03, приказ Минстроя России №1039/пр от 30.12.2016г.</t>
  </si>
  <si>
    <t>21,1</t>
  </si>
  <si>
    <t>14.3.02.01-0208</t>
  </si>
  <si>
    <t>Краска водно-дисперсионная "БИРСС Интерьер-Колор", цвет белый</t>
  </si>
  <si>
    <t>ФССЦ-2001, 14.3.02.01-0208, приказ Минстроя России №1039/пр от 30.12.2016г.</t>
  </si>
  <si>
    <t>21,2</t>
  </si>
  <si>
    <t>14.3.02.01</t>
  </si>
  <si>
    <t>Краска водоэмульсионная</t>
  </si>
  <si>
    <t>22</t>
  </si>
  <si>
    <t>09-04-012-01</t>
  </si>
  <si>
    <t>Установка металлических дверных блоков в готовые проемы</t>
  </si>
  <si>
    <t>ФЕР-2001, 09-04-012-01, приказ Минстроя России №1039/пр от 30.12.2016г.</t>
  </si>
  <si>
    <t>22,1</t>
  </si>
  <si>
    <t>01.7.04.04-0012</t>
  </si>
  <si>
    <t>Замок врезной оцинкованный с цилиндровым механизмом из латуни</t>
  </si>
  <si>
    <t>компл.</t>
  </si>
  <si>
    <t>ФССЦ-2001, 01.7.04.04-0012, приказ Минстроя России №1039/пр от 30.12.2016г.</t>
  </si>
  <si>
    <t>22,2</t>
  </si>
  <si>
    <t>07.1.01.03-0002</t>
  </si>
  <si>
    <t>Блок дверной стальной наружный двупольный ДСН ДКН, площадь 2,73 м2 (ГОСТ 31173-2003)</t>
  </si>
  <si>
    <t>ФССЦ-2001, 07.1.01.03-0002, приказ Минстроя России №1039/пр от 30.12.2016г.</t>
  </si>
  <si>
    <t>22,3</t>
  </si>
  <si>
    <t>07.1.01.03</t>
  </si>
  <si>
    <t>Блоки дверные металлические</t>
  </si>
  <si>
    <t>23</t>
  </si>
  <si>
    <t>09-04-012-02</t>
  </si>
  <si>
    <t>Установка дверного доводчика к металлическим дверям</t>
  </si>
  <si>
    <t>ФЕР-2001, 09-04-012-02, приказ Минстроя России №1039/пр от 30.12.2016г.</t>
  </si>
  <si>
    <t>23,1</t>
  </si>
  <si>
    <t>01.7.04.01-0001</t>
  </si>
  <si>
    <t>Доводчик дверной DS 73 BC "Серия Premium", усилие закрывания EN2-5</t>
  </si>
  <si>
    <t>ФССЦ-2001, 01.7.04.01-0001, приказ Минстроя России №1039/пр от 30.12.2016г.</t>
  </si>
  <si>
    <t>24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</si>
  <si>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</si>
  <si>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</si>
  <si>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</si>
  <si>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24,1</t>
  </si>
  <si>
    <t>11.2.02.01-0032</t>
  </si>
  <si>
    <t>Блоки дверные внутренние однопольные глухие шлифованные, из массива сосны, тонированные</t>
  </si>
  <si>
    <t>ФССЦ-2001, 11.2.02.01-0032, приказ Минстроя России №1039/пр от 30.12.2016г.</t>
  </si>
  <si>
    <t>24,2</t>
  </si>
  <si>
    <t>01.7.04.07-0003</t>
  </si>
  <si>
    <t>Скобяные изделия для блоков входных дверей в помещение однопольных</t>
  </si>
  <si>
    <t>ФССЦ-2001, 01.7.04.07-0003, приказ Минстроя России №1039/пр от 30.12.2016г.</t>
  </si>
  <si>
    <t>24,3</t>
  </si>
  <si>
    <t>24,4</t>
  </si>
  <si>
    <t>11.2.02.01</t>
  </si>
  <si>
    <t>Блоки дверные</t>
  </si>
  <si>
    <t>25</t>
  </si>
  <si>
    <t>10-04-014-01</t>
  </si>
  <si>
    <t>Устройство сантехнических перегородок (стандартные туалетные кабины) на каркасе из алюминиевого профиля</t>
  </si>
  <si>
    <t>26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</si>
  <si>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</si>
  <si>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</si>
  <si>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ФЕРр-2001, 61-7-1, приказ Минстроя России №1039/пр от 30.12.2016г.</t>
  </si>
  <si>
    <t>Штукатрурные работы</t>
  </si>
  <si>
    <t>рФЕР-61</t>
  </si>
  <si>
    <t>26,1</t>
  </si>
  <si>
    <t>27</t>
  </si>
  <si>
    <t>53-25-1</t>
  </si>
  <si>
    <t>Устройство металлических перемычек в стенах существующих зданий</t>
  </si>
  <si>
    <t>ФЕРр-2001, 53-25-1, приказ Минстроя России №1039/пр от 30.12.2016г.</t>
  </si>
  <si>
    <t>Стены</t>
  </si>
  <si>
    <t>рФЕР-53</t>
  </si>
  <si>
    <t>27,1</t>
  </si>
  <si>
    <t>04.3.01.09-0014</t>
  </si>
  <si>
    <t>Раствор готовый кладочный цементный марки 100</t>
  </si>
  <si>
    <t>м3</t>
  </si>
  <si>
    <t>ФССЦ-2001, 04.3.01.09-0014, приказ Минстроя России №1039/пр от 30.12.2016г.</t>
  </si>
  <si>
    <t>27,2</t>
  </si>
  <si>
    <t>06.1.01.05-0036</t>
  </si>
  <si>
    <t>Кирпич керамический одинарный, размером 250х120х65 мм, марка 125</t>
  </si>
  <si>
    <t>1000 шт.</t>
  </si>
  <si>
    <t>ФССЦ-2001, 06.1.01.05-0036, приказ Минстроя России №1039/пр от 30.12.2016г.</t>
  </si>
  <si>
    <t>27,3</t>
  </si>
  <si>
    <t>08.3.08.02-0083</t>
  </si>
  <si>
    <t>Сталь угловая равнополочная, марка стали Ст3сп, размером 45х45 мм</t>
  </si>
  <si>
    <t>ФССЦ-2001, 08.3.08.02-0083, приказ Минстроя России №1039/пр от 30.12.2016г.</t>
  </si>
  <si>
    <t>27,4</t>
  </si>
  <si>
    <t>04.3.01.12</t>
  </si>
  <si>
    <t>Раствор цементно-известковый М50</t>
  </si>
  <si>
    <t>27,5</t>
  </si>
  <si>
    <t>06.1.01.05</t>
  </si>
  <si>
    <t>Кирпич</t>
  </si>
  <si>
    <t>27,6</t>
  </si>
  <si>
    <t>07.2.07.13</t>
  </si>
  <si>
    <t>Конструкции стальные</t>
  </si>
  <si>
    <t>28</t>
  </si>
  <si>
    <t>08-04-003-03</t>
  </si>
  <si>
    <t>Кладка перегородок из газобетонных блоков на клее толщиной 200 мм при высоте этажа до 4 м</t>
  </si>
  <si>
    <t>ФЕР-2001, 08-04-003-03, приказ Минстроя России №1039/пр от 30.12.2016г.</t>
  </si>
  <si>
    <t>Конструкции из кирпича и блоков</t>
  </si>
  <si>
    <t>ФЕР-08</t>
  </si>
  <si>
    <t>28,1</t>
  </si>
  <si>
    <t>05.2.02.07-0010</t>
  </si>
  <si>
    <t>Блок пенобетонный, размером 20х30х60, D500 (Пеноблок газоселикатный 600х250х100мм) прим.</t>
  </si>
  <si>
    <t>ФССЦ-2001, 05.2.02.07-0010, приказ Минстроя России №1039/пр от 30.12.2016г.</t>
  </si>
  <si>
    <t>28,2</t>
  </si>
  <si>
    <t>14.1.06.02-0001</t>
  </si>
  <si>
    <t>Клей для облицовочных работ водостойкий «Плюс» (сухая смесь)</t>
  </si>
  <si>
    <t>ФССЦ-2001, 14.1.06.02-0001, приказ Минстроя России №1039/пр от 30.12.2016г.</t>
  </si>
  <si>
    <t>28,3</t>
  </si>
  <si>
    <t>05.2.02.09</t>
  </si>
  <si>
    <t>Блоки из ячеистых бетонов стеновые</t>
  </si>
  <si>
    <t>28,4</t>
  </si>
  <si>
    <t>14.1.06.05</t>
  </si>
  <si>
    <t>Состав клеящий</t>
  </si>
  <si>
    <t>кг</t>
  </si>
  <si>
    <t>29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</si>
  <si>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</si>
  <si>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</si>
  <si>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</si>
  <si>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29,1</t>
  </si>
  <si>
    <t>06.1.01.09-0002</t>
  </si>
  <si>
    <t>Кирпич-половняк силикатный</t>
  </si>
  <si>
    <t>ФССЦ-2001, 06.1.01.09-0002, приказ Минстроя России №1039/пр от 30.12.2016г.</t>
  </si>
  <si>
    <t>29,2</t>
  </si>
  <si>
    <t>Кирпич глиняный обыкновенный</t>
  </si>
  <si>
    <t>30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</si>
  <si>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</si>
  <si>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</si>
  <si>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</si>
  <si>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30,1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</si>
  <si>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</si>
  <si>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</si>
  <si>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</si>
  <si>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30,2</t>
  </si>
  <si>
    <t>14.4.01.21</t>
  </si>
  <si>
    <t>Грунтовка</t>
  </si>
  <si>
    <t>31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</si>
  <si>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</si>
  <si>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</si>
  <si>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ФЕРр-2001, 61-1-9, приказ Минстроя России №1039/пр от 30.12.2016г.</t>
  </si>
  <si>
    <t>31,1</t>
  </si>
  <si>
    <t>04.3.02.05-0002</t>
  </si>
  <si>
    <t>Смесь штукатурная «Ротбанд», КНАУФ</t>
  </si>
  <si>
    <t>ФССЦ-2001, 04.3.02.05-0002, приказ Минстроя России №1039/пр от 30.12.2016г.</t>
  </si>
  <si>
    <t>31,2</t>
  </si>
  <si>
    <t>04.3.02.09</t>
  </si>
  <si>
    <t>Смеси на цементной основе</t>
  </si>
  <si>
    <t>32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</si>
  <si>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</si>
  <si>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</si>
  <si>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</si>
  <si>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33</t>
  </si>
  <si>
    <t>62-16-3</t>
  </si>
  <si>
    <t>Окрашивание водоэмульсионными составами поверхностей стен, ранее окрашенных водоэмульсионной краской с расчисткой старой краски до 35%</t>
  </si>
  <si>
    <t>ФЕРр-2001, 62-16-3, приказ Минстроя России №1039/пр от 30.12.2016г.</t>
  </si>
  <si>
    <t>Малярные работы</t>
  </si>
  <si>
    <t>рФЕР-62</t>
  </si>
  <si>
    <t>33,1</t>
  </si>
  <si>
    <t>14.3.02.01-0026</t>
  </si>
  <si>
    <t>Краска акриловая АКВА ВД-АК-11</t>
  </si>
  <si>
    <t>ФССЦ-2001, 14.3.02.01-0026, приказ Минстроя России №1039/пр от 30.12.2016г.</t>
  </si>
  <si>
    <t>33,2</t>
  </si>
  <si>
    <t>34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</si>
  <si>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</si>
  <si>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</si>
  <si>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</si>
  <si>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34,1</t>
  </si>
  <si>
    <t>01.6.02.01</t>
  </si>
  <si>
    <t>Обои</t>
  </si>
  <si>
    <t>35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</si>
  <si>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</si>
  <si>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</si>
  <si>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</si>
  <si>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35,1</t>
  </si>
  <si>
    <t>35,2</t>
  </si>
  <si>
    <t>14.4.02.09</t>
  </si>
  <si>
    <t>Краска</t>
  </si>
  <si>
    <t>36</t>
  </si>
  <si>
    <t>15-02-041-02 прим.</t>
  </si>
  <si>
    <t>Устройство металлического каркаса из направляющих профилей под облицовку различными материалами перегородок (канализационные стояки)</t>
  </si>
  <si>
    <t>ФЕР-2001, 15-02-041-02, приказ Минстроя России №886/пр от 15.06.2017</t>
  </si>
  <si>
    <t>37</t>
  </si>
  <si>
    <t>10-01-012-02 прим.</t>
  </si>
  <si>
    <t>Обшивка каркасных стен плитами древесноволокнистыми твердыми 5 мм (канализационные стояки)</t>
  </si>
  <si>
    <t>ФЕР-2001, 10-01-012-02, приказ Минстроя России №1039/пр от 30.12.2016г.</t>
  </si>
  <si>
    <t>37,1</t>
  </si>
  <si>
    <t>01.6.01.02-0008</t>
  </si>
  <si>
    <t>Листы гипсокартонные ГКЛВ 12,5 мм</t>
  </si>
  <si>
    <t>ФССЦ-2001, 01.6.01.02-0008, приказ Минстроя России №1039/пр от 30.12.2016г.</t>
  </si>
  <si>
    <t>37,2</t>
  </si>
  <si>
    <t>11.2.08.02-0010</t>
  </si>
  <si>
    <t>Плиты древесноволокнистые сухого способа производства группы А, твердые марки ТС-400 толщиной 5 мм</t>
  </si>
  <si>
    <t>1000 м2</t>
  </si>
  <si>
    <t>ФССЦ-2001, 11.2.08.02-0010, приказ Минстроя России №1039/пр от 30.12.2016г.</t>
  </si>
  <si>
    <t>38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</si>
  <si>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</si>
  <si>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</si>
  <si>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</si>
  <si>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38,1</t>
  </si>
  <si>
    <t>Смесь сухая для заделки швов</t>
  </si>
  <si>
    <t>38,2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</si>
  <si>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</si>
  <si>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</si>
  <si>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</si>
  <si>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38,3</t>
  </si>
  <si>
    <t>06.2.01.02-0012</t>
  </si>
  <si>
    <t>Плитки керамические глазурованные для внутренней облицовки стен гладкие без завала цветные (однотонные)</t>
  </si>
  <si>
    <t>ФССЦ-2001, 06.2.01.02-0012, приказ Минстроя России №1039/пр от 30.12.2016г.</t>
  </si>
  <si>
    <t>38,4</t>
  </si>
  <si>
    <t>14.1.06.02-0006</t>
  </si>
  <si>
    <t>Клей для плитки Ветонит "Renovation FIX" (сухая смесь)</t>
  </si>
  <si>
    <t>ФССЦ-2001, 14.1.06.02-0006, приказ Минстроя России №1039/пр от 30.12.2016г.</t>
  </si>
  <si>
    <t>38,5</t>
  </si>
  <si>
    <t>06.2.05.04</t>
  </si>
  <si>
    <t>Плитки рядовые</t>
  </si>
  <si>
    <t>38,6</t>
  </si>
  <si>
    <t>14.1.06.02</t>
  </si>
  <si>
    <t>Клей для облицовочных работ (сухая смесь)</t>
  </si>
  <si>
    <t>39</t>
  </si>
  <si>
    <t>20-02-017-07 прим.</t>
  </si>
  <si>
    <t>Установка люков герметических (лючки ревизионные)</t>
  </si>
  <si>
    <t>ФЕР-2001, 20-02-017-07, приказ Минстроя России №1039/пр от 30.12.2016г.</t>
  </si>
  <si>
    <t>39,1</t>
  </si>
  <si>
    <t>24.3.05.12-0002</t>
  </si>
  <si>
    <t>Ревизия полиэтиленовая с крышкой размером 100х50 мм (Ревизионные лючки ПВХ  размером 400х300мм) прим.</t>
  </si>
  <si>
    <t>ФССЦ-2001, 24.3.05.12-0002, приказ Минстроя России №1039/пр от 30.12.2016г.</t>
  </si>
  <si>
    <t>39,2</t>
  </si>
  <si>
    <t>22.2.02.10</t>
  </si>
  <si>
    <t>Люки герметические</t>
  </si>
  <si>
    <t>40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</si>
  <si>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</si>
  <si>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</si>
  <si>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</si>
  <si>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ФЕР-11</t>
  </si>
  <si>
    <t>40,1</t>
  </si>
  <si>
    <t>04.1.02.01-0008</t>
  </si>
  <si>
    <t>Бетон мелкозернистый, класс В22,5 (М300)</t>
  </si>
  <si>
    <t>ФССЦ-2001, 04.1.02.01-0008, приказ Минстроя России №1039/пр от 30.12.2016г.</t>
  </si>
  <si>
    <t>40,2</t>
  </si>
  <si>
    <t>04.1.02.06</t>
  </si>
  <si>
    <t>Бетон тяжелый</t>
  </si>
  <si>
    <t>41</t>
  </si>
  <si>
    <t>11-01-011-04</t>
  </si>
  <si>
    <t>Устройство стяжек на каждые 5 мм изменения толщины стяжки добавлять или исключать к расценке 11-01-011-03 (тол.30мм)</t>
  </si>
  <si>
    <t>ФЕР-2001, 11-01-011-04, приказ Минстроя России №1039/пр от 30.12.2016г.</t>
  </si>
  <si>
    <t>*6</t>
  </si>
  <si>
    <t>)*1,25*6</t>
  </si>
  <si>
    <t>)*1,15*6</t>
  </si>
  <si>
    <t>41,1</t>
  </si>
  <si>
    <t>41,2</t>
  </si>
  <si>
    <t>42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</si>
  <si>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</si>
  <si>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</si>
  <si>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</si>
  <si>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43</t>
  </si>
  <si>
    <t>11-01-011-10</t>
  </si>
  <si>
    <t>Устройство стяжек на каждый последующий слой толщиной 1 мм добавлять к расценке 11-01-011-08 (тол.5мм)</t>
  </si>
  <si>
    <t>ФЕР-2001, 11-01-011-10, приказ Минстроя России №1039/пр от 30.12.2016г.</t>
  </si>
  <si>
    <t>*5</t>
  </si>
  <si>
    <t>)*1,25*5</t>
  </si>
  <si>
    <t>)*1,15*5</t>
  </si>
  <si>
    <t>44</t>
  </si>
  <si>
    <t>57-10-6</t>
  </si>
  <si>
    <t>Заделка выбоин в полах мозаичных площадью до 1,0 м2</t>
  </si>
  <si>
    <t>100 мест</t>
  </si>
  <si>
    <t>ФЕРр-2001, 57-10-6, приказ Минстроя России №1039/пр от 30.12.2016г.</t>
  </si>
  <si>
    <t>44,1</t>
  </si>
  <si>
    <t>04.3.01.06-0001</t>
  </si>
  <si>
    <t>Раствор декоративный (с каменной крошкой)</t>
  </si>
  <si>
    <t>ФССЦ-2001, 04.3.01.06-0001, приказ Минстроя России №1039/пр от 30.12.2016г.</t>
  </si>
  <si>
    <t>44,2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</si>
  <si>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</si>
  <si>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</si>
  <si>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</si>
  <si>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44,3</t>
  </si>
  <si>
    <t>44,4</t>
  </si>
  <si>
    <t>04.3.01.06</t>
  </si>
  <si>
    <t>44,5</t>
  </si>
  <si>
    <t>04.3.01.09</t>
  </si>
  <si>
    <t>Раствор готовый кладочный тяжелый цементный</t>
  </si>
  <si>
    <t>45</t>
  </si>
  <si>
    <t>11-01-015-07</t>
  </si>
  <si>
    <t>Шлифовка бетонных или металлоцементных покрытий (мраморных плит) прим.</t>
  </si>
  <si>
    <t>ФЕР-2001, 11-01-015-07, приказ Минстроя России №1039/пр от 30.12.2016г.</t>
  </si>
  <si>
    <t>46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</si>
  <si>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</si>
  <si>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</si>
  <si>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</si>
  <si>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46,1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</si>
  <si>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</si>
  <si>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</si>
  <si>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</si>
  <si>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46,2</t>
  </si>
  <si>
    <t>06.2.05.03-0021</t>
  </si>
  <si>
    <t>Плитка керамогранитная неполированная Керабуд размером 300х300 мм</t>
  </si>
  <si>
    <t>ФССЦ-2001, 06.2.05.03-0021, приказ Минстроя России №1039/пр от 30.12.2016г.</t>
  </si>
  <si>
    <t>47</t>
  </si>
  <si>
    <t>11-01-004-05</t>
  </si>
  <si>
    <t>Устройство гидроизоляции обмазочной в один слой толщиной 2 мм</t>
  </si>
  <si>
    <t>ФЕР-2001, 11-01-004-05, приказ Минстроя России №1039/пр от 30.12.2016г.</t>
  </si>
  <si>
    <t>48</t>
  </si>
  <si>
    <t>11-01-036-01</t>
  </si>
  <si>
    <t>Устройство покрытий из линолеума на клее</t>
  </si>
  <si>
    <t>ФЕР-2001, 11-01-036-01, приказ Минстроя России №1039/пр от 30.12.2016г.</t>
  </si>
  <si>
    <t>48,1</t>
  </si>
  <si>
    <t>01.6.03.04-0116</t>
  </si>
  <si>
    <t>Линолеум коммерческий гомогенный "ТАРКЕТТ ", антискользящий (толщина 2 мм, класс 34/43, пож. безопасность Г4, В3, РП1, Д2, Т2)</t>
  </si>
  <si>
    <t>ФССЦ-2001, 01.6.03.04-0116, приказ Минстроя России №1039/пр от 30.12.2016г.</t>
  </si>
  <si>
    <t>48,2</t>
  </si>
  <si>
    <t>01.6.03.04</t>
  </si>
  <si>
    <t>Линолеум на теплозвукоизолирующей подоснове</t>
  </si>
  <si>
    <t>48,3</t>
  </si>
  <si>
    <t>14.1.02.04-0102</t>
  </si>
  <si>
    <t>Клей Forbo 522, для укладки ПВХ-покрытий</t>
  </si>
  <si>
    <t>ФССЦ-2001, 14.1.02.04-0102, приказ Минстроя России №1039/пр от 30.12.2016г.</t>
  </si>
  <si>
    <t>48,4</t>
  </si>
  <si>
    <t>49</t>
  </si>
  <si>
    <t>11-01-034-04</t>
  </si>
  <si>
    <t>Устройство покрытий из досок ламинированных замковым способом</t>
  </si>
  <si>
    <t>ФЕР-2001, 11-01-034-04, приказ Минстроя России №1039/пр от 30.12.2016г.</t>
  </si>
  <si>
    <t>49,1</t>
  </si>
  <si>
    <t>11.2.03.02-0008</t>
  </si>
  <si>
    <t>Ламинат "TARKETT  (33 класс, размер 1292х194 мм, толщина 8 мм) прим.</t>
  </si>
  <si>
    <t>ФССЦ-2001, 11.2.03.02-0008, приказ Минстроя России №1039/пр от 30.12.2016г.</t>
  </si>
  <si>
    <t>49,2</t>
  </si>
  <si>
    <t>11.2.03.02</t>
  </si>
  <si>
    <t>Покрытие напольное ламинированное (ламинат)</t>
  </si>
  <si>
    <t>50</t>
  </si>
  <si>
    <t>11-01-040-01</t>
  </si>
  <si>
    <t>Устройство плинтусов поливинилхлоридных на клее КН-2</t>
  </si>
  <si>
    <t>ФЕР-2001, 11-01-040-01, приказ Минстроя России №1039/пр от 30.12.2016г.</t>
  </si>
  <si>
    <t>50,1</t>
  </si>
  <si>
    <t>11.3.03.06-0002</t>
  </si>
  <si>
    <t>Плинтуса для полов с кабель-каналом пластиковые, 22х49 мм</t>
  </si>
  <si>
    <t>ФССЦ-2001, 11.3.03.06-0002, приказ Минстроя России №1039/пр от 30.12.2016г.</t>
  </si>
  <si>
    <t>50,2</t>
  </si>
  <si>
    <t>11.3.03.06</t>
  </si>
  <si>
    <t>Плинтуса для полов пластиковые</t>
  </si>
  <si>
    <t>51</t>
  </si>
  <si>
    <t>11-01-039-04</t>
  </si>
  <si>
    <t>Устройство плинтусов из плиток керамических</t>
  </si>
  <si>
    <t>ФЕР-2001, 11-01-039-04, приказ Минстроя России №1039/пр от 30.12.2016г.</t>
  </si>
  <si>
    <t>51,1</t>
  </si>
  <si>
    <t>06.2.05.03-0031</t>
  </si>
  <si>
    <t>Плитки керамические плинтусные прямые</t>
  </si>
  <si>
    <t>ФССЦ-2001, 06.2.05.03-0031, приказ Минстроя России №1039/пр от 30.12.2016г.</t>
  </si>
  <si>
    <t>51,2</t>
  </si>
  <si>
    <t>06.2.05.03</t>
  </si>
  <si>
    <t>Плитки керамические плинтусные</t>
  </si>
  <si>
    <t>52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</si>
  <si>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</si>
  <si>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</si>
  <si>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</si>
  <si>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52,1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</si>
  <si>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</si>
  <si>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</si>
  <si>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</si>
  <si>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52,2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</si>
  <si>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</si>
  <si>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1,8 м</t>
  </si>
  <si>
    <t>ФССЦ-2001, 09.2.03.02-0002, приказ Минстроя России №1039/пр от 30.12.2016г.</t>
  </si>
  <si>
    <t>52,3</t>
  </si>
  <si>
    <t>09.2.03.02</t>
  </si>
  <si>
    <t>Профили стыкоперекрывающие из алюминиевых сплавов (порожки) с покрытием</t>
  </si>
  <si>
    <t>53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</si>
  <si>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</si>
  <si>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</si>
  <si>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</si>
  <si>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54</t>
  </si>
  <si>
    <t>15-01-047-16</t>
  </si>
  <si>
    <t>Устройство потолков реечных алюминиевых прим.</t>
  </si>
  <si>
    <t>ФЕР-2001, 15-01-047-16, приказ Минстроя России №1039/пр от 30.12.2016г.</t>
  </si>
  <si>
    <t>54,1</t>
  </si>
  <si>
    <t>09.2.01.05-0091</t>
  </si>
  <si>
    <t>Уголок декоративный (пристенный)</t>
  </si>
  <si>
    <t>ФССЦ-2001, 09.2.01.05-0091, приказ Минстроя России №1039/пр от 30.12.2016г.</t>
  </si>
  <si>
    <t>54,2</t>
  </si>
  <si>
    <t>09.2.02.02-0011</t>
  </si>
  <si>
    <t>Рейка алюминиевая потолочная 100 мм</t>
  </si>
  <si>
    <t>ФССЦ-2001, 09.2.02.02-0011, приказ Минстроя России №1039/пр от 30.12.2016г.</t>
  </si>
  <si>
    <t>54,3</t>
  </si>
  <si>
    <t>09.2.02.02-0010</t>
  </si>
  <si>
    <t>Комплекты элементов потолков реечных с перфорацией ЛАК-03,5-60П (Касетный потолок "Албес") прим.</t>
  </si>
  <si>
    <t>ФССЦ-2001, 09.2.02.02-0010, приказ Минстроя России №1039/пр от 30.12.2016г.</t>
  </si>
  <si>
    <t>55</t>
  </si>
  <si>
    <t>61-1-10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</si>
  <si>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потолков</t>
  </si>
  <si>
    <t>ФЕРр-2001, 61-1-10, приказ Минстроя России №1039/пр от 30.12.2016г.</t>
  </si>
  <si>
    <t>Поправка: МДС 81-35.2004, п.4.9</t>
  </si>
  <si>
    <t>55,1</t>
  </si>
  <si>
    <t>55,2</t>
  </si>
  <si>
    <t>04.3.02.05-0004</t>
  </si>
  <si>
    <t>Смесь штукатурная на основе гипса быстротвердеющая, безусадочная, звукоизолирующая, теплосберегающая "БИРСС 60" (марка М50), для ручного нанесения</t>
  </si>
  <si>
    <t>ФССЦ-2001, 04.3.02.05-0004, приказ Минстроя России №1039/пр от 30.12.2016г.</t>
  </si>
  <si>
    <t>56</t>
  </si>
  <si>
    <t>62-17-3</t>
  </si>
  <si>
    <t>Окрашивание водоэмульсионными составами поверхностей потолков, ранее окрашенных водоэмульсионной краской, с расчисткой старой краски до 35%</t>
  </si>
  <si>
    <t>ФЕРр-2001, 62-17-3, приказ Минстроя России №1039/пр от 30.12.2016г.</t>
  </si>
  <si>
    <t>56,1</t>
  </si>
  <si>
    <t>56,2</t>
  </si>
  <si>
    <t>57</t>
  </si>
  <si>
    <t>10-02-041-01</t>
  </si>
  <si>
    <t>Ограждение лестничных площадок перилами (установка поручня) деревянного)</t>
  </si>
  <si>
    <t>ФЕР-2001, 10-02-041-01, приказ Минстроя России №1039/пр от 30.12.2016г.</t>
  </si>
  <si>
    <t>58</t>
  </si>
  <si>
    <t>62-35-2</t>
  </si>
  <si>
    <t>Окраска масляными составами ранее окрашенных металлических решеток и оград без рельефа за 2 раза</t>
  </si>
  <si>
    <t>ФЕРр-2001, 62-35-2, приказ Минстроя России №1039/пр от 30.12.2016г.</t>
  </si>
  <si>
    <t>58,1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</si>
  <si>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</si>
  <si>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</si>
  <si>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</si>
  <si>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58,2</t>
  </si>
  <si>
    <t>14.4.02.04</t>
  </si>
  <si>
    <t>Краски масляные готовые к применению для наружных работ</t>
  </si>
  <si>
    <t>59</t>
  </si>
  <si>
    <t>62-7-5</t>
  </si>
  <si>
    <t>Улучшенная масляная окраска ранее окрашенных стен за два раза с расчисткой старой краски до 35%</t>
  </si>
  <si>
    <t>ФЕРр-2001, 62-7-5, приказ Минстроя России №1039/пр от 30.12.2016г.</t>
  </si>
  <si>
    <t>59,1</t>
  </si>
  <si>
    <t>59,2</t>
  </si>
  <si>
    <t>Краски для внутренних работ масляные готовые к применению</t>
  </si>
  <si>
    <t>60</t>
  </si>
  <si>
    <t>Монтаж лотков, решеток, затворов из полосовой и тонколистовой стали</t>
  </si>
  <si>
    <t>60,1</t>
  </si>
  <si>
    <t>60,2</t>
  </si>
  <si>
    <t>08.4.03.02-0002</t>
  </si>
  <si>
    <t>Горячекатаная арматурная сталь гладкая класса А-I, диаметром 8 мм</t>
  </si>
  <si>
    <t>ФССЦ-2001, 08.4.03.02-0002, приказ Минстроя России №1039/пр от 30.12.2016г.</t>
  </si>
  <si>
    <t>61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</si>
  <si>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</si>
  <si>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</si>
  <si>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</si>
  <si>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</si>
  <si>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</si>
  <si>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62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</si>
  <si>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</si>
  <si>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</si>
  <si>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</si>
  <si>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</si>
  <si>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</si>
  <si>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</si>
  <si>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</si>
  <si>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63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</si>
  <si>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</si>
  <si>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</si>
  <si>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</si>
  <si>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</si>
  <si>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</si>
  <si>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</si>
  <si>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2 Электромонтажные работы</t>
  </si>
  <si>
    <t>1Демонтаж</t>
  </si>
  <si>
    <t>64</t>
  </si>
  <si>
    <t>67-4-5</t>
  </si>
  <si>
    <t>Демонтаж светильников для люминесцентных ламп</t>
  </si>
  <si>
    <t>ФЕРр-2001, 67-4-5, приказ Минстроя России №1039/пр от 30.12.2016г.</t>
  </si>
  <si>
    <t>Электромонтажные работы</t>
  </si>
  <si>
    <t>рФЕР-67</t>
  </si>
  <si>
    <t>65</t>
  </si>
  <si>
    <t>67-3-1</t>
  </si>
  <si>
    <t>Демонтаж кабеля</t>
  </si>
  <si>
    <t>ФЕРр-2001, 67-3-1, приказ Минстроя России №1039/пр от 30.12.2016г.</t>
  </si>
  <si>
    <t>66</t>
  </si>
  <si>
    <t>67-4-1</t>
  </si>
  <si>
    <t>Демонтаж выключателей, розеток</t>
  </si>
  <si>
    <t>ФЕРр-2001, 67-4-1, приказ Минстроя России №1039/пр от 30.12.2016г.</t>
  </si>
  <si>
    <t>67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</si>
  <si>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</si>
  <si>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</si>
  <si>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</si>
  <si>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68</t>
  </si>
  <si>
    <t>м08-02-370-02</t>
  </si>
  <si>
    <t>Демонтаж:Щиток до трех групп, устанавливаемый в нише цоколя</t>
  </si>
  <si>
    <t>ФЕРм-2001, м08-02-370-02, приказ Минстроя России №1039/пр от 30.12.2016г.</t>
  </si>
  <si>
    <t>2 Монтаж освещения</t>
  </si>
  <si>
    <t>69</t>
  </si>
  <si>
    <t>м08-03-593-19</t>
  </si>
  <si>
    <t>Светильник в подвесных потолках</t>
  </si>
  <si>
    <t>ФЕРм-2001, м08-03-593-19, приказ Минстроя России №1039/пр от 30.12.2016г.</t>
  </si>
  <si>
    <t>69,1</t>
  </si>
  <si>
    <t>20.3.03.04-0044</t>
  </si>
  <si>
    <t>Светильник светодиодный, встраиваемые, мощностью 40W,цветовой температурой К4000,размером 595х595х40мм,IP40 прим.</t>
  </si>
  <si>
    <t>ФССЦ-2001, 20.3.03.04-0044, приказ Минстроя России №1039/пр от 30.12.2016г.</t>
  </si>
  <si>
    <t>70</t>
  </si>
  <si>
    <t>м08-03-594-03</t>
  </si>
  <si>
    <t>Светильник отдельно устанавливаемый на штырях с количеством ламп в светильнике до 4</t>
  </si>
  <si>
    <t>ФЕРм-2001, м08-03-594-03, приказ Минстроя России №1039/пр от 30.12.2016г.</t>
  </si>
  <si>
    <t>70,1</t>
  </si>
  <si>
    <t>Светильник светодиодный,накладной мощностью 40W,цветовой температурой К4000,размером 595х595х40мм,IP40 прим.</t>
  </si>
  <si>
    <t>71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</si>
  <si>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</si>
  <si>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</si>
  <si>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</si>
  <si>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71,1</t>
  </si>
  <si>
    <t>20.4.01.01-0001</t>
  </si>
  <si>
    <t>Выключатель двухклавишный для открытой проводки</t>
  </si>
  <si>
    <t>10 шт.</t>
  </si>
  <si>
    <t>ФССЦ-2001, 20.4.01.01-0001, приказ Минстроя России №1039/пр от 30.12.2016г.</t>
  </si>
  <si>
    <t>72</t>
  </si>
  <si>
    <t>м08-03-591-01</t>
  </si>
  <si>
    <t>Выключатель одноклавишный неутопленного типа при открытой проводке</t>
  </si>
  <si>
    <t>ФЕРм-2001, м08-03-591-01, приказ Минстроя России №1039/пр от 30.12.2016г.</t>
  </si>
  <si>
    <t>72,1</t>
  </si>
  <si>
    <t>20.4.01.01-0044</t>
  </si>
  <si>
    <t>Выключатель одноклавишный для открытой проводки серии "Прима", марка А16-051, цвет белый</t>
  </si>
  <si>
    <t>ФССЦ-2001, 20.4.01.01-0044, приказ Минстроя России №1039/пр от 30.12.2016г.</t>
  </si>
  <si>
    <t>73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</si>
  <si>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</si>
  <si>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</si>
  <si>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</si>
  <si>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73,1</t>
  </si>
  <si>
    <t>24.3.01.02-0021</t>
  </si>
  <si>
    <t>Трубы гибкие гофрированные легкие из самозатухающего ПВХ (IP55) серии FL, с зондом, диаметром 16 мм</t>
  </si>
  <si>
    <t>10 м</t>
  </si>
  <si>
    <t>ФССЦ-2001, 24.3.01.02-0021, приказ Минстроя России №1039/пр от 30.12.2016г.</t>
  </si>
  <si>
    <t>74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</si>
  <si>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</si>
  <si>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</si>
  <si>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</si>
  <si>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74,1</t>
  </si>
  <si>
    <t>21.1.06.10-0375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</si>
  <si>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t>
  </si>
  <si>
    <t>1000 м</t>
  </si>
  <si>
    <t>ФССЦ-2001, 21.1.06.10-0375, приказ Минстроя России №1039/пр от 30.12.2016г.</t>
  </si>
  <si>
    <t>1000 М</t>
  </si>
  <si>
    <t>75</t>
  </si>
  <si>
    <t>Короба пластмассовые шириной до 40 мм</t>
  </si>
  <si>
    <t>75,1</t>
  </si>
  <si>
    <t>20.2.05.04-0011</t>
  </si>
  <si>
    <t>Кабель-канал (короб) "Legrand" 20х12,5 мм</t>
  </si>
  <si>
    <t>ФССЦ-2001, 20.2.05.04-0011, приказ Минстроя России №1039/пр от 30.12.2016г.</t>
  </si>
  <si>
    <t>76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</si>
  <si>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</si>
  <si>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</si>
  <si>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</si>
  <si>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76,1</t>
  </si>
  <si>
    <t>77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</si>
  <si>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</si>
  <si>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</si>
  <si>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</si>
  <si>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</si>
  <si>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</si>
  <si>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77,1</t>
  </si>
  <si>
    <t>20.5.02.07-0003</t>
  </si>
  <si>
    <t>Коробка распаечная ,наружная 75х75мм прим.</t>
  </si>
  <si>
    <t>ФССЦ-2001, 20.5.02.07-0003, приказ Минстроя России №1039/пр от 30.12.2016г.</t>
  </si>
  <si>
    <t>78</t>
  </si>
  <si>
    <t>69-2-1 прим.</t>
  </si>
  <si>
    <t>Сверление отверстий в кирпичных стенах электроперфоратором диаметром до 20 мм, толщина стен 0,5 кирпича</t>
  </si>
  <si>
    <t>ФЕРр-2001, 69-2-1, приказ Минстроя России №1039/пр от 30.12.2016г.</t>
  </si>
  <si>
    <t>79</t>
  </si>
  <si>
    <t>м08-02-410-02</t>
  </si>
  <si>
    <t>Труба полиэтиленовая по основанию пола, диаметр до 50 мм (гильзы) прим.</t>
  </si>
  <si>
    <t>ФЕРм-2001, м08-02-410-02, приказ Минстроя России №1039/пр от 30.12.2016г.</t>
  </si>
  <si>
    <t>79,1</t>
  </si>
  <si>
    <t>24.3.01.03-0014</t>
  </si>
  <si>
    <t>Трубы жесткие гладкие легкие из самозатухающего ПВХ (IP55) серии RIG, диаметром 32 мм</t>
  </si>
  <si>
    <t>ФССЦ-2001, 24.3.01.03-0014, приказ Минстроя России №1039/пр от 30.12.2016г.</t>
  </si>
  <si>
    <t>80</t>
  </si>
  <si>
    <t>Щиток до трех групп, устанавливаемый в нише цоколя</t>
  </si>
  <si>
    <t>80,1</t>
  </si>
  <si>
    <t>62.1.02.17-0012</t>
  </si>
  <si>
    <t>Щитки распределительные этажные  EKF ЩРВ-48(з) прим.</t>
  </si>
  <si>
    <t>ФССЦ-2001, 62.1.02.17-0012, приказ Минстроя России №1039/пр от 30.12.2016г.</t>
  </si>
  <si>
    <t>81</t>
  </si>
  <si>
    <t>м08-03-526-06</t>
  </si>
  <si>
    <t>Автомат одно-, двух-, трехполюсный, устанавливаемый на конструкции на полу, на ток до 25 А</t>
  </si>
  <si>
    <t>ФЕРм-2001, м08-03-526-06, приказ Минстроя России №1039/пр от 30.12.2016г.</t>
  </si>
  <si>
    <t>81,1</t>
  </si>
  <si>
    <t>62.1.01.09-0048</t>
  </si>
  <si>
    <t>Выключатели автоматические АВВ 1Р 6А прим.</t>
  </si>
  <si>
    <t>ФССЦ-2001, 62.1.01.09-0048, приказ Минстроя России №1039/пр от 30.12.2016г.</t>
  </si>
  <si>
    <t>82</t>
  </si>
  <si>
    <t>м08-03-575-01</t>
  </si>
  <si>
    <t>Прибор или аппарат</t>
  </si>
  <si>
    <t>ФЕРм-2001, м08-03-575-01, приказ Минстроя России №1039/пр от 30.12.2016г.</t>
  </si>
  <si>
    <t>82,1</t>
  </si>
  <si>
    <t>62.1.01.09-0070</t>
  </si>
  <si>
    <t>Автомат вводной в щит освещения OptimaMat E100L050-УХЛЗ -50А/3Р/380В 10кА прим.</t>
  </si>
  <si>
    <t>ФССЦ-2001, 62.1.01.09-0070, приказ Минстроя России №1039/пр от 30.12.2016г.</t>
  </si>
  <si>
    <t>82,2</t>
  </si>
  <si>
    <t>62.1.01.09-0071</t>
  </si>
  <si>
    <t>Автомат ВА57ф35-340019  63А-630/3Р/400В/10кА В ВРУ прим.</t>
  </si>
  <si>
    <t>ФССЦ-2001, 62.1.01.09-0071, приказ Минстроя России №1039/пр от 30.12.2016г.</t>
  </si>
  <si>
    <t>83</t>
  </si>
  <si>
    <t>м08-02-397-01 прим.</t>
  </si>
  <si>
    <t>Профиль перфорированный монтажный длиной 2 м (Лоток оцинкованный перфорированый)</t>
  </si>
  <si>
    <t>ФЕРм-2001, м08-02-397-01, приказ Минстроя России №1039/пр от 30.12.2016г.</t>
  </si>
  <si>
    <t>83,1</t>
  </si>
  <si>
    <t>20.2.07.02-0009</t>
  </si>
  <si>
    <t>Лоток кабельный оцинкованный замковый перфорированный PNK 300-300х50 мм, длина 2,5 м</t>
  </si>
  <si>
    <t>ФССЦ-2001, 20.2.07.02-0009, приказ Минстроя России №1039/пр от 30.12.2016г.</t>
  </si>
  <si>
    <t>84</t>
  </si>
  <si>
    <t>м08-02-146-02</t>
  </si>
  <si>
    <t>Кабель до 35 кВ с креплением накладными скобами, масса 1 м кабеля до 1 кг</t>
  </si>
  <si>
    <t>ФЕРм-2001, м08-02-146-02, приказ Минстроя России №1039/пр от 30.12.2016г.</t>
  </si>
  <si>
    <t>84,1</t>
  </si>
  <si>
    <t>21.1.06.10-0412</t>
  </si>
  <si>
    <t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5х25мм(N,РЕ)</t>
  </si>
  <si>
    <t>ФССЦ-2001, 21.1.06.10-0412, приказ Минстроя России №1039/пр от 30.12.2016г.</t>
  </si>
  <si>
    <t>3 Монтаж силовой части</t>
  </si>
  <si>
    <t>85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</si>
  <si>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</si>
  <si>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</si>
  <si>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</si>
  <si>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85,1</t>
  </si>
  <si>
    <t>20.2.05.04-0034</t>
  </si>
  <si>
    <t>Кабель-канал (короб) "Efapel " 110x50 мм прим.</t>
  </si>
  <si>
    <t>ФССЦ-2001, 20.2.05.04-0034, приказ Минстроя России №1039/пр от 30.12.2016г.</t>
  </si>
  <si>
    <t>86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</si>
  <si>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</si>
  <si>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</si>
  <si>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</si>
  <si>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86,1</t>
  </si>
  <si>
    <t>20.4.03.05-0001</t>
  </si>
  <si>
    <t>Розетка открытой проводки в кабель-канал "Efapel" с супортом 220В 45х45мм прим.</t>
  </si>
  <si>
    <t>100 шт.</t>
  </si>
  <si>
    <t>ФССЦ-2001, 20.4.03.05-0001, приказ Минстроя России №1039/пр от 30.12.2016г.</t>
  </si>
  <si>
    <t>86,2</t>
  </si>
  <si>
    <t>20.4.03.05-0004</t>
  </si>
  <si>
    <t>Розетка открытой проводки SCHNEIDER ELEKTRIK PA-16-0036 Этюд 220В прим.</t>
  </si>
  <si>
    <t>ФССЦ-2001, 20.4.03.05-0004, приказ Минстроя России №1039/пр от 30.12.2016г.</t>
  </si>
  <si>
    <t>87</t>
  </si>
  <si>
    <t>м08-03-591-10</t>
  </si>
  <si>
    <t>Розетка штепсельная полугерметическая и герметическая</t>
  </si>
  <si>
    <t>ФЕРм-2001, м08-03-591-10, приказ Минстроя России №1039/пр от 30.12.2016г.</t>
  </si>
  <si>
    <t>87,1</t>
  </si>
  <si>
    <t>20.4.03.07-0020</t>
  </si>
  <si>
    <t>Розетка влагозащищённая скрытой проводки SCHNEIDER ELEKTRIK  PC16-0446 Этюд 220В,IP44 прим.</t>
  </si>
  <si>
    <t>ФССЦ-2001, 20.4.03.07-0020, приказ Минстроя России №1039/пр от 30.12.2016г.</t>
  </si>
  <si>
    <t>88</t>
  </si>
  <si>
    <t>м08-02-399-02</t>
  </si>
  <si>
    <t>Провод в коробах, сечением до 35 мм2</t>
  </si>
  <si>
    <t>ФЕРм-2001, м08-02-399-02, приказ Минстроя России №1039/пр от 30.12.2016г.</t>
  </si>
  <si>
    <t>88,1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</si>
  <si>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</si>
  <si>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</si>
  <si>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</si>
  <si>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89</t>
  </si>
  <si>
    <t>89,1</t>
  </si>
  <si>
    <t>90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</si>
  <si>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</si>
  <si>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</si>
  <si>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</si>
  <si>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90,1</t>
  </si>
  <si>
    <t>91</t>
  </si>
  <si>
    <t>91,1</t>
  </si>
  <si>
    <t>92</t>
  </si>
  <si>
    <t>м08-02-398-02</t>
  </si>
  <si>
    <t>Провод в лотках, сечением до 35 мм2</t>
  </si>
  <si>
    <t>ФЕРм-2001, м08-02-398-02, приказ Минстроя России №1039/пр от 30.12.2016г.</t>
  </si>
  <si>
    <t>92,1</t>
  </si>
  <si>
    <t>21.1.06.09-0153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</si>
  <si>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t>
  </si>
  <si>
    <t>ФССЦ-2001, 21.1.06.09-0153, приказ Минстроя России №1039/пр от 30.12.2016г.</t>
  </si>
  <si>
    <t>92,2</t>
  </si>
  <si>
    <t>21.1.06.09-0177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</si>
  <si>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</si>
  <si>
    <t>ФССЦ-2001, 21.1.06.09-0177, приказ Минстроя России №1039/пр от 30.12.2016г.</t>
  </si>
  <si>
    <t>93</t>
  </si>
  <si>
    <t>м08-02-398-04</t>
  </si>
  <si>
    <t>Провод в лотках, сечением до 120 мм2</t>
  </si>
  <si>
    <t>ФЕРм-2001, м08-02-398-04, приказ Минстроя России №1039/пр от 30.12.2016г.</t>
  </si>
  <si>
    <t>93,1</t>
  </si>
  <si>
    <t>21.1.06.09-0180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</si>
  <si>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16 мм2</t>
  </si>
  <si>
    <t>ФССЦ-2001, 21.1.06.09-0180, приказ Минстроя России №1039/пр от 30.12.2016г.</t>
  </si>
  <si>
    <t>94</t>
  </si>
  <si>
    <t>м08-02-398-05</t>
  </si>
  <si>
    <t>Провод в лотках, сечением до 185 мм2</t>
  </si>
  <si>
    <t>ФЕРм-2001, м08-02-398-05, приказ Минстроя России №1039/пр от 30.12.2016г.</t>
  </si>
  <si>
    <t>94,1</t>
  </si>
  <si>
    <t>21.1.06.09-0184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</si>
  <si>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t>
  </si>
  <si>
    <t>ФССЦ-2001, 21.1.06.09-0184, приказ Минстроя России №1039/пр от 30.12.2016г.</t>
  </si>
  <si>
    <t>95</t>
  </si>
  <si>
    <t>м08-03-599-09 прим.</t>
  </si>
  <si>
    <t>Щитки осветительные, устанавливаемые на стене распорными дюбелями, масса щитка до 6 кг (Боксы АВВ)</t>
  </si>
  <si>
    <t>ФЕРм-2001, м08-03-599-09, приказ Минстроя России №1039/пр от 30.12.2016г.</t>
  </si>
  <si>
    <t>95,1</t>
  </si>
  <si>
    <t>22.1.01.01-0014</t>
  </si>
  <si>
    <t>Бокс настенный  пластиковый АВВ " Mistral 41"с прозрачной дверцей на 36 модулей,с клеммами в 2 ряда прим.</t>
  </si>
  <si>
    <t>ФССЦ-2001, 22.1.01.01-0014, приказ Минстроя России №1039/пр от 30.12.2016г.</t>
  </si>
  <si>
    <t>96</t>
  </si>
  <si>
    <t>96,1</t>
  </si>
  <si>
    <t>Щитки распределительные этажные  EKF ЩРВ-36(з) прим.</t>
  </si>
  <si>
    <t>97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</si>
  <si>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</si>
  <si>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</si>
  <si>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</si>
  <si>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97,1</t>
  </si>
  <si>
    <t>62.1.01.02-0002</t>
  </si>
  <si>
    <t>Автоматы дифференциальные двухполюсные 10A, 30MA тип АВВ DS901L в щите прим.</t>
  </si>
  <si>
    <t>ФССЦ-2001, 62.1.01.02-0002, приказ Минстроя России №1039/пр от 30.12.2016г.</t>
  </si>
  <si>
    <t>97,2</t>
  </si>
  <si>
    <t>62.1.01.09-0049</t>
  </si>
  <si>
    <t>Выключатели автоматические АВВ 1Р 10А прим.</t>
  </si>
  <si>
    <t>ФССЦ-2001, 62.1.01.09-0049, приказ Минстроя России №1039/пр от 30.12.2016г.</t>
  </si>
  <si>
    <t>97,3</t>
  </si>
  <si>
    <t>62.1.01.09-0050</t>
  </si>
  <si>
    <t>Выключатели автоматические АВВ 1Р 16А прим.</t>
  </si>
  <si>
    <t>ФССЦ-2001, 62.1.01.09-0050, приказ Минстроя России №1039/пр от 30.12.2016г.</t>
  </si>
  <si>
    <t>97,4</t>
  </si>
  <si>
    <t>62.1.01.09-0066</t>
  </si>
  <si>
    <t>Выключатели автоматические АВВ  3Р 16А прим.</t>
  </si>
  <si>
    <t>ФССЦ-2001, 62.1.01.09-0066, приказ Минстроя России №1039/пр от 30.12.2016г.</t>
  </si>
  <si>
    <t>97,5</t>
  </si>
  <si>
    <t>62.1.01.09-0067</t>
  </si>
  <si>
    <t>Выключатели автоматические АВВ 3Р 20А</t>
  </si>
  <si>
    <t>ФССЦ-2001, 62.1.01.09-0067, приказ Минстроя России №1039/пр от 30.12.2016г.</t>
  </si>
  <si>
    <t>98</t>
  </si>
  <si>
    <t>98,1</t>
  </si>
  <si>
    <t>62.1.01.09-0068</t>
  </si>
  <si>
    <t>Выключатели автоматические АВВ 3Р 32А</t>
  </si>
  <si>
    <t>ФССЦ-2001, 62.1.01.09-0068, приказ Минстроя России №1039/пр от 30.12.2016г.</t>
  </si>
  <si>
    <t>98,2</t>
  </si>
  <si>
    <t>62.1.01.09-0108</t>
  </si>
  <si>
    <t>Автомат вводный в щите этажном АВВ Т- max160А 3P с регулировкой щита распределитеьного</t>
  </si>
  <si>
    <t>ФССЦ-2001, 62.1.01.09-0108, приказ Минстроя России №1039/пр от 30.12.2016г.</t>
  </si>
  <si>
    <t>98,3</t>
  </si>
  <si>
    <t>62.1.01.09-0102</t>
  </si>
  <si>
    <t>Котактор серии ПРО ВА 04-35 160А с регулировкой ЩР прим. в щитовой</t>
  </si>
  <si>
    <t>ФССЦ-2001, 62.1.01.09-0102, приказ Минстроя России №1039/пр от 30.12.2016г.</t>
  </si>
  <si>
    <t>99</t>
  </si>
  <si>
    <t>100</t>
  </si>
  <si>
    <t>100,1</t>
  </si>
  <si>
    <t>101</t>
  </si>
  <si>
    <t>м08-02-159-01</t>
  </si>
  <si>
    <t>Заделка концевая в резиновой перчатке для 3-5-жильного кабеля напряжением до 1 кВ, сечение одной жилы до 35 мм2</t>
  </si>
  <si>
    <t>ФЕРм-2001, м08-02-159-01, приказ Минстроя России №1039/пр от 30.12.2016г.</t>
  </si>
  <si>
    <t>101,1</t>
  </si>
  <si>
    <t>20.2.02.07-0021</t>
  </si>
  <si>
    <t>Перчатка термоусаживаемая</t>
  </si>
  <si>
    <t>ФССЦ-2001, 20.2.02.07-0021, приказ Минстроя России №1039/пр от 30.12.2016г.</t>
  </si>
  <si>
    <t>3 Пусконаладочные работы</t>
  </si>
  <si>
    <t>102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</si>
  <si>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</si>
  <si>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</si>
  <si>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</si>
  <si>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</si>
  <si>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</si>
  <si>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</si>
  <si>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</si>
  <si>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</si>
  <si>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103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</si>
  <si>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</si>
  <si>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</si>
  <si>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</si>
  <si>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104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</si>
  <si>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</si>
  <si>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</si>
  <si>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</si>
  <si>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</si>
  <si>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105</t>
  </si>
  <si>
    <t>п01-12-021-01</t>
  </si>
  <si>
    <t>Испытание аппарата коммутационного напряжением до 1 кВ (силовых цепей) (автоматы)</t>
  </si>
  <si>
    <t>испытание</t>
  </si>
  <si>
    <t>ФЕРп-2001, п01-12-021-01, приказ Минстроя России №1039/пр от 30.12.2016г.</t>
  </si>
  <si>
    <t>4 Пожарная сигнализация</t>
  </si>
  <si>
    <t>106</t>
  </si>
  <si>
    <t>м10-08-002-02</t>
  </si>
  <si>
    <t>Извещатель ПС автоматический дымовой, фотоэлектрический, радиоизотопный, световой в нормальном исполнении</t>
  </si>
  <si>
    <t>ФЕРм-2001, м10-08-002-02, приказ Минстроя России №1039/пр от 30.12.2016г.</t>
  </si>
  <si>
    <t>106,1</t>
  </si>
  <si>
    <t>61.2.02.01-0019</t>
  </si>
  <si>
    <t>Извещатель пожарный дымовой ДИП-34А</t>
  </si>
  <si>
    <t>ФССЦ-2001, 61.2.02.01-0019, приказ Минстроя России №1039/пр от 30.12.2016г.</t>
  </si>
  <si>
    <t>107</t>
  </si>
  <si>
    <t>107,1</t>
  </si>
  <si>
    <t>108</t>
  </si>
  <si>
    <t>108,1</t>
  </si>
  <si>
    <t>21.1.08.01-0131</t>
  </si>
  <si>
    <t>ФССЦ-2001, 21.1.08.01-0131, приказ Минстроя России №1039/пр от 30.12.2016г.</t>
  </si>
  <si>
    <t>109</t>
  </si>
  <si>
    <t>м10-02-041-01</t>
  </si>
  <si>
    <t>Электрическая проверка и настройка устройства центрального управляющего</t>
  </si>
  <si>
    <t>КОМПЛ</t>
  </si>
  <si>
    <t>ФЕРм-2001, м10-02-041-01,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</si>
  <si>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</si>
  <si>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5 Сети СКС</t>
  </si>
  <si>
    <t>110</t>
  </si>
  <si>
    <t>110,1</t>
  </si>
  <si>
    <t>Розетка открытой проводки RJ-45(45х45мм)</t>
  </si>
  <si>
    <t>111</t>
  </si>
  <si>
    <t>м10-01-053-01</t>
  </si>
  <si>
    <t>Прокладка кабеля или провода питания на провододержателях сечением 6 мм2</t>
  </si>
  <si>
    <t>ФЕРм-2001, м10-01-053-01, приказ Минстроя России №1039/пр от 30.12.2016г.</t>
  </si>
  <si>
    <t>111,1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</si>
  <si>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</si>
  <si>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</si>
  <si>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</si>
  <si>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112</t>
  </si>
  <si>
    <t>113</t>
  </si>
  <si>
    <t>113,1</t>
  </si>
  <si>
    <t>114</t>
  </si>
  <si>
    <t>114,1</t>
  </si>
  <si>
    <t>20.2.07.06-0001</t>
  </si>
  <si>
    <t>Лоток кабельный проволочный оцинкованный размером 60х30 х3000мм прим.</t>
  </si>
  <si>
    <t>ФССЦ-2001, 20.2.07.06-0001, приказ Минстроя России №1039/пр от 30.12.2016г.</t>
  </si>
  <si>
    <t>6 Отопление</t>
  </si>
  <si>
    <t>115</t>
  </si>
  <si>
    <t>65-19-1</t>
  </si>
  <si>
    <t>Демонтаж радиаторов весом до 80 кг</t>
  </si>
  <si>
    <t>ФЕРр-2001, 65-19-1, приказ Минстроя России №1039/пр от 30.12.2016г.</t>
  </si>
  <si>
    <t>Внтуренниие с/техработы:  демонтаж, разборка, промывка</t>
  </si>
  <si>
    <t>116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</si>
  <si>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</si>
  <si>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</si>
  <si>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</si>
  <si>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117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</si>
  <si>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</si>
  <si>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</si>
  <si>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</si>
  <si>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</si>
  <si>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</si>
  <si>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</si>
  <si>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117,1</t>
  </si>
  <si>
    <t>18.5.10.05-0008</t>
  </si>
  <si>
    <t>Радиаторы биметаллические, марка «Rifar-Монолит A 500», количество секций 10, мощность 1650 Втприм.</t>
  </si>
  <si>
    <t>ФССЦ-2001, 18.5.10.05-0008, приказ Минстроя России №1039/пр от 30.12.2016г.</t>
  </si>
  <si>
    <t>117,2</t>
  </si>
  <si>
    <t>18.5.10.05-0006</t>
  </si>
  <si>
    <t>Радиаторы биметаллические, марка «Rifar-Монолит A 500», количество секций 8, мощность 1320 Вт прим.</t>
  </si>
  <si>
    <t>ФССЦ-2001, 18.5.10.05-0006, приказ Минстроя России №1039/пр от 30.12.2016г.</t>
  </si>
  <si>
    <t>117,3</t>
  </si>
  <si>
    <t>18.5.10.05-0009</t>
  </si>
  <si>
    <t>Радиаторы биметаллические, марка «Rifar-Монолит A 500», количество секций 14, мощность 1815 Вт прим.</t>
  </si>
  <si>
    <t>ФССЦ-2001, 18.5.10.05-0009, приказ Минстроя России №1039/пр от 30.12.2016г.</t>
  </si>
  <si>
    <t>117,4</t>
  </si>
  <si>
    <t>18.5.10.06</t>
  </si>
  <si>
    <t>Радиаторы</t>
  </si>
  <si>
    <t>квт</t>
  </si>
  <si>
    <t>118</t>
  </si>
  <si>
    <t>16-02-001-02</t>
  </si>
  <si>
    <t>Прокладка трубопроводов отопления из стальных водогазопроводных неоцинкованных труб диаметром 20 мм</t>
  </si>
  <si>
    <t>ФЕР-2001, 16-02-001-02, приказ Минстроя России №1039/пр от 30.12.2016г.</t>
  </si>
  <si>
    <t>Трубопроводы внутренние</t>
  </si>
  <si>
    <t>ФЕР-16</t>
  </si>
  <si>
    <t>118,1</t>
  </si>
  <si>
    <t>18.1.09.08-0276</t>
  </si>
  <si>
    <t>Краны шаровые BUGATTI для воды и пара стандартные ВВ с размером резьбы 3/4"</t>
  </si>
  <si>
    <t>ФССЦ-2001, 18.1.09.08-0276, приказ Минстроя России №1039/пр от 30.12.2016г.</t>
  </si>
  <si>
    <t>118,2</t>
  </si>
  <si>
    <t>23.1.02.06-0042</t>
  </si>
  <si>
    <t>Хомут стальной оцинкованный с саморезом и резиновой прокладкой для крепления труб диаметром 20 мм</t>
  </si>
  <si>
    <t>ФССЦ-2001, 23.1.02.06-0042, приказ Минстроя России №1039/пр от 30.12.2016г.</t>
  </si>
  <si>
    <t>118,3</t>
  </si>
  <si>
    <t>23.3.06.06-0002</t>
  </si>
  <si>
    <t>Трубы стальные сварные водогазопроводные с резьбой черные усиленные (неоцинкованные), диаметр условного прохода 20 мм, толщина стенки 3,2 мм</t>
  </si>
  <si>
    <t>ФССЦ-2001, 23.3.06.06-0002, приказ Минстроя России №1039/пр от 30.12.2016г.</t>
  </si>
  <si>
    <t>119</t>
  </si>
  <si>
    <t>46-03-013-03</t>
  </si>
  <si>
    <t>Сверление вертикальных отверстий в бетонных конструкциях полов перфоратором глубиной 200 мм диаметром 32 мм</t>
  </si>
  <si>
    <t>ФЕР-2001, 46-03-013-03, приказ Минстроя России №1039/пр от 30.12.2016г.</t>
  </si>
  <si>
    <t>120</t>
  </si>
  <si>
    <t>16-02-001-04 прим.</t>
  </si>
  <si>
    <t>Прокладка трубопроводов отопления из стальных водогазопроводных неоцинкованных труб диаметром 32 мм (гильзы)</t>
  </si>
  <si>
    <t>ФЕР-2001, 16-02-001-04, приказ Минстроя России №1039/пр от 30.12.2016г.</t>
  </si>
  <si>
    <t>120,1</t>
  </si>
  <si>
    <t>23.3.06.04-0009</t>
  </si>
  <si>
    <t>Трубы стальные сварные водогазопроводные с резьбой черные легкие (неоцинкованные) диаметр условного прохода 32 мм, толщина стенки 2,8 мм( Гильзы стальные ) прим.</t>
  </si>
  <si>
    <t>ФССЦ-2001, 23.3.06.04-0009, приказ Минстроя России №1039/пр от 30.12.2016г.</t>
  </si>
  <si>
    <t>121</t>
  </si>
  <si>
    <t>16-07-003-02</t>
  </si>
  <si>
    <t>Врезка в действующие внутренние сети трубопроводов отопления и водоснабжения диаметром 20 мм</t>
  </si>
  <si>
    <t>ФЕР-2001, 16-07-003-02, приказ Минстроя России №1039/пр от 30.12.2016г.</t>
  </si>
  <si>
    <t>122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</si>
  <si>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</si>
  <si>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 (0,13х608м)</t>
  </si>
  <si>
    <t>ФЕР-2001, 15-04-030-04, приказ Минстроя России №1039/пр от 30.12.2016г.</t>
  </si>
  <si>
    <t>122,1</t>
  </si>
  <si>
    <t>122,2</t>
  </si>
  <si>
    <t>123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</si>
  <si>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</si>
  <si>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</si>
  <si>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</si>
  <si>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7 Система горячего и холодного водоснабжения</t>
  </si>
  <si>
    <t>124</t>
  </si>
  <si>
    <t>125</t>
  </si>
  <si>
    <t>65-4-1</t>
  </si>
  <si>
    <t>Демонтаж умывальников и раковин</t>
  </si>
  <si>
    <t>ФЕРр-2001, 65-4-1, приказ Минстроя России №1039/пр от 30.12.2016г.</t>
  </si>
  <si>
    <t>126</t>
  </si>
  <si>
    <t>16-04-002-01</t>
  </si>
  <si>
    <t>Прокладка трубопроводов водоснабжения из напорных полиэтиленовых труб наружным диаметром 20 мм</t>
  </si>
  <si>
    <t>ФЕР-2001, 16-04-002-01, приказ Минстроя России №1039/пр от 30.12.2016г.</t>
  </si>
  <si>
    <t>126,1</t>
  </si>
  <si>
    <t>Краны шаровые BUGATTI New Jerseyдля воды и пара стандартные ВВ с размером резьбы 3/4" прим.</t>
  </si>
  <si>
    <t>126,2</t>
  </si>
  <si>
    <t>24.3.02.01-0002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</si>
  <si>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</t>
  </si>
  <si>
    <t>ФССЦ-2001, 24.3.02.01-0002, приказ Минстроя России №1039/пр от 30.12.2016г.</t>
  </si>
  <si>
    <t>126,3</t>
  </si>
  <si>
    <t>24.3.02.01-0012</t>
  </si>
  <si>
    <t>Трубопроводы напорные из полипропилена PPRS с гильзами и креплениями для холодного и горячего водоснабжения PN20 SDR 6, диаметром 20 мм, толщина стенки 3,4 мм</t>
  </si>
  <si>
    <t>ФССЦ-2001, 24.3.02.01-0012, приказ Минстроя России №1039/пр от 30.12.2016г.</t>
  </si>
  <si>
    <t>127</t>
  </si>
  <si>
    <t>17-01-005-04</t>
  </si>
  <si>
    <t>Установка раковин</t>
  </si>
  <si>
    <t>10 компл</t>
  </si>
  <si>
    <t>ФЕР-2001, 17-01-005-04, приказ Минстроя России №1039/пр от 30.12.2016г.</t>
  </si>
  <si>
    <t>Водопровод и канализация - внутренние устройства</t>
  </si>
  <si>
    <t>ФЕР-17</t>
  </si>
  <si>
    <t>127,1</t>
  </si>
  <si>
    <t>18.2.06.12-0021</t>
  </si>
  <si>
    <t>Пьедесталы для раковины Santek Бореаль WH110591 прим.</t>
  </si>
  <si>
    <t>ФССЦ-2001, 18.2.06.12-0021, приказ Минстроя России №1039/пр от 30.12.2016г.</t>
  </si>
  <si>
    <t>127,2</t>
  </si>
  <si>
    <t>18.2.01.05-0189</t>
  </si>
  <si>
    <t>Раковины Santek Бореаль 60 с смесителем  Bravat Fit F 1233188 CPс нижней камерой смешивания, кронштейнами, сифоном  для раковины Alkaplast A41 Flexi латунным и выпуском  прим.</t>
  </si>
  <si>
    <t>ФССЦ-2001, 18.2.01.05-0189, приказ Минстроя России №1039/пр от 30.12.2016г.</t>
  </si>
  <si>
    <t>127,3</t>
  </si>
  <si>
    <t>18.2.06.08-0016</t>
  </si>
  <si>
    <t>Подводка гибкая армированная резиновая 1000 мм</t>
  </si>
  <si>
    <t>ФССЦ-2001, 18.2.06.08-0016, приказ Минстроя России №1039/пр от 30.12.2016г.</t>
  </si>
  <si>
    <t>128</t>
  </si>
  <si>
    <t>17-01-002-03</t>
  </si>
  <si>
    <t>Установка смесителей (без стоимости материалов)</t>
  </si>
  <si>
    <t>10 ШТ</t>
  </si>
  <si>
    <t>ФЕР-2001, 17-01-002-03, приказ Минстроя России №1039/пр от 30.12.2016г.</t>
  </si>
  <si>
    <t>129</t>
  </si>
  <si>
    <t>)*1,25)*1,25</t>
  </si>
  <si>
    <t>)*1,15)*1,15</t>
  </si>
  <si>
    <t>Поправка: МДС 81-35.2004, п.4.7  Поправка: МДС 81-35.2004, п.4.7</t>
  </si>
  <si>
    <t>8 Канализация</t>
  </si>
  <si>
    <t>130</t>
  </si>
  <si>
    <t>65-2-2</t>
  </si>
  <si>
    <t>Разборка трубопроводов из чугунных канализационных труб диаметром 100 мм</t>
  </si>
  <si>
    <t>ФЕРр-2001, 65-2-2, приказ Минстроя России №1039/пр от 30.12.2016г.</t>
  </si>
  <si>
    <t>131</t>
  </si>
  <si>
    <t>17-01-001-23</t>
  </si>
  <si>
    <t>Демонтаж: Установка трапов диаметром 100 мм</t>
  </si>
  <si>
    <t>ФЕР-2001, 17-01-001-23, приказ Минстроя России №1039/пр от 30.12.2016г.</t>
  </si>
  <si>
    <t>132</t>
  </si>
  <si>
    <t>65-4-2</t>
  </si>
  <si>
    <t>Демонтаж унитазов и писсуаров</t>
  </si>
  <si>
    <t>ФЕРр-2001, 65-4-2, приказ Минстроя России №1039/пр от 30.12.2016г.</t>
  </si>
  <si>
    <t>133</t>
  </si>
  <si>
    <t>17-01-003-01</t>
  </si>
  <si>
    <t>Установка унитазов с бачком непосредственно присоединенным</t>
  </si>
  <si>
    <t>ФЕР-2001, 17-01-003-01, приказ Минстроя России №1039/пр от 30.12.2016г.</t>
  </si>
  <si>
    <t>133,1</t>
  </si>
  <si>
    <t>133,2</t>
  </si>
  <si>
    <t>18.2.01.06-0001</t>
  </si>
  <si>
    <t>Унитаз-компакт Santek Бореаль WH302143</t>
  </si>
  <si>
    <t>ФССЦ-2001, 18.2.01.06-0001, приказ Минстроя России №1039/пр от 30.12.2016г.</t>
  </si>
  <si>
    <t>134</t>
  </si>
  <si>
    <t>Установка трапов диаметром 100 мм</t>
  </si>
  <si>
    <t>134,1</t>
  </si>
  <si>
    <t>18.2.06.10-0003</t>
  </si>
  <si>
    <t>Трап канализационный ПВХ  100х100, диаметром 50 мм (прим.)</t>
  </si>
  <si>
    <t>ФССЦ-2001, 18.2.06.10-0003, приказ Минстроя России №1039/пр от 30.12.2016г.</t>
  </si>
  <si>
    <t>135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</si>
  <si>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</si>
  <si>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</si>
  <si>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</si>
  <si>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135,1</t>
  </si>
  <si>
    <t>24.1.02.01-0112</t>
  </si>
  <si>
    <t>Хомуты для крепления канализационных и водосточных пластмассовых трубопроводов, диаметром 100 мм</t>
  </si>
  <si>
    <t>ФССЦ-2001, 24.1.02.01-0112, приказ Минстроя России №1039/пр от 30.12.2016г.</t>
  </si>
  <si>
    <t>135,2</t>
  </si>
  <si>
    <t>24.3.01.06-0012</t>
  </si>
  <si>
    <t>Трубопроводы для внутренней канализации из поливинилхлоридных труб диаметром 100 мм</t>
  </si>
  <si>
    <t>ФССЦ-2001, 24.3.01.06-0012, приказ Минстроя России №1039/пр от 30.12.2016г.</t>
  </si>
  <si>
    <t>136</t>
  </si>
  <si>
    <t>16-04-001-01</t>
  </si>
  <si>
    <t>Прокладка трубопроводов канализации из полиэтиленовых труб высокой плотности диаметром 50 мм</t>
  </si>
  <si>
    <t>ФЕР-2001, 16-04-001-01, приказ Минстроя России №1039/пр от 30.12.2016г.</t>
  </si>
  <si>
    <t>136,1</t>
  </si>
  <si>
    <t>24.3.01.06-0011</t>
  </si>
  <si>
    <t>Трубопроводы для внутренней канализации из поливинилхлоридных труб диаметром 50 мм</t>
  </si>
  <si>
    <t>ФССЦ-2001, 24.3.01.06-0011, приказ Минстроя России №1039/пр от 30.12.2016г.</t>
  </si>
  <si>
    <t>136,2</t>
  </si>
  <si>
    <t>24.1.02.01-0111</t>
  </si>
  <si>
    <t>Хомуты для крепления канализационных и водосточных пластмассовых трубопроводов, диаметром 50 мм</t>
  </si>
  <si>
    <t>ФССЦ-2001, 24.1.02.01-0111, приказ Минстроя России №1039/пр от 30.12.2016г.</t>
  </si>
  <si>
    <t>137</t>
  </si>
  <si>
    <t>26-01-017-01</t>
  </si>
  <si>
    <t>Изоляция изделиями из вспененного каучука, вспененного полиэтилена трубопроводов наружным диметром до 160 мм трубками</t>
  </si>
  <si>
    <t>ФЕР-2001, 26-01-017-01, приказ Минстроя России №1039/пр от 30.12.2016г.</t>
  </si>
  <si>
    <t>Теплоизоляционные работы</t>
  </si>
  <si>
    <t>ФЕР-26</t>
  </si>
  <si>
    <t>137,1</t>
  </si>
  <si>
    <t>12.2.07.05-0081</t>
  </si>
  <si>
    <t>Трубки из вспененного полиэтилена, внутренний диаметр 110 мм, толщина 9 мм</t>
  </si>
  <si>
    <t>ФССЦ-2001, 12.2.07.05-0081, приказ Минстроя России №1039/пр от 30.12.2016г.</t>
  </si>
  <si>
    <t>137,2</t>
  </si>
  <si>
    <t>12.2.07.04</t>
  </si>
  <si>
    <t>Трубки из вспененного каучука, полиэтилена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</si>
  <si>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</si>
  <si>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</si>
  <si>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</si>
  <si>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</si>
  <si>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</si>
  <si>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</si>
  <si>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</si>
  <si>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</si>
  <si>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</si>
  <si>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</si>
  <si>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</si>
  <si>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</si>
  <si>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</si>
  <si>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</si>
  <si>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</si>
  <si>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</si>
  <si>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</si>
  <si>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</si>
  <si>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</si>
  <si>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</si>
  <si>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</si>
  <si>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</si>
  <si>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</si>
  <si>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</si>
  <si>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</si>
  <si>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</si>
  <si>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</si>
  <si>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</si>
  <si>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</si>
  <si>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</si>
  <si>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</si>
  <si>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</si>
  <si>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</si>
  <si>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</si>
  <si>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</si>
  <si>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</si>
  <si>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</si>
  <si>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</si>
  <si>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</si>
  <si>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</si>
  <si>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</si>
  <si>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</si>
  <si>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</si>
  <si>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</si>
  <si>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</si>
  <si>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</si>
  <si>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</si>
  <si>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</si>
  <si>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</si>
  <si>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</si>
  <si>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</si>
  <si>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</si>
  <si>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</si>
  <si>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</si>
  <si>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</si>
  <si>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</si>
  <si>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</si>
  <si>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</si>
  <si>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</si>
  <si>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</si>
  <si>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</si>
  <si>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</si>
  <si>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</si>
  <si>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</si>
  <si>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</si>
  <si>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</si>
  <si>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</si>
  <si>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</si>
  <si>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</si>
  <si>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1-100-30</t>
  </si>
  <si>
    <t>Рабочий среднего разряда 3</t>
  </si>
  <si>
    <t>чел.-ч.</t>
  </si>
  <si>
    <t>09.3.04.03-0001</t>
  </si>
  <si>
    <t>ФССЦ-2001, 09.3.04.03-0001, приказ Минстроя России №1039/пр от 30.12.2016г.</t>
  </si>
  <si>
    <t>Перегородки на алюминиевом каркасе комбинированные (стекло прозрачное 5 мм и ГКЛ с виниловым покрытием)</t>
  </si>
  <si>
    <t>1-100-34</t>
  </si>
  <si>
    <t>Рабочий среднего разряда 3.4</t>
  </si>
  <si>
    <t>4-100-00</t>
  </si>
  <si>
    <t>Затраты труда машинистов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</si>
  <si>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</si>
  <si>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</si>
  <si>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</si>
  <si>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маш.-ч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</si>
  <si>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</si>
  <si>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</si>
  <si>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</si>
  <si>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</si>
  <si>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</si>
  <si>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</si>
  <si>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</si>
  <si>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</si>
  <si>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</si>
  <si>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</si>
  <si>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</si>
  <si>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</si>
  <si>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</si>
  <si>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</si>
  <si>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</si>
  <si>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</si>
  <si>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</si>
  <si>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</si>
  <si>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</si>
  <si>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</si>
  <si>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</si>
  <si>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</si>
  <si>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</si>
  <si>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</si>
  <si>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1-100-38</t>
  </si>
  <si>
    <t>Рабочий среднего разряда 3.8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</si>
  <si>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</si>
  <si>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</si>
  <si>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</si>
  <si>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08.3.05.02-0101</t>
  </si>
  <si>
    <t>ФССЦ-2001, 08.3.05.02-0101, приказ Минстроя России №1039/пр от 30.12.2016г.</t>
  </si>
  <si>
    <t>Сталь листовая углеродистая обыкновенного качества марки ВСт3пс5 толщиной 4-6 мм</t>
  </si>
  <si>
    <t>14.4.02.09-0301</t>
  </si>
  <si>
    <t>ФССЦ-2001, 14.4.02.09-0301, приказ Минстроя России №1039/пр от 30.12.2016г.</t>
  </si>
  <si>
    <t>Краска "Цинол"</t>
  </si>
  <si>
    <t>999-9950</t>
  </si>
  <si>
    <t>Вспомогательные ненормируемые материалы (2% от ОЗП)</t>
  </si>
  <si>
    <t>РУБ</t>
  </si>
  <si>
    <t>1-100-20</t>
  </si>
  <si>
    <t>Рабочий среднего разряда 2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</si>
  <si>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</si>
  <si>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</si>
  <si>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</si>
  <si>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</si>
  <si>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</si>
  <si>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</si>
  <si>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</si>
  <si>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</si>
  <si>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</si>
  <si>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</si>
  <si>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</si>
  <si>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</si>
  <si>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</si>
  <si>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</si>
  <si>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</si>
  <si>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</si>
  <si>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</si>
  <si>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</si>
  <si>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</si>
  <si>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</si>
  <si>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</si>
  <si>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</si>
  <si>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</si>
  <si>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</si>
  <si>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</si>
  <si>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</si>
  <si>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</si>
  <si>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</si>
  <si>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</si>
  <si>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</si>
  <si>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</si>
  <si>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</si>
  <si>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</si>
  <si>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</si>
  <si>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</si>
  <si>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</si>
  <si>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</si>
  <si>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</si>
  <si>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</si>
  <si>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</si>
  <si>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</si>
  <si>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</si>
  <si>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</si>
  <si>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</si>
  <si>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</si>
  <si>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</si>
  <si>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</si>
  <si>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1-100-28</t>
  </si>
  <si>
    <t>Рабочий среднего разряда 2.8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</si>
  <si>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</si>
  <si>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</si>
  <si>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</si>
  <si>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</si>
  <si>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</si>
  <si>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</si>
  <si>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</si>
  <si>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</si>
  <si>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</si>
  <si>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</si>
  <si>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</si>
  <si>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</si>
  <si>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</si>
  <si>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</si>
  <si>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</si>
  <si>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</si>
  <si>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</si>
  <si>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</si>
  <si>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</si>
  <si>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</si>
  <si>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</si>
  <si>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</si>
  <si>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</si>
  <si>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</si>
  <si>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</si>
  <si>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</si>
  <si>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</si>
  <si>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</si>
  <si>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</si>
  <si>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</si>
  <si>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</si>
  <si>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</si>
  <si>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</si>
  <si>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</si>
  <si>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</si>
  <si>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</si>
  <si>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</si>
  <si>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</si>
  <si>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</si>
  <si>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</si>
  <si>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</si>
  <si>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</si>
  <si>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</si>
  <si>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</si>
  <si>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</si>
  <si>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</si>
  <si>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14.5.11.01-0001</t>
  </si>
  <si>
    <t>ФССЦ-2001, 14.5.11.01-0001, приказ Минстроя России №1039/пр от 30.12.2016г.</t>
  </si>
  <si>
    <t>Шпатлевка клеевая</t>
  </si>
  <si>
    <t>1-100-42</t>
  </si>
  <si>
    <t>Рабочий среднего разряда 4.2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</si>
  <si>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</si>
  <si>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</si>
  <si>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</si>
  <si>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</si>
  <si>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</si>
  <si>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</si>
  <si>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</si>
  <si>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</si>
  <si>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</si>
  <si>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</si>
  <si>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</si>
  <si>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</si>
  <si>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1-100-36</t>
  </si>
  <si>
    <t>Рабочий среднего разряда 3.6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</si>
  <si>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</si>
  <si>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</si>
  <si>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</si>
  <si>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</si>
  <si>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</si>
  <si>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</si>
  <si>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</si>
  <si>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</si>
  <si>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</si>
  <si>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</si>
  <si>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1-100-31</t>
  </si>
  <si>
    <t>Рабочий среднего разряда 3.1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</si>
  <si>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</si>
  <si>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</si>
  <si>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</si>
  <si>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</si>
  <si>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</si>
  <si>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</si>
  <si>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01.7.11.07-0054</t>
  </si>
  <si>
    <t>ФССЦ-2001, 01.7.11.07-0054, приказ Минстроя России №1039/пр от 30.12.2016г.</t>
  </si>
  <si>
    <t>Электроды диаметром 6 мм Э42</t>
  </si>
  <si>
    <t>1-100-29</t>
  </si>
  <si>
    <t>Рабочий среднего разряда 2.9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</si>
  <si>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</si>
  <si>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</si>
  <si>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</si>
  <si>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08.4.03.03-0031</t>
  </si>
  <si>
    <t>ФССЦ-2001, 08.4.03.03-0031, приказ Минстроя России №1039/пр от 30.12.2016г.</t>
  </si>
  <si>
    <t>Горячекатаная арматурная сталь периодического профиля класса А-III, диаметром 10 мм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</si>
  <si>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</si>
  <si>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</si>
  <si>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</si>
  <si>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</si>
  <si>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</si>
  <si>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</si>
  <si>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</si>
  <si>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</si>
  <si>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1-100-40</t>
  </si>
  <si>
    <t>Рабочий среднего разряда 4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</si>
  <si>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</si>
  <si>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</si>
  <si>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</si>
  <si>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</si>
  <si>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</si>
  <si>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</si>
  <si>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</si>
  <si>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</si>
  <si>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</si>
  <si>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</si>
  <si>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</si>
  <si>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</si>
  <si>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</si>
  <si>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</si>
  <si>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</si>
  <si>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</si>
  <si>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</si>
  <si>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</si>
  <si>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</si>
  <si>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</si>
  <si>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</si>
  <si>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</si>
  <si>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</si>
  <si>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</si>
  <si>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</si>
  <si>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</si>
  <si>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</si>
  <si>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1-100-33</t>
  </si>
  <si>
    <t>Рабочий среднего разряда 3.3</t>
  </si>
  <si>
    <t>01.7.02.10-0005</t>
  </si>
  <si>
    <t>ФССЦ-2001, 01.7.02.10-0005, приказ Минстроя России №1039/пр от 30.12.2016г.</t>
  </si>
  <si>
    <t>Бумага ролевая</t>
  </si>
  <si>
    <t>14.1.03.01-0001</t>
  </si>
  <si>
    <t>ФССЦ-2001, 14.1.03.01-0001, приказ Минстроя России №1039/пр от 30.12.2016г.</t>
  </si>
  <si>
    <t>Клей для обоев КМЦ</t>
  </si>
  <si>
    <t>01.7.15.07-0082</t>
  </si>
  <si>
    <t>ФССЦ-2001, 01.7.15.07-0082, приказ Минстроя России №1039/пр от 30.12.2016г.</t>
  </si>
  <si>
    <t>Дюбель-гвоздь 6/39 мм</t>
  </si>
  <si>
    <t>07.2.06.03-0112</t>
  </si>
  <si>
    <t>ФССЦ-2001, 07.2.06.03-0112, приказ Минстроя России №1039/пр от 30.12.2016г.</t>
  </si>
  <si>
    <t>Профиль направляющий ПН-2 50/40/0,6</t>
  </si>
  <si>
    <t>07.2.06.03-0195</t>
  </si>
  <si>
    <t>ФССЦ-2001, 07.2.06.03-0195, приказ Минстроя России №1039/пр от 30.12.2016г.</t>
  </si>
  <si>
    <t>Профиль стоечный ПС-2 50/50/0,6</t>
  </si>
  <si>
    <t>11.1.03.01-0001</t>
  </si>
  <si>
    <t>ФССЦ-2001, 11.1.03.01-0001, приказ Минстроя России №1039/пр от 30.12.2016г.</t>
  </si>
  <si>
    <t>Бруски деревянные 50*50 мм</t>
  </si>
  <si>
    <t>1-100-26</t>
  </si>
  <si>
    <t>Рабочий среднего разряда 2.6</t>
  </si>
  <si>
    <t>01.7.15.06-0123</t>
  </si>
  <si>
    <t>ФССЦ-2001, 01.7.15.06-0123, приказ Минстроя России №1039/пр от 30.12.2016г.</t>
  </si>
  <si>
    <t>Гвозди строительные с плоской головкой 1,8х60 мм</t>
  </si>
  <si>
    <t>1-100-44</t>
  </si>
  <si>
    <t>Рабочий среднего разряда 4.4</t>
  </si>
  <si>
    <t>91.07.04-002</t>
  </si>
  <si>
    <t>ФСЭМ-2001, 91.07.04-002, приказ Минстроя России №1039/пр от 30.12.2016г.</t>
  </si>
  <si>
    <t>Вибратор поверхностный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</si>
  <si>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</si>
  <si>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</si>
  <si>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</si>
  <si>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</si>
  <si>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</si>
  <si>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</si>
  <si>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</si>
  <si>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</si>
  <si>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</si>
  <si>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1-100-35</t>
  </si>
  <si>
    <t>Рабочий среднего разряда 3.5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</si>
  <si>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</si>
  <si>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</si>
  <si>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</si>
  <si>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01.7.17.05-0021</t>
  </si>
  <si>
    <t>ФССЦ-2001, 01.7.17.05-0021, приказ Минстроя России №1039/пр от 30.12.2016г.</t>
  </si>
  <si>
    <t>Карборунд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</si>
  <si>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</si>
  <si>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</si>
  <si>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</si>
  <si>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</si>
  <si>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</si>
  <si>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</si>
  <si>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</si>
  <si>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</si>
  <si>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</si>
  <si>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1-100-49</t>
  </si>
  <si>
    <t>Рабочий среднего разряда 4.9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</si>
  <si>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</si>
  <si>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</si>
  <si>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</si>
  <si>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</si>
  <si>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</si>
  <si>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</si>
  <si>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</si>
  <si>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</si>
  <si>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</si>
  <si>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</si>
  <si>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</si>
  <si>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</si>
  <si>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</si>
  <si>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</si>
  <si>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</si>
  <si>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</si>
  <si>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</si>
  <si>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</si>
  <si>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</si>
  <si>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</si>
  <si>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</si>
  <si>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1-100-27</t>
  </si>
  <si>
    <t>Рабочий среднего разряда 2.7</t>
  </si>
  <si>
    <t>11.3.03.08-0004</t>
  </si>
  <si>
    <t>ФССЦ-2001, 11.3.03.08-0004, приказ Минстроя России №1039/пр от 30.12.2016г.</t>
  </si>
  <si>
    <t>Подложка под паркет и ламинат "Порилекс НПЭ", толщина 2 мм</t>
  </si>
  <si>
    <t>10 м2</t>
  </si>
  <si>
    <t>1-100-41</t>
  </si>
  <si>
    <t>Рабочий среднего разряда 4.1</t>
  </si>
  <si>
    <t>14.5.04.03-0104</t>
  </si>
  <si>
    <t>ФССЦ-2001, 14.5.04.03-0104, приказ Минстроя России №1039/пр от 30.12.2016г.</t>
  </si>
  <si>
    <t>Мастика клеящая каучуковая, марки КН-2</t>
  </si>
  <si>
    <t>1-100-39</t>
  </si>
  <si>
    <t>Рабочий среднего разряда 3.9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</si>
  <si>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</si>
  <si>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</si>
  <si>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</si>
  <si>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</si>
  <si>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</si>
  <si>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</si>
  <si>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09.2.01.05-0001</t>
  </si>
  <si>
    <t>ФССЦ-2001, 09.2.01.05-0001, приказ Минстроя России №1039/пр от 30.12.2016г.</t>
  </si>
  <si>
    <t>Гребенка несущая</t>
  </si>
  <si>
    <t>09.2.01.05-0051</t>
  </si>
  <si>
    <t>ФССЦ-2001, 09.2.01.05-0051, приказ Минстроя России №1039/пр от 30.12.2016г.</t>
  </si>
  <si>
    <t>Подвес в комплекте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</si>
  <si>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</si>
  <si>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</si>
  <si>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</si>
  <si>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</si>
  <si>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</si>
  <si>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</si>
  <si>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</si>
  <si>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</si>
  <si>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1-100-23</t>
  </si>
  <si>
    <t>Рабочий среднего разряда 2.3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</si>
  <si>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</si>
  <si>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</si>
  <si>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</si>
  <si>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</si>
  <si>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</si>
  <si>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</si>
  <si>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1-100-46</t>
  </si>
  <si>
    <t>Рабочий среднего разряда 4.6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</si>
  <si>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</si>
  <si>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</si>
  <si>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</si>
  <si>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</si>
  <si>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</si>
  <si>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</si>
  <si>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</si>
  <si>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</si>
  <si>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20.5.04.10-0011</t>
  </si>
  <si>
    <t>ФССЦ-2001, 20.5.04.10-0011, приказ Минстроя России №1039/пр от 30.12.2016г.</t>
  </si>
  <si>
    <t>Сжимы соединительные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</si>
  <si>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</si>
  <si>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</si>
  <si>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</si>
  <si>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</si>
  <si>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</si>
  <si>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</si>
  <si>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</si>
  <si>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</si>
  <si>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</si>
  <si>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01.7.15.07-0152</t>
  </si>
  <si>
    <t>ФССЦ-2001, 01.7.15.07-0152, приказ Минстроя России №1039/пр от 30.12.2016г.</t>
  </si>
  <si>
    <t>Дюбель с шурупом 6/35 мм</t>
  </si>
  <si>
    <t>01.7.07.20-0002</t>
  </si>
  <si>
    <t>ФССЦ-2001, 01.7.07.20-0002, приказ Минстроя России №1039/пр от 30.12.2016г.</t>
  </si>
  <si>
    <t>Тальк молотый, сорт I</t>
  </si>
  <si>
    <t>14.4.02.09-0001</t>
  </si>
  <si>
    <t>ФССЦ-2001, 14.4.02.09-0001, приказ Минстроя России №1039/пр от 30.12.2016г.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</si>
  <si>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</si>
  <si>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</si>
  <si>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</si>
  <si>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</si>
  <si>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</si>
  <si>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</si>
  <si>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01.7.06.07-0001</t>
  </si>
  <si>
    <t>ФССЦ-2001, 01.7.06.07-0001, приказ Минстроя России №1039/пр от 30.12.2016г.</t>
  </si>
  <si>
    <t>Лента К226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</si>
  <si>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</si>
  <si>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</si>
  <si>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</si>
  <si>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</si>
  <si>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</si>
  <si>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</si>
  <si>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</si>
  <si>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</si>
  <si>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</si>
  <si>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</si>
  <si>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</si>
  <si>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</si>
  <si>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</si>
  <si>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</si>
  <si>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</si>
  <si>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</si>
  <si>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</si>
  <si>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</si>
  <si>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</si>
  <si>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</si>
  <si>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</si>
  <si>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</si>
  <si>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</si>
  <si>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</si>
  <si>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</si>
  <si>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</si>
  <si>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</si>
  <si>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</si>
  <si>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</si>
  <si>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</si>
  <si>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</si>
  <si>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</si>
  <si>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</si>
  <si>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</si>
  <si>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</si>
  <si>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</si>
  <si>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91.06.06-042</t>
  </si>
  <si>
    <t>ФСЭМ-2001, 91.06.06-042, приказ Минстроя России №1039/пр от 30.12.2016г.</t>
  </si>
  <si>
    <t>Подъемники гидравлические высотой подъема: 10 м</t>
  </si>
  <si>
    <t>20.1.02.14-0001</t>
  </si>
  <si>
    <t>ФССЦ-2001, 20.1.02.14-0001, приказ Минстроя России №1039/пр от 30.12.2016г.</t>
  </si>
  <si>
    <t>Серьга</t>
  </si>
  <si>
    <t>20.2.09.13-0011</t>
  </si>
  <si>
    <t>ФССЦ-2001, 20.2.09.13-0011, приказ Минстроя России №1039/пр от 30.12.2016г.</t>
  </si>
  <si>
    <t>Муфта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</si>
  <si>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</si>
  <si>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</si>
  <si>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</si>
  <si>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</si>
  <si>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</si>
  <si>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</si>
  <si>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91.06.09-001</t>
  </si>
  <si>
    <t>ФСЭМ-2001, 91.06.09-001, приказ Минстроя России №1039/пр от 30.12.2016г.</t>
  </si>
  <si>
    <t>Вышка телескопическая 25 м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</si>
  <si>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</si>
  <si>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</si>
  <si>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</si>
  <si>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14.4.03.03-0002</t>
  </si>
  <si>
    <t>ФССЦ-2001, 14.4.03.03-0002, приказ Минстроя России №1039/пр от 30.12.2016г.</t>
  </si>
  <si>
    <t>Лак битумный БТ-123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</si>
  <si>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</si>
  <si>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</si>
  <si>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</si>
  <si>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</si>
  <si>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</si>
  <si>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</si>
  <si>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20.5.04.09-0001</t>
  </si>
  <si>
    <t>ФССЦ-2001, 20.5.04.09-0001, приказ Минстроя России №1039/пр от 30.12.2016г.</t>
  </si>
  <si>
    <t>Сжимы ответвительные</t>
  </si>
  <si>
    <t>01.3.01.01-0001</t>
  </si>
  <si>
    <t>ФССЦ-2001, 01.3.01.01-0001, приказ Минстроя России №1039/пр от 30.12.2016г.</t>
  </si>
  <si>
    <t>Бензин авиационный Б-70</t>
  </si>
  <si>
    <t>01.3.01.05-0009</t>
  </si>
  <si>
    <t>ФССЦ-2001, 01.3.01.05-0009, приказ Минстроя России №1039/пр от 30.12.2016г.</t>
  </si>
  <si>
    <t>Парафины нефтяные твердые марки Т-1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</si>
  <si>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</si>
  <si>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</si>
  <si>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</si>
  <si>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</si>
  <si>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</si>
  <si>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</si>
  <si>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</si>
  <si>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</si>
  <si>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</si>
  <si>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</si>
  <si>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</si>
  <si>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</si>
  <si>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</si>
  <si>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</si>
  <si>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</si>
  <si>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</si>
  <si>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</si>
  <si>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1-100-60</t>
  </si>
  <si>
    <t>Рабочий среднего разряда 6</t>
  </si>
  <si>
    <t>14.4.02.04-0221</t>
  </si>
  <si>
    <t>ФССЦ-2001, 14.4.02.04-0221, приказ Минстроя России №1039/пр от 30.12.2016г.</t>
  </si>
  <si>
    <t>Краски масляные и алкидные, готовые к применению белила цинковые МА-15</t>
  </si>
  <si>
    <t>14.5.05.02-0001</t>
  </si>
  <si>
    <t>ФССЦ-2001, 14.5.05.02-0001, приказ Минстроя России №1039/пр от 30.12.2016г.</t>
  </si>
  <si>
    <t>Олифа натуральная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</si>
  <si>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</si>
  <si>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</si>
  <si>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</si>
  <si>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</si>
  <si>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</si>
  <si>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</si>
  <si>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</si>
  <si>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</si>
  <si>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</si>
  <si>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</si>
  <si>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</si>
  <si>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</si>
  <si>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</si>
  <si>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</si>
  <si>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</si>
  <si>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01.7.07.29-0101</t>
  </si>
  <si>
    <t>ФССЦ-2001, 01.7.07.29-0101, приказ Минстроя России №1039/пр от 30.12.2016г.</t>
  </si>
  <si>
    <t>Очес льняной</t>
  </si>
  <si>
    <t>01.7.11.04-0072</t>
  </si>
  <si>
    <t>ФССЦ-2001, 01.7.11.04-0072, приказ Минстроя России №1039/пр от 30.12.2016г.</t>
  </si>
  <si>
    <t>Проволока сварочная легированная диаметром 4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</si>
  <si>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</si>
  <si>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</si>
  <si>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</si>
  <si>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</si>
  <si>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</si>
  <si>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</si>
  <si>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23.3.06.02-0002</t>
  </si>
  <si>
    <t>ФССЦ-2001, 23.3.06.02-0002, приказ Минстроя России №1039/пр от 30.12.2016г.</t>
  </si>
  <si>
    <t>Трубы стальные сварные водогазопроводные с резьбой оцинкованные обыкновенные, диаметр условного прохода 20 мм, толщина стенки 2,8 мм</t>
  </si>
  <si>
    <t>1-100-53</t>
  </si>
  <si>
    <t>Рабочий среднего разряда 5.3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</si>
  <si>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</si>
  <si>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</si>
  <si>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</si>
  <si>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</si>
  <si>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</si>
  <si>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</si>
  <si>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</si>
  <si>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</si>
  <si>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</si>
  <si>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</si>
  <si>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</si>
  <si>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</si>
  <si>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14.1.04.02-0002</t>
  </si>
  <si>
    <t>ФССЦ-2001, 14.1.04.02-0002, приказ Минстроя России №1039/пр от 30.12.2016г.</t>
  </si>
  <si>
    <t>Клей 88-СА</t>
  </si>
  <si>
    <t>01.7.07.29-0031</t>
  </si>
  <si>
    <t>ФССЦ-2001, 01.7.07.29-0031, приказ Минстроя России №1039/пр от 30.12.2016г.</t>
  </si>
  <si>
    <t>Каболка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</si>
  <si>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</si>
  <si>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</si>
  <si>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</si>
  <si>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</si>
  <si>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</si>
  <si>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</si>
  <si>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</si>
  <si>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</si>
  <si>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</si>
  <si>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</si>
  <si>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</si>
  <si>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</si>
  <si>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</si>
  <si>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</si>
  <si>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</si>
  <si>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</si>
  <si>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</si>
  <si>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</si>
  <si>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</si>
  <si>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</si>
  <si>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</si>
  <si>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01.7.06.14-0036</t>
  </si>
  <si>
    <t>ФССЦ-2001, 01.7.06.14-0036, приказ Минстроя России №1039/пр от 30.12.2016г.</t>
  </si>
  <si>
    <t>Лента самоклеящаяся «Армофлекс» 3х50 мм</t>
  </si>
  <si>
    <t>10.1.02.02-0101</t>
  </si>
  <si>
    <t>ФССЦ-2001, 10.1.02.02-0101, приказ Минстроя России №1039/пр от 30.12.2016г.</t>
  </si>
  <si>
    <t>Листы алюминиевые марки АД1Н, толщиной 0,5 мм</t>
  </si>
  <si>
    <t>12.2.01.01-0021</t>
  </si>
  <si>
    <t>ФССЦ-2001, 12.2.01.01-0021, приказ Минстроя России №1039/пр от 30.12.2016г.</t>
  </si>
  <si>
    <t>Клипсы (зажимы)</t>
  </si>
  <si>
    <t>14.1.04.01-0001</t>
  </si>
  <si>
    <t>ФССЦ-2001, 14.1.04.01-0001, приказ Минстроя России №1039/пр от 30.12.2016г.</t>
  </si>
  <si>
    <t>Клей «Армофлекс» 520</t>
  </si>
  <si>
    <t>14.5.09.05-0103</t>
  </si>
  <si>
    <t>ФССЦ-2001, 14.5.09.05-0103, приказ Минстроя России №1039/пр от 30.12.2016г.</t>
  </si>
  <si>
    <t>Очиститель для клея «Армофлекс»</t>
  </si>
  <si>
    <t>Раствор цементный</t>
  </si>
  <si>
    <t>01.7.04.11</t>
  </si>
  <si>
    <t>Скобяные изделия</t>
  </si>
  <si>
    <t>08.1.02.25</t>
  </si>
  <si>
    <t>Ерши металлические</t>
  </si>
  <si>
    <t>11.2.04.05</t>
  </si>
  <si>
    <t>Рейки деревянные</t>
  </si>
  <si>
    <t>Строительный мусор и масса возвратных материалов</t>
  </si>
  <si>
    <t>01.7.15.07</t>
  </si>
  <si>
    <t>Дюбели распорные полиэтиленовые</t>
  </si>
  <si>
    <t>01.7.15.14</t>
  </si>
  <si>
    <t>Шурупы строительные</t>
  </si>
  <si>
    <t>18.1.01.01</t>
  </si>
  <si>
    <t>Арматура муфтовая</t>
  </si>
  <si>
    <t>19.1.01.11</t>
  </si>
  <si>
    <t>Крепления</t>
  </si>
  <si>
    <t>23.7.01.07</t>
  </si>
  <si>
    <t>Трубопроводы с гильзами</t>
  </si>
  <si>
    <t>Наконечники</t>
  </si>
  <si>
    <t>24.3.03.15</t>
  </si>
  <si>
    <t>Трубы полиэтиленовые</t>
  </si>
  <si>
    <t>24.3.05.19</t>
  </si>
  <si>
    <t>Фасонные и соединительные части к полиэтиленовым трубам</t>
  </si>
  <si>
    <t>14.5.02.02</t>
  </si>
  <si>
    <t>Замазка суриковая</t>
  </si>
  <si>
    <t>18.2.06.12</t>
  </si>
  <si>
    <t>Приборы санитарно-технические</t>
  </si>
  <si>
    <t>18.1.10.10</t>
  </si>
  <si>
    <t>Смесители</t>
  </si>
  <si>
    <t>18.1.02.03</t>
  </si>
  <si>
    <t>Задвижки</t>
  </si>
  <si>
    <t>24.3.03.02</t>
  </si>
  <si>
    <t>Трубопроводы канализации из полиэтиленовых труб высокой плотности с гильзами, диаметром 110 мм</t>
  </si>
  <si>
    <t>Трубопроводы канализации из полиэтиленовых труб высокой плотности с гильзами, диаметром 50 мм</t>
  </si>
  <si>
    <t>14.3.02.06-0001</t>
  </si>
  <si>
    <t>ФССЦ-2001, 14.3.02.06-0001, приказ Минстроя России №1039/пр от 30.12.2016г.</t>
  </si>
  <si>
    <t>Краска «Армофиниш»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</si>
  <si>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</si>
  <si>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</si>
  <si>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п.4.9  Наименование: По работам, в технологии производства которых предусмотрена сварка металлоконструкций, металлопроката, стальных труб, листового металла, закладных деталей и др. металлоизделий, элементные сметные нормы и единичные расценки разработаны из условия применения углеродистой стали.При применении нержавеющей стали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</si>
  <si>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</si>
  <si>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</si>
  <si>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</si>
  <si>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</si>
  <si>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</si>
  <si>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</si>
  <si>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</si>
  <si>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</si>
  <si>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</si>
  <si>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</si>
  <si>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</si>
  <si>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</si>
  <si>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</si>
  <si>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</si>
  <si>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</si>
  <si>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</si>
  <si>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</si>
  <si>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</si>
  <si>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</si>
  <si>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</si>
  <si>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</si>
  <si>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</si>
  <si>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</si>
  <si>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</si>
  <si>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</si>
  <si>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</si>
  <si>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</si>
  <si>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</si>
  <si>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</si>
  <si>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</si>
  <si>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</si>
  <si>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</si>
  <si>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</si>
  <si>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</si>
  <si>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 нр *6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</si>
  <si>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</si>
  <si>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</si>
  <si>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</si>
  <si>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</si>
  <si>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</si>
  <si>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</si>
  <si>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</si>
  <si>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</si>
  <si>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</si>
  <si>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</si>
  <si>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</si>
  <si>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</si>
  <si>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</si>
  <si>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</si>
  <si>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</si>
  <si>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</si>
  <si>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</si>
  <si>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</si>
  <si>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</si>
  <si>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</si>
  <si>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</si>
  <si>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</si>
  <si>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</si>
  <si>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</si>
  <si>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</si>
  <si>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</si>
  <si>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</si>
  <si>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</si>
  <si>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</si>
  <si>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</si>
  <si>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</si>
  <si>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</si>
  <si>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</si>
  <si>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</si>
  <si>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</si>
  <si>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</si>
  <si>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</si>
  <si>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</si>
  <si>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</si>
  <si>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</si>
  <si>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</si>
  <si>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</si>
  <si>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</si>
  <si>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</si>
  <si>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</si>
  <si>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</si>
  <si>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</si>
  <si>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</si>
  <si>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</si>
  <si>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</si>
  <si>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</si>
  <si>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</si>
  <si>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</si>
  <si>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</si>
  <si>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Плиты древесноволокнистые сухого способа производства группы А, твердые марки ТС-400 толщиной 5 мм</t>
  </si>
  <si>
    <t>Исключен
Гранит керамический многоцветный неполированный, размером 400х400х9 мм</t>
  </si>
  <si>
    <t>Исключен
Рейка алюминиевая потолочная 100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</si>
  <si>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</si>
  <si>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</si>
  <si>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</si>
  <si>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</si>
  <si>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</si>
  <si>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</si>
  <si>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</si>
  <si>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</si>
  <si>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Капитальный ремонт помещений № 9(8), № 10(9), № 11(10), № 14(13), №15(14) 3-го этажа, помещений №8(12,13), №9(14), № 10(17), №12(18), №13(19) 4-го этажа и лестницы "Б" здания НИЯУ МИФИ по адресу: г. Москва, Каширское шоссе, д. 64, к.1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</si>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</sst>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left" wrapTex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455"/>
  <sheetViews>
    <sheetView tabSelected="1" topLeftCell="A1439" zoomScaleNormal="100" workbookViewId="0">
      <selection activeCell="A1458" sqref="A1458:XFD146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0" t="str">
        <f>Source!B1</f>
        <v>Smeta.RU  (495) 974-1589</v>
      </c>
      <c r="H1" t="s">
        <v>2005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30" ht="15.75" x14ac:dyDescent="0.25">
      <c r="A4" s="15"/>
      <c r="B4" s="74" t="s">
        <v>2003</v>
      </c>
      <c r="C4" s="74"/>
      <c r="D4" s="74"/>
      <c r="E4" s="74"/>
      <c r="F4" s="74"/>
      <c r="G4" s="74"/>
      <c r="H4" s="74"/>
      <c r="I4" s="74"/>
      <c r="J4" s="74"/>
      <c r="K4" s="74"/>
      <c r="L4" s="15"/>
    </row>
    <row r="5" spans="1:30" ht="15.75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5"/>
    </row>
    <row r="6" spans="1:30" ht="18" hidden="1" x14ac:dyDescent="0.25">
      <c r="A6" s="15"/>
      <c r="B6" s="75" t="str">
        <f>IF(Source!G20&lt;&gt;"Новая локальная смета", Source!G20, "")</f>
        <v/>
      </c>
      <c r="C6" s="75"/>
      <c r="D6" s="75"/>
      <c r="E6" s="75"/>
      <c r="F6" s="75"/>
      <c r="G6" s="75"/>
      <c r="H6" s="75"/>
      <c r="I6" s="75"/>
      <c r="J6" s="75"/>
      <c r="K6" s="75"/>
      <c r="L6" s="15"/>
    </row>
    <row r="7" spans="1:30" ht="14.25" hidden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30" ht="54" x14ac:dyDescent="0.25">
      <c r="A8" s="12"/>
      <c r="B8" s="75" t="s">
        <v>2004</v>
      </c>
      <c r="C8" s="75"/>
      <c r="D8" s="75"/>
      <c r="E8" s="75"/>
      <c r="F8" s="75"/>
      <c r="G8" s="75"/>
      <c r="H8" s="75"/>
      <c r="I8" s="75"/>
      <c r="J8" s="75"/>
      <c r="K8" s="75"/>
      <c r="L8" s="17"/>
      <c r="AD8" s="49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</row>
    <row r="9" spans="1:30" ht="14.25" x14ac:dyDescent="0.2">
      <c r="A9" s="12"/>
      <c r="B9" s="76"/>
      <c r="C9" s="76"/>
      <c r="D9" s="76"/>
      <c r="E9" s="76"/>
      <c r="F9" s="76"/>
      <c r="G9" s="76"/>
      <c r="H9" s="76"/>
      <c r="I9" s="76"/>
      <c r="J9" s="76"/>
      <c r="K9" s="76"/>
      <c r="L9" s="14"/>
    </row>
    <row r="10" spans="1:30" ht="14.25" x14ac:dyDescent="0.2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30" ht="14.25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30" ht="14.25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4.25" x14ac:dyDescent="0.2">
      <c r="A13" s="12"/>
      <c r="B13" s="12"/>
      <c r="C13" s="12"/>
      <c r="D13" s="12"/>
      <c r="E13" s="18"/>
      <c r="F13" s="18"/>
      <c r="G13" s="77" t="s">
        <v>1906</v>
      </c>
      <c r="H13" s="77"/>
      <c r="I13" s="77" t="s">
        <v>1907</v>
      </c>
      <c r="J13" s="77"/>
      <c r="K13" s="12"/>
      <c r="L13" s="12"/>
    </row>
    <row r="14" spans="1:30" ht="15" x14ac:dyDescent="0.25">
      <c r="A14" s="12"/>
      <c r="B14" s="12"/>
      <c r="C14" s="69" t="s">
        <v>1908</v>
      </c>
      <c r="D14" s="69"/>
      <c r="E14" s="69"/>
      <c r="F14" s="69"/>
      <c r="G14" s="70">
        <f>SUM(O25:O1452)/1000</f>
        <v>577.74252000000035</v>
      </c>
      <c r="H14" s="70"/>
      <c r="I14" s="70">
        <f>(Source!F791/1000)</f>
        <v>4515.8757599999999</v>
      </c>
      <c r="J14" s="70"/>
      <c r="K14" s="71" t="s">
        <v>1909</v>
      </c>
      <c r="L14" s="71"/>
    </row>
    <row r="15" spans="1:30" ht="14.25" x14ac:dyDescent="0.2">
      <c r="A15" s="12"/>
      <c r="B15" s="12"/>
      <c r="C15" s="73" t="s">
        <v>1910</v>
      </c>
      <c r="D15" s="73"/>
      <c r="E15" s="73"/>
      <c r="F15" s="73"/>
      <c r="G15" s="70">
        <f>SUM(W25:W1452)/1000</f>
        <v>443.68378000000001</v>
      </c>
      <c r="H15" s="70"/>
      <c r="I15" s="70">
        <f>(Source!F778)/1000</f>
        <v>2911.2293799999998</v>
      </c>
      <c r="J15" s="70"/>
      <c r="K15" s="71" t="s">
        <v>1909</v>
      </c>
      <c r="L15" s="71"/>
    </row>
    <row r="16" spans="1:30" ht="14.25" x14ac:dyDescent="0.2">
      <c r="A16" s="12"/>
      <c r="B16" s="12"/>
      <c r="C16" s="73" t="s">
        <v>1911</v>
      </c>
      <c r="D16" s="73"/>
      <c r="E16" s="73"/>
      <c r="F16" s="73"/>
      <c r="G16" s="70">
        <f>SUM(X25:X1452)/1000</f>
        <v>131.12180000000001</v>
      </c>
      <c r="H16" s="70"/>
      <c r="I16" s="70">
        <f>(Source!F779)/1000</f>
        <v>860.15845999999999</v>
      </c>
      <c r="J16" s="70"/>
      <c r="K16" s="71" t="s">
        <v>1909</v>
      </c>
      <c r="L16" s="71"/>
    </row>
    <row r="17" spans="1:22" ht="14.25" x14ac:dyDescent="0.2">
      <c r="A17" s="12"/>
      <c r="B17" s="12"/>
      <c r="C17" s="73" t="s">
        <v>1912</v>
      </c>
      <c r="D17" s="73"/>
      <c r="E17" s="73"/>
      <c r="F17" s="73"/>
      <c r="G17" s="70">
        <f>SUM(Y25:Y1452)/1000</f>
        <v>0</v>
      </c>
      <c r="H17" s="70"/>
      <c r="I17" s="70">
        <f>(Source!F770)/1000</f>
        <v>0</v>
      </c>
      <c r="J17" s="70"/>
      <c r="K17" s="71" t="s">
        <v>1909</v>
      </c>
      <c r="L17" s="71"/>
    </row>
    <row r="18" spans="1:22" ht="14.25" x14ac:dyDescent="0.2">
      <c r="A18" s="12"/>
      <c r="B18" s="12"/>
      <c r="C18" s="73" t="s">
        <v>1913</v>
      </c>
      <c r="D18" s="73"/>
      <c r="E18" s="73"/>
      <c r="F18" s="73"/>
      <c r="G18" s="70">
        <f>SUM(Z25:Z1452)/1000</f>
        <v>2.9369400000000003</v>
      </c>
      <c r="H18" s="70"/>
      <c r="I18" s="70">
        <f>(Source!F780+Source!F781)/1000</f>
        <v>55.625519999999995</v>
      </c>
      <c r="J18" s="70"/>
      <c r="K18" s="71" t="s">
        <v>1909</v>
      </c>
      <c r="L18" s="71"/>
    </row>
    <row r="19" spans="1:22" ht="15" x14ac:dyDescent="0.25">
      <c r="A19" s="12"/>
      <c r="B19" s="12"/>
      <c r="C19" s="69" t="s">
        <v>1914</v>
      </c>
      <c r="D19" s="69"/>
      <c r="E19" s="69"/>
      <c r="F19" s="69"/>
      <c r="G19" s="70">
        <f>I19</f>
        <v>4053.9504125499998</v>
      </c>
      <c r="H19" s="70"/>
      <c r="I19" s="70">
        <f>(Source!F783+Source!F784)</f>
        <v>4053.9504125499998</v>
      </c>
      <c r="J19" s="70"/>
      <c r="K19" s="71" t="s">
        <v>1915</v>
      </c>
      <c r="L19" s="71"/>
    </row>
    <row r="20" spans="1:22" ht="15" x14ac:dyDescent="0.25">
      <c r="A20" s="12"/>
      <c r="B20" s="12"/>
      <c r="C20" s="69" t="s">
        <v>1916</v>
      </c>
      <c r="D20" s="69"/>
      <c r="E20" s="69"/>
      <c r="F20" s="69"/>
      <c r="G20" s="70">
        <f>SUM(R25:R1452)/1000</f>
        <v>38.052900000000001</v>
      </c>
      <c r="H20" s="70"/>
      <c r="I20" s="70">
        <f>(Source!F776+ Source!F775)/1000</f>
        <v>267.36331000000001</v>
      </c>
      <c r="J20" s="70"/>
      <c r="K20" s="71" t="s">
        <v>1909</v>
      </c>
      <c r="L20" s="71"/>
    </row>
    <row r="21" spans="1:22" ht="14.25" x14ac:dyDescent="0.2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2" ht="14.25" x14ac:dyDescent="0.2">
      <c r="A22" s="72" t="s">
        <v>1929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</row>
    <row r="23" spans="1:22" ht="57" x14ac:dyDescent="0.2">
      <c r="A23" s="19" t="s">
        <v>1917</v>
      </c>
      <c r="B23" s="19" t="s">
        <v>1918</v>
      </c>
      <c r="C23" s="19" t="s">
        <v>1919</v>
      </c>
      <c r="D23" s="19" t="s">
        <v>1920</v>
      </c>
      <c r="E23" s="19" t="s">
        <v>1921</v>
      </c>
      <c r="F23" s="19" t="s">
        <v>1922</v>
      </c>
      <c r="G23" s="19" t="s">
        <v>1923</v>
      </c>
      <c r="H23" s="19" t="s">
        <v>1924</v>
      </c>
      <c r="I23" s="19" t="s">
        <v>1925</v>
      </c>
      <c r="J23" s="19" t="s">
        <v>1926</v>
      </c>
      <c r="K23" s="19" t="s">
        <v>1927</v>
      </c>
      <c r="L23" s="19" t="s">
        <v>1928</v>
      </c>
    </row>
    <row r="24" spans="1:22" ht="14.25" x14ac:dyDescent="0.2">
      <c r="A24" s="20">
        <v>1</v>
      </c>
      <c r="B24" s="20">
        <v>2</v>
      </c>
      <c r="C24" s="20">
        <v>3</v>
      </c>
      <c r="D24" s="20">
        <v>4</v>
      </c>
      <c r="E24" s="20">
        <v>5</v>
      </c>
      <c r="F24" s="20">
        <v>6</v>
      </c>
      <c r="G24" s="20">
        <v>7</v>
      </c>
      <c r="H24" s="20">
        <v>8</v>
      </c>
      <c r="I24" s="20">
        <v>9</v>
      </c>
      <c r="J24" s="20">
        <v>10</v>
      </c>
      <c r="K24" s="20">
        <v>11</v>
      </c>
      <c r="L24" s="21">
        <v>12</v>
      </c>
    </row>
    <row r="25" spans="1:22" ht="16.5" x14ac:dyDescent="0.25">
      <c r="A25" s="68" t="str">
        <f>CONCATENATE("Раздел: ",IF(Source!G24&lt;&gt;"Новый раздел", Source!G24, ""))</f>
        <v>Раздел: 1 Общестроительные работы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</row>
    <row r="26" spans="1:22" ht="16.5" x14ac:dyDescent="0.25">
      <c r="A26" s="68" t="str">
        <f>CONCATENATE("Подраздел: ",IF(Source!G28&lt;&gt;"Новый подраздел", Source!G28, ""))</f>
        <v>Подраздел: 1 Демонтаж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</row>
    <row r="27" spans="1:22" ht="42.75" x14ac:dyDescent="0.2">
      <c r="A27" s="44" t="str">
        <f>Source!E32</f>
        <v>1</v>
      </c>
      <c r="B27" s="45" t="str">
        <f>Source!F32</f>
        <v>46-04-012-01</v>
      </c>
      <c r="C27" s="45" t="str">
        <f>Source!G32</f>
        <v>Разборка деревянных заполнений проемов оконных с подоконными досками</v>
      </c>
      <c r="D27" s="28" t="str">
        <f>Source!H32</f>
        <v>100 м2</v>
      </c>
      <c r="E27" s="11">
        <f>Source!I32</f>
        <v>0.3735</v>
      </c>
      <c r="F27" s="29">
        <f>Source!AL32+Source!AM32+Source!AO32</f>
        <v>1767.24</v>
      </c>
      <c r="G27" s="30"/>
      <c r="H27" s="29"/>
      <c r="I27" s="30" t="str">
        <f>Source!BO32</f>
        <v/>
      </c>
      <c r="J27" s="30"/>
      <c r="K27" s="29"/>
      <c r="L27" s="31"/>
      <c r="S27">
        <f>ROUND((Source!FX32/100)*((ROUND(Source!AF32*Source!I32, 2)+ROUND(Source!AE32*Source!I32, 2))), 2)</f>
        <v>602.64</v>
      </c>
      <c r="T27">
        <f>Source!X32</f>
        <v>3953.29</v>
      </c>
      <c r="U27">
        <f>ROUND((Source!FY32/100)*((ROUND(Source!AF32*Source!I32, 2)+ROUND(Source!AE32*Source!I32, 2))), 2)</f>
        <v>362.19</v>
      </c>
      <c r="V27">
        <f>Source!Y32</f>
        <v>2395.9299999999998</v>
      </c>
    </row>
    <row r="28" spans="1:22" x14ac:dyDescent="0.2">
      <c r="C28" s="23" t="str">
        <f>"Объем: "&amp;Source!I32&amp;"=37,35/"&amp;"100"</f>
        <v>Объем: 0,3735=37,35/100</v>
      </c>
    </row>
    <row r="29" spans="1:22" ht="14.25" x14ac:dyDescent="0.2">
      <c r="A29" s="44"/>
      <c r="B29" s="45"/>
      <c r="C29" s="45" t="s">
        <v>1930</v>
      </c>
      <c r="D29" s="28"/>
      <c r="E29" s="11"/>
      <c r="F29" s="29">
        <f>Source!AO32</f>
        <v>1525.29</v>
      </c>
      <c r="G29" s="30" t="str">
        <f>Source!DG32</f>
        <v/>
      </c>
      <c r="H29" s="29">
        <f>ROUND(Source!AF32*Source!I32, 2)</f>
        <v>569.70000000000005</v>
      </c>
      <c r="I29" s="30"/>
      <c r="J29" s="30">
        <f>IF(Source!BA32&lt;&gt; 0, Source!BA32, 1)</f>
        <v>6.56</v>
      </c>
      <c r="K29" s="29">
        <f>Source!S32</f>
        <v>3737.2</v>
      </c>
      <c r="L29" s="31"/>
      <c r="R29">
        <f>H29</f>
        <v>569.70000000000005</v>
      </c>
    </row>
    <row r="30" spans="1:22" ht="14.25" x14ac:dyDescent="0.2">
      <c r="A30" s="44"/>
      <c r="B30" s="45"/>
      <c r="C30" s="45" t="s">
        <v>151</v>
      </c>
      <c r="D30" s="28"/>
      <c r="E30" s="11"/>
      <c r="F30" s="29">
        <f>Source!AM32</f>
        <v>241.95</v>
      </c>
      <c r="G30" s="30" t="str">
        <f>Source!DE32</f>
        <v/>
      </c>
      <c r="H30" s="29">
        <f>ROUND(Source!AD32*Source!I32, 2)</f>
        <v>90.37</v>
      </c>
      <c r="I30" s="30"/>
      <c r="J30" s="30">
        <f>IF(Source!BB32&lt;&gt; 0, Source!BB32, 1)</f>
        <v>6.56</v>
      </c>
      <c r="K30" s="29">
        <f>Source!Q32</f>
        <v>592.82000000000005</v>
      </c>
      <c r="L30" s="31"/>
    </row>
    <row r="31" spans="1:22" ht="14.25" x14ac:dyDescent="0.2">
      <c r="A31" s="44"/>
      <c r="B31" s="45"/>
      <c r="C31" s="45" t="s">
        <v>1931</v>
      </c>
      <c r="D31" s="28"/>
      <c r="E31" s="11"/>
      <c r="F31" s="29">
        <f>Source!AN32</f>
        <v>104.49</v>
      </c>
      <c r="G31" s="30" t="str">
        <f>Source!DF32</f>
        <v/>
      </c>
      <c r="H31" s="32">
        <f>ROUND(Source!AE32*Source!I32, 2)</f>
        <v>39.03</v>
      </c>
      <c r="I31" s="30"/>
      <c r="J31" s="30">
        <f>IF(Source!BS32&lt;&gt; 0, Source!BS32, 1)</f>
        <v>6.56</v>
      </c>
      <c r="K31" s="32">
        <f>Source!R32</f>
        <v>256.02</v>
      </c>
      <c r="L31" s="31"/>
      <c r="R31">
        <f>H31</f>
        <v>39.03</v>
      </c>
    </row>
    <row r="32" spans="1:22" ht="14.25" x14ac:dyDescent="0.2">
      <c r="A32" s="44"/>
      <c r="B32" s="45"/>
      <c r="C32" s="45" t="s">
        <v>1932</v>
      </c>
      <c r="D32" s="28" t="s">
        <v>1933</v>
      </c>
      <c r="E32" s="11">
        <f>Source!BZ32</f>
        <v>110</v>
      </c>
      <c r="F32" s="64" t="str">
        <f>CONCATENATE(" )", Source!DL32, Source!FT32, "=", Source!FX32)</f>
        <v xml:space="preserve"> )*0,9=99</v>
      </c>
      <c r="G32" s="65"/>
      <c r="H32" s="29">
        <f>SUM(S27:S34)</f>
        <v>602.64</v>
      </c>
      <c r="I32" s="33"/>
      <c r="J32" s="26">
        <f>Source!AT32</f>
        <v>99</v>
      </c>
      <c r="K32" s="29">
        <f>SUM(T27:T34)</f>
        <v>3953.29</v>
      </c>
      <c r="L32" s="31"/>
    </row>
    <row r="33" spans="1:26" ht="14.25" x14ac:dyDescent="0.2">
      <c r="A33" s="44"/>
      <c r="B33" s="45"/>
      <c r="C33" s="45" t="s">
        <v>1934</v>
      </c>
      <c r="D33" s="28" t="s">
        <v>1933</v>
      </c>
      <c r="E33" s="11">
        <f>Source!CA32</f>
        <v>70</v>
      </c>
      <c r="F33" s="64" t="str">
        <f>CONCATENATE(" )", Source!DM32, Source!FU32, "=", Source!FY32)</f>
        <v xml:space="preserve"> )*0,85=59,5</v>
      </c>
      <c r="G33" s="65"/>
      <c r="H33" s="29">
        <f>SUM(U27:U34)</f>
        <v>362.19</v>
      </c>
      <c r="I33" s="33"/>
      <c r="J33" s="26">
        <f>Source!AU32</f>
        <v>60</v>
      </c>
      <c r="K33" s="29">
        <f>SUM(V27:V34)</f>
        <v>2395.9299999999998</v>
      </c>
      <c r="L33" s="31"/>
    </row>
    <row r="34" spans="1:26" ht="14.25" x14ac:dyDescent="0.2">
      <c r="A34" s="46"/>
      <c r="B34" s="47"/>
      <c r="C34" s="47" t="s">
        <v>1935</v>
      </c>
      <c r="D34" s="34" t="s">
        <v>1936</v>
      </c>
      <c r="E34" s="35">
        <f>Source!AQ32</f>
        <v>188.54</v>
      </c>
      <c r="F34" s="36"/>
      <c r="G34" s="37" t="str">
        <f>Source!DI32</f>
        <v/>
      </c>
      <c r="H34" s="36"/>
      <c r="I34" s="37"/>
      <c r="J34" s="37"/>
      <c r="K34" s="36"/>
      <c r="L34" s="38">
        <f>Source!U32</f>
        <v>70.419690000000003</v>
      </c>
    </row>
    <row r="35" spans="1:26" ht="15" x14ac:dyDescent="0.25">
      <c r="G35" s="63">
        <f>H29+H30+H32+H33</f>
        <v>1624.9</v>
      </c>
      <c r="H35" s="63"/>
      <c r="J35" s="63">
        <f>K29+K30+K32+K33</f>
        <v>10679.24</v>
      </c>
      <c r="K35" s="63"/>
      <c r="L35" s="39">
        <f>Source!U32</f>
        <v>70.419690000000003</v>
      </c>
      <c r="O35" s="24">
        <f>G35</f>
        <v>1624.9</v>
      </c>
      <c r="P35" s="24">
        <f>J35</f>
        <v>10679.24</v>
      </c>
      <c r="Q35" s="24">
        <f>L35</f>
        <v>70.419690000000003</v>
      </c>
      <c r="W35">
        <f>IF(Source!BI32&lt;=1,H29+H30+H32+H33, 0)</f>
        <v>1624.9</v>
      </c>
      <c r="X35">
        <f>IF(Source!BI32=2,H29+H30+H32+H33, 0)</f>
        <v>0</v>
      </c>
      <c r="Y35">
        <f>IF(Source!BI32=3,H29+H30+H32+H33, 0)</f>
        <v>0</v>
      </c>
      <c r="Z35">
        <f>IF(Source!BI32=4,H29+H30+H32+H33, 0)</f>
        <v>0</v>
      </c>
    </row>
    <row r="36" spans="1:26" ht="57" x14ac:dyDescent="0.2">
      <c r="A36" s="44" t="str">
        <f>Source!E33</f>
        <v>2</v>
      </c>
      <c r="B36" s="45" t="str">
        <f>Source!F33</f>
        <v>46-04-012-02</v>
      </c>
      <c r="C36" s="45" t="str">
        <f>Source!G33</f>
        <v>Разборка деревянных заполнений проемов оконных без подоконных досок (фрамуга остеклённая,витражное остекление))</v>
      </c>
      <c r="D36" s="28" t="str">
        <f>Source!H33</f>
        <v>100 м2</v>
      </c>
      <c r="E36" s="11">
        <f>Source!I33</f>
        <v>1.6199999999999999E-2</v>
      </c>
      <c r="F36" s="29">
        <f>Source!AL33+Source!AM33+Source!AO33</f>
        <v>1639.5800000000002</v>
      </c>
      <c r="G36" s="30"/>
      <c r="H36" s="29"/>
      <c r="I36" s="30" t="str">
        <f>Source!BO33</f>
        <v/>
      </c>
      <c r="J36" s="30"/>
      <c r="K36" s="29"/>
      <c r="L36" s="31"/>
      <c r="S36">
        <f>ROUND((Source!FX33/100)*((ROUND(Source!AF33*Source!I33, 2)+ROUND(Source!AE33*Source!I33, 2))), 2)</f>
        <v>24.09</v>
      </c>
      <c r="T36">
        <f>Source!X33</f>
        <v>158.03</v>
      </c>
      <c r="U36">
        <f>ROUND((Source!FY33/100)*((ROUND(Source!AF33*Source!I33, 2)+ROUND(Source!AE33*Source!I33, 2))), 2)</f>
        <v>14.48</v>
      </c>
      <c r="V36">
        <f>Source!Y33</f>
        <v>95.78</v>
      </c>
    </row>
    <row r="37" spans="1:26" x14ac:dyDescent="0.2">
      <c r="C37" s="23" t="str">
        <f>"Объем: "&amp;Source!I33&amp;"=1,62/"&amp;"100"</f>
        <v>Объем: 0,0162=1,62/100</v>
      </c>
    </row>
    <row r="38" spans="1:26" ht="14.25" x14ac:dyDescent="0.2">
      <c r="A38" s="44"/>
      <c r="B38" s="45"/>
      <c r="C38" s="45" t="s">
        <v>1930</v>
      </c>
      <c r="D38" s="28"/>
      <c r="E38" s="11"/>
      <c r="F38" s="29">
        <f>Source!AO33</f>
        <v>1397.63</v>
      </c>
      <c r="G38" s="30" t="str">
        <f>Source!DG33</f>
        <v/>
      </c>
      <c r="H38" s="29">
        <f>ROUND(Source!AF33*Source!I33, 2)</f>
        <v>22.64</v>
      </c>
      <c r="I38" s="30"/>
      <c r="J38" s="30">
        <f>IF(Source!BA33&lt;&gt; 0, Source!BA33, 1)</f>
        <v>6.56</v>
      </c>
      <c r="K38" s="29">
        <f>Source!S33</f>
        <v>148.53</v>
      </c>
      <c r="L38" s="31"/>
      <c r="R38">
        <f>H38</f>
        <v>22.64</v>
      </c>
    </row>
    <row r="39" spans="1:26" ht="14.25" x14ac:dyDescent="0.2">
      <c r="A39" s="44"/>
      <c r="B39" s="45"/>
      <c r="C39" s="45" t="s">
        <v>151</v>
      </c>
      <c r="D39" s="28"/>
      <c r="E39" s="11"/>
      <c r="F39" s="29">
        <f>Source!AM33</f>
        <v>241.95</v>
      </c>
      <c r="G39" s="30" t="str">
        <f>Source!DE33</f>
        <v/>
      </c>
      <c r="H39" s="29">
        <f>ROUND(Source!AD33*Source!I33, 2)</f>
        <v>3.92</v>
      </c>
      <c r="I39" s="30"/>
      <c r="J39" s="30">
        <f>IF(Source!BB33&lt;&gt; 0, Source!BB33, 1)</f>
        <v>6.56</v>
      </c>
      <c r="K39" s="29">
        <f>Source!Q33</f>
        <v>25.71</v>
      </c>
      <c r="L39" s="31"/>
    </row>
    <row r="40" spans="1:26" ht="14.25" x14ac:dyDescent="0.2">
      <c r="A40" s="44"/>
      <c r="B40" s="45"/>
      <c r="C40" s="45" t="s">
        <v>1931</v>
      </c>
      <c r="D40" s="28"/>
      <c r="E40" s="11"/>
      <c r="F40" s="29">
        <f>Source!AN33</f>
        <v>104.49</v>
      </c>
      <c r="G40" s="30" t="str">
        <f>Source!DF33</f>
        <v/>
      </c>
      <c r="H40" s="32">
        <f>ROUND(Source!AE33*Source!I33, 2)</f>
        <v>1.69</v>
      </c>
      <c r="I40" s="30"/>
      <c r="J40" s="30">
        <f>IF(Source!BS33&lt;&gt; 0, Source!BS33, 1)</f>
        <v>6.56</v>
      </c>
      <c r="K40" s="32">
        <f>Source!R33</f>
        <v>11.1</v>
      </c>
      <c r="L40" s="31"/>
      <c r="R40">
        <f>H40</f>
        <v>1.69</v>
      </c>
    </row>
    <row r="41" spans="1:26" ht="14.25" x14ac:dyDescent="0.2">
      <c r="A41" s="44"/>
      <c r="B41" s="45"/>
      <c r="C41" s="45" t="s">
        <v>1932</v>
      </c>
      <c r="D41" s="28" t="s">
        <v>1933</v>
      </c>
      <c r="E41" s="11">
        <f>Source!BZ33</f>
        <v>110</v>
      </c>
      <c r="F41" s="64" t="str">
        <f>CONCATENATE(" )", Source!DL33, Source!FT33, "=", Source!FX33)</f>
        <v xml:space="preserve"> )*0,9=99</v>
      </c>
      <c r="G41" s="65"/>
      <c r="H41" s="29">
        <f>SUM(S36:S43)</f>
        <v>24.09</v>
      </c>
      <c r="I41" s="33"/>
      <c r="J41" s="26">
        <f>Source!AT33</f>
        <v>99</v>
      </c>
      <c r="K41" s="29">
        <f>SUM(T36:T43)</f>
        <v>158.03</v>
      </c>
      <c r="L41" s="31"/>
    </row>
    <row r="42" spans="1:26" ht="14.25" x14ac:dyDescent="0.2">
      <c r="A42" s="44"/>
      <c r="B42" s="45"/>
      <c r="C42" s="45" t="s">
        <v>1934</v>
      </c>
      <c r="D42" s="28" t="s">
        <v>1933</v>
      </c>
      <c r="E42" s="11">
        <f>Source!CA33</f>
        <v>70</v>
      </c>
      <c r="F42" s="64" t="str">
        <f>CONCATENATE(" )", Source!DM33, Source!FU33, "=", Source!FY33)</f>
        <v xml:space="preserve"> )*0,85=59,5</v>
      </c>
      <c r="G42" s="65"/>
      <c r="H42" s="29">
        <f>SUM(U36:U43)</f>
        <v>14.48</v>
      </c>
      <c r="I42" s="33"/>
      <c r="J42" s="26">
        <f>Source!AU33</f>
        <v>60</v>
      </c>
      <c r="K42" s="29">
        <f>SUM(V36:V43)</f>
        <v>95.78</v>
      </c>
      <c r="L42" s="31"/>
    </row>
    <row r="43" spans="1:26" ht="14.25" x14ac:dyDescent="0.2">
      <c r="A43" s="46"/>
      <c r="B43" s="47"/>
      <c r="C43" s="47" t="s">
        <v>1935</v>
      </c>
      <c r="D43" s="34" t="s">
        <v>1936</v>
      </c>
      <c r="E43" s="35">
        <f>Source!AQ33</f>
        <v>172.76</v>
      </c>
      <c r="F43" s="36"/>
      <c r="G43" s="37" t="str">
        <f>Source!DI33</f>
        <v/>
      </c>
      <c r="H43" s="36"/>
      <c r="I43" s="37"/>
      <c r="J43" s="37"/>
      <c r="K43" s="36"/>
      <c r="L43" s="38">
        <f>Source!U33</f>
        <v>2.7987119999999996</v>
      </c>
    </row>
    <row r="44" spans="1:26" ht="15" x14ac:dyDescent="0.25">
      <c r="G44" s="63">
        <f>H38+H39+H41+H42</f>
        <v>65.13000000000001</v>
      </c>
      <c r="H44" s="63"/>
      <c r="J44" s="63">
        <f>K38+K39+K41+K42</f>
        <v>428.04999999999995</v>
      </c>
      <c r="K44" s="63"/>
      <c r="L44" s="39">
        <f>Source!U33</f>
        <v>2.7987119999999996</v>
      </c>
      <c r="O44" s="24">
        <f>G44</f>
        <v>65.13000000000001</v>
      </c>
      <c r="P44" s="24">
        <f>J44</f>
        <v>428.04999999999995</v>
      </c>
      <c r="Q44" s="24">
        <f>L44</f>
        <v>2.7987119999999996</v>
      </c>
      <c r="W44">
        <f>IF(Source!BI33&lt;=1,H38+H39+H41+H42, 0)</f>
        <v>65.13000000000001</v>
      </c>
      <c r="X44">
        <f>IF(Source!BI33=2,H38+H39+H41+H42, 0)</f>
        <v>0</v>
      </c>
      <c r="Y44">
        <f>IF(Source!BI33=3,H38+H39+H41+H42, 0)</f>
        <v>0</v>
      </c>
      <c r="Z44">
        <f>IF(Source!BI33=4,H38+H39+H41+H42, 0)</f>
        <v>0</v>
      </c>
    </row>
    <row r="45" spans="1:26" ht="42.75" x14ac:dyDescent="0.2">
      <c r="A45" s="44" t="str">
        <f>Source!E34</f>
        <v>3</v>
      </c>
      <c r="B45" s="45" t="str">
        <f>Source!F34</f>
        <v>58-3-1</v>
      </c>
      <c r="C45" s="45" t="str">
        <f>Source!G34</f>
        <v>Разборка мелких покрытий и обделок из листовой стали поясков, сандриков, желобов, отливов, свесов и т.п.</v>
      </c>
      <c r="D45" s="28" t="str">
        <f>Source!H34</f>
        <v>100 м</v>
      </c>
      <c r="E45" s="11">
        <f>Source!I34</f>
        <v>0.16220000000000001</v>
      </c>
      <c r="F45" s="29">
        <f>Source!AL34+Source!AM34+Source!AO34</f>
        <v>71.180000000000007</v>
      </c>
      <c r="G45" s="30"/>
      <c r="H45" s="29"/>
      <c r="I45" s="30" t="str">
        <f>Source!BO34</f>
        <v/>
      </c>
      <c r="J45" s="30"/>
      <c r="K45" s="29"/>
      <c r="L45" s="31"/>
      <c r="S45">
        <f>ROUND((Source!FX34/100)*((ROUND(Source!AF34*Source!I34, 2)+ROUND(Source!AE34*Source!I34, 2))), 2)</f>
        <v>9.5500000000000007</v>
      </c>
      <c r="T45">
        <f>Source!X34</f>
        <v>62.68</v>
      </c>
      <c r="U45">
        <f>ROUND((Source!FY34/100)*((ROUND(Source!AF34*Source!I34, 2)+ROUND(Source!AE34*Source!I34, 2))), 2)</f>
        <v>7.48</v>
      </c>
      <c r="V45">
        <f>Source!Y34</f>
        <v>49.09</v>
      </c>
    </row>
    <row r="46" spans="1:26" x14ac:dyDescent="0.2">
      <c r="C46" s="23" t="str">
        <f>"Объем: "&amp;Source!I34&amp;"=16,22/"&amp;"100"</f>
        <v>Объем: 0,1622=16,22/100</v>
      </c>
    </row>
    <row r="47" spans="1:26" ht="14.25" x14ac:dyDescent="0.2">
      <c r="A47" s="44"/>
      <c r="B47" s="45"/>
      <c r="C47" s="45" t="s">
        <v>1930</v>
      </c>
      <c r="D47" s="28"/>
      <c r="E47" s="11"/>
      <c r="F47" s="29">
        <f>Source!AO34</f>
        <v>70.98</v>
      </c>
      <c r="G47" s="30" t="str">
        <f>Source!DG34</f>
        <v/>
      </c>
      <c r="H47" s="29">
        <f>ROUND(Source!AF34*Source!I34, 2)</f>
        <v>11.51</v>
      </c>
      <c r="I47" s="30"/>
      <c r="J47" s="30">
        <f>IF(Source!BA34&lt;&gt; 0, Source!BA34, 1)</f>
        <v>6.56</v>
      </c>
      <c r="K47" s="29">
        <f>Source!S34</f>
        <v>75.52</v>
      </c>
      <c r="L47" s="31"/>
      <c r="R47">
        <f>H47</f>
        <v>11.51</v>
      </c>
    </row>
    <row r="48" spans="1:26" ht="14.25" x14ac:dyDescent="0.2">
      <c r="A48" s="44"/>
      <c r="B48" s="45"/>
      <c r="C48" s="45" t="s">
        <v>151</v>
      </c>
      <c r="D48" s="28"/>
      <c r="E48" s="11"/>
      <c r="F48" s="29">
        <f>Source!AM34</f>
        <v>0.2</v>
      </c>
      <c r="G48" s="30" t="str">
        <f>Source!DE34</f>
        <v/>
      </c>
      <c r="H48" s="29">
        <f>ROUND(Source!AD34*Source!I34, 2)</f>
        <v>0.03</v>
      </c>
      <c r="I48" s="30"/>
      <c r="J48" s="30">
        <f>IF(Source!BB34&lt;&gt; 0, Source!BB34, 1)</f>
        <v>6.56</v>
      </c>
      <c r="K48" s="29">
        <f>Source!Q34</f>
        <v>0.21</v>
      </c>
      <c r="L48" s="31"/>
    </row>
    <row r="49" spans="1:26" ht="14.25" x14ac:dyDescent="0.2">
      <c r="A49" s="44"/>
      <c r="B49" s="45"/>
      <c r="C49" s="45" t="s">
        <v>1932</v>
      </c>
      <c r="D49" s="28" t="s">
        <v>1933</v>
      </c>
      <c r="E49" s="11">
        <f>Source!BZ34</f>
        <v>83</v>
      </c>
      <c r="F49" s="48"/>
      <c r="G49" s="30"/>
      <c r="H49" s="29">
        <f>SUM(S45:S51)</f>
        <v>9.5500000000000007</v>
      </c>
      <c r="I49" s="33"/>
      <c r="J49" s="26">
        <f>Source!AT34</f>
        <v>83</v>
      </c>
      <c r="K49" s="29">
        <f>SUM(T45:T51)</f>
        <v>62.68</v>
      </c>
      <c r="L49" s="31"/>
    </row>
    <row r="50" spans="1:26" ht="14.25" x14ac:dyDescent="0.2">
      <c r="A50" s="44"/>
      <c r="B50" s="45"/>
      <c r="C50" s="45" t="s">
        <v>1934</v>
      </c>
      <c r="D50" s="28" t="s">
        <v>1933</v>
      </c>
      <c r="E50" s="11">
        <f>Source!CA34</f>
        <v>65</v>
      </c>
      <c r="F50" s="48"/>
      <c r="G50" s="30"/>
      <c r="H50" s="29">
        <f>SUM(U45:U51)</f>
        <v>7.48</v>
      </c>
      <c r="I50" s="33"/>
      <c r="J50" s="26">
        <f>Source!AU34</f>
        <v>65</v>
      </c>
      <c r="K50" s="29">
        <f>SUM(V45:V51)</f>
        <v>49.09</v>
      </c>
      <c r="L50" s="31"/>
    </row>
    <row r="51" spans="1:26" ht="14.25" x14ac:dyDescent="0.2">
      <c r="A51" s="46"/>
      <c r="B51" s="47"/>
      <c r="C51" s="47" t="s">
        <v>1935</v>
      </c>
      <c r="D51" s="34" t="s">
        <v>1936</v>
      </c>
      <c r="E51" s="35">
        <f>Source!AQ34</f>
        <v>9.1</v>
      </c>
      <c r="F51" s="36"/>
      <c r="G51" s="37" t="str">
        <f>Source!DI34</f>
        <v/>
      </c>
      <c r="H51" s="36"/>
      <c r="I51" s="37"/>
      <c r="J51" s="37"/>
      <c r="K51" s="36"/>
      <c r="L51" s="38">
        <f>Source!U34</f>
        <v>1.4760200000000001</v>
      </c>
    </row>
    <row r="52" spans="1:26" ht="15" x14ac:dyDescent="0.25">
      <c r="G52" s="63">
        <f>H47+H48+H49+H50</f>
        <v>28.57</v>
      </c>
      <c r="H52" s="63"/>
      <c r="J52" s="63">
        <f>K47+K48+K49+K50</f>
        <v>187.5</v>
      </c>
      <c r="K52" s="63"/>
      <c r="L52" s="39">
        <f>Source!U34</f>
        <v>1.4760200000000001</v>
      </c>
      <c r="O52" s="24">
        <f>G52</f>
        <v>28.57</v>
      </c>
      <c r="P52" s="24">
        <f>J52</f>
        <v>187.5</v>
      </c>
      <c r="Q52" s="24">
        <f>L52</f>
        <v>1.4760200000000001</v>
      </c>
      <c r="W52">
        <f>IF(Source!BI34&lt;=1,H47+H48+H49+H50, 0)</f>
        <v>28.57</v>
      </c>
      <c r="X52">
        <f>IF(Source!BI34=2,H47+H48+H49+H50, 0)</f>
        <v>0</v>
      </c>
      <c r="Y52">
        <f>IF(Source!BI34=3,H47+H48+H49+H50, 0)</f>
        <v>0</v>
      </c>
      <c r="Z52">
        <f>IF(Source!BI34=4,H47+H48+H49+H50, 0)</f>
        <v>0</v>
      </c>
    </row>
    <row r="53" spans="1:26" ht="28.5" x14ac:dyDescent="0.2">
      <c r="A53" s="44" t="str">
        <f>Source!E35</f>
        <v>4</v>
      </c>
      <c r="B53" s="45" t="str">
        <f>Source!F35</f>
        <v>46-04-012-03</v>
      </c>
      <c r="C53" s="45" t="str">
        <f>Source!G35</f>
        <v>Разборка деревянных заполнений проемов дверных и воротных</v>
      </c>
      <c r="D53" s="28" t="str">
        <f>Source!H35</f>
        <v>100 м2</v>
      </c>
      <c r="E53" s="11">
        <f>Source!I35</f>
        <v>0.15</v>
      </c>
      <c r="F53" s="29">
        <f>Source!AL35+Source!AM35+Source!AO35</f>
        <v>1082.58</v>
      </c>
      <c r="G53" s="30"/>
      <c r="H53" s="29"/>
      <c r="I53" s="30" t="str">
        <f>Source!BO35</f>
        <v/>
      </c>
      <c r="J53" s="30"/>
      <c r="K53" s="29"/>
      <c r="L53" s="31"/>
      <c r="S53">
        <f>ROUND((Source!FX35/100)*((ROUND(Source!AF35*Source!I35, 2)+ROUND(Source!AE35*Source!I35, 2))), 2)</f>
        <v>140.34</v>
      </c>
      <c r="T53">
        <f>Source!X35</f>
        <v>920.7</v>
      </c>
      <c r="U53">
        <f>ROUND((Source!FY35/100)*((ROUND(Source!AF35*Source!I35, 2)+ROUND(Source!AE35*Source!I35, 2))), 2)</f>
        <v>84.35</v>
      </c>
      <c r="V53">
        <f>Source!Y35</f>
        <v>558</v>
      </c>
    </row>
    <row r="54" spans="1:26" x14ac:dyDescent="0.2">
      <c r="C54" s="23" t="str">
        <f>"Объем: "&amp;Source!I35&amp;"=15/"&amp;"100"</f>
        <v>Объем: 0,15=15/100</v>
      </c>
    </row>
    <row r="55" spans="1:26" ht="14.25" x14ac:dyDescent="0.2">
      <c r="A55" s="44"/>
      <c r="B55" s="45"/>
      <c r="C55" s="45" t="s">
        <v>1930</v>
      </c>
      <c r="D55" s="28"/>
      <c r="E55" s="11"/>
      <c r="F55" s="29">
        <f>Source!AO35</f>
        <v>840.63</v>
      </c>
      <c r="G55" s="30" t="str">
        <f>Source!DG35</f>
        <v/>
      </c>
      <c r="H55" s="29">
        <f>ROUND(Source!AF35*Source!I35, 2)</f>
        <v>126.09</v>
      </c>
      <c r="I55" s="30"/>
      <c r="J55" s="30">
        <f>IF(Source!BA35&lt;&gt; 0, Source!BA35, 1)</f>
        <v>6.56</v>
      </c>
      <c r="K55" s="29">
        <f>Source!S35</f>
        <v>827.18</v>
      </c>
      <c r="L55" s="31"/>
      <c r="R55">
        <f>H55</f>
        <v>126.09</v>
      </c>
    </row>
    <row r="56" spans="1:26" ht="14.25" x14ac:dyDescent="0.2">
      <c r="A56" s="44"/>
      <c r="B56" s="45"/>
      <c r="C56" s="45" t="s">
        <v>151</v>
      </c>
      <c r="D56" s="28"/>
      <c r="E56" s="11"/>
      <c r="F56" s="29">
        <f>Source!AM35</f>
        <v>241.95</v>
      </c>
      <c r="G56" s="30" t="str">
        <f>Source!DE35</f>
        <v/>
      </c>
      <c r="H56" s="29">
        <f>ROUND(Source!AD35*Source!I35, 2)</f>
        <v>36.29</v>
      </c>
      <c r="I56" s="30"/>
      <c r="J56" s="30">
        <f>IF(Source!BB35&lt;&gt; 0, Source!BB35, 1)</f>
        <v>6.56</v>
      </c>
      <c r="K56" s="29">
        <f>Source!Q35</f>
        <v>238.08</v>
      </c>
      <c r="L56" s="31"/>
    </row>
    <row r="57" spans="1:26" ht="14.25" x14ac:dyDescent="0.2">
      <c r="A57" s="44"/>
      <c r="B57" s="45"/>
      <c r="C57" s="45" t="s">
        <v>1931</v>
      </c>
      <c r="D57" s="28"/>
      <c r="E57" s="11"/>
      <c r="F57" s="29">
        <f>Source!AN35</f>
        <v>104.49</v>
      </c>
      <c r="G57" s="30" t="str">
        <f>Source!DF35</f>
        <v/>
      </c>
      <c r="H57" s="32">
        <f>ROUND(Source!AE35*Source!I35, 2)</f>
        <v>15.67</v>
      </c>
      <c r="I57" s="30"/>
      <c r="J57" s="30">
        <f>IF(Source!BS35&lt;&gt; 0, Source!BS35, 1)</f>
        <v>6.56</v>
      </c>
      <c r="K57" s="32">
        <f>Source!R35</f>
        <v>102.82</v>
      </c>
      <c r="L57" s="31"/>
      <c r="R57">
        <f>H57</f>
        <v>15.67</v>
      </c>
    </row>
    <row r="58" spans="1:26" ht="14.25" x14ac:dyDescent="0.2">
      <c r="A58" s="44"/>
      <c r="B58" s="45"/>
      <c r="C58" s="45" t="s">
        <v>1932</v>
      </c>
      <c r="D58" s="28" t="s">
        <v>1933</v>
      </c>
      <c r="E58" s="11">
        <f>Source!BZ35</f>
        <v>110</v>
      </c>
      <c r="F58" s="64" t="str">
        <f>CONCATENATE(" )", Source!DL35, Source!FT35, "=", Source!FX35)</f>
        <v xml:space="preserve"> )*0,9=99</v>
      </c>
      <c r="G58" s="65"/>
      <c r="H58" s="29">
        <f>SUM(S53:S60)</f>
        <v>140.34</v>
      </c>
      <c r="I58" s="33"/>
      <c r="J58" s="26">
        <f>Source!AT35</f>
        <v>99</v>
      </c>
      <c r="K58" s="29">
        <f>SUM(T53:T60)</f>
        <v>920.7</v>
      </c>
      <c r="L58" s="31"/>
    </row>
    <row r="59" spans="1:26" ht="14.25" x14ac:dyDescent="0.2">
      <c r="A59" s="44"/>
      <c r="B59" s="45"/>
      <c r="C59" s="45" t="s">
        <v>1934</v>
      </c>
      <c r="D59" s="28" t="s">
        <v>1933</v>
      </c>
      <c r="E59" s="11">
        <f>Source!CA35</f>
        <v>70</v>
      </c>
      <c r="F59" s="64" t="str">
        <f>CONCATENATE(" )", Source!DM35, Source!FU35, "=", Source!FY35)</f>
        <v xml:space="preserve"> )*0,85=59,5</v>
      </c>
      <c r="G59" s="65"/>
      <c r="H59" s="29">
        <f>SUM(U53:U60)</f>
        <v>84.35</v>
      </c>
      <c r="I59" s="33"/>
      <c r="J59" s="26">
        <f>Source!AU35</f>
        <v>60</v>
      </c>
      <c r="K59" s="29">
        <f>SUM(V53:V60)</f>
        <v>558</v>
      </c>
      <c r="L59" s="31"/>
    </row>
    <row r="60" spans="1:26" ht="14.25" x14ac:dyDescent="0.2">
      <c r="A60" s="46"/>
      <c r="B60" s="47"/>
      <c r="C60" s="47" t="s">
        <v>1935</v>
      </c>
      <c r="D60" s="34" t="s">
        <v>1936</v>
      </c>
      <c r="E60" s="35">
        <f>Source!AQ35</f>
        <v>103.91</v>
      </c>
      <c r="F60" s="36"/>
      <c r="G60" s="37" t="str">
        <f>Source!DI35</f>
        <v/>
      </c>
      <c r="H60" s="36"/>
      <c r="I60" s="37"/>
      <c r="J60" s="37"/>
      <c r="K60" s="36"/>
      <c r="L60" s="38">
        <f>Source!U35</f>
        <v>15.586499999999999</v>
      </c>
    </row>
    <row r="61" spans="1:26" ht="15" x14ac:dyDescent="0.25">
      <c r="G61" s="63">
        <f>H55+H56+H58+H59</f>
        <v>387.07000000000005</v>
      </c>
      <c r="H61" s="63"/>
      <c r="J61" s="63">
        <f>K55+K56+K58+K59</f>
        <v>2543.96</v>
      </c>
      <c r="K61" s="63"/>
      <c r="L61" s="39">
        <f>Source!U35</f>
        <v>15.586499999999999</v>
      </c>
      <c r="O61" s="24">
        <f>G61</f>
        <v>387.07000000000005</v>
      </c>
      <c r="P61" s="24">
        <f>J61</f>
        <v>2543.96</v>
      </c>
      <c r="Q61" s="24">
        <f>L61</f>
        <v>15.586499999999999</v>
      </c>
      <c r="W61">
        <f>IF(Source!BI35&lt;=1,H55+H56+H58+H59, 0)</f>
        <v>387.07000000000005</v>
      </c>
      <c r="X61">
        <f>IF(Source!BI35=2,H55+H56+H58+H59, 0)</f>
        <v>0</v>
      </c>
      <c r="Y61">
        <f>IF(Source!BI35=3,H55+H56+H58+H59, 0)</f>
        <v>0</v>
      </c>
      <c r="Z61">
        <f>IF(Source!BI35=4,H55+H56+H58+H59, 0)</f>
        <v>0</v>
      </c>
    </row>
    <row r="62" spans="1:26" ht="71.25" x14ac:dyDescent="0.2">
      <c r="A62" s="44" t="str">
        <f>Source!E36</f>
        <v>5</v>
      </c>
      <c r="B62" s="45" t="str">
        <f>Source!F36</f>
        <v>10-04-014-01 прим.</v>
      </c>
      <c r="C62" s="45" t="str">
        <f>Source!G36</f>
        <v>Демонтаж :Устройство сантехнических перегородок (стандартные туалетные кабины) на каркасе из алюминиевого профиля (Демонтаж кабинок сантехнических из ПВХ)</v>
      </c>
      <c r="D62" s="28" t="str">
        <f>Source!H36</f>
        <v>100 м2</v>
      </c>
      <c r="E62" s="11">
        <f>Source!I36</f>
        <v>0.1764</v>
      </c>
      <c r="F62" s="29">
        <f>Source!AL36+Source!AM36+Source!AO36</f>
        <v>70425.8</v>
      </c>
      <c r="G62" s="30"/>
      <c r="H62" s="29"/>
      <c r="I62" s="30" t="str">
        <f>Source!BO36</f>
        <v/>
      </c>
      <c r="J62" s="30"/>
      <c r="K62" s="29"/>
      <c r="L62" s="31"/>
      <c r="S62">
        <f>ROUND((Source!FX36/100)*((ROUND(Source!AF36*Source!I36, 2)+ROUND(Source!AE36*Source!I36, 2))), 2)</f>
        <v>44.18</v>
      </c>
      <c r="T62">
        <f>Source!X36</f>
        <v>289.27999999999997</v>
      </c>
      <c r="U62">
        <f>ROUND((Source!FY36/100)*((ROUND(Source!AF36*Source!I36, 2)+ROUND(Source!AE36*Source!I36, 2))), 2)</f>
        <v>22.28</v>
      </c>
      <c r="V62">
        <f>Source!Y36</f>
        <v>147.37</v>
      </c>
    </row>
    <row r="63" spans="1:26" x14ac:dyDescent="0.2">
      <c r="C63" s="23" t="str">
        <f>"Объем: "&amp;Source!I36&amp;"=17,64/"&amp;"100"</f>
        <v>Объем: 0,1764=17,64/100</v>
      </c>
    </row>
    <row r="64" spans="1:26" ht="14.25" x14ac:dyDescent="0.2">
      <c r="A64" s="44"/>
      <c r="B64" s="45"/>
      <c r="C64" s="45" t="s">
        <v>1930</v>
      </c>
      <c r="D64" s="28"/>
      <c r="E64" s="11"/>
      <c r="F64" s="29">
        <f>Source!AO36</f>
        <v>294.8</v>
      </c>
      <c r="G64" s="30" t="str">
        <f>Source!DG36</f>
        <v>)*0,8</v>
      </c>
      <c r="H64" s="29">
        <f>ROUND(Source!AF36*Source!I36, 2)</f>
        <v>41.6</v>
      </c>
      <c r="I64" s="30"/>
      <c r="J64" s="30">
        <f>IF(Source!BA36&lt;&gt; 0, Source!BA36, 1)</f>
        <v>6.56</v>
      </c>
      <c r="K64" s="29">
        <f>Source!S36</f>
        <v>272.91000000000003</v>
      </c>
      <c r="L64" s="31"/>
      <c r="R64">
        <f>H64</f>
        <v>41.6</v>
      </c>
    </row>
    <row r="65" spans="1:26" ht="14.25" x14ac:dyDescent="0.2">
      <c r="A65" s="44"/>
      <c r="B65" s="45"/>
      <c r="C65" s="45" t="s">
        <v>1932</v>
      </c>
      <c r="D65" s="28" t="s">
        <v>1933</v>
      </c>
      <c r="E65" s="11">
        <f>Source!BZ36</f>
        <v>118</v>
      </c>
      <c r="F65" s="64" t="str">
        <f>CONCATENATE(" )", Source!DL36, Source!FT36, "=", Source!FX36)</f>
        <v xml:space="preserve"> )*0,9=106,2</v>
      </c>
      <c r="G65" s="65"/>
      <c r="H65" s="29">
        <f>SUM(S62:S67)</f>
        <v>44.18</v>
      </c>
      <c r="I65" s="33"/>
      <c r="J65" s="26">
        <f>Source!AT36</f>
        <v>106</v>
      </c>
      <c r="K65" s="29">
        <f>SUM(T62:T67)</f>
        <v>289.27999999999997</v>
      </c>
      <c r="L65" s="31"/>
    </row>
    <row r="66" spans="1:26" ht="14.25" x14ac:dyDescent="0.2">
      <c r="A66" s="44"/>
      <c r="B66" s="45"/>
      <c r="C66" s="45" t="s">
        <v>1934</v>
      </c>
      <c r="D66" s="28" t="s">
        <v>1933</v>
      </c>
      <c r="E66" s="11">
        <f>Source!CA36</f>
        <v>63</v>
      </c>
      <c r="F66" s="64" t="str">
        <f>CONCATENATE(" )", Source!DM36, Source!FU36, "=", Source!FY36)</f>
        <v xml:space="preserve"> )*0,85=53,55</v>
      </c>
      <c r="G66" s="65"/>
      <c r="H66" s="29">
        <f>SUM(U62:U67)</f>
        <v>22.28</v>
      </c>
      <c r="I66" s="33"/>
      <c r="J66" s="26">
        <f>Source!AU36</f>
        <v>54</v>
      </c>
      <c r="K66" s="29">
        <f>SUM(V62:V67)</f>
        <v>147.37</v>
      </c>
      <c r="L66" s="31"/>
    </row>
    <row r="67" spans="1:26" ht="14.25" x14ac:dyDescent="0.2">
      <c r="A67" s="46"/>
      <c r="B67" s="47"/>
      <c r="C67" s="47" t="s">
        <v>1935</v>
      </c>
      <c r="D67" s="34" t="s">
        <v>1936</v>
      </c>
      <c r="E67" s="35">
        <f>Source!AQ36</f>
        <v>34.56</v>
      </c>
      <c r="F67" s="36"/>
      <c r="G67" s="37" t="str">
        <f>Source!DI36</f>
        <v>)*0,8</v>
      </c>
      <c r="H67" s="36"/>
      <c r="I67" s="37"/>
      <c r="J67" s="37"/>
      <c r="K67" s="36"/>
      <c r="L67" s="38">
        <f>Source!U36</f>
        <v>4.8771072000000002</v>
      </c>
    </row>
    <row r="68" spans="1:26" ht="15" x14ac:dyDescent="0.25">
      <c r="G68" s="63">
        <f>H64+H65+H66</f>
        <v>108.06</v>
      </c>
      <c r="H68" s="63"/>
      <c r="J68" s="63">
        <f>K64+K65+K66</f>
        <v>709.56000000000006</v>
      </c>
      <c r="K68" s="63"/>
      <c r="L68" s="39">
        <f>Source!U36</f>
        <v>4.8771072000000002</v>
      </c>
      <c r="O68" s="24">
        <f>G68</f>
        <v>108.06</v>
      </c>
      <c r="P68" s="24">
        <f>J68</f>
        <v>709.56000000000006</v>
      </c>
      <c r="Q68" s="24">
        <f>L68</f>
        <v>4.8771072000000002</v>
      </c>
      <c r="W68">
        <f>IF(Source!BI36&lt;=1,H64+H65+H66, 0)</f>
        <v>108.06</v>
      </c>
      <c r="X68">
        <f>IF(Source!BI36=2,H64+H65+H66, 0)</f>
        <v>0</v>
      </c>
      <c r="Y68">
        <f>IF(Source!BI36=3,H64+H65+H66, 0)</f>
        <v>0</v>
      </c>
      <c r="Z68">
        <f>IF(Source!BI36=4,H64+H65+H66, 0)</f>
        <v>0</v>
      </c>
    </row>
    <row r="69" spans="1:26" ht="42.75" x14ac:dyDescent="0.2">
      <c r="A69" s="44" t="str">
        <f>Source!E37</f>
        <v>6</v>
      </c>
      <c r="B69" s="45" t="str">
        <f>Source!F37</f>
        <v>20-02-002-03 прим.</v>
      </c>
      <c r="C69" s="45" t="str">
        <f>Source!G37</f>
        <v>Демонтаж:Установка решеток жалюзийных площадью в свету до 1,5 м2 (Жалюзи вертикальные)</v>
      </c>
      <c r="D69" s="28" t="str">
        <f>Source!H37</f>
        <v>ШТ</v>
      </c>
      <c r="E69" s="11">
        <f>Source!I37</f>
        <v>9</v>
      </c>
      <c r="F69" s="29">
        <f>Source!AL37+Source!AM37+Source!AO37</f>
        <v>33.58</v>
      </c>
      <c r="G69" s="30"/>
      <c r="H69" s="29"/>
      <c r="I69" s="30" t="str">
        <f>Source!BO37</f>
        <v/>
      </c>
      <c r="J69" s="30"/>
      <c r="K69" s="29"/>
      <c r="L69" s="31"/>
      <c r="S69">
        <f>ROUND((Source!FX37/100)*((ROUND(Source!AF37*Source!I37, 2)+ROUND(Source!AE37*Source!I37, 2))), 2)</f>
        <v>80.040000000000006</v>
      </c>
      <c r="T69">
        <f>Source!X37</f>
        <v>524.16</v>
      </c>
      <c r="U69">
        <f>ROUND((Source!FY37/100)*((ROUND(Source!AF37*Source!I37, 2)+ROUND(Source!AE37*Source!I37, 2))), 2)</f>
        <v>49.02</v>
      </c>
      <c r="V69">
        <f>Source!Y37</f>
        <v>323.61</v>
      </c>
    </row>
    <row r="70" spans="1:26" ht="14.25" x14ac:dyDescent="0.2">
      <c r="A70" s="44"/>
      <c r="B70" s="45"/>
      <c r="C70" s="45" t="s">
        <v>1930</v>
      </c>
      <c r="D70" s="28"/>
      <c r="E70" s="11"/>
      <c r="F70" s="29">
        <f>Source!AO37</f>
        <v>18.93</v>
      </c>
      <c r="G70" s="30" t="str">
        <f>Source!DG37</f>
        <v>)*0,4</v>
      </c>
      <c r="H70" s="29">
        <f>ROUND(Source!AF37*Source!I37, 2)</f>
        <v>68.13</v>
      </c>
      <c r="I70" s="30"/>
      <c r="J70" s="30">
        <f>IF(Source!BA37&lt;&gt; 0, Source!BA37, 1)</f>
        <v>6.56</v>
      </c>
      <c r="K70" s="29">
        <f>Source!S37</f>
        <v>446.93</v>
      </c>
      <c r="L70" s="31"/>
      <c r="R70">
        <f>H70</f>
        <v>68.13</v>
      </c>
    </row>
    <row r="71" spans="1:26" ht="14.25" x14ac:dyDescent="0.2">
      <c r="A71" s="44"/>
      <c r="B71" s="45"/>
      <c r="C71" s="45" t="s">
        <v>151</v>
      </c>
      <c r="D71" s="28"/>
      <c r="E71" s="11"/>
      <c r="F71" s="29">
        <f>Source!AM37</f>
        <v>3.4</v>
      </c>
      <c r="G71" s="30" t="str">
        <f>Source!DE37</f>
        <v>)*0,4</v>
      </c>
      <c r="H71" s="29">
        <f>ROUND(Source!AD37*Source!I37, 2)</f>
        <v>12.24</v>
      </c>
      <c r="I71" s="30"/>
      <c r="J71" s="30">
        <f>IF(Source!BB37&lt;&gt; 0, Source!BB37, 1)</f>
        <v>6.56</v>
      </c>
      <c r="K71" s="29">
        <f>Source!Q37</f>
        <v>80.290000000000006</v>
      </c>
      <c r="L71" s="31"/>
    </row>
    <row r="72" spans="1:26" ht="14.25" x14ac:dyDescent="0.2">
      <c r="A72" s="44"/>
      <c r="B72" s="45"/>
      <c r="C72" s="45" t="s">
        <v>1931</v>
      </c>
      <c r="D72" s="28"/>
      <c r="E72" s="11"/>
      <c r="F72" s="29">
        <f>Source!AN37</f>
        <v>0.37</v>
      </c>
      <c r="G72" s="30" t="str">
        <f>Source!DF37</f>
        <v>)*0,4</v>
      </c>
      <c r="H72" s="32">
        <f>ROUND(Source!AE37*Source!I37, 2)</f>
        <v>1.35</v>
      </c>
      <c r="I72" s="30"/>
      <c r="J72" s="30">
        <f>IF(Source!BS37&lt;&gt; 0, Source!BS37, 1)</f>
        <v>6.56</v>
      </c>
      <c r="K72" s="32">
        <f>Source!R37</f>
        <v>8.86</v>
      </c>
      <c r="L72" s="31"/>
      <c r="R72">
        <f>H72</f>
        <v>1.35</v>
      </c>
    </row>
    <row r="73" spans="1:26" ht="14.25" x14ac:dyDescent="0.2">
      <c r="A73" s="44"/>
      <c r="B73" s="45"/>
      <c r="C73" s="45" t="s">
        <v>1932</v>
      </c>
      <c r="D73" s="28" t="s">
        <v>1933</v>
      </c>
      <c r="E73" s="11">
        <f>Source!BZ37</f>
        <v>128</v>
      </c>
      <c r="F73" s="64" t="str">
        <f>CONCATENATE(" )", Source!DL37, Source!FT37, "=", Source!FX37)</f>
        <v xml:space="preserve"> )*0,9=115,2</v>
      </c>
      <c r="G73" s="65"/>
      <c r="H73" s="29">
        <f>SUM(S69:S75)</f>
        <v>80.040000000000006</v>
      </c>
      <c r="I73" s="33"/>
      <c r="J73" s="26">
        <f>Source!AT37</f>
        <v>115</v>
      </c>
      <c r="K73" s="29">
        <f>SUM(T69:T75)</f>
        <v>524.16</v>
      </c>
      <c r="L73" s="31"/>
    </row>
    <row r="74" spans="1:26" ht="14.25" x14ac:dyDescent="0.2">
      <c r="A74" s="44"/>
      <c r="B74" s="45"/>
      <c r="C74" s="45" t="s">
        <v>1934</v>
      </c>
      <c r="D74" s="28" t="s">
        <v>1933</v>
      </c>
      <c r="E74" s="11">
        <f>Source!CA37</f>
        <v>83</v>
      </c>
      <c r="F74" s="64" t="str">
        <f>CONCATENATE(" )", Source!DM37, Source!FU37, "=", Source!FY37)</f>
        <v xml:space="preserve"> )*0,85=70,55</v>
      </c>
      <c r="G74" s="65"/>
      <c r="H74" s="29">
        <f>SUM(U69:U75)</f>
        <v>49.02</v>
      </c>
      <c r="I74" s="33"/>
      <c r="J74" s="26">
        <f>Source!AU37</f>
        <v>71</v>
      </c>
      <c r="K74" s="29">
        <f>SUM(V69:V75)</f>
        <v>323.61</v>
      </c>
      <c r="L74" s="31"/>
    </row>
    <row r="75" spans="1:26" ht="14.25" x14ac:dyDescent="0.2">
      <c r="A75" s="46"/>
      <c r="B75" s="47"/>
      <c r="C75" s="47" t="s">
        <v>1935</v>
      </c>
      <c r="D75" s="34" t="s">
        <v>1936</v>
      </c>
      <c r="E75" s="35">
        <f>Source!AQ37</f>
        <v>2.11</v>
      </c>
      <c r="F75" s="36"/>
      <c r="G75" s="37" t="str">
        <f>Source!DI37</f>
        <v>)*0,4</v>
      </c>
      <c r="H75" s="36"/>
      <c r="I75" s="37"/>
      <c r="J75" s="37"/>
      <c r="K75" s="36"/>
      <c r="L75" s="38">
        <f>Source!U37</f>
        <v>7.5960000000000001</v>
      </c>
    </row>
    <row r="76" spans="1:26" ht="15" x14ac:dyDescent="0.25">
      <c r="G76" s="63">
        <f>H70+H71+H73+H74</f>
        <v>209.43</v>
      </c>
      <c r="H76" s="63"/>
      <c r="J76" s="63">
        <f>K70+K71+K73+K74</f>
        <v>1374.9900000000002</v>
      </c>
      <c r="K76" s="63"/>
      <c r="L76" s="39">
        <f>Source!U37</f>
        <v>7.5960000000000001</v>
      </c>
      <c r="O76" s="24">
        <f>G76</f>
        <v>209.43</v>
      </c>
      <c r="P76" s="24">
        <f>J76</f>
        <v>1374.9900000000002</v>
      </c>
      <c r="Q76" s="24">
        <f>L76</f>
        <v>7.5960000000000001</v>
      </c>
      <c r="W76">
        <f>IF(Source!BI37&lt;=1,H70+H71+H73+H74, 0)</f>
        <v>209.43</v>
      </c>
      <c r="X76">
        <f>IF(Source!BI37=2,H70+H71+H73+H74, 0)</f>
        <v>0</v>
      </c>
      <c r="Y76">
        <f>IF(Source!BI37=3,H70+H71+H73+H74, 0)</f>
        <v>0</v>
      </c>
      <c r="Z76">
        <f>IF(Source!BI37=4,H70+H71+H73+H74, 0)</f>
        <v>0</v>
      </c>
    </row>
    <row r="77" spans="1:26" ht="14.25" x14ac:dyDescent="0.2">
      <c r="A77" s="44" t="str">
        <f>Source!E38</f>
        <v>7</v>
      </c>
      <c r="B77" s="45" t="str">
        <f>Source!F38</f>
        <v>65-33-1</v>
      </c>
      <c r="C77" s="45" t="str">
        <f>Source!G38</f>
        <v>Смена жалюзийных решеток</v>
      </c>
      <c r="D77" s="28" t="str">
        <f>Source!H38</f>
        <v>100 ШТ</v>
      </c>
      <c r="E77" s="11">
        <f>Source!I38</f>
        <v>0.13</v>
      </c>
      <c r="F77" s="29">
        <f>Source!AL38+Source!AM38+Source!AO38</f>
        <v>430.86</v>
      </c>
      <c r="G77" s="30"/>
      <c r="H77" s="29"/>
      <c r="I77" s="30" t="str">
        <f>Source!BO38</f>
        <v/>
      </c>
      <c r="J77" s="30"/>
      <c r="K77" s="29"/>
      <c r="L77" s="31"/>
      <c r="S77">
        <f>ROUND((Source!FX38/100)*((ROUND(Source!AF38*Source!I38, 2)+ROUND(Source!AE38*Source!I38, 2))), 2)</f>
        <v>52.78</v>
      </c>
      <c r="T77">
        <f>Source!X38</f>
        <v>346.2</v>
      </c>
      <c r="U77">
        <f>ROUND((Source!FY38/100)*((ROUND(Source!AF38*Source!I38, 2)+ROUND(Source!AE38*Source!I38, 2))), 2)</f>
        <v>30.74</v>
      </c>
      <c r="V77">
        <f>Source!Y38</f>
        <v>201.67</v>
      </c>
    </row>
    <row r="78" spans="1:26" x14ac:dyDescent="0.2">
      <c r="C78" s="23" t="str">
        <f>"Объем: "&amp;Source!I38&amp;"=13/"&amp;"100"</f>
        <v>Объем: 0,13=13/100</v>
      </c>
    </row>
    <row r="79" spans="1:26" ht="14.25" x14ac:dyDescent="0.2">
      <c r="A79" s="44"/>
      <c r="B79" s="45"/>
      <c r="C79" s="45" t="s">
        <v>1930</v>
      </c>
      <c r="D79" s="28"/>
      <c r="E79" s="11"/>
      <c r="F79" s="29">
        <f>Source!AO38</f>
        <v>394</v>
      </c>
      <c r="G79" s="30" t="str">
        <f>Source!DG38</f>
        <v/>
      </c>
      <c r="H79" s="29">
        <f>ROUND(Source!AF38*Source!I38, 2)</f>
        <v>51.22</v>
      </c>
      <c r="I79" s="30"/>
      <c r="J79" s="30">
        <f>IF(Source!BA38&lt;&gt; 0, Source!BA38, 1)</f>
        <v>6.56</v>
      </c>
      <c r="K79" s="29">
        <f>Source!S38</f>
        <v>336</v>
      </c>
      <c r="L79" s="31"/>
      <c r="R79">
        <f>H79</f>
        <v>51.22</v>
      </c>
    </row>
    <row r="80" spans="1:26" ht="14.25" x14ac:dyDescent="0.2">
      <c r="A80" s="44"/>
      <c r="B80" s="45"/>
      <c r="C80" s="45" t="s">
        <v>151</v>
      </c>
      <c r="D80" s="28"/>
      <c r="E80" s="11"/>
      <c r="F80" s="29">
        <f>Source!AM38</f>
        <v>0.31</v>
      </c>
      <c r="G80" s="30" t="str">
        <f>Source!DE38</f>
        <v/>
      </c>
      <c r="H80" s="29">
        <f>ROUND(Source!AD38*Source!I38, 2)</f>
        <v>0.04</v>
      </c>
      <c r="I80" s="30"/>
      <c r="J80" s="30">
        <f>IF(Source!BB38&lt;&gt; 0, Source!BB38, 1)</f>
        <v>6.56</v>
      </c>
      <c r="K80" s="29">
        <f>Source!Q38</f>
        <v>0.26</v>
      </c>
      <c r="L80" s="31"/>
    </row>
    <row r="81" spans="1:26" ht="14.25" x14ac:dyDescent="0.2">
      <c r="A81" s="44"/>
      <c r="B81" s="45"/>
      <c r="C81" s="45" t="s">
        <v>1931</v>
      </c>
      <c r="D81" s="28"/>
      <c r="E81" s="11"/>
      <c r="F81" s="29">
        <f>Source!AN38</f>
        <v>0.14000000000000001</v>
      </c>
      <c r="G81" s="30" t="str">
        <f>Source!DF38</f>
        <v/>
      </c>
      <c r="H81" s="32">
        <f>ROUND(Source!AE38*Source!I38, 2)</f>
        <v>0.02</v>
      </c>
      <c r="I81" s="30"/>
      <c r="J81" s="30">
        <f>IF(Source!BS38&lt;&gt; 0, Source!BS38, 1)</f>
        <v>6.56</v>
      </c>
      <c r="K81" s="32">
        <f>Source!R38</f>
        <v>0.12</v>
      </c>
      <c r="L81" s="31"/>
      <c r="R81">
        <f>H81</f>
        <v>0.02</v>
      </c>
    </row>
    <row r="82" spans="1:26" ht="14.25" x14ac:dyDescent="0.2">
      <c r="A82" s="44"/>
      <c r="B82" s="45"/>
      <c r="C82" s="45" t="s">
        <v>1937</v>
      </c>
      <c r="D82" s="28"/>
      <c r="E82" s="11"/>
      <c r="F82" s="29">
        <f>Source!AL38</f>
        <v>36.549999999999997</v>
      </c>
      <c r="G82" s="30" t="str">
        <f>Source!DD38</f>
        <v/>
      </c>
      <c r="H82" s="29">
        <f>ROUND(Source!AC38*Source!I38, 2)</f>
        <v>4.75</v>
      </c>
      <c r="I82" s="30"/>
      <c r="J82" s="30">
        <f>IF(Source!BC38&lt;&gt; 0, Source!BC38, 1)</f>
        <v>6.56</v>
      </c>
      <c r="K82" s="29">
        <f>Source!P38</f>
        <v>31.17</v>
      </c>
      <c r="L82" s="31"/>
    </row>
    <row r="83" spans="1:26" ht="14.25" x14ac:dyDescent="0.2">
      <c r="A83" s="44"/>
      <c r="B83" s="45"/>
      <c r="C83" s="45" t="s">
        <v>1932</v>
      </c>
      <c r="D83" s="28" t="s">
        <v>1933</v>
      </c>
      <c r="E83" s="11">
        <f>Source!BZ38</f>
        <v>103</v>
      </c>
      <c r="F83" s="48"/>
      <c r="G83" s="30"/>
      <c r="H83" s="29">
        <f>SUM(S77:S87)</f>
        <v>52.78</v>
      </c>
      <c r="I83" s="33"/>
      <c r="J83" s="26">
        <f>Source!AT38</f>
        <v>103</v>
      </c>
      <c r="K83" s="29">
        <f>SUM(T77:T87)</f>
        <v>346.2</v>
      </c>
      <c r="L83" s="31"/>
    </row>
    <row r="84" spans="1:26" ht="14.25" x14ac:dyDescent="0.2">
      <c r="A84" s="44"/>
      <c r="B84" s="45"/>
      <c r="C84" s="45" t="s">
        <v>1934</v>
      </c>
      <c r="D84" s="28" t="s">
        <v>1933</v>
      </c>
      <c r="E84" s="11">
        <f>Source!CA38</f>
        <v>60</v>
      </c>
      <c r="F84" s="48"/>
      <c r="G84" s="30"/>
      <c r="H84" s="29">
        <f>SUM(U77:U87)</f>
        <v>30.74</v>
      </c>
      <c r="I84" s="33"/>
      <c r="J84" s="26">
        <f>Source!AU38</f>
        <v>60</v>
      </c>
      <c r="K84" s="29">
        <f>SUM(V77:V87)</f>
        <v>201.67</v>
      </c>
      <c r="L84" s="31"/>
    </row>
    <row r="85" spans="1:26" ht="14.25" x14ac:dyDescent="0.2">
      <c r="A85" s="44"/>
      <c r="B85" s="45"/>
      <c r="C85" s="45" t="s">
        <v>1935</v>
      </c>
      <c r="D85" s="28" t="s">
        <v>1936</v>
      </c>
      <c r="E85" s="11">
        <f>Source!AQ38</f>
        <v>46.19</v>
      </c>
      <c r="F85" s="29"/>
      <c r="G85" s="30" t="str">
        <f>Source!DI38</f>
        <v/>
      </c>
      <c r="H85" s="29"/>
      <c r="I85" s="30"/>
      <c r="J85" s="30"/>
      <c r="K85" s="29"/>
      <c r="L85" s="40">
        <f>Source!U38</f>
        <v>6.0046999999999997</v>
      </c>
    </row>
    <row r="86" spans="1:26" ht="28.5" x14ac:dyDescent="0.2">
      <c r="A86" s="44" t="str">
        <f>Source!E39</f>
        <v>7,1</v>
      </c>
      <c r="B86" s="45" t="str">
        <f>Source!F39</f>
        <v>19.2.03.07-0006</v>
      </c>
      <c r="C86" s="45" t="str">
        <f>Source!G39</f>
        <v>Решетка вентиляционная пластмассовая размером 300х300 мм</v>
      </c>
      <c r="D86" s="28" t="str">
        <f>Source!H39</f>
        <v>шт.</v>
      </c>
      <c r="E86" s="11">
        <f>Source!I39</f>
        <v>13</v>
      </c>
      <c r="F86" s="29">
        <f>Source!AL39+Source!AM39+Source!AO39</f>
        <v>18.670000000000002</v>
      </c>
      <c r="G86" s="41" t="s">
        <v>6</v>
      </c>
      <c r="H86" s="29">
        <f>ROUND(Source!AC39*Source!I39, 2)+ROUND(Source!AD39*Source!I39, 2)+ROUND(Source!AF39*Source!I39, 2)</f>
        <v>242.71</v>
      </c>
      <c r="I86" s="30"/>
      <c r="J86" s="30">
        <f>IF(Source!BC39&lt;&gt; 0, Source!BC39, 1)</f>
        <v>6.56</v>
      </c>
      <c r="K86" s="29">
        <f>Source!O39</f>
        <v>1592.18</v>
      </c>
      <c r="L86" s="31"/>
      <c r="S86">
        <f>ROUND((Source!FX39/100)*((ROUND(Source!AF39*Source!I39, 2)+ROUND(Source!AE39*Source!I39, 2))), 2)</f>
        <v>0</v>
      </c>
      <c r="T86">
        <f>Source!X39</f>
        <v>0</v>
      </c>
      <c r="U86">
        <f>ROUND((Source!FY39/100)*((ROUND(Source!AF39*Source!I39, 2)+ROUND(Source!AE39*Source!I39, 2))), 2)</f>
        <v>0</v>
      </c>
      <c r="V86">
        <f>Source!Y39</f>
        <v>0</v>
      </c>
      <c r="W86">
        <f>IF(Source!BI39&lt;=1,H86, 0)</f>
        <v>242.71</v>
      </c>
      <c r="X86">
        <f>IF(Source!BI39=2,H86, 0)</f>
        <v>0</v>
      </c>
      <c r="Y86">
        <f>IF(Source!BI39=3,H86, 0)</f>
        <v>0</v>
      </c>
      <c r="Z86">
        <f>IF(Source!BI39=4,H86, 0)</f>
        <v>0</v>
      </c>
    </row>
    <row r="87" spans="1:26" ht="14.25" x14ac:dyDescent="0.2">
      <c r="A87" s="46" t="str">
        <f>Source!E40</f>
        <v>7,2</v>
      </c>
      <c r="B87" s="47" t="str">
        <f>Source!F40</f>
        <v>19.2.03.09</v>
      </c>
      <c r="C87" s="47" t="str">
        <f>Source!G40</f>
        <v>Решетки жалюзийные</v>
      </c>
      <c r="D87" s="34" t="str">
        <f>Source!H40</f>
        <v>шт.</v>
      </c>
      <c r="E87" s="35">
        <f>Source!I40</f>
        <v>13</v>
      </c>
      <c r="F87" s="36">
        <f>Source!AL40+Source!AM40+Source!AO40</f>
        <v>0</v>
      </c>
      <c r="G87" s="42" t="s">
        <v>6</v>
      </c>
      <c r="H87" s="36">
        <f>ROUND(Source!AC40*Source!I40, 2)+ROUND(Source!AD40*Source!I40, 2)+ROUND(Source!AF40*Source!I40, 2)</f>
        <v>0</v>
      </c>
      <c r="I87" s="37"/>
      <c r="J87" s="37">
        <f>IF(Source!BC40&lt;&gt; 0, Source!BC40, 1)</f>
        <v>6.56</v>
      </c>
      <c r="K87" s="36">
        <f>Source!O40</f>
        <v>0</v>
      </c>
      <c r="L87" s="43"/>
      <c r="S87">
        <f>ROUND((Source!FX40/100)*((ROUND(Source!AF40*Source!I40, 2)+ROUND(Source!AE40*Source!I40, 2))), 2)</f>
        <v>0</v>
      </c>
      <c r="T87">
        <f>Source!X40</f>
        <v>0</v>
      </c>
      <c r="U87">
        <f>ROUND((Source!FY40/100)*((ROUND(Source!AF40*Source!I40, 2)+ROUND(Source!AE40*Source!I40, 2))), 2)</f>
        <v>0</v>
      </c>
      <c r="V87">
        <f>Source!Y40</f>
        <v>0</v>
      </c>
      <c r="W87">
        <f>IF(Source!BI40&lt;=1,H87, 0)</f>
        <v>0</v>
      </c>
      <c r="X87">
        <f>IF(Source!BI40=2,H87, 0)</f>
        <v>0</v>
      </c>
      <c r="Y87">
        <f>IF(Source!BI40=3,H87, 0)</f>
        <v>0</v>
      </c>
      <c r="Z87">
        <f>IF(Source!BI40=4,H87, 0)</f>
        <v>0</v>
      </c>
    </row>
    <row r="88" spans="1:26" ht="15" x14ac:dyDescent="0.25">
      <c r="G88" s="63">
        <f>H79+H80+H82+H83+H84+SUM(H86:H87)</f>
        <v>382.24</v>
      </c>
      <c r="H88" s="63"/>
      <c r="J88" s="63">
        <f>K79+K80+K82+K83+K84+SUM(K86:K87)</f>
        <v>2507.48</v>
      </c>
      <c r="K88" s="63"/>
      <c r="L88" s="39">
        <f>Source!U38</f>
        <v>6.0046999999999997</v>
      </c>
      <c r="O88" s="24">
        <f>G88</f>
        <v>382.24</v>
      </c>
      <c r="P88" s="24">
        <f>J88</f>
        <v>2507.48</v>
      </c>
      <c r="Q88" s="24">
        <f>L88</f>
        <v>6.0046999999999997</v>
      </c>
      <c r="W88">
        <f>IF(Source!BI38&lt;=1,H79+H80+H82+H83+H84, 0)</f>
        <v>139.53</v>
      </c>
      <c r="X88">
        <f>IF(Source!BI38=2,H79+H80+H82+H83+H84, 0)</f>
        <v>0</v>
      </c>
      <c r="Y88">
        <f>IF(Source!BI38=3,H79+H80+H82+H83+H84, 0)</f>
        <v>0</v>
      </c>
      <c r="Z88">
        <f>IF(Source!BI38=4,H79+H80+H82+H83+H84, 0)</f>
        <v>0</v>
      </c>
    </row>
    <row r="89" spans="1:26" ht="57" x14ac:dyDescent="0.2">
      <c r="A89" s="44" t="str">
        <f>Source!E41</f>
        <v>8</v>
      </c>
      <c r="B89" s="45" t="str">
        <f>Source!F41</f>
        <v>м08-02-472-06</v>
      </c>
      <c r="C89" s="45" t="str">
        <f>Source!G41</f>
        <v>Демонтаж: Проводник заземляющий открыто по строительным основаниям из полосовой стали сечением 100 мм2 (шина заземления)</v>
      </c>
      <c r="D89" s="28" t="str">
        <f>Source!H41</f>
        <v>100 м</v>
      </c>
      <c r="E89" s="11">
        <f>Source!I41</f>
        <v>0.32</v>
      </c>
      <c r="F89" s="29">
        <f>Source!AL41+Source!AM41+Source!AO41</f>
        <v>748.97</v>
      </c>
      <c r="G89" s="30"/>
      <c r="H89" s="29"/>
      <c r="I89" s="30" t="str">
        <f>Source!BO41</f>
        <v/>
      </c>
      <c r="J89" s="30"/>
      <c r="K89" s="29"/>
      <c r="L89" s="31"/>
      <c r="S89">
        <f>ROUND((Source!FX41/100)*((ROUND(Source!AF41*Source!I41, 2)+ROUND(Source!AE41*Source!I41, 2))), 2)</f>
        <v>16.73</v>
      </c>
      <c r="T89">
        <f>Source!X41</f>
        <v>109.71</v>
      </c>
      <c r="U89">
        <f>ROUND((Source!FY41/100)*((ROUND(Source!AF41*Source!I41, 2)+ROUND(Source!AE41*Source!I41, 2))), 2)</f>
        <v>11.45</v>
      </c>
      <c r="V89">
        <f>Source!Y41</f>
        <v>75.06</v>
      </c>
    </row>
    <row r="90" spans="1:26" x14ac:dyDescent="0.2">
      <c r="C90" s="23" t="str">
        <f>"Объем: "&amp;Source!I41&amp;"=32/"&amp;"100"</f>
        <v>Объем: 0,32=32/100</v>
      </c>
    </row>
    <row r="91" spans="1:26" ht="14.25" x14ac:dyDescent="0.2">
      <c r="A91" s="44"/>
      <c r="B91" s="45"/>
      <c r="C91" s="45" t="s">
        <v>1930</v>
      </c>
      <c r="D91" s="28"/>
      <c r="E91" s="11"/>
      <c r="F91" s="29">
        <f>Source!AO41</f>
        <v>178.6</v>
      </c>
      <c r="G91" s="30" t="str">
        <f>Source!DG41</f>
        <v>)*0,3</v>
      </c>
      <c r="H91" s="29">
        <f>ROUND(Source!AF41*Source!I41, 2)</f>
        <v>17.149999999999999</v>
      </c>
      <c r="I91" s="30"/>
      <c r="J91" s="30">
        <f>IF(Source!BA41&lt;&gt; 0, Source!BA41, 1)</f>
        <v>6.56</v>
      </c>
      <c r="K91" s="29">
        <f>Source!S41</f>
        <v>112.48</v>
      </c>
      <c r="L91" s="31"/>
      <c r="R91">
        <f>H91</f>
        <v>17.149999999999999</v>
      </c>
    </row>
    <row r="92" spans="1:26" ht="14.25" x14ac:dyDescent="0.2">
      <c r="A92" s="44"/>
      <c r="B92" s="45"/>
      <c r="C92" s="45" t="s">
        <v>151</v>
      </c>
      <c r="D92" s="28"/>
      <c r="E92" s="11"/>
      <c r="F92" s="29">
        <f>Source!AM41</f>
        <v>60.98</v>
      </c>
      <c r="G92" s="30" t="str">
        <f>Source!DE41</f>
        <v>)*0,3</v>
      </c>
      <c r="H92" s="29">
        <f>ROUND(Source!AD41*Source!I41, 2)</f>
        <v>5.85</v>
      </c>
      <c r="I92" s="30"/>
      <c r="J92" s="30">
        <f>IF(Source!BB41&lt;&gt; 0, Source!BB41, 1)</f>
        <v>6.56</v>
      </c>
      <c r="K92" s="29">
        <f>Source!Q41</f>
        <v>38.39</v>
      </c>
      <c r="L92" s="31"/>
    </row>
    <row r="93" spans="1:26" ht="14.25" x14ac:dyDescent="0.2">
      <c r="A93" s="44"/>
      <c r="B93" s="45"/>
      <c r="C93" s="45" t="s">
        <v>1931</v>
      </c>
      <c r="D93" s="28"/>
      <c r="E93" s="11"/>
      <c r="F93" s="29">
        <f>Source!AN41</f>
        <v>4.7699999999999996</v>
      </c>
      <c r="G93" s="30" t="str">
        <f>Source!DF41</f>
        <v>)*0,3</v>
      </c>
      <c r="H93" s="32">
        <f>ROUND(Source!AE41*Source!I41, 2)</f>
        <v>0.46</v>
      </c>
      <c r="I93" s="30"/>
      <c r="J93" s="30">
        <f>IF(Source!BS41&lt;&gt; 0, Source!BS41, 1)</f>
        <v>6.56</v>
      </c>
      <c r="K93" s="32">
        <f>Source!R41</f>
        <v>3</v>
      </c>
      <c r="L93" s="31"/>
      <c r="R93">
        <f>H93</f>
        <v>0.46</v>
      </c>
    </row>
    <row r="94" spans="1:26" ht="14.25" x14ac:dyDescent="0.2">
      <c r="A94" s="44"/>
      <c r="B94" s="45"/>
      <c r="C94" s="45" t="s">
        <v>1932</v>
      </c>
      <c r="D94" s="28" t="s">
        <v>1933</v>
      </c>
      <c r="E94" s="11">
        <f>Source!BZ41</f>
        <v>95</v>
      </c>
      <c r="F94" s="48"/>
      <c r="G94" s="30"/>
      <c r="H94" s="29">
        <f>SUM(S89:S96)</f>
        <v>16.73</v>
      </c>
      <c r="I94" s="33"/>
      <c r="J94" s="26">
        <f>Source!AT41</f>
        <v>95</v>
      </c>
      <c r="K94" s="29">
        <f>SUM(T89:T96)</f>
        <v>109.71</v>
      </c>
      <c r="L94" s="31"/>
    </row>
    <row r="95" spans="1:26" ht="14.25" x14ac:dyDescent="0.2">
      <c r="A95" s="44"/>
      <c r="B95" s="45"/>
      <c r="C95" s="45" t="s">
        <v>1934</v>
      </c>
      <c r="D95" s="28" t="s">
        <v>1933</v>
      </c>
      <c r="E95" s="11">
        <f>Source!CA41</f>
        <v>65</v>
      </c>
      <c r="F95" s="48"/>
      <c r="G95" s="30"/>
      <c r="H95" s="29">
        <f>SUM(U89:U96)</f>
        <v>11.45</v>
      </c>
      <c r="I95" s="33"/>
      <c r="J95" s="26">
        <f>Source!AU41</f>
        <v>65</v>
      </c>
      <c r="K95" s="29">
        <f>SUM(V89:V96)</f>
        <v>75.06</v>
      </c>
      <c r="L95" s="31"/>
    </row>
    <row r="96" spans="1:26" ht="14.25" x14ac:dyDescent="0.2">
      <c r="A96" s="46"/>
      <c r="B96" s="47"/>
      <c r="C96" s="47" t="s">
        <v>1935</v>
      </c>
      <c r="D96" s="34" t="s">
        <v>1936</v>
      </c>
      <c r="E96" s="35">
        <f>Source!AQ41</f>
        <v>19</v>
      </c>
      <c r="F96" s="36"/>
      <c r="G96" s="37" t="str">
        <f>Source!DI41</f>
        <v>)*0,3</v>
      </c>
      <c r="H96" s="36"/>
      <c r="I96" s="37"/>
      <c r="J96" s="37"/>
      <c r="K96" s="36"/>
      <c r="L96" s="38">
        <f>Source!U41</f>
        <v>1.8240000000000001</v>
      </c>
    </row>
    <row r="97" spans="1:26" ht="15" x14ac:dyDescent="0.25">
      <c r="G97" s="63">
        <f>H91+H92+H94+H95</f>
        <v>51.180000000000007</v>
      </c>
      <c r="H97" s="63"/>
      <c r="J97" s="63">
        <f>K91+K92+K94+K95</f>
        <v>335.64</v>
      </c>
      <c r="K97" s="63"/>
      <c r="L97" s="39">
        <f>Source!U41</f>
        <v>1.8240000000000001</v>
      </c>
      <c r="O97" s="24">
        <f>G97</f>
        <v>51.180000000000007</v>
      </c>
      <c r="P97" s="24">
        <f>J97</f>
        <v>335.64</v>
      </c>
      <c r="Q97" s="24">
        <f>L97</f>
        <v>1.8240000000000001</v>
      </c>
      <c r="W97">
        <f>IF(Source!BI41&lt;=1,H91+H92+H94+H95, 0)</f>
        <v>0</v>
      </c>
      <c r="X97">
        <f>IF(Source!BI41=2,H91+H92+H94+H95, 0)</f>
        <v>51.180000000000007</v>
      </c>
      <c r="Y97">
        <f>IF(Source!BI41=3,H91+H92+H94+H95, 0)</f>
        <v>0</v>
      </c>
      <c r="Z97">
        <f>IF(Source!BI41=4,H91+H92+H94+H95, 0)</f>
        <v>0</v>
      </c>
    </row>
    <row r="98" spans="1:26" ht="28.5" x14ac:dyDescent="0.2">
      <c r="A98" s="44" t="str">
        <f>Source!E42</f>
        <v>9</v>
      </c>
      <c r="B98" s="45" t="str">
        <f>Source!F42</f>
        <v>57-3-1</v>
      </c>
      <c r="C98" s="45" t="str">
        <f>Source!G42</f>
        <v>Разборка плинтусов деревянных и из пластмассовых материалов</v>
      </c>
      <c r="D98" s="28" t="str">
        <f>Source!H42</f>
        <v>100 м</v>
      </c>
      <c r="E98" s="11">
        <f>Source!I42</f>
        <v>1.103</v>
      </c>
      <c r="F98" s="29">
        <f>Source!AL42+Source!AM42+Source!AO42</f>
        <v>29.41</v>
      </c>
      <c r="G98" s="30"/>
      <c r="H98" s="29"/>
      <c r="I98" s="30" t="str">
        <f>Source!BO42</f>
        <v/>
      </c>
      <c r="J98" s="30"/>
      <c r="K98" s="29"/>
      <c r="L98" s="31"/>
      <c r="S98">
        <f>ROUND((Source!FX42/100)*((ROUND(Source!AF42*Source!I42, 2)+ROUND(Source!AE42*Source!I42, 2))), 2)</f>
        <v>25.95</v>
      </c>
      <c r="T98">
        <f>Source!X42</f>
        <v>170.24</v>
      </c>
      <c r="U98">
        <f>ROUND((Source!FY42/100)*((ROUND(Source!AF42*Source!I42, 2)+ROUND(Source!AE42*Source!I42, 2))), 2)</f>
        <v>22.06</v>
      </c>
      <c r="V98">
        <f>Source!Y42</f>
        <v>144.69999999999999</v>
      </c>
    </row>
    <row r="99" spans="1:26" x14ac:dyDescent="0.2">
      <c r="C99" s="23" t="str">
        <f>"Объем: "&amp;Source!I42&amp;"=110,3/"&amp;"100"</f>
        <v>Объем: 1,103=110,3/100</v>
      </c>
    </row>
    <row r="100" spans="1:26" ht="14.25" x14ac:dyDescent="0.2">
      <c r="A100" s="44"/>
      <c r="B100" s="45"/>
      <c r="C100" s="45" t="s">
        <v>1930</v>
      </c>
      <c r="D100" s="28"/>
      <c r="E100" s="11"/>
      <c r="F100" s="29">
        <f>Source!AO42</f>
        <v>29.41</v>
      </c>
      <c r="G100" s="30" t="str">
        <f>Source!DG42</f>
        <v/>
      </c>
      <c r="H100" s="29">
        <f>ROUND(Source!AF42*Source!I42, 2)</f>
        <v>32.44</v>
      </c>
      <c r="I100" s="30"/>
      <c r="J100" s="30">
        <f>IF(Source!BA42&lt;&gt; 0, Source!BA42, 1)</f>
        <v>6.56</v>
      </c>
      <c r="K100" s="29">
        <f>Source!S42</f>
        <v>212.8</v>
      </c>
      <c r="L100" s="31"/>
      <c r="R100">
        <f>H100</f>
        <v>32.44</v>
      </c>
    </row>
    <row r="101" spans="1:26" ht="14.25" x14ac:dyDescent="0.2">
      <c r="A101" s="44"/>
      <c r="B101" s="45"/>
      <c r="C101" s="45" t="s">
        <v>1932</v>
      </c>
      <c r="D101" s="28" t="s">
        <v>1933</v>
      </c>
      <c r="E101" s="11">
        <f>Source!BZ42</f>
        <v>80</v>
      </c>
      <c r="F101" s="48"/>
      <c r="G101" s="30"/>
      <c r="H101" s="29">
        <f>SUM(S98:S103)</f>
        <v>25.95</v>
      </c>
      <c r="I101" s="33"/>
      <c r="J101" s="26">
        <f>Source!AT42</f>
        <v>80</v>
      </c>
      <c r="K101" s="29">
        <f>SUM(T98:T103)</f>
        <v>170.24</v>
      </c>
      <c r="L101" s="31"/>
    </row>
    <row r="102" spans="1:26" ht="14.25" x14ac:dyDescent="0.2">
      <c r="A102" s="44"/>
      <c r="B102" s="45"/>
      <c r="C102" s="45" t="s">
        <v>1934</v>
      </c>
      <c r="D102" s="28" t="s">
        <v>1933</v>
      </c>
      <c r="E102" s="11">
        <f>Source!CA42</f>
        <v>68</v>
      </c>
      <c r="F102" s="48"/>
      <c r="G102" s="30"/>
      <c r="H102" s="29">
        <f>SUM(U98:U103)</f>
        <v>22.06</v>
      </c>
      <c r="I102" s="33"/>
      <c r="J102" s="26">
        <f>Source!AU42</f>
        <v>68</v>
      </c>
      <c r="K102" s="29">
        <f>SUM(V98:V103)</f>
        <v>144.69999999999999</v>
      </c>
      <c r="L102" s="31"/>
    </row>
    <row r="103" spans="1:26" ht="14.25" x14ac:dyDescent="0.2">
      <c r="A103" s="46"/>
      <c r="B103" s="47"/>
      <c r="C103" s="47" t="s">
        <v>1935</v>
      </c>
      <c r="D103" s="34" t="s">
        <v>1936</v>
      </c>
      <c r="E103" s="35">
        <f>Source!AQ42</f>
        <v>3.77</v>
      </c>
      <c r="F103" s="36"/>
      <c r="G103" s="37" t="str">
        <f>Source!DI42</f>
        <v/>
      </c>
      <c r="H103" s="36"/>
      <c r="I103" s="37"/>
      <c r="J103" s="37"/>
      <c r="K103" s="36"/>
      <c r="L103" s="38">
        <f>Source!U42</f>
        <v>4.1583100000000002</v>
      </c>
    </row>
    <row r="104" spans="1:26" ht="15" x14ac:dyDescent="0.25">
      <c r="G104" s="63">
        <f>H100+H101+H102</f>
        <v>80.45</v>
      </c>
      <c r="H104" s="63"/>
      <c r="J104" s="63">
        <f>K100+K101+K102</f>
        <v>527.74</v>
      </c>
      <c r="K104" s="63"/>
      <c r="L104" s="39">
        <f>Source!U42</f>
        <v>4.1583100000000002</v>
      </c>
      <c r="O104" s="24">
        <f>G104</f>
        <v>80.45</v>
      </c>
      <c r="P104" s="24">
        <f>J104</f>
        <v>527.74</v>
      </c>
      <c r="Q104" s="24">
        <f>L104</f>
        <v>4.1583100000000002</v>
      </c>
      <c r="W104">
        <f>IF(Source!BI42&lt;=1,H100+H101+H102, 0)</f>
        <v>80.45</v>
      </c>
      <c r="X104">
        <f>IF(Source!BI42=2,H100+H101+H102, 0)</f>
        <v>0</v>
      </c>
      <c r="Y104">
        <f>IF(Source!BI42=3,H100+H101+H102, 0)</f>
        <v>0</v>
      </c>
      <c r="Z104">
        <f>IF(Source!BI42=4,H100+H101+H102, 0)</f>
        <v>0</v>
      </c>
    </row>
    <row r="105" spans="1:26" ht="28.5" x14ac:dyDescent="0.2">
      <c r="A105" s="44" t="str">
        <f>Source!E43</f>
        <v>10</v>
      </c>
      <c r="B105" s="45" t="str">
        <f>Source!F43</f>
        <v>57-2-1</v>
      </c>
      <c r="C105" s="45" t="str">
        <f>Source!G43</f>
        <v>Разборка покрытий полов из линолеума и релина</v>
      </c>
      <c r="D105" s="28" t="str">
        <f>Source!H43</f>
        <v>100 м2</v>
      </c>
      <c r="E105" s="11">
        <f>Source!I43</f>
        <v>2.008</v>
      </c>
      <c r="F105" s="29">
        <f>Source!AL43+Source!AM43+Source!AO43</f>
        <v>92.9</v>
      </c>
      <c r="G105" s="30"/>
      <c r="H105" s="29"/>
      <c r="I105" s="30" t="str">
        <f>Source!BO43</f>
        <v/>
      </c>
      <c r="J105" s="30"/>
      <c r="K105" s="29"/>
      <c r="L105" s="31"/>
      <c r="S105">
        <f>ROUND((Source!FX43/100)*((ROUND(Source!AF43*Source!I43, 2)+ROUND(Source!AE43*Source!I43, 2))), 2)</f>
        <v>145.54</v>
      </c>
      <c r="T105">
        <f>Source!X43</f>
        <v>954.74</v>
      </c>
      <c r="U105">
        <f>ROUND((Source!FY43/100)*((ROUND(Source!AF43*Source!I43, 2)+ROUND(Source!AE43*Source!I43, 2))), 2)</f>
        <v>123.71</v>
      </c>
      <c r="V105">
        <f>Source!Y43</f>
        <v>811.53</v>
      </c>
    </row>
    <row r="106" spans="1:26" x14ac:dyDescent="0.2">
      <c r="C106" s="23" t="str">
        <f>"Объем: "&amp;Source!I43&amp;"=200,8/"&amp;"100"</f>
        <v>Объем: 2,008=200,8/100</v>
      </c>
    </row>
    <row r="107" spans="1:26" ht="14.25" x14ac:dyDescent="0.2">
      <c r="A107" s="44"/>
      <c r="B107" s="45"/>
      <c r="C107" s="45" t="s">
        <v>1930</v>
      </c>
      <c r="D107" s="28"/>
      <c r="E107" s="11"/>
      <c r="F107" s="29">
        <f>Source!AO43</f>
        <v>88.84</v>
      </c>
      <c r="G107" s="30" t="str">
        <f>Source!DG43</f>
        <v/>
      </c>
      <c r="H107" s="29">
        <f>ROUND(Source!AF43*Source!I43, 2)</f>
        <v>178.39</v>
      </c>
      <c r="I107" s="30"/>
      <c r="J107" s="30">
        <f>IF(Source!BA43&lt;&gt; 0, Source!BA43, 1)</f>
        <v>6.56</v>
      </c>
      <c r="K107" s="29">
        <f>Source!S43</f>
        <v>1170.24</v>
      </c>
      <c r="L107" s="31"/>
      <c r="R107">
        <f>H107</f>
        <v>178.39</v>
      </c>
    </row>
    <row r="108" spans="1:26" ht="14.25" x14ac:dyDescent="0.2">
      <c r="A108" s="44"/>
      <c r="B108" s="45"/>
      <c r="C108" s="45" t="s">
        <v>151</v>
      </c>
      <c r="D108" s="28"/>
      <c r="E108" s="11"/>
      <c r="F108" s="29">
        <f>Source!AM43</f>
        <v>4.0599999999999996</v>
      </c>
      <c r="G108" s="30" t="str">
        <f>Source!DE43</f>
        <v/>
      </c>
      <c r="H108" s="29">
        <f>ROUND(Source!AD43*Source!I43, 2)</f>
        <v>8.15</v>
      </c>
      <c r="I108" s="30"/>
      <c r="J108" s="30">
        <f>IF(Source!BB43&lt;&gt; 0, Source!BB43, 1)</f>
        <v>6.56</v>
      </c>
      <c r="K108" s="29">
        <f>Source!Q43</f>
        <v>53.48</v>
      </c>
      <c r="L108" s="31"/>
    </row>
    <row r="109" spans="1:26" ht="14.25" x14ac:dyDescent="0.2">
      <c r="A109" s="44"/>
      <c r="B109" s="45"/>
      <c r="C109" s="45" t="s">
        <v>1931</v>
      </c>
      <c r="D109" s="28"/>
      <c r="E109" s="11"/>
      <c r="F109" s="29">
        <f>Source!AN43</f>
        <v>1.76</v>
      </c>
      <c r="G109" s="30" t="str">
        <f>Source!DF43</f>
        <v/>
      </c>
      <c r="H109" s="32">
        <f>ROUND(Source!AE43*Source!I43, 2)</f>
        <v>3.53</v>
      </c>
      <c r="I109" s="30"/>
      <c r="J109" s="30">
        <f>IF(Source!BS43&lt;&gt; 0, Source!BS43, 1)</f>
        <v>6.56</v>
      </c>
      <c r="K109" s="32">
        <f>Source!R43</f>
        <v>23.18</v>
      </c>
      <c r="L109" s="31"/>
      <c r="R109">
        <f>H109</f>
        <v>3.53</v>
      </c>
    </row>
    <row r="110" spans="1:26" ht="14.25" x14ac:dyDescent="0.2">
      <c r="A110" s="44"/>
      <c r="B110" s="45"/>
      <c r="C110" s="45" t="s">
        <v>1932</v>
      </c>
      <c r="D110" s="28" t="s">
        <v>1933</v>
      </c>
      <c r="E110" s="11">
        <f>Source!BZ43</f>
        <v>80</v>
      </c>
      <c r="F110" s="48"/>
      <c r="G110" s="30"/>
      <c r="H110" s="29">
        <f>SUM(S105:S113)</f>
        <v>145.54</v>
      </c>
      <c r="I110" s="33"/>
      <c r="J110" s="26">
        <f>Source!AT43</f>
        <v>80</v>
      </c>
      <c r="K110" s="29">
        <f>SUM(T105:T113)</f>
        <v>954.74</v>
      </c>
      <c r="L110" s="31"/>
    </row>
    <row r="111" spans="1:26" ht="14.25" x14ac:dyDescent="0.2">
      <c r="A111" s="44"/>
      <c r="B111" s="45"/>
      <c r="C111" s="45" t="s">
        <v>1934</v>
      </c>
      <c r="D111" s="28" t="s">
        <v>1933</v>
      </c>
      <c r="E111" s="11">
        <f>Source!CA43</f>
        <v>68</v>
      </c>
      <c r="F111" s="48"/>
      <c r="G111" s="30"/>
      <c r="H111" s="29">
        <f>SUM(U105:U113)</f>
        <v>123.71</v>
      </c>
      <c r="I111" s="33"/>
      <c r="J111" s="26">
        <f>Source!AU43</f>
        <v>68</v>
      </c>
      <c r="K111" s="29">
        <f>SUM(V105:V113)</f>
        <v>811.53</v>
      </c>
      <c r="L111" s="31"/>
    </row>
    <row r="112" spans="1:26" ht="14.25" x14ac:dyDescent="0.2">
      <c r="A112" s="44"/>
      <c r="B112" s="45"/>
      <c r="C112" s="45" t="s">
        <v>1935</v>
      </c>
      <c r="D112" s="28" t="s">
        <v>1936</v>
      </c>
      <c r="E112" s="11">
        <f>Source!AQ43</f>
        <v>11.39</v>
      </c>
      <c r="F112" s="29"/>
      <c r="G112" s="30" t="str">
        <f>Source!DI43</f>
        <v/>
      </c>
      <c r="H112" s="29"/>
      <c r="I112" s="30"/>
      <c r="J112" s="30"/>
      <c r="K112" s="29"/>
      <c r="L112" s="40">
        <f>Source!U43</f>
        <v>22.871120000000001</v>
      </c>
    </row>
    <row r="113" spans="1:26" ht="14.25" x14ac:dyDescent="0.2">
      <c r="A113" s="46" t="str">
        <f>Source!E44</f>
        <v>10,1</v>
      </c>
      <c r="B113" s="47" t="str">
        <f>Source!F44</f>
        <v>01.7.07.07</v>
      </c>
      <c r="C113" s="47" t="str">
        <f>Source!G44</f>
        <v>Строительный мусор</v>
      </c>
      <c r="D113" s="34" t="str">
        <f>Source!H44</f>
        <v>т</v>
      </c>
      <c r="E113" s="35">
        <f>Source!I44</f>
        <v>0.94376000000000004</v>
      </c>
      <c r="F113" s="36">
        <f>Source!AL44+Source!AM44+Source!AO44</f>
        <v>0</v>
      </c>
      <c r="G113" s="42" t="s">
        <v>6</v>
      </c>
      <c r="H113" s="36">
        <f>ROUND(Source!AC44*Source!I44, 2)+ROUND(Source!AD44*Source!I44, 2)+ROUND(Source!AF44*Source!I44, 2)</f>
        <v>0</v>
      </c>
      <c r="I113" s="37"/>
      <c r="J113" s="37">
        <f>IF(Source!BC44&lt;&gt; 0, Source!BC44, 1)</f>
        <v>6.56</v>
      </c>
      <c r="K113" s="36">
        <f>Source!O44</f>
        <v>0</v>
      </c>
      <c r="L113" s="43"/>
      <c r="S113">
        <f>ROUND((Source!FX44/100)*((ROUND(Source!AF44*Source!I44, 2)+ROUND(Source!AE44*Source!I44, 2))), 2)</f>
        <v>0</v>
      </c>
      <c r="T113">
        <f>Source!X44</f>
        <v>0</v>
      </c>
      <c r="U113">
        <f>ROUND((Source!FY44/100)*((ROUND(Source!AF44*Source!I44, 2)+ROUND(Source!AE44*Source!I44, 2))), 2)</f>
        <v>0</v>
      </c>
      <c r="V113">
        <f>Source!Y44</f>
        <v>0</v>
      </c>
      <c r="W113">
        <f>IF(Source!BI44&lt;=1,H113, 0)</f>
        <v>0</v>
      </c>
      <c r="X113">
        <f>IF(Source!BI44=2,H113, 0)</f>
        <v>0</v>
      </c>
      <c r="Y113">
        <f>IF(Source!BI44=3,H113, 0)</f>
        <v>0</v>
      </c>
      <c r="Z113">
        <f>IF(Source!BI44=4,H113, 0)</f>
        <v>0</v>
      </c>
    </row>
    <row r="114" spans="1:26" ht="15" x14ac:dyDescent="0.25">
      <c r="G114" s="63">
        <f>H107+H108+H110+H111+SUM(H113:H113)</f>
        <v>455.78999999999996</v>
      </c>
      <c r="H114" s="63"/>
      <c r="J114" s="63">
        <f>K107+K108+K110+K111+SUM(K113:K113)</f>
        <v>2989.99</v>
      </c>
      <c r="K114" s="63"/>
      <c r="L114" s="39">
        <f>Source!U43</f>
        <v>22.871120000000001</v>
      </c>
      <c r="O114" s="24">
        <f>G114</f>
        <v>455.78999999999996</v>
      </c>
      <c r="P114" s="24">
        <f>J114</f>
        <v>2989.99</v>
      </c>
      <c r="Q114" s="24">
        <f>L114</f>
        <v>22.871120000000001</v>
      </c>
      <c r="W114">
        <f>IF(Source!BI43&lt;=1,H107+H108+H110+H111, 0)</f>
        <v>455.78999999999996</v>
      </c>
      <c r="X114">
        <f>IF(Source!BI43=2,H107+H108+H110+H111, 0)</f>
        <v>0</v>
      </c>
      <c r="Y114">
        <f>IF(Source!BI43=3,H107+H108+H110+H111, 0)</f>
        <v>0</v>
      </c>
      <c r="Z114">
        <f>IF(Source!BI43=4,H107+H108+H110+H111, 0)</f>
        <v>0</v>
      </c>
    </row>
    <row r="115" spans="1:26" ht="28.5" x14ac:dyDescent="0.2">
      <c r="A115" s="44" t="str">
        <f>Source!E45</f>
        <v>11</v>
      </c>
      <c r="B115" s="45" t="str">
        <f>Source!F45</f>
        <v>57-1-3</v>
      </c>
      <c r="C115" s="45" t="str">
        <f>Source!G45</f>
        <v>Разборка оснований покрытия полов простильных полов(деревянные)</v>
      </c>
      <c r="D115" s="28" t="str">
        <f>Source!H45</f>
        <v>100 м2</v>
      </c>
      <c r="E115" s="11">
        <f>Source!I45</f>
        <v>2.008</v>
      </c>
      <c r="F115" s="29">
        <f>Source!AL45+Source!AM45+Source!AO45</f>
        <v>136.03</v>
      </c>
      <c r="G115" s="30"/>
      <c r="H115" s="29"/>
      <c r="I115" s="30" t="str">
        <f>Source!BO45</f>
        <v/>
      </c>
      <c r="J115" s="30"/>
      <c r="K115" s="29"/>
      <c r="L115" s="31"/>
      <c r="S115">
        <f>ROUND((Source!FX45/100)*((ROUND(Source!AF45*Source!I45, 2)+ROUND(Source!AE45*Source!I45, 2))), 2)</f>
        <v>218.52</v>
      </c>
      <c r="T115">
        <f>Source!X45</f>
        <v>1433.48</v>
      </c>
      <c r="U115">
        <f>ROUND((Source!FY45/100)*((ROUND(Source!AF45*Source!I45, 2)+ROUND(Source!AE45*Source!I45, 2))), 2)</f>
        <v>185.74</v>
      </c>
      <c r="V115">
        <f>Source!Y45</f>
        <v>1218.46</v>
      </c>
    </row>
    <row r="116" spans="1:26" x14ac:dyDescent="0.2">
      <c r="C116" s="23" t="str">
        <f>"Объем: "&amp;Source!I45&amp;"=200,8/"&amp;"100"</f>
        <v>Объем: 2,008=200,8/100</v>
      </c>
    </row>
    <row r="117" spans="1:26" ht="14.25" x14ac:dyDescent="0.2">
      <c r="A117" s="44"/>
      <c r="B117" s="45"/>
      <c r="C117" s="45" t="s">
        <v>1930</v>
      </c>
      <c r="D117" s="28"/>
      <c r="E117" s="11"/>
      <c r="F117" s="29">
        <f>Source!AO45</f>
        <v>136.03</v>
      </c>
      <c r="G117" s="30" t="str">
        <f>Source!DG45</f>
        <v/>
      </c>
      <c r="H117" s="29">
        <f>ROUND(Source!AF45*Source!I45, 2)</f>
        <v>273.14999999999998</v>
      </c>
      <c r="I117" s="30"/>
      <c r="J117" s="30">
        <f>IF(Source!BA45&lt;&gt; 0, Source!BA45, 1)</f>
        <v>6.56</v>
      </c>
      <c r="K117" s="29">
        <f>Source!S45</f>
        <v>1791.85</v>
      </c>
      <c r="L117" s="31"/>
      <c r="R117">
        <f>H117</f>
        <v>273.14999999999998</v>
      </c>
    </row>
    <row r="118" spans="1:26" ht="14.25" x14ac:dyDescent="0.2">
      <c r="A118" s="44"/>
      <c r="B118" s="45"/>
      <c r="C118" s="45" t="s">
        <v>1932</v>
      </c>
      <c r="D118" s="28" t="s">
        <v>1933</v>
      </c>
      <c r="E118" s="11">
        <f>Source!BZ45</f>
        <v>80</v>
      </c>
      <c r="F118" s="48"/>
      <c r="G118" s="30"/>
      <c r="H118" s="29">
        <f>SUM(S115:S120)</f>
        <v>218.52</v>
      </c>
      <c r="I118" s="33"/>
      <c r="J118" s="26">
        <f>Source!AT45</f>
        <v>80</v>
      </c>
      <c r="K118" s="29">
        <f>SUM(T115:T120)</f>
        <v>1433.48</v>
      </c>
      <c r="L118" s="31"/>
    </row>
    <row r="119" spans="1:26" ht="14.25" x14ac:dyDescent="0.2">
      <c r="A119" s="44"/>
      <c r="B119" s="45"/>
      <c r="C119" s="45" t="s">
        <v>1934</v>
      </c>
      <c r="D119" s="28" t="s">
        <v>1933</v>
      </c>
      <c r="E119" s="11">
        <f>Source!CA45</f>
        <v>68</v>
      </c>
      <c r="F119" s="48"/>
      <c r="G119" s="30"/>
      <c r="H119" s="29">
        <f>SUM(U115:U120)</f>
        <v>185.74</v>
      </c>
      <c r="I119" s="33"/>
      <c r="J119" s="26">
        <f>Source!AU45</f>
        <v>68</v>
      </c>
      <c r="K119" s="29">
        <f>SUM(V115:V120)</f>
        <v>1218.46</v>
      </c>
      <c r="L119" s="31"/>
    </row>
    <row r="120" spans="1:26" ht="14.25" x14ac:dyDescent="0.2">
      <c r="A120" s="46"/>
      <c r="B120" s="47"/>
      <c r="C120" s="47" t="s">
        <v>1935</v>
      </c>
      <c r="D120" s="34" t="s">
        <v>1936</v>
      </c>
      <c r="E120" s="35">
        <f>Source!AQ45</f>
        <v>17.440000000000001</v>
      </c>
      <c r="F120" s="36"/>
      <c r="G120" s="37" t="str">
        <f>Source!DI45</f>
        <v/>
      </c>
      <c r="H120" s="36"/>
      <c r="I120" s="37"/>
      <c r="J120" s="37"/>
      <c r="K120" s="36"/>
      <c r="L120" s="38">
        <f>Source!U45</f>
        <v>35.01952</v>
      </c>
    </row>
    <row r="121" spans="1:26" ht="15" x14ac:dyDescent="0.25">
      <c r="G121" s="63">
        <f>H117+H118+H119</f>
        <v>677.41</v>
      </c>
      <c r="H121" s="63"/>
      <c r="J121" s="63">
        <f>K117+K118+K119</f>
        <v>4443.79</v>
      </c>
      <c r="K121" s="63"/>
      <c r="L121" s="39">
        <f>Source!U45</f>
        <v>35.01952</v>
      </c>
      <c r="O121" s="24">
        <f>G121</f>
        <v>677.41</v>
      </c>
      <c r="P121" s="24">
        <f>J121</f>
        <v>4443.79</v>
      </c>
      <c r="Q121" s="24">
        <f>L121</f>
        <v>35.01952</v>
      </c>
      <c r="W121">
        <f>IF(Source!BI45&lt;=1,H117+H118+H119, 0)</f>
        <v>677.41</v>
      </c>
      <c r="X121">
        <f>IF(Source!BI45=2,H117+H118+H119, 0)</f>
        <v>0</v>
      </c>
      <c r="Y121">
        <f>IF(Source!BI45=3,H117+H118+H119, 0)</f>
        <v>0</v>
      </c>
      <c r="Z121">
        <f>IF(Source!BI45=4,H117+H118+H119, 0)</f>
        <v>0</v>
      </c>
    </row>
    <row r="122" spans="1:26" ht="28.5" x14ac:dyDescent="0.2">
      <c r="A122" s="44" t="str">
        <f>Source!E46</f>
        <v>12</v>
      </c>
      <c r="B122" s="45" t="str">
        <f>Source!F46</f>
        <v>57-2-3 прим.</v>
      </c>
      <c r="C122" s="45" t="str">
        <f>Source!G46</f>
        <v>Разборка покрытий полов из керамических плиток (керамогранит)</v>
      </c>
      <c r="D122" s="28" t="str">
        <f>Source!H46</f>
        <v>100 м2</v>
      </c>
      <c r="E122" s="11">
        <f>Source!I46</f>
        <v>0.21</v>
      </c>
      <c r="F122" s="29">
        <f>Source!AL46+Source!AM46+Source!AO46</f>
        <v>641</v>
      </c>
      <c r="G122" s="30"/>
      <c r="H122" s="29"/>
      <c r="I122" s="30" t="str">
        <f>Source!BO46</f>
        <v/>
      </c>
      <c r="J122" s="30"/>
      <c r="K122" s="29"/>
      <c r="L122" s="31"/>
      <c r="S122">
        <f>ROUND((Source!FX46/100)*((ROUND(Source!AF46*Source!I46, 2)+ROUND(Source!AE46*Source!I46, 2))), 2)</f>
        <v>103.39</v>
      </c>
      <c r="T122">
        <f>Source!X46</f>
        <v>678.26</v>
      </c>
      <c r="U122">
        <f>ROUND((Source!FY46/100)*((ROUND(Source!AF46*Source!I46, 2)+ROUND(Source!AE46*Source!I46, 2))), 2)</f>
        <v>87.88</v>
      </c>
      <c r="V122">
        <f>Source!Y46</f>
        <v>576.52</v>
      </c>
    </row>
    <row r="123" spans="1:26" x14ac:dyDescent="0.2">
      <c r="C123" s="23" t="str">
        <f>"Объем: "&amp;Source!I46&amp;"=21/"&amp;"100"</f>
        <v>Объем: 0,21=21/100</v>
      </c>
    </row>
    <row r="124" spans="1:26" ht="14.25" x14ac:dyDescent="0.2">
      <c r="A124" s="44"/>
      <c r="B124" s="45"/>
      <c r="C124" s="45" t="s">
        <v>1930</v>
      </c>
      <c r="D124" s="28"/>
      <c r="E124" s="11"/>
      <c r="F124" s="29">
        <f>Source!AO46</f>
        <v>595.99</v>
      </c>
      <c r="G124" s="30" t="str">
        <f>Source!DG46</f>
        <v/>
      </c>
      <c r="H124" s="29">
        <f>ROUND(Source!AF46*Source!I46, 2)</f>
        <v>125.16</v>
      </c>
      <c r="I124" s="30"/>
      <c r="J124" s="30">
        <f>IF(Source!BA46&lt;&gt; 0, Source!BA46, 1)</f>
        <v>6.56</v>
      </c>
      <c r="K124" s="29">
        <f>Source!S46</f>
        <v>821.04</v>
      </c>
      <c r="L124" s="31"/>
      <c r="R124">
        <f>H124</f>
        <v>125.16</v>
      </c>
    </row>
    <row r="125" spans="1:26" ht="14.25" x14ac:dyDescent="0.2">
      <c r="A125" s="44"/>
      <c r="B125" s="45"/>
      <c r="C125" s="45" t="s">
        <v>151</v>
      </c>
      <c r="D125" s="28"/>
      <c r="E125" s="11"/>
      <c r="F125" s="29">
        <f>Source!AM46</f>
        <v>45.01</v>
      </c>
      <c r="G125" s="30" t="str">
        <f>Source!DE46</f>
        <v/>
      </c>
      <c r="H125" s="29">
        <f>ROUND(Source!AD46*Source!I46, 2)</f>
        <v>9.4499999999999993</v>
      </c>
      <c r="I125" s="30"/>
      <c r="J125" s="30">
        <f>IF(Source!BB46&lt;&gt; 0, Source!BB46, 1)</f>
        <v>6.56</v>
      </c>
      <c r="K125" s="29">
        <f>Source!Q46</f>
        <v>62.01</v>
      </c>
      <c r="L125" s="31"/>
    </row>
    <row r="126" spans="1:26" ht="14.25" x14ac:dyDescent="0.2">
      <c r="A126" s="44"/>
      <c r="B126" s="45"/>
      <c r="C126" s="45" t="s">
        <v>1931</v>
      </c>
      <c r="D126" s="28"/>
      <c r="E126" s="11"/>
      <c r="F126" s="29">
        <f>Source!AN46</f>
        <v>19.440000000000001</v>
      </c>
      <c r="G126" s="30" t="str">
        <f>Source!DF46</f>
        <v/>
      </c>
      <c r="H126" s="32">
        <f>ROUND(Source!AE46*Source!I46, 2)</f>
        <v>4.08</v>
      </c>
      <c r="I126" s="30"/>
      <c r="J126" s="30">
        <f>IF(Source!BS46&lt;&gt; 0, Source!BS46, 1)</f>
        <v>6.56</v>
      </c>
      <c r="K126" s="32">
        <f>Source!R46</f>
        <v>26.78</v>
      </c>
      <c r="L126" s="31"/>
      <c r="R126">
        <f>H126</f>
        <v>4.08</v>
      </c>
    </row>
    <row r="127" spans="1:26" ht="14.25" x14ac:dyDescent="0.2">
      <c r="A127" s="44"/>
      <c r="B127" s="45"/>
      <c r="C127" s="45" t="s">
        <v>1932</v>
      </c>
      <c r="D127" s="28" t="s">
        <v>1933</v>
      </c>
      <c r="E127" s="11">
        <f>Source!BZ46</f>
        <v>80</v>
      </c>
      <c r="F127" s="48"/>
      <c r="G127" s="30"/>
      <c r="H127" s="29">
        <f>SUM(S122:S129)</f>
        <v>103.39</v>
      </c>
      <c r="I127" s="33"/>
      <c r="J127" s="26">
        <f>Source!AT46</f>
        <v>80</v>
      </c>
      <c r="K127" s="29">
        <f>SUM(T122:T129)</f>
        <v>678.26</v>
      </c>
      <c r="L127" s="31"/>
    </row>
    <row r="128" spans="1:26" ht="14.25" x14ac:dyDescent="0.2">
      <c r="A128" s="44"/>
      <c r="B128" s="45"/>
      <c r="C128" s="45" t="s">
        <v>1934</v>
      </c>
      <c r="D128" s="28" t="s">
        <v>1933</v>
      </c>
      <c r="E128" s="11">
        <f>Source!CA46</f>
        <v>68</v>
      </c>
      <c r="F128" s="48"/>
      <c r="G128" s="30"/>
      <c r="H128" s="29">
        <f>SUM(U122:U129)</f>
        <v>87.88</v>
      </c>
      <c r="I128" s="33"/>
      <c r="J128" s="26">
        <f>Source!AU46</f>
        <v>68</v>
      </c>
      <c r="K128" s="29">
        <f>SUM(V122:V129)</f>
        <v>576.52</v>
      </c>
      <c r="L128" s="31"/>
    </row>
    <row r="129" spans="1:26" ht="14.25" x14ac:dyDescent="0.2">
      <c r="A129" s="46"/>
      <c r="B129" s="47"/>
      <c r="C129" s="47" t="s">
        <v>1935</v>
      </c>
      <c r="D129" s="34" t="s">
        <v>1936</v>
      </c>
      <c r="E129" s="35">
        <f>Source!AQ46</f>
        <v>69.87</v>
      </c>
      <c r="F129" s="36"/>
      <c r="G129" s="37" t="str">
        <f>Source!DI46</f>
        <v/>
      </c>
      <c r="H129" s="36"/>
      <c r="I129" s="37"/>
      <c r="J129" s="37"/>
      <c r="K129" s="36"/>
      <c r="L129" s="38">
        <f>Source!U46</f>
        <v>14.672700000000001</v>
      </c>
    </row>
    <row r="130" spans="1:26" ht="15" x14ac:dyDescent="0.25">
      <c r="G130" s="63">
        <f>H124+H125+H127+H128</f>
        <v>325.88</v>
      </c>
      <c r="H130" s="63"/>
      <c r="J130" s="63">
        <f>K124+K125+K127+K128</f>
        <v>2137.83</v>
      </c>
      <c r="K130" s="63"/>
      <c r="L130" s="39">
        <f>Source!U46</f>
        <v>14.672700000000001</v>
      </c>
      <c r="O130" s="24">
        <f>G130</f>
        <v>325.88</v>
      </c>
      <c r="P130" s="24">
        <f>J130</f>
        <v>2137.83</v>
      </c>
      <c r="Q130" s="24">
        <f>L130</f>
        <v>14.672700000000001</v>
      </c>
      <c r="W130">
        <f>IF(Source!BI46&lt;=1,H124+H125+H127+H128, 0)</f>
        <v>325.88</v>
      </c>
      <c r="X130">
        <f>IF(Source!BI46=2,H124+H125+H127+H128, 0)</f>
        <v>0</v>
      </c>
      <c r="Y130">
        <f>IF(Source!BI46=3,H124+H125+H127+H128, 0)</f>
        <v>0</v>
      </c>
      <c r="Z130">
        <f>IF(Source!BI46=4,H124+H125+H127+H128, 0)</f>
        <v>0</v>
      </c>
    </row>
    <row r="131" spans="1:26" ht="28.5" x14ac:dyDescent="0.2">
      <c r="A131" s="44" t="str">
        <f>Source!E47</f>
        <v>13</v>
      </c>
      <c r="B131" s="45" t="str">
        <f>Source!F47</f>
        <v>63-7-5</v>
      </c>
      <c r="C131" s="45" t="str">
        <f>Source!G47</f>
        <v>Разборка облицовки стен из керамических глазурованных плиток</v>
      </c>
      <c r="D131" s="28" t="str">
        <f>Source!H47</f>
        <v>100 м2</v>
      </c>
      <c r="E131" s="11">
        <f>Source!I47</f>
        <v>0.97799999999999998</v>
      </c>
      <c r="F131" s="29">
        <f>Source!AL47+Source!AM47+Source!AO47</f>
        <v>654</v>
      </c>
      <c r="G131" s="30"/>
      <c r="H131" s="29"/>
      <c r="I131" s="30" t="str">
        <f>Source!BO47</f>
        <v/>
      </c>
      <c r="J131" s="30"/>
      <c r="K131" s="29"/>
      <c r="L131" s="31"/>
      <c r="S131">
        <f>ROUND((Source!FX47/100)*((ROUND(Source!AF47*Source!I47, 2)+ROUND(Source!AE47*Source!I47, 2))), 2)</f>
        <v>443.91</v>
      </c>
      <c r="T131">
        <f>Source!X47</f>
        <v>2912.02</v>
      </c>
      <c r="U131">
        <f>ROUND((Source!FY47/100)*((ROUND(Source!AF47*Source!I47, 2)+ROUND(Source!AE47*Source!I47, 2))), 2)</f>
        <v>288.26</v>
      </c>
      <c r="V131">
        <f>Source!Y47</f>
        <v>1890.93</v>
      </c>
    </row>
    <row r="132" spans="1:26" x14ac:dyDescent="0.2">
      <c r="C132" s="23" t="str">
        <f>"Объем: "&amp;Source!I47&amp;"=97,8/"&amp;"100"</f>
        <v>Объем: 0,978=97,8/100</v>
      </c>
    </row>
    <row r="133" spans="1:26" ht="14.25" x14ac:dyDescent="0.2">
      <c r="A133" s="44"/>
      <c r="B133" s="45"/>
      <c r="C133" s="45" t="s">
        <v>1930</v>
      </c>
      <c r="D133" s="28"/>
      <c r="E133" s="11"/>
      <c r="F133" s="29">
        <f>Source!AO47</f>
        <v>584.74</v>
      </c>
      <c r="G133" s="30" t="str">
        <f>Source!DG47</f>
        <v/>
      </c>
      <c r="H133" s="29">
        <f>ROUND(Source!AF47*Source!I47, 2)</f>
        <v>571.88</v>
      </c>
      <c r="I133" s="30"/>
      <c r="J133" s="30">
        <f>IF(Source!BA47&lt;&gt; 0, Source!BA47, 1)</f>
        <v>6.56</v>
      </c>
      <c r="K133" s="29">
        <f>Source!S47</f>
        <v>3751.5</v>
      </c>
      <c r="L133" s="31"/>
      <c r="R133">
        <f>H133</f>
        <v>571.88</v>
      </c>
    </row>
    <row r="134" spans="1:26" ht="14.25" x14ac:dyDescent="0.2">
      <c r="A134" s="44"/>
      <c r="B134" s="45"/>
      <c r="C134" s="45" t="s">
        <v>151</v>
      </c>
      <c r="D134" s="28"/>
      <c r="E134" s="11"/>
      <c r="F134" s="29">
        <f>Source!AM47</f>
        <v>69.260000000000005</v>
      </c>
      <c r="G134" s="30" t="str">
        <f>Source!DE47</f>
        <v/>
      </c>
      <c r="H134" s="29">
        <f>ROUND(Source!AD47*Source!I47, 2)</f>
        <v>67.739999999999995</v>
      </c>
      <c r="I134" s="30"/>
      <c r="J134" s="30">
        <f>IF(Source!BB47&lt;&gt; 0, Source!BB47, 1)</f>
        <v>6.56</v>
      </c>
      <c r="K134" s="29">
        <f>Source!Q47</f>
        <v>444.35</v>
      </c>
      <c r="L134" s="31"/>
    </row>
    <row r="135" spans="1:26" ht="14.25" x14ac:dyDescent="0.2">
      <c r="A135" s="44"/>
      <c r="B135" s="45"/>
      <c r="C135" s="45" t="s">
        <v>1931</v>
      </c>
      <c r="D135" s="28"/>
      <c r="E135" s="11"/>
      <c r="F135" s="29">
        <f>Source!AN47</f>
        <v>4.7300000000000004</v>
      </c>
      <c r="G135" s="30" t="str">
        <f>Source!DF47</f>
        <v/>
      </c>
      <c r="H135" s="32">
        <f>ROUND(Source!AE47*Source!I47, 2)</f>
        <v>4.63</v>
      </c>
      <c r="I135" s="30"/>
      <c r="J135" s="30">
        <f>IF(Source!BS47&lt;&gt; 0, Source!BS47, 1)</f>
        <v>6.56</v>
      </c>
      <c r="K135" s="32">
        <f>Source!R47</f>
        <v>30.35</v>
      </c>
      <c r="L135" s="31"/>
      <c r="R135">
        <f>H135</f>
        <v>4.63</v>
      </c>
    </row>
    <row r="136" spans="1:26" ht="14.25" x14ac:dyDescent="0.2">
      <c r="A136" s="44"/>
      <c r="B136" s="45"/>
      <c r="C136" s="45" t="s">
        <v>1932</v>
      </c>
      <c r="D136" s="28" t="s">
        <v>1933</v>
      </c>
      <c r="E136" s="11">
        <f>Source!BZ47</f>
        <v>77</v>
      </c>
      <c r="F136" s="48"/>
      <c r="G136" s="30"/>
      <c r="H136" s="29">
        <f>SUM(S131:S138)</f>
        <v>443.91</v>
      </c>
      <c r="I136" s="33"/>
      <c r="J136" s="26">
        <f>Source!AT47</f>
        <v>77</v>
      </c>
      <c r="K136" s="29">
        <f>SUM(T131:T138)</f>
        <v>2912.02</v>
      </c>
      <c r="L136" s="31"/>
    </row>
    <row r="137" spans="1:26" ht="14.25" x14ac:dyDescent="0.2">
      <c r="A137" s="44"/>
      <c r="B137" s="45"/>
      <c r="C137" s="45" t="s">
        <v>1934</v>
      </c>
      <c r="D137" s="28" t="s">
        <v>1933</v>
      </c>
      <c r="E137" s="11">
        <f>Source!CA47</f>
        <v>50</v>
      </c>
      <c r="F137" s="48"/>
      <c r="G137" s="30"/>
      <c r="H137" s="29">
        <f>SUM(U131:U138)</f>
        <v>288.26</v>
      </c>
      <c r="I137" s="33"/>
      <c r="J137" s="26">
        <f>Source!AU47</f>
        <v>50</v>
      </c>
      <c r="K137" s="29">
        <f>SUM(V131:V138)</f>
        <v>1890.93</v>
      </c>
      <c r="L137" s="31"/>
    </row>
    <row r="138" spans="1:26" ht="14.25" x14ac:dyDescent="0.2">
      <c r="A138" s="46"/>
      <c r="B138" s="47"/>
      <c r="C138" s="47" t="s">
        <v>1935</v>
      </c>
      <c r="D138" s="34" t="s">
        <v>1936</v>
      </c>
      <c r="E138" s="35">
        <f>Source!AQ47</f>
        <v>74.3</v>
      </c>
      <c r="F138" s="36"/>
      <c r="G138" s="37" t="str">
        <f>Source!DI47</f>
        <v/>
      </c>
      <c r="H138" s="36"/>
      <c r="I138" s="37"/>
      <c r="J138" s="37"/>
      <c r="K138" s="36"/>
      <c r="L138" s="38">
        <f>Source!U47</f>
        <v>72.665399999999991</v>
      </c>
    </row>
    <row r="139" spans="1:26" ht="15" x14ac:dyDescent="0.25">
      <c r="G139" s="63">
        <f>H133+H134+H136+H137</f>
        <v>1371.79</v>
      </c>
      <c r="H139" s="63"/>
      <c r="J139" s="63">
        <f>K133+K134+K136+K137</f>
        <v>8998.8000000000011</v>
      </c>
      <c r="K139" s="63"/>
      <c r="L139" s="39">
        <f>Source!U47</f>
        <v>72.665399999999991</v>
      </c>
      <c r="O139" s="24">
        <f>G139</f>
        <v>1371.79</v>
      </c>
      <c r="P139" s="24">
        <f>J139</f>
        <v>8998.8000000000011</v>
      </c>
      <c r="Q139" s="24">
        <f>L139</f>
        <v>72.665399999999991</v>
      </c>
      <c r="W139">
        <f>IF(Source!BI47&lt;=1,H133+H134+H136+H137, 0)</f>
        <v>1371.79</v>
      </c>
      <c r="X139">
        <f>IF(Source!BI47=2,H133+H134+H136+H137, 0)</f>
        <v>0</v>
      </c>
      <c r="Y139">
        <f>IF(Source!BI47=3,H133+H134+H136+H137, 0)</f>
        <v>0</v>
      </c>
      <c r="Z139">
        <f>IF(Source!BI47=4,H133+H134+H136+H137, 0)</f>
        <v>0</v>
      </c>
    </row>
    <row r="140" spans="1:26" ht="42.75" x14ac:dyDescent="0.2">
      <c r="A140" s="44" t="str">
        <f>Source!E48</f>
        <v>14</v>
      </c>
      <c r="B140" s="45" t="str">
        <f>Source!F48</f>
        <v>09-06-001-02</v>
      </c>
      <c r="C140" s="45" t="str">
        <f>Source!G48</f>
        <v>Демонтаж: Монтаж лотков, решеток, затворов из полосовой и тонколистовой стали</v>
      </c>
      <c r="D140" s="28" t="str">
        <f>Source!H48</f>
        <v>т</v>
      </c>
      <c r="E140" s="11">
        <f>Source!I48</f>
        <v>0.4</v>
      </c>
      <c r="F140" s="29">
        <f>Source!AL48+Source!AM48+Source!AO48</f>
        <v>641</v>
      </c>
      <c r="G140" s="30"/>
      <c r="H140" s="29"/>
      <c r="I140" s="30" t="str">
        <f>Source!BO48</f>
        <v/>
      </c>
      <c r="J140" s="30"/>
      <c r="K140" s="29"/>
      <c r="L140" s="31"/>
      <c r="S140">
        <f>ROUND((Source!FX48/100)*((ROUND(Source!AF48*Source!I48, 2)+ROUND(Source!AE48*Source!I48, 2))), 2)</f>
        <v>99.13</v>
      </c>
      <c r="T140">
        <f>Source!X48</f>
        <v>650.26</v>
      </c>
      <c r="U140">
        <f>ROUND((Source!FY48/100)*((ROUND(Source!AF48*Source!I48, 2)+ROUND(Source!AE48*Source!I48, 2))), 2)</f>
        <v>88.42</v>
      </c>
      <c r="V140">
        <f>Source!Y48</f>
        <v>578.01</v>
      </c>
    </row>
    <row r="141" spans="1:26" ht="14.25" x14ac:dyDescent="0.2">
      <c r="A141" s="44"/>
      <c r="B141" s="45"/>
      <c r="C141" s="45" t="s">
        <v>1930</v>
      </c>
      <c r="D141" s="28"/>
      <c r="E141" s="11"/>
      <c r="F141" s="29">
        <f>Source!AO48</f>
        <v>433.24</v>
      </c>
      <c r="G141" s="30" t="str">
        <f>Source!DG48</f>
        <v>)*0,7</v>
      </c>
      <c r="H141" s="29">
        <f>ROUND(Source!AF48*Source!I48, 2)</f>
        <v>121.31</v>
      </c>
      <c r="I141" s="30"/>
      <c r="J141" s="30">
        <f>IF(Source!BA48&lt;&gt; 0, Source!BA48, 1)</f>
        <v>6.56</v>
      </c>
      <c r="K141" s="29">
        <f>Source!S48</f>
        <v>795.78</v>
      </c>
      <c r="L141" s="31"/>
      <c r="R141">
        <f>H141</f>
        <v>121.31</v>
      </c>
    </row>
    <row r="142" spans="1:26" ht="14.25" x14ac:dyDescent="0.2">
      <c r="A142" s="44"/>
      <c r="B142" s="45"/>
      <c r="C142" s="45" t="s">
        <v>151</v>
      </c>
      <c r="D142" s="28"/>
      <c r="E142" s="11"/>
      <c r="F142" s="29">
        <f>Source!AM48</f>
        <v>125.8</v>
      </c>
      <c r="G142" s="30" t="str">
        <f>Source!DE48</f>
        <v>)*0,7</v>
      </c>
      <c r="H142" s="29">
        <f>ROUND(Source!AD48*Source!I48, 2)</f>
        <v>35.22</v>
      </c>
      <c r="I142" s="30"/>
      <c r="J142" s="30">
        <f>IF(Source!BB48&lt;&gt; 0, Source!BB48, 1)</f>
        <v>6.56</v>
      </c>
      <c r="K142" s="29">
        <f>Source!Q48</f>
        <v>231.07</v>
      </c>
      <c r="L142" s="31"/>
    </row>
    <row r="143" spans="1:26" ht="14.25" x14ac:dyDescent="0.2">
      <c r="A143" s="44"/>
      <c r="B143" s="45"/>
      <c r="C143" s="45" t="s">
        <v>1931</v>
      </c>
      <c r="D143" s="28"/>
      <c r="E143" s="11"/>
      <c r="F143" s="29">
        <f>Source!AN48</f>
        <v>3.82</v>
      </c>
      <c r="G143" s="30" t="str">
        <f>Source!DF48</f>
        <v>)*0,7</v>
      </c>
      <c r="H143" s="32">
        <f>ROUND(Source!AE48*Source!I48, 2)</f>
        <v>1.07</v>
      </c>
      <c r="I143" s="30"/>
      <c r="J143" s="30">
        <f>IF(Source!BS48&lt;&gt; 0, Source!BS48, 1)</f>
        <v>6.56</v>
      </c>
      <c r="K143" s="32">
        <f>Source!R48</f>
        <v>7.01</v>
      </c>
      <c r="L143" s="31"/>
      <c r="R143">
        <f>H143</f>
        <v>1.07</v>
      </c>
    </row>
    <row r="144" spans="1:26" ht="14.25" x14ac:dyDescent="0.2">
      <c r="A144" s="44"/>
      <c r="B144" s="45"/>
      <c r="C144" s="45" t="s">
        <v>1932</v>
      </c>
      <c r="D144" s="28" t="s">
        <v>1933</v>
      </c>
      <c r="E144" s="11">
        <f>Source!BZ48</f>
        <v>90</v>
      </c>
      <c r="F144" s="64" t="str">
        <f>CONCATENATE(" )", Source!DL48, Source!FT48, "=", Source!FX48)</f>
        <v xml:space="preserve"> )*0,9=81</v>
      </c>
      <c r="G144" s="65"/>
      <c r="H144" s="29">
        <f>SUM(S140:S146)</f>
        <v>99.13</v>
      </c>
      <c r="I144" s="33"/>
      <c r="J144" s="26">
        <f>Source!AT48</f>
        <v>81</v>
      </c>
      <c r="K144" s="29">
        <f>SUM(T140:T146)</f>
        <v>650.26</v>
      </c>
      <c r="L144" s="31"/>
    </row>
    <row r="145" spans="1:26" ht="14.25" x14ac:dyDescent="0.2">
      <c r="A145" s="44"/>
      <c r="B145" s="45"/>
      <c r="C145" s="45" t="s">
        <v>1934</v>
      </c>
      <c r="D145" s="28" t="s">
        <v>1933</v>
      </c>
      <c r="E145" s="11">
        <f>Source!CA48</f>
        <v>85</v>
      </c>
      <c r="F145" s="64" t="str">
        <f>CONCATENATE(" )", Source!DM48, Source!FU48, "=", Source!FY48)</f>
        <v xml:space="preserve"> )*0,85=72,25</v>
      </c>
      <c r="G145" s="65"/>
      <c r="H145" s="29">
        <f>SUM(U140:U146)</f>
        <v>88.42</v>
      </c>
      <c r="I145" s="33"/>
      <c r="J145" s="26">
        <f>Source!AU48</f>
        <v>72</v>
      </c>
      <c r="K145" s="29">
        <f>SUM(V140:V146)</f>
        <v>578.01</v>
      </c>
      <c r="L145" s="31"/>
    </row>
    <row r="146" spans="1:26" ht="14.25" x14ac:dyDescent="0.2">
      <c r="A146" s="46"/>
      <c r="B146" s="47"/>
      <c r="C146" s="47" t="s">
        <v>1935</v>
      </c>
      <c r="D146" s="34" t="s">
        <v>1936</v>
      </c>
      <c r="E146" s="35">
        <f>Source!AQ48</f>
        <v>50.79</v>
      </c>
      <c r="F146" s="36"/>
      <c r="G146" s="37" t="str">
        <f>Source!DI48</f>
        <v>)*0,7</v>
      </c>
      <c r="H146" s="36"/>
      <c r="I146" s="37"/>
      <c r="J146" s="37"/>
      <c r="K146" s="36"/>
      <c r="L146" s="38">
        <f>Source!U48</f>
        <v>14.2212</v>
      </c>
    </row>
    <row r="147" spans="1:26" ht="15" x14ac:dyDescent="0.25">
      <c r="G147" s="63">
        <f>H141+H142+H144+H145</f>
        <v>344.08</v>
      </c>
      <c r="H147" s="63"/>
      <c r="J147" s="63">
        <f>K141+K142+K144+K145</f>
        <v>2255.12</v>
      </c>
      <c r="K147" s="63"/>
      <c r="L147" s="39">
        <f>Source!U48</f>
        <v>14.2212</v>
      </c>
      <c r="O147" s="24">
        <f>G147</f>
        <v>344.08</v>
      </c>
      <c r="P147" s="24">
        <f>J147</f>
        <v>2255.12</v>
      </c>
      <c r="Q147" s="24">
        <f>L147</f>
        <v>14.2212</v>
      </c>
      <c r="W147">
        <f>IF(Source!BI48&lt;=1,H141+H142+H144+H145, 0)</f>
        <v>344.08</v>
      </c>
      <c r="X147">
        <f>IF(Source!BI48=2,H141+H142+H144+H145, 0)</f>
        <v>0</v>
      </c>
      <c r="Y147">
        <f>IF(Source!BI48=3,H141+H142+H144+H145, 0)</f>
        <v>0</v>
      </c>
      <c r="Z147">
        <f>IF(Source!BI48=4,H141+H142+H144+H145, 0)</f>
        <v>0</v>
      </c>
    </row>
    <row r="148" spans="1:26" ht="28.5" x14ac:dyDescent="0.2">
      <c r="A148" s="44" t="str">
        <f>Source!E49</f>
        <v>15</v>
      </c>
      <c r="B148" s="45" t="str">
        <f>Source!F49</f>
        <v>59-4-1 прим.</v>
      </c>
      <c r="C148" s="45" t="str">
        <f>Source!G49</f>
        <v>Разборка поручней деревянных прямой части</v>
      </c>
      <c r="D148" s="28" t="str">
        <f>Source!H49</f>
        <v>100 м</v>
      </c>
      <c r="E148" s="11">
        <f>Source!I49</f>
        <v>0.4</v>
      </c>
      <c r="F148" s="29">
        <f>Source!AL49+Source!AM49+Source!AO49</f>
        <v>111.04</v>
      </c>
      <c r="G148" s="30"/>
      <c r="H148" s="29"/>
      <c r="I148" s="30" t="str">
        <f>Source!BO49</f>
        <v/>
      </c>
      <c r="J148" s="30"/>
      <c r="K148" s="29"/>
      <c r="L148" s="31"/>
      <c r="S148">
        <f>ROUND((Source!FX49/100)*((ROUND(Source!AF49*Source!I49, 2)+ROUND(Source!AE49*Source!I49, 2))), 2)</f>
        <v>33.76</v>
      </c>
      <c r="T148">
        <f>Source!X49</f>
        <v>221.44</v>
      </c>
      <c r="U148">
        <f>ROUND((Source!FY49/100)*((ROUND(Source!AF49*Source!I49, 2)+ROUND(Source!AE49*Source!I49, 2))), 2)</f>
        <v>26.65</v>
      </c>
      <c r="V148">
        <f>Source!Y49</f>
        <v>174.82</v>
      </c>
    </row>
    <row r="149" spans="1:26" x14ac:dyDescent="0.2">
      <c r="C149" s="23" t="str">
        <f>"Объем: "&amp;Source!I49&amp;"=40/"&amp;"100"</f>
        <v>Объем: 0,4=40/100</v>
      </c>
    </row>
    <row r="150" spans="1:26" ht="14.25" x14ac:dyDescent="0.2">
      <c r="A150" s="44"/>
      <c r="B150" s="45"/>
      <c r="C150" s="45" t="s">
        <v>1930</v>
      </c>
      <c r="D150" s="28"/>
      <c r="E150" s="11"/>
      <c r="F150" s="29">
        <f>Source!AO49</f>
        <v>111.04</v>
      </c>
      <c r="G150" s="30" t="str">
        <f>Source!DG49</f>
        <v/>
      </c>
      <c r="H150" s="29">
        <f>ROUND(Source!AF49*Source!I49, 2)</f>
        <v>44.42</v>
      </c>
      <c r="I150" s="30"/>
      <c r="J150" s="30">
        <f>IF(Source!BA49&lt;&gt; 0, Source!BA49, 1)</f>
        <v>6.56</v>
      </c>
      <c r="K150" s="29">
        <f>Source!S49</f>
        <v>291.37</v>
      </c>
      <c r="L150" s="31"/>
      <c r="R150">
        <f>H150</f>
        <v>44.42</v>
      </c>
    </row>
    <row r="151" spans="1:26" ht="14.25" x14ac:dyDescent="0.2">
      <c r="A151" s="44"/>
      <c r="B151" s="45"/>
      <c r="C151" s="45" t="s">
        <v>1932</v>
      </c>
      <c r="D151" s="28" t="s">
        <v>1933</v>
      </c>
      <c r="E151" s="11">
        <f>Source!BZ49</f>
        <v>76</v>
      </c>
      <c r="F151" s="48"/>
      <c r="G151" s="30"/>
      <c r="H151" s="29">
        <f>SUM(S148:S153)</f>
        <v>33.76</v>
      </c>
      <c r="I151" s="33"/>
      <c r="J151" s="26">
        <f>Source!AT49</f>
        <v>76</v>
      </c>
      <c r="K151" s="29">
        <f>SUM(T148:T153)</f>
        <v>221.44</v>
      </c>
      <c r="L151" s="31"/>
    </row>
    <row r="152" spans="1:26" ht="14.25" x14ac:dyDescent="0.2">
      <c r="A152" s="44"/>
      <c r="B152" s="45"/>
      <c r="C152" s="45" t="s">
        <v>1934</v>
      </c>
      <c r="D152" s="28" t="s">
        <v>1933</v>
      </c>
      <c r="E152" s="11">
        <f>Source!CA49</f>
        <v>60</v>
      </c>
      <c r="F152" s="48"/>
      <c r="G152" s="30"/>
      <c r="H152" s="29">
        <f>SUM(U148:U153)</f>
        <v>26.65</v>
      </c>
      <c r="I152" s="33"/>
      <c r="J152" s="26">
        <f>Source!AU49</f>
        <v>60</v>
      </c>
      <c r="K152" s="29">
        <f>SUM(V148:V153)</f>
        <v>174.82</v>
      </c>
      <c r="L152" s="31"/>
    </row>
    <row r="153" spans="1:26" ht="14.25" x14ac:dyDescent="0.2">
      <c r="A153" s="46"/>
      <c r="B153" s="47"/>
      <c r="C153" s="47" t="s">
        <v>1935</v>
      </c>
      <c r="D153" s="34" t="s">
        <v>1936</v>
      </c>
      <c r="E153" s="35">
        <f>Source!AQ49</f>
        <v>13.25</v>
      </c>
      <c r="F153" s="36"/>
      <c r="G153" s="37" t="str">
        <f>Source!DI49</f>
        <v/>
      </c>
      <c r="H153" s="36"/>
      <c r="I153" s="37"/>
      <c r="J153" s="37"/>
      <c r="K153" s="36"/>
      <c r="L153" s="38">
        <f>Source!U49</f>
        <v>5.3000000000000007</v>
      </c>
    </row>
    <row r="154" spans="1:26" ht="15" x14ac:dyDescent="0.25">
      <c r="G154" s="63">
        <f>H150+H151+H152</f>
        <v>104.83000000000001</v>
      </c>
      <c r="H154" s="63"/>
      <c r="J154" s="63">
        <f>K150+K151+K152</f>
        <v>687.62999999999988</v>
      </c>
      <c r="K154" s="63"/>
      <c r="L154" s="39">
        <f>Source!U49</f>
        <v>5.3000000000000007</v>
      </c>
      <c r="O154" s="24">
        <f>G154</f>
        <v>104.83000000000001</v>
      </c>
      <c r="P154" s="24">
        <f>J154</f>
        <v>687.62999999999988</v>
      </c>
      <c r="Q154" s="24">
        <f>L154</f>
        <v>5.3000000000000007</v>
      </c>
      <c r="W154">
        <f>IF(Source!BI49&lt;=1,H150+H151+H152, 0)</f>
        <v>104.83000000000001</v>
      </c>
      <c r="X154">
        <f>IF(Source!BI49=2,H150+H151+H152, 0)</f>
        <v>0</v>
      </c>
      <c r="Y154">
        <f>IF(Source!BI49=3,H150+H151+H152, 0)</f>
        <v>0</v>
      </c>
      <c r="Z154">
        <f>IF(Source!BI49=4,H150+H151+H152, 0)</f>
        <v>0</v>
      </c>
    </row>
    <row r="156" spans="1:26" ht="15" x14ac:dyDescent="0.25">
      <c r="A156" s="66" t="str">
        <f>CONCATENATE("Итого по подразделу: ",IF(Source!G51&lt;&gt;"Новый подраздел", Source!G51, ""))</f>
        <v>Итого по подразделу: 1 Демонтаж</v>
      </c>
      <c r="B156" s="66"/>
      <c r="C156" s="66"/>
      <c r="D156" s="66"/>
      <c r="E156" s="66"/>
      <c r="F156" s="66"/>
      <c r="G156" s="67">
        <f>SUM(O26:O155)</f>
        <v>6216.8099999999986</v>
      </c>
      <c r="H156" s="67"/>
      <c r="I156" s="25"/>
      <c r="J156" s="67">
        <f>SUM(P26:P155)</f>
        <v>40807.320000000007</v>
      </c>
      <c r="K156" s="67"/>
      <c r="L156" s="39">
        <f>SUM(Q26:Q155)</f>
        <v>279.49097920000003</v>
      </c>
    </row>
    <row r="157" spans="1:26" ht="16.5" x14ac:dyDescent="0.25">
      <c r="A157" s="68" t="str">
        <f>CONCATENATE("Подраздел: ",IF(Source!G80&lt;&gt;"Новый подраздел", Source!G80, ""))</f>
        <v>Подраздел: 2 Монтаж</v>
      </c>
      <c r="B157" s="68"/>
      <c r="C157" s="68"/>
      <c r="D157" s="68"/>
      <c r="E157" s="68"/>
      <c r="F157" s="68"/>
      <c r="G157" s="68"/>
      <c r="H157" s="68"/>
      <c r="I157" s="68"/>
      <c r="J157" s="68"/>
      <c r="K157" s="68"/>
      <c r="L157" s="68"/>
    </row>
    <row r="158" spans="1:26" ht="71.25" x14ac:dyDescent="0.2">
      <c r="A158" s="44" t="str">
        <f>Source!E84</f>
        <v>16</v>
      </c>
      <c r="B158" s="45" t="str">
        <f>Source!F84</f>
        <v>10-01-034-06</v>
      </c>
      <c r="C158" s="45" t="str">
        <f>Source!G84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158" s="28" t="str">
        <f>Source!H84</f>
        <v>100 м2</v>
      </c>
      <c r="E158" s="11">
        <f>Source!I84</f>
        <v>0.35549999999999998</v>
      </c>
      <c r="F158" s="29">
        <f>Source!AL84+Source!AM84+Source!AO84</f>
        <v>9827.15</v>
      </c>
      <c r="G158" s="30"/>
      <c r="H158" s="29"/>
      <c r="I158" s="30" t="str">
        <f>Source!BO84</f>
        <v/>
      </c>
      <c r="J158" s="30"/>
      <c r="K158" s="29"/>
      <c r="L158" s="31"/>
      <c r="S158">
        <f>ROUND((Source!FX84/100)*((ROUND(Source!AF84*Source!I84, 2)+ROUND(Source!AE84*Source!I84, 2))), 2)</f>
        <v>576.71</v>
      </c>
      <c r="T158">
        <f>Source!X84</f>
        <v>3776.06</v>
      </c>
      <c r="U158">
        <f>ROUND((Source!FY84/100)*((ROUND(Source!AF84*Source!I84, 2)+ROUND(Source!AE84*Source!I84, 2))), 2)</f>
        <v>290.8</v>
      </c>
      <c r="V158">
        <f>Source!Y84</f>
        <v>1923.65</v>
      </c>
    </row>
    <row r="159" spans="1:26" x14ac:dyDescent="0.2">
      <c r="C159" s="23" t="str">
        <f>"Объем: "&amp;Source!I84&amp;"=35,55/"&amp;"100"</f>
        <v>Объем: 0,3555=35,55/100</v>
      </c>
    </row>
    <row r="160" spans="1:26" ht="14.25" x14ac:dyDescent="0.2">
      <c r="A160" s="44"/>
      <c r="B160" s="45"/>
      <c r="C160" s="45" t="s">
        <v>1930</v>
      </c>
      <c r="D160" s="28"/>
      <c r="E160" s="11"/>
      <c r="F160" s="29">
        <f>Source!AO84</f>
        <v>1273.5899999999999</v>
      </c>
      <c r="G160" s="30" t="str">
        <f>Source!DG84</f>
        <v>)*1,15</v>
      </c>
      <c r="H160" s="29">
        <f>ROUND(Source!AF84*Source!I84, 2)</f>
        <v>520.67999999999995</v>
      </c>
      <c r="I160" s="30"/>
      <c r="J160" s="30">
        <f>IF(Source!BA84&lt;&gt; 0, Source!BA84, 1)</f>
        <v>6.56</v>
      </c>
      <c r="K160" s="29">
        <f>Source!S84</f>
        <v>3415.63</v>
      </c>
      <c r="L160" s="31"/>
      <c r="R160">
        <f>H160</f>
        <v>520.67999999999995</v>
      </c>
    </row>
    <row r="161" spans="1:26" ht="14.25" x14ac:dyDescent="0.2">
      <c r="A161" s="44"/>
      <c r="B161" s="45"/>
      <c r="C161" s="45" t="s">
        <v>151</v>
      </c>
      <c r="D161" s="28"/>
      <c r="E161" s="11"/>
      <c r="F161" s="29">
        <f>Source!AM84</f>
        <v>255.21</v>
      </c>
      <c r="G161" s="30" t="str">
        <f>Source!DE84</f>
        <v>)*1,25</v>
      </c>
      <c r="H161" s="29">
        <f>ROUND(Source!AD84*Source!I84, 2)</f>
        <v>113.41</v>
      </c>
      <c r="I161" s="30"/>
      <c r="J161" s="30">
        <f>IF(Source!BB84&lt;&gt; 0, Source!BB84, 1)</f>
        <v>6.56</v>
      </c>
      <c r="K161" s="29">
        <f>Source!Q84</f>
        <v>743.96</v>
      </c>
      <c r="L161" s="31"/>
    </row>
    <row r="162" spans="1:26" ht="14.25" x14ac:dyDescent="0.2">
      <c r="A162" s="44"/>
      <c r="B162" s="45"/>
      <c r="C162" s="45" t="s">
        <v>1931</v>
      </c>
      <c r="D162" s="28"/>
      <c r="E162" s="11"/>
      <c r="F162" s="29">
        <f>Source!AN84</f>
        <v>50.32</v>
      </c>
      <c r="G162" s="30" t="str">
        <f>Source!DF84</f>
        <v>)*1,25</v>
      </c>
      <c r="H162" s="32">
        <f>ROUND(Source!AE84*Source!I84, 2)</f>
        <v>22.36</v>
      </c>
      <c r="I162" s="30"/>
      <c r="J162" s="30">
        <f>IF(Source!BS84&lt;&gt; 0, Source!BS84, 1)</f>
        <v>6.56</v>
      </c>
      <c r="K162" s="32">
        <f>Source!R84</f>
        <v>146.69</v>
      </c>
      <c r="L162" s="31"/>
      <c r="R162">
        <f>H162</f>
        <v>22.36</v>
      </c>
    </row>
    <row r="163" spans="1:26" ht="14.25" x14ac:dyDescent="0.2">
      <c r="A163" s="44"/>
      <c r="B163" s="45"/>
      <c r="C163" s="45" t="s">
        <v>1937</v>
      </c>
      <c r="D163" s="28"/>
      <c r="E163" s="11"/>
      <c r="F163" s="29">
        <f>Source!AL84</f>
        <v>8298.35</v>
      </c>
      <c r="G163" s="30" t="str">
        <f>Source!DD84</f>
        <v/>
      </c>
      <c r="H163" s="29">
        <f>ROUND(Source!AC84*Source!I84, 2)</f>
        <v>2950.06</v>
      </c>
      <c r="I163" s="30"/>
      <c r="J163" s="30">
        <f>IF(Source!BC84&lt;&gt; 0, Source!BC84, 1)</f>
        <v>6.56</v>
      </c>
      <c r="K163" s="29">
        <f>Source!P84</f>
        <v>19352.419999999998</v>
      </c>
      <c r="L163" s="31"/>
    </row>
    <row r="164" spans="1:26" ht="14.25" x14ac:dyDescent="0.2">
      <c r="A164" s="44"/>
      <c r="B164" s="45"/>
      <c r="C164" s="45" t="s">
        <v>1932</v>
      </c>
      <c r="D164" s="28" t="s">
        <v>1933</v>
      </c>
      <c r="E164" s="11">
        <f>Source!BZ84</f>
        <v>118</v>
      </c>
      <c r="F164" s="64" t="str">
        <f>CONCATENATE(" )", Source!DL84, Source!FT84, "=", Source!FX84)</f>
        <v xml:space="preserve"> )*0,9=106,2</v>
      </c>
      <c r="G164" s="65"/>
      <c r="H164" s="29">
        <f>SUM(S158:S168)</f>
        <v>576.71</v>
      </c>
      <c r="I164" s="33"/>
      <c r="J164" s="26">
        <f>Source!AT84</f>
        <v>106</v>
      </c>
      <c r="K164" s="29">
        <f>SUM(T158:T168)</f>
        <v>3776.06</v>
      </c>
      <c r="L164" s="31"/>
    </row>
    <row r="165" spans="1:26" ht="14.25" x14ac:dyDescent="0.2">
      <c r="A165" s="44"/>
      <c r="B165" s="45"/>
      <c r="C165" s="45" t="s">
        <v>1934</v>
      </c>
      <c r="D165" s="28" t="s">
        <v>1933</v>
      </c>
      <c r="E165" s="11">
        <f>Source!CA84</f>
        <v>63</v>
      </c>
      <c r="F165" s="64" t="str">
        <f>CONCATENATE(" )", Source!DM84, Source!FU84, "=", Source!FY84)</f>
        <v xml:space="preserve"> )*0,85=53,55</v>
      </c>
      <c r="G165" s="65"/>
      <c r="H165" s="29">
        <f>SUM(U158:U168)</f>
        <v>290.8</v>
      </c>
      <c r="I165" s="33"/>
      <c r="J165" s="26">
        <f>Source!AU84</f>
        <v>54</v>
      </c>
      <c r="K165" s="29">
        <f>SUM(V158:V168)</f>
        <v>1923.65</v>
      </c>
      <c r="L165" s="31"/>
    </row>
    <row r="166" spans="1:26" ht="14.25" x14ac:dyDescent="0.2">
      <c r="A166" s="44"/>
      <c r="B166" s="45"/>
      <c r="C166" s="45" t="s">
        <v>1935</v>
      </c>
      <c r="D166" s="28" t="s">
        <v>1936</v>
      </c>
      <c r="E166" s="11">
        <f>Source!AQ84</f>
        <v>145.72</v>
      </c>
      <c r="F166" s="29"/>
      <c r="G166" s="30" t="str">
        <f>Source!DI84</f>
        <v>)*1,15</v>
      </c>
      <c r="H166" s="29"/>
      <c r="I166" s="30"/>
      <c r="J166" s="30"/>
      <c r="K166" s="29"/>
      <c r="L166" s="40">
        <f>Source!U84</f>
        <v>59.573978999999987</v>
      </c>
    </row>
    <row r="167" spans="1:26" ht="71.25" x14ac:dyDescent="0.2">
      <c r="A167" s="44" t="str">
        <f>Source!E85</f>
        <v>16,1</v>
      </c>
      <c r="B167" s="45" t="str">
        <f>Source!F85</f>
        <v>11.3.02.01-0019</v>
      </c>
      <c r="C167" s="45" t="str">
        <f>Source!G85</f>
        <v>Блок оконный пластиковый двустворчатый, с глухой и поворотно-откидной створкой, двухкамерным стеклопакетом (32 мм), площадью до 3,5 м2</v>
      </c>
      <c r="D167" s="28" t="str">
        <f>Source!H85</f>
        <v>м2</v>
      </c>
      <c r="E167" s="11">
        <f>Source!I85</f>
        <v>35.549999999999997</v>
      </c>
      <c r="F167" s="29">
        <f>Source!AL85+Source!AM85+Source!AO85</f>
        <v>2554.73</v>
      </c>
      <c r="G167" s="41" t="s">
        <v>6</v>
      </c>
      <c r="H167" s="29">
        <f>ROUND(Source!AC85*Source!I85, 2)+ROUND(Source!AD85*Source!I85, 2)+ROUND(Source!AF85*Source!I85, 2)</f>
        <v>90820.65</v>
      </c>
      <c r="I167" s="30"/>
      <c r="J167" s="30">
        <f>IF(Source!BC85&lt;&gt; 0, Source!BC85, 1)</f>
        <v>6.56</v>
      </c>
      <c r="K167" s="29">
        <f>Source!O85</f>
        <v>595783.47</v>
      </c>
      <c r="L167" s="31"/>
      <c r="S167">
        <f>ROUND((Source!FX85/100)*((ROUND(Source!AF85*Source!I85, 2)+ROUND(Source!AE85*Source!I85, 2))), 2)</f>
        <v>0</v>
      </c>
      <c r="T167">
        <f>Source!X85</f>
        <v>0</v>
      </c>
      <c r="U167">
        <f>ROUND((Source!FY85/100)*((ROUND(Source!AF85*Source!I85, 2)+ROUND(Source!AE85*Source!I85, 2))), 2)</f>
        <v>0</v>
      </c>
      <c r="V167">
        <f>Source!Y85</f>
        <v>0</v>
      </c>
      <c r="W167">
        <f>IF(Source!BI85&lt;=1,H167, 0)</f>
        <v>90820.65</v>
      </c>
      <c r="X167">
        <f>IF(Source!BI85=2,H167, 0)</f>
        <v>0</v>
      </c>
      <c r="Y167">
        <f>IF(Source!BI85=3,H167, 0)</f>
        <v>0</v>
      </c>
      <c r="Z167">
        <f>IF(Source!BI85=4,H167, 0)</f>
        <v>0</v>
      </c>
    </row>
    <row r="168" spans="1:26" ht="14.25" x14ac:dyDescent="0.2">
      <c r="A168" s="46" t="str">
        <f>Source!E86</f>
        <v>16,2</v>
      </c>
      <c r="B168" s="47" t="str">
        <f>Source!F86</f>
        <v>11.3.02.03</v>
      </c>
      <c r="C168" s="47" t="str">
        <f>Source!G86</f>
        <v>Блоки оконные пластиковые</v>
      </c>
      <c r="D168" s="34" t="str">
        <f>Source!H86</f>
        <v>м2</v>
      </c>
      <c r="E168" s="35">
        <f>Source!I86</f>
        <v>35.549999999999997</v>
      </c>
      <c r="F168" s="36">
        <f>Source!AL86+Source!AM86+Source!AO86</f>
        <v>0</v>
      </c>
      <c r="G168" s="42" t="s">
        <v>6</v>
      </c>
      <c r="H168" s="36">
        <f>ROUND(Source!AC86*Source!I86, 2)+ROUND(Source!AD86*Source!I86, 2)+ROUND(Source!AF86*Source!I86, 2)</f>
        <v>0</v>
      </c>
      <c r="I168" s="37"/>
      <c r="J168" s="37">
        <f>IF(Source!BC86&lt;&gt; 0, Source!BC86, 1)</f>
        <v>6.56</v>
      </c>
      <c r="K168" s="36">
        <f>Source!O86</f>
        <v>0</v>
      </c>
      <c r="L168" s="43"/>
      <c r="S168">
        <f>ROUND((Source!FX86/100)*((ROUND(Source!AF86*Source!I86, 2)+ROUND(Source!AE86*Source!I86, 2))), 2)</f>
        <v>0</v>
      </c>
      <c r="T168">
        <f>Source!X86</f>
        <v>0</v>
      </c>
      <c r="U168">
        <f>ROUND((Source!FY86/100)*((ROUND(Source!AF86*Source!I86, 2)+ROUND(Source!AE86*Source!I86, 2))), 2)</f>
        <v>0</v>
      </c>
      <c r="V168">
        <f>Source!Y86</f>
        <v>0</v>
      </c>
      <c r="W168">
        <f>IF(Source!BI86&lt;=1,H168, 0)</f>
        <v>0</v>
      </c>
      <c r="X168">
        <f>IF(Source!BI86=2,H168, 0)</f>
        <v>0</v>
      </c>
      <c r="Y168">
        <f>IF(Source!BI86=3,H168, 0)</f>
        <v>0</v>
      </c>
      <c r="Z168">
        <f>IF(Source!BI86=4,H168, 0)</f>
        <v>0</v>
      </c>
    </row>
    <row r="169" spans="1:26" ht="15" x14ac:dyDescent="0.25">
      <c r="G169" s="63">
        <f>H160+H161+H163+H164+H165+SUM(H167:H168)</f>
        <v>95272.31</v>
      </c>
      <c r="H169" s="63"/>
      <c r="J169" s="63">
        <f>K160+K161+K163+K164+K165+SUM(K167:K168)</f>
        <v>624995.18999999994</v>
      </c>
      <c r="K169" s="63"/>
      <c r="L169" s="39">
        <f>Source!U84</f>
        <v>59.573978999999987</v>
      </c>
      <c r="O169" s="24">
        <f>G169</f>
        <v>95272.31</v>
      </c>
      <c r="P169" s="24">
        <f>J169</f>
        <v>624995.18999999994</v>
      </c>
      <c r="Q169" s="24">
        <f>L169</f>
        <v>59.573978999999987</v>
      </c>
      <c r="W169">
        <f>IF(Source!BI84&lt;=1,H160+H161+H163+H164+H165, 0)</f>
        <v>4451.66</v>
      </c>
      <c r="X169">
        <f>IF(Source!BI84=2,H160+H161+H163+H164+H165, 0)</f>
        <v>0</v>
      </c>
      <c r="Y169">
        <f>IF(Source!BI84=3,H160+H161+H163+H164+H165, 0)</f>
        <v>0</v>
      </c>
      <c r="Z169">
        <f>IF(Source!BI84=4,H160+H161+H163+H164+H165, 0)</f>
        <v>0</v>
      </c>
    </row>
    <row r="170" spans="1:26" ht="71.25" x14ac:dyDescent="0.2">
      <c r="A170" s="44" t="str">
        <f>Source!E87</f>
        <v>17</v>
      </c>
      <c r="B170" s="45" t="str">
        <f>Source!F87</f>
        <v>10-01-034-03</v>
      </c>
      <c r="C170" s="45" t="str">
        <f>Source!G87</f>
        <v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v>
      </c>
      <c r="D170" s="28" t="str">
        <f>Source!H87</f>
        <v>100 м2</v>
      </c>
      <c r="E170" s="11">
        <f>Source!I87</f>
        <v>1.7999999999999999E-2</v>
      </c>
      <c r="F170" s="29">
        <f>Source!AL87+Source!AM87+Source!AO87</f>
        <v>15756.66</v>
      </c>
      <c r="G170" s="30"/>
      <c r="H170" s="29"/>
      <c r="I170" s="30" t="str">
        <f>Source!BO87</f>
        <v/>
      </c>
      <c r="J170" s="30"/>
      <c r="K170" s="29"/>
      <c r="L170" s="31"/>
      <c r="S170">
        <f>ROUND((Source!FX87/100)*((ROUND(Source!AF87*Source!I87, 2)+ROUND(Source!AE87*Source!I87, 2))), 2)</f>
        <v>43.07</v>
      </c>
      <c r="T170">
        <f>Source!X87</f>
        <v>282.02999999999997</v>
      </c>
      <c r="U170">
        <f>ROUND((Source!FY87/100)*((ROUND(Source!AF87*Source!I87, 2)+ROUND(Source!AE87*Source!I87, 2))), 2)</f>
        <v>21.72</v>
      </c>
      <c r="V170">
        <f>Source!Y87</f>
        <v>143.68</v>
      </c>
    </row>
    <row r="171" spans="1:26" x14ac:dyDescent="0.2">
      <c r="C171" s="23" t="str">
        <f>"Объем: "&amp;Source!I87&amp;"=1,8/"&amp;"100"</f>
        <v>Объем: 0,018=1,8/100</v>
      </c>
    </row>
    <row r="172" spans="1:26" ht="14.25" x14ac:dyDescent="0.2">
      <c r="A172" s="44"/>
      <c r="B172" s="45"/>
      <c r="C172" s="45" t="s">
        <v>1930</v>
      </c>
      <c r="D172" s="28"/>
      <c r="E172" s="11"/>
      <c r="F172" s="29">
        <f>Source!AO87</f>
        <v>1888.54</v>
      </c>
      <c r="G172" s="30" t="str">
        <f>Source!DG87</f>
        <v>)*1,15</v>
      </c>
      <c r="H172" s="29">
        <f>ROUND(Source!AF87*Source!I87, 2)</f>
        <v>39.090000000000003</v>
      </c>
      <c r="I172" s="30"/>
      <c r="J172" s="30">
        <f>IF(Source!BA87&lt;&gt; 0, Source!BA87, 1)</f>
        <v>6.56</v>
      </c>
      <c r="K172" s="29">
        <f>Source!S87</f>
        <v>256.45</v>
      </c>
      <c r="L172" s="31"/>
      <c r="R172">
        <f>H172</f>
        <v>39.090000000000003</v>
      </c>
    </row>
    <row r="173" spans="1:26" ht="14.25" x14ac:dyDescent="0.2">
      <c r="A173" s="44"/>
      <c r="B173" s="45"/>
      <c r="C173" s="45" t="s">
        <v>151</v>
      </c>
      <c r="D173" s="28"/>
      <c r="E173" s="11"/>
      <c r="F173" s="29">
        <f>Source!AM87</f>
        <v>289.60000000000002</v>
      </c>
      <c r="G173" s="30" t="str">
        <f>Source!DE87</f>
        <v>)*1,25</v>
      </c>
      <c r="H173" s="29">
        <f>ROUND(Source!AD87*Source!I87, 2)</f>
        <v>6.52</v>
      </c>
      <c r="I173" s="30"/>
      <c r="J173" s="30">
        <f>IF(Source!BB87&lt;&gt; 0, Source!BB87, 1)</f>
        <v>6.56</v>
      </c>
      <c r="K173" s="29">
        <f>Source!Q87</f>
        <v>42.74</v>
      </c>
      <c r="L173" s="31"/>
    </row>
    <row r="174" spans="1:26" ht="14.25" x14ac:dyDescent="0.2">
      <c r="A174" s="44"/>
      <c r="B174" s="45"/>
      <c r="C174" s="45" t="s">
        <v>1931</v>
      </c>
      <c r="D174" s="28"/>
      <c r="E174" s="11"/>
      <c r="F174" s="29">
        <f>Source!AN87</f>
        <v>65.17</v>
      </c>
      <c r="G174" s="30" t="str">
        <f>Source!DF87</f>
        <v>)*1,25</v>
      </c>
      <c r="H174" s="32">
        <f>ROUND(Source!AE87*Source!I87, 2)</f>
        <v>1.47</v>
      </c>
      <c r="I174" s="30"/>
      <c r="J174" s="30">
        <f>IF(Source!BS87&lt;&gt; 0, Source!BS87, 1)</f>
        <v>6.56</v>
      </c>
      <c r="K174" s="32">
        <f>Source!R87</f>
        <v>9.6199999999999992</v>
      </c>
      <c r="L174" s="31"/>
      <c r="R174">
        <f>H174</f>
        <v>1.47</v>
      </c>
    </row>
    <row r="175" spans="1:26" ht="14.25" x14ac:dyDescent="0.2">
      <c r="A175" s="44"/>
      <c r="B175" s="45"/>
      <c r="C175" s="45" t="s">
        <v>1937</v>
      </c>
      <c r="D175" s="28"/>
      <c r="E175" s="11"/>
      <c r="F175" s="29">
        <f>Source!AL87</f>
        <v>13578.52</v>
      </c>
      <c r="G175" s="30" t="str">
        <f>Source!DD87</f>
        <v/>
      </c>
      <c r="H175" s="29">
        <f>ROUND(Source!AC87*Source!I87, 2)</f>
        <v>244.41</v>
      </c>
      <c r="I175" s="30"/>
      <c r="J175" s="30">
        <f>IF(Source!BC87&lt;&gt; 0, Source!BC87, 1)</f>
        <v>6.56</v>
      </c>
      <c r="K175" s="29">
        <f>Source!P87</f>
        <v>1603.35</v>
      </c>
      <c r="L175" s="31"/>
    </row>
    <row r="176" spans="1:26" ht="14.25" x14ac:dyDescent="0.2">
      <c r="A176" s="44"/>
      <c r="B176" s="45"/>
      <c r="C176" s="45" t="s">
        <v>1932</v>
      </c>
      <c r="D176" s="28" t="s">
        <v>1933</v>
      </c>
      <c r="E176" s="11">
        <f>Source!BZ87</f>
        <v>118</v>
      </c>
      <c r="F176" s="64" t="str">
        <f>CONCATENATE(" )", Source!DL87, Source!FT87, "=", Source!FX87)</f>
        <v xml:space="preserve"> )*0,9=106,2</v>
      </c>
      <c r="G176" s="65"/>
      <c r="H176" s="29">
        <f>SUM(S170:S180)</f>
        <v>43.07</v>
      </c>
      <c r="I176" s="33"/>
      <c r="J176" s="26">
        <f>Source!AT87</f>
        <v>106</v>
      </c>
      <c r="K176" s="29">
        <f>SUM(T170:T180)</f>
        <v>282.02999999999997</v>
      </c>
      <c r="L176" s="31"/>
    </row>
    <row r="177" spans="1:26" ht="14.25" x14ac:dyDescent="0.2">
      <c r="A177" s="44"/>
      <c r="B177" s="45"/>
      <c r="C177" s="45" t="s">
        <v>1934</v>
      </c>
      <c r="D177" s="28" t="s">
        <v>1933</v>
      </c>
      <c r="E177" s="11">
        <f>Source!CA87</f>
        <v>63</v>
      </c>
      <c r="F177" s="64" t="str">
        <f>CONCATENATE(" )", Source!DM87, Source!FU87, "=", Source!FY87)</f>
        <v xml:space="preserve"> )*0,85=53,55</v>
      </c>
      <c r="G177" s="65"/>
      <c r="H177" s="29">
        <f>SUM(U170:U180)</f>
        <v>21.72</v>
      </c>
      <c r="I177" s="33"/>
      <c r="J177" s="26">
        <f>Source!AU87</f>
        <v>54</v>
      </c>
      <c r="K177" s="29">
        <f>SUM(V170:V180)</f>
        <v>143.68</v>
      </c>
      <c r="L177" s="31"/>
    </row>
    <row r="178" spans="1:26" ht="14.25" x14ac:dyDescent="0.2">
      <c r="A178" s="44"/>
      <c r="B178" s="45"/>
      <c r="C178" s="45" t="s">
        <v>1935</v>
      </c>
      <c r="D178" s="28" t="s">
        <v>1936</v>
      </c>
      <c r="E178" s="11">
        <f>Source!AQ87</f>
        <v>216.08</v>
      </c>
      <c r="F178" s="29"/>
      <c r="G178" s="30" t="str">
        <f>Source!DI87</f>
        <v>)*1,15</v>
      </c>
      <c r="H178" s="29"/>
      <c r="I178" s="30"/>
      <c r="J178" s="30"/>
      <c r="K178" s="29"/>
      <c r="L178" s="40">
        <f>Source!U87</f>
        <v>4.4728559999999993</v>
      </c>
    </row>
    <row r="179" spans="1:26" ht="71.25" x14ac:dyDescent="0.2">
      <c r="A179" s="44" t="str">
        <f>Source!E88</f>
        <v>17,1</v>
      </c>
      <c r="B179" s="45" t="str">
        <f>Source!F88</f>
        <v>11.3.02.02-0012</v>
      </c>
      <c r="C179" s="45" t="str">
        <f>Source!G88</f>
        <v>Блок оконный пластиковый одностворчатый, с поворотно-откидной створкой, двухкамерным стеклопакетом (32 мм), площадью до 1 м2</v>
      </c>
      <c r="D179" s="28" t="str">
        <f>Source!H88</f>
        <v>м2</v>
      </c>
      <c r="E179" s="11">
        <f>Source!I88</f>
        <v>1.8</v>
      </c>
      <c r="F179" s="29">
        <f>Source!AL88+Source!AM88+Source!AO88</f>
        <v>4581.8599999999997</v>
      </c>
      <c r="G179" s="41" t="s">
        <v>6</v>
      </c>
      <c r="H179" s="29">
        <f>ROUND(Source!AC88*Source!I88, 2)+ROUND(Source!AD88*Source!I88, 2)+ROUND(Source!AF88*Source!I88, 2)</f>
        <v>8247.35</v>
      </c>
      <c r="I179" s="30"/>
      <c r="J179" s="30">
        <f>IF(Source!BC88&lt;&gt; 0, Source!BC88, 1)</f>
        <v>6.56</v>
      </c>
      <c r="K179" s="29">
        <f>Source!O88</f>
        <v>54102.6</v>
      </c>
      <c r="L179" s="31"/>
      <c r="S179">
        <f>ROUND((Source!FX88/100)*((ROUND(Source!AF88*Source!I88, 2)+ROUND(Source!AE88*Source!I88, 2))), 2)</f>
        <v>0</v>
      </c>
      <c r="T179">
        <f>Source!X88</f>
        <v>0</v>
      </c>
      <c r="U179">
        <f>ROUND((Source!FY88/100)*((ROUND(Source!AF88*Source!I88, 2)+ROUND(Source!AE88*Source!I88, 2))), 2)</f>
        <v>0</v>
      </c>
      <c r="V179">
        <f>Source!Y88</f>
        <v>0</v>
      </c>
      <c r="W179">
        <f>IF(Source!BI88&lt;=1,H179, 0)</f>
        <v>8247.35</v>
      </c>
      <c r="X179">
        <f>IF(Source!BI88=2,H179, 0)</f>
        <v>0</v>
      </c>
      <c r="Y179">
        <f>IF(Source!BI88=3,H179, 0)</f>
        <v>0</v>
      </c>
      <c r="Z179">
        <f>IF(Source!BI88=4,H179, 0)</f>
        <v>0</v>
      </c>
    </row>
    <row r="180" spans="1:26" ht="14.25" x14ac:dyDescent="0.2">
      <c r="A180" s="46" t="str">
        <f>Source!E89</f>
        <v>17,2</v>
      </c>
      <c r="B180" s="47" t="str">
        <f>Source!F89</f>
        <v>11.3.02.03</v>
      </c>
      <c r="C180" s="47" t="str">
        <f>Source!G89</f>
        <v>Блоки оконные пластиковые</v>
      </c>
      <c r="D180" s="34" t="str">
        <f>Source!H89</f>
        <v>м2</v>
      </c>
      <c r="E180" s="35">
        <f>Source!I89</f>
        <v>1.8</v>
      </c>
      <c r="F180" s="36">
        <f>Source!AL89+Source!AM89+Source!AO89</f>
        <v>0</v>
      </c>
      <c r="G180" s="42" t="s">
        <v>6</v>
      </c>
      <c r="H180" s="36">
        <f>ROUND(Source!AC89*Source!I89, 2)+ROUND(Source!AD89*Source!I89, 2)+ROUND(Source!AF89*Source!I89, 2)</f>
        <v>0</v>
      </c>
      <c r="I180" s="37"/>
      <c r="J180" s="37">
        <f>IF(Source!BC89&lt;&gt; 0, Source!BC89, 1)</f>
        <v>6.56</v>
      </c>
      <c r="K180" s="36">
        <f>Source!O89</f>
        <v>0</v>
      </c>
      <c r="L180" s="43"/>
      <c r="S180">
        <f>ROUND((Source!FX89/100)*((ROUND(Source!AF89*Source!I89, 2)+ROUND(Source!AE89*Source!I89, 2))), 2)</f>
        <v>0</v>
      </c>
      <c r="T180">
        <f>Source!X89</f>
        <v>0</v>
      </c>
      <c r="U180">
        <f>ROUND((Source!FY89/100)*((ROUND(Source!AF89*Source!I89, 2)+ROUND(Source!AE89*Source!I89, 2))), 2)</f>
        <v>0</v>
      </c>
      <c r="V180">
        <f>Source!Y89</f>
        <v>0</v>
      </c>
      <c r="W180">
        <f>IF(Source!BI89&lt;=1,H180, 0)</f>
        <v>0</v>
      </c>
      <c r="X180">
        <f>IF(Source!BI89=2,H180, 0)</f>
        <v>0</v>
      </c>
      <c r="Y180">
        <f>IF(Source!BI89=3,H180, 0)</f>
        <v>0</v>
      </c>
      <c r="Z180">
        <f>IF(Source!BI89=4,H180, 0)</f>
        <v>0</v>
      </c>
    </row>
    <row r="181" spans="1:26" ht="15" x14ac:dyDescent="0.25">
      <c r="G181" s="63">
        <f>H172+H173+H175+H176+H177+SUM(H179:H180)</f>
        <v>8602.16</v>
      </c>
      <c r="H181" s="63"/>
      <c r="J181" s="63">
        <f>K172+K173+K175+K176+K177+SUM(K179:K180)</f>
        <v>56430.85</v>
      </c>
      <c r="K181" s="63"/>
      <c r="L181" s="39">
        <f>Source!U87</f>
        <v>4.4728559999999993</v>
      </c>
      <c r="O181" s="24">
        <f>G181</f>
        <v>8602.16</v>
      </c>
      <c r="P181" s="24">
        <f>J181</f>
        <v>56430.85</v>
      </c>
      <c r="Q181" s="24">
        <f>L181</f>
        <v>4.4728559999999993</v>
      </c>
      <c r="W181">
        <f>IF(Source!BI87&lt;=1,H172+H173+H175+H176+H177, 0)</f>
        <v>354.80999999999995</v>
      </c>
      <c r="X181">
        <f>IF(Source!BI87=2,H172+H173+H175+H176+H177, 0)</f>
        <v>0</v>
      </c>
      <c r="Y181">
        <f>IF(Source!BI87=3,H172+H173+H175+H176+H177, 0)</f>
        <v>0</v>
      </c>
      <c r="Z181">
        <f>IF(Source!BI87=4,H172+H173+H175+H176+H177, 0)</f>
        <v>0</v>
      </c>
    </row>
    <row r="182" spans="1:26" ht="42.75" x14ac:dyDescent="0.2">
      <c r="A182" s="44" t="str">
        <f>Source!E90</f>
        <v>18</v>
      </c>
      <c r="B182" s="45" t="str">
        <f>Source!F90</f>
        <v>12-01-010-01</v>
      </c>
      <c r="C182" s="45" t="str">
        <f>Source!G90</f>
        <v>Устройство мелких покрытий (брандмауэры, парапеты, свесы и т.п.) из листовой оцинкованной стали</v>
      </c>
      <c r="D182" s="28" t="str">
        <f>Source!H90</f>
        <v>100 м2</v>
      </c>
      <c r="E182" s="11">
        <f>Source!I90</f>
        <v>4.0599999999999997E-2</v>
      </c>
      <c r="F182" s="29">
        <f>Source!AL90+Source!AM90+Source!AO90</f>
        <v>9874.2199999999993</v>
      </c>
      <c r="G182" s="30"/>
      <c r="H182" s="29"/>
      <c r="I182" s="30" t="str">
        <f>Source!BO90</f>
        <v/>
      </c>
      <c r="J182" s="30"/>
      <c r="K182" s="29"/>
      <c r="L182" s="31"/>
      <c r="S182">
        <f>ROUND((Source!FX90/100)*((ROUND(Source!AF90*Source!I90, 2)+ROUND(Source!AE90*Source!I90, 2))), 2)</f>
        <v>48.69</v>
      </c>
      <c r="T182">
        <f>Source!X90</f>
        <v>319.39999999999998</v>
      </c>
      <c r="U182">
        <f>ROUND((Source!FY90/100)*((ROUND(Source!AF90*Source!I90, 2)+ROUND(Source!AE90*Source!I90, 2))), 2)</f>
        <v>24.91</v>
      </c>
      <c r="V182">
        <f>Source!Y90</f>
        <v>162.66</v>
      </c>
    </row>
    <row r="183" spans="1:26" x14ac:dyDescent="0.2">
      <c r="C183" s="23" t="str">
        <f>"Объем: "&amp;Source!I90&amp;"=4,06/"&amp;"100"</f>
        <v>Объем: 0,0406=4,06/100</v>
      </c>
    </row>
    <row r="184" spans="1:26" ht="14.25" x14ac:dyDescent="0.2">
      <c r="A184" s="44"/>
      <c r="B184" s="45"/>
      <c r="C184" s="45" t="s">
        <v>1930</v>
      </c>
      <c r="D184" s="28"/>
      <c r="E184" s="11"/>
      <c r="F184" s="29">
        <f>Source!AO90</f>
        <v>961.76</v>
      </c>
      <c r="G184" s="30" t="str">
        <f>Source!DG90</f>
        <v>)*1,15</v>
      </c>
      <c r="H184" s="29">
        <f>ROUND(Source!AF90*Source!I90, 2)</f>
        <v>44.9</v>
      </c>
      <c r="I184" s="30"/>
      <c r="J184" s="30">
        <f>IF(Source!BA90&lt;&gt; 0, Source!BA90, 1)</f>
        <v>6.56</v>
      </c>
      <c r="K184" s="29">
        <f>Source!S90</f>
        <v>294.57</v>
      </c>
      <c r="L184" s="31"/>
      <c r="R184">
        <f>H184</f>
        <v>44.9</v>
      </c>
    </row>
    <row r="185" spans="1:26" ht="14.25" x14ac:dyDescent="0.2">
      <c r="A185" s="44"/>
      <c r="B185" s="45"/>
      <c r="C185" s="45" t="s">
        <v>151</v>
      </c>
      <c r="D185" s="28"/>
      <c r="E185" s="11"/>
      <c r="F185" s="29">
        <f>Source!AM90</f>
        <v>21.88</v>
      </c>
      <c r="G185" s="30" t="str">
        <f>Source!DE90</f>
        <v>)*1,25</v>
      </c>
      <c r="H185" s="29">
        <f>ROUND(Source!AD90*Source!I90, 2)</f>
        <v>1.1100000000000001</v>
      </c>
      <c r="I185" s="30"/>
      <c r="J185" s="30">
        <f>IF(Source!BB90&lt;&gt; 0, Source!BB90, 1)</f>
        <v>6.56</v>
      </c>
      <c r="K185" s="29">
        <f>Source!Q90</f>
        <v>7.28</v>
      </c>
      <c r="L185" s="31"/>
    </row>
    <row r="186" spans="1:26" ht="14.25" x14ac:dyDescent="0.2">
      <c r="A186" s="44"/>
      <c r="B186" s="45"/>
      <c r="C186" s="45" t="s">
        <v>1931</v>
      </c>
      <c r="D186" s="28"/>
      <c r="E186" s="11"/>
      <c r="F186" s="29">
        <f>Source!AN90</f>
        <v>3.51</v>
      </c>
      <c r="G186" s="30" t="str">
        <f>Source!DF90</f>
        <v>)*1,25</v>
      </c>
      <c r="H186" s="32">
        <f>ROUND(Source!AE90*Source!I90, 2)</f>
        <v>0.18</v>
      </c>
      <c r="I186" s="30"/>
      <c r="J186" s="30">
        <f>IF(Source!BS90&lt;&gt; 0, Source!BS90, 1)</f>
        <v>6.56</v>
      </c>
      <c r="K186" s="32">
        <f>Source!R90</f>
        <v>1.17</v>
      </c>
      <c r="L186" s="31"/>
      <c r="R186">
        <f>H186</f>
        <v>0.18</v>
      </c>
    </row>
    <row r="187" spans="1:26" ht="14.25" x14ac:dyDescent="0.2">
      <c r="A187" s="44"/>
      <c r="B187" s="45"/>
      <c r="C187" s="45" t="s">
        <v>1937</v>
      </c>
      <c r="D187" s="28"/>
      <c r="E187" s="11"/>
      <c r="F187" s="29">
        <f>Source!AL90</f>
        <v>8890.58</v>
      </c>
      <c r="G187" s="30" t="str">
        <f>Source!DD90</f>
        <v/>
      </c>
      <c r="H187" s="29">
        <f>ROUND(Source!AC90*Source!I90, 2)</f>
        <v>360.96</v>
      </c>
      <c r="I187" s="30"/>
      <c r="J187" s="30">
        <f>IF(Source!BC90&lt;&gt; 0, Source!BC90, 1)</f>
        <v>6.56</v>
      </c>
      <c r="K187" s="29">
        <f>Source!P90</f>
        <v>2367.88</v>
      </c>
      <c r="L187" s="31"/>
    </row>
    <row r="188" spans="1:26" ht="14.25" x14ac:dyDescent="0.2">
      <c r="A188" s="44"/>
      <c r="B188" s="45"/>
      <c r="C188" s="45" t="s">
        <v>1932</v>
      </c>
      <c r="D188" s="28" t="s">
        <v>1933</v>
      </c>
      <c r="E188" s="11">
        <f>Source!BZ90</f>
        <v>120</v>
      </c>
      <c r="F188" s="64" t="str">
        <f>CONCATENATE(" )", Source!DL90, Source!FT90, "=", Source!FX90)</f>
        <v xml:space="preserve"> )*0,9=108</v>
      </c>
      <c r="G188" s="65"/>
      <c r="H188" s="29">
        <f>SUM(S182:S190)</f>
        <v>48.69</v>
      </c>
      <c r="I188" s="33"/>
      <c r="J188" s="26">
        <f>Source!AT90</f>
        <v>108</v>
      </c>
      <c r="K188" s="29">
        <f>SUM(T182:T190)</f>
        <v>319.39999999999998</v>
      </c>
      <c r="L188" s="31"/>
    </row>
    <row r="189" spans="1:26" ht="14.25" x14ac:dyDescent="0.2">
      <c r="A189" s="44"/>
      <c r="B189" s="45"/>
      <c r="C189" s="45" t="s">
        <v>1934</v>
      </c>
      <c r="D189" s="28" t="s">
        <v>1933</v>
      </c>
      <c r="E189" s="11">
        <f>Source!CA90</f>
        <v>65</v>
      </c>
      <c r="F189" s="64" t="str">
        <f>CONCATENATE(" )", Source!DM90, Source!FU90, "=", Source!FY90)</f>
        <v xml:space="preserve"> )*0,85=55,25</v>
      </c>
      <c r="G189" s="65"/>
      <c r="H189" s="29">
        <f>SUM(U182:U190)</f>
        <v>24.91</v>
      </c>
      <c r="I189" s="33"/>
      <c r="J189" s="26">
        <f>Source!AU90</f>
        <v>55</v>
      </c>
      <c r="K189" s="29">
        <f>SUM(V182:V190)</f>
        <v>162.66</v>
      </c>
      <c r="L189" s="31"/>
    </row>
    <row r="190" spans="1:26" ht="14.25" x14ac:dyDescent="0.2">
      <c r="A190" s="46"/>
      <c r="B190" s="47"/>
      <c r="C190" s="47" t="s">
        <v>1935</v>
      </c>
      <c r="D190" s="34" t="s">
        <v>1936</v>
      </c>
      <c r="E190" s="35">
        <f>Source!AQ90</f>
        <v>112.75</v>
      </c>
      <c r="F190" s="36"/>
      <c r="G190" s="37" t="str">
        <f>Source!DI90</f>
        <v>)*1,15</v>
      </c>
      <c r="H190" s="36"/>
      <c r="I190" s="37"/>
      <c r="J190" s="37"/>
      <c r="K190" s="36"/>
      <c r="L190" s="38">
        <f>Source!U90</f>
        <v>5.2642974999999996</v>
      </c>
    </row>
    <row r="191" spans="1:26" ht="15" x14ac:dyDescent="0.25">
      <c r="G191" s="63">
        <f>H184+H185+H187+H188+H189</f>
        <v>480.57</v>
      </c>
      <c r="H191" s="63"/>
      <c r="J191" s="63">
        <f>K184+K185+K187+K188+K189</f>
        <v>3151.79</v>
      </c>
      <c r="K191" s="63"/>
      <c r="L191" s="39">
        <f>Source!U90</f>
        <v>5.2642974999999996</v>
      </c>
      <c r="O191" s="24">
        <f>G191</f>
        <v>480.57</v>
      </c>
      <c r="P191" s="24">
        <f>J191</f>
        <v>3151.79</v>
      </c>
      <c r="Q191" s="24">
        <f>L191</f>
        <v>5.2642974999999996</v>
      </c>
      <c r="W191">
        <f>IF(Source!BI90&lt;=1,H184+H185+H187+H188+H189, 0)</f>
        <v>480.57</v>
      </c>
      <c r="X191">
        <f>IF(Source!BI90=2,H184+H185+H187+H188+H189, 0)</f>
        <v>0</v>
      </c>
      <c r="Y191">
        <f>IF(Source!BI90=3,H184+H185+H187+H188+H189, 0)</f>
        <v>0</v>
      </c>
      <c r="Z191">
        <f>IF(Source!BI90=4,H184+H185+H187+H188+H189, 0)</f>
        <v>0</v>
      </c>
    </row>
    <row r="192" spans="1:26" ht="28.5" x14ac:dyDescent="0.2">
      <c r="A192" s="44" t="str">
        <f>Source!E91</f>
        <v>19</v>
      </c>
      <c r="B192" s="45" t="str">
        <f>Source!F91</f>
        <v>10-01-035-01</v>
      </c>
      <c r="C192" s="45" t="str">
        <f>Source!G91</f>
        <v>Установка подоконных досок из ПВХ в каменных стенах толщиной до 0,51 м</v>
      </c>
      <c r="D192" s="28" t="str">
        <f>Source!H91</f>
        <v>100 м</v>
      </c>
      <c r="E192" s="11">
        <f>Source!I91</f>
        <v>0.16400000000000001</v>
      </c>
      <c r="F192" s="29">
        <f>Source!AL91+Source!AM91+Source!AO91</f>
        <v>4184.0599999999995</v>
      </c>
      <c r="G192" s="30"/>
      <c r="H192" s="29"/>
      <c r="I192" s="30" t="str">
        <f>Source!BO91</f>
        <v/>
      </c>
      <c r="J192" s="30"/>
      <c r="K192" s="29"/>
      <c r="L192" s="31"/>
      <c r="S192">
        <f>ROUND((Source!FX91/100)*((ROUND(Source!AF91*Source!I91, 2)+ROUND(Source!AE91*Source!I91, 2))), 2)</f>
        <v>36.700000000000003</v>
      </c>
      <c r="T192">
        <f>Source!X91</f>
        <v>240.29</v>
      </c>
      <c r="U192">
        <f>ROUND((Source!FY91/100)*((ROUND(Source!AF91*Source!I91, 2)+ROUND(Source!AE91*Source!I91, 2))), 2)</f>
        <v>18.510000000000002</v>
      </c>
      <c r="V192">
        <f>Source!Y91</f>
        <v>122.41</v>
      </c>
    </row>
    <row r="193" spans="1:26" x14ac:dyDescent="0.2">
      <c r="C193" s="23" t="str">
        <f>"Объем: "&amp;Source!I91&amp;"=16,4/"&amp;"100"</f>
        <v>Объем: 0,164=16,4/100</v>
      </c>
    </row>
    <row r="194" spans="1:26" ht="14.25" x14ac:dyDescent="0.2">
      <c r="A194" s="44"/>
      <c r="B194" s="45"/>
      <c r="C194" s="45" t="s">
        <v>1930</v>
      </c>
      <c r="D194" s="28"/>
      <c r="E194" s="11"/>
      <c r="F194" s="29">
        <f>Source!AO91</f>
        <v>180.75</v>
      </c>
      <c r="G194" s="30" t="str">
        <f>Source!DG91</f>
        <v>)*1,15</v>
      </c>
      <c r="H194" s="29">
        <f>ROUND(Source!AF91*Source!I91, 2)</f>
        <v>34.090000000000003</v>
      </c>
      <c r="I194" s="30"/>
      <c r="J194" s="30">
        <f>IF(Source!BA91&lt;&gt; 0, Source!BA91, 1)</f>
        <v>6.56</v>
      </c>
      <c r="K194" s="29">
        <f>Source!S91</f>
        <v>223.62</v>
      </c>
      <c r="L194" s="31"/>
      <c r="R194">
        <f>H194</f>
        <v>34.090000000000003</v>
      </c>
    </row>
    <row r="195" spans="1:26" ht="14.25" x14ac:dyDescent="0.2">
      <c r="A195" s="44"/>
      <c r="B195" s="45"/>
      <c r="C195" s="45" t="s">
        <v>151</v>
      </c>
      <c r="D195" s="28"/>
      <c r="E195" s="11"/>
      <c r="F195" s="29">
        <f>Source!AM91</f>
        <v>11.11</v>
      </c>
      <c r="G195" s="30" t="str">
        <f>Source!DE91</f>
        <v>)*1,25</v>
      </c>
      <c r="H195" s="29">
        <f>ROUND(Source!AD91*Source!I91, 2)</f>
        <v>2.2799999999999998</v>
      </c>
      <c r="I195" s="30"/>
      <c r="J195" s="30">
        <f>IF(Source!BB91&lt;&gt; 0, Source!BB91, 1)</f>
        <v>6.56</v>
      </c>
      <c r="K195" s="29">
        <f>Source!Q91</f>
        <v>14.94</v>
      </c>
      <c r="L195" s="31"/>
    </row>
    <row r="196" spans="1:26" ht="14.25" x14ac:dyDescent="0.2">
      <c r="A196" s="44"/>
      <c r="B196" s="45"/>
      <c r="C196" s="45" t="s">
        <v>1931</v>
      </c>
      <c r="D196" s="28"/>
      <c r="E196" s="11"/>
      <c r="F196" s="29">
        <f>Source!AN91</f>
        <v>2.2799999999999998</v>
      </c>
      <c r="G196" s="30" t="str">
        <f>Source!DF91</f>
        <v>)*1,25</v>
      </c>
      <c r="H196" s="32">
        <f>ROUND(Source!AE91*Source!I91, 2)</f>
        <v>0.47</v>
      </c>
      <c r="I196" s="30"/>
      <c r="J196" s="30">
        <f>IF(Source!BS91&lt;&gt; 0, Source!BS91, 1)</f>
        <v>6.56</v>
      </c>
      <c r="K196" s="32">
        <f>Source!R91</f>
        <v>3.07</v>
      </c>
      <c r="L196" s="31"/>
      <c r="R196">
        <f>H196</f>
        <v>0.47</v>
      </c>
    </row>
    <row r="197" spans="1:26" ht="14.25" x14ac:dyDescent="0.2">
      <c r="A197" s="44"/>
      <c r="B197" s="45"/>
      <c r="C197" s="45" t="s">
        <v>1937</v>
      </c>
      <c r="D197" s="28"/>
      <c r="E197" s="11"/>
      <c r="F197" s="29">
        <f>Source!AL91</f>
        <v>3992.2</v>
      </c>
      <c r="G197" s="30" t="str">
        <f>Source!DD91</f>
        <v/>
      </c>
      <c r="H197" s="29">
        <f>ROUND(Source!AC91*Source!I91, 2)</f>
        <v>654.72</v>
      </c>
      <c r="I197" s="30"/>
      <c r="J197" s="30">
        <f>IF(Source!BC91&lt;&gt; 0, Source!BC91, 1)</f>
        <v>6.56</v>
      </c>
      <c r="K197" s="29">
        <f>Source!P91</f>
        <v>4294.97</v>
      </c>
      <c r="L197" s="31"/>
    </row>
    <row r="198" spans="1:26" ht="14.25" x14ac:dyDescent="0.2">
      <c r="A198" s="44"/>
      <c r="B198" s="45"/>
      <c r="C198" s="45" t="s">
        <v>1932</v>
      </c>
      <c r="D198" s="28" t="s">
        <v>1933</v>
      </c>
      <c r="E198" s="11">
        <f>Source!BZ91</f>
        <v>118</v>
      </c>
      <c r="F198" s="64" t="str">
        <f>CONCATENATE(" )", Source!DL91, Source!FT91, "=", Source!FX91)</f>
        <v xml:space="preserve"> )*0,9=106,2</v>
      </c>
      <c r="G198" s="65"/>
      <c r="H198" s="29">
        <f>SUM(S192:S201)</f>
        <v>36.700000000000003</v>
      </c>
      <c r="I198" s="33"/>
      <c r="J198" s="26">
        <f>Source!AT91</f>
        <v>106</v>
      </c>
      <c r="K198" s="29">
        <f>SUM(T192:T201)</f>
        <v>240.29</v>
      </c>
      <c r="L198" s="31"/>
    </row>
    <row r="199" spans="1:26" ht="14.25" x14ac:dyDescent="0.2">
      <c r="A199" s="44"/>
      <c r="B199" s="45"/>
      <c r="C199" s="45" t="s">
        <v>1934</v>
      </c>
      <c r="D199" s="28" t="s">
        <v>1933</v>
      </c>
      <c r="E199" s="11">
        <f>Source!CA91</f>
        <v>63</v>
      </c>
      <c r="F199" s="64" t="str">
        <f>CONCATENATE(" )", Source!DM91, Source!FU91, "=", Source!FY91)</f>
        <v xml:space="preserve"> )*0,85=53,55</v>
      </c>
      <c r="G199" s="65"/>
      <c r="H199" s="29">
        <f>SUM(U192:U201)</f>
        <v>18.510000000000002</v>
      </c>
      <c r="I199" s="33"/>
      <c r="J199" s="26">
        <f>Source!AU91</f>
        <v>54</v>
      </c>
      <c r="K199" s="29">
        <f>SUM(V192:V201)</f>
        <v>122.41</v>
      </c>
      <c r="L199" s="31"/>
    </row>
    <row r="200" spans="1:26" ht="14.25" x14ac:dyDescent="0.2">
      <c r="A200" s="44"/>
      <c r="B200" s="45"/>
      <c r="C200" s="45" t="s">
        <v>1935</v>
      </c>
      <c r="D200" s="28" t="s">
        <v>1936</v>
      </c>
      <c r="E200" s="11">
        <f>Source!AQ91</f>
        <v>21.19</v>
      </c>
      <c r="F200" s="29"/>
      <c r="G200" s="30" t="str">
        <f>Source!DI91</f>
        <v>)*1,15</v>
      </c>
      <c r="H200" s="29"/>
      <c r="I200" s="30"/>
      <c r="J200" s="30"/>
      <c r="K200" s="29"/>
      <c r="L200" s="40">
        <f>Source!U91</f>
        <v>3.9964340000000003</v>
      </c>
    </row>
    <row r="201" spans="1:26" ht="28.5" x14ac:dyDescent="0.2">
      <c r="A201" s="46" t="str">
        <f>Source!E92</f>
        <v>19,1</v>
      </c>
      <c r="B201" s="47" t="str">
        <f>Source!F92</f>
        <v>11.3.03.01-0010</v>
      </c>
      <c r="C201" s="47" t="str">
        <f>Source!G92</f>
        <v>Доски подоконные ПВХ, шириной 500 мм</v>
      </c>
      <c r="D201" s="34" t="str">
        <f>Source!H92</f>
        <v>м</v>
      </c>
      <c r="E201" s="35">
        <f>Source!I92</f>
        <v>16.399999999999999</v>
      </c>
      <c r="F201" s="36">
        <f>Source!AL92+Source!AM92+Source!AO92</f>
        <v>64.349999999999994</v>
      </c>
      <c r="G201" s="42" t="s">
        <v>6</v>
      </c>
      <c r="H201" s="36">
        <f>ROUND(Source!AC92*Source!I92, 2)+ROUND(Source!AD92*Source!I92, 2)+ROUND(Source!AF92*Source!I92, 2)</f>
        <v>1055.3399999999999</v>
      </c>
      <c r="I201" s="37"/>
      <c r="J201" s="37">
        <f>IF(Source!BC92&lt;&gt; 0, Source!BC92, 1)</f>
        <v>6.56</v>
      </c>
      <c r="K201" s="36">
        <f>Source!O92</f>
        <v>6923.03</v>
      </c>
      <c r="L201" s="43"/>
      <c r="S201">
        <f>ROUND((Source!FX92/100)*((ROUND(Source!AF92*Source!I92, 2)+ROUND(Source!AE92*Source!I92, 2))), 2)</f>
        <v>0</v>
      </c>
      <c r="T201">
        <f>Source!X92</f>
        <v>0</v>
      </c>
      <c r="U201">
        <f>ROUND((Source!FY92/100)*((ROUND(Source!AF92*Source!I92, 2)+ROUND(Source!AE92*Source!I92, 2))), 2)</f>
        <v>0</v>
      </c>
      <c r="V201">
        <f>Source!Y92</f>
        <v>0</v>
      </c>
      <c r="W201">
        <f>IF(Source!BI92&lt;=1,H201, 0)</f>
        <v>1055.3399999999999</v>
      </c>
      <c r="X201">
        <f>IF(Source!BI92=2,H201, 0)</f>
        <v>0</v>
      </c>
      <c r="Y201">
        <f>IF(Source!BI92=3,H201, 0)</f>
        <v>0</v>
      </c>
      <c r="Z201">
        <f>IF(Source!BI92=4,H201, 0)</f>
        <v>0</v>
      </c>
    </row>
    <row r="202" spans="1:26" ht="15" x14ac:dyDescent="0.25">
      <c r="G202" s="63">
        <f>H194+H195+H197+H198+H199+SUM(H201:H201)</f>
        <v>1801.6399999999999</v>
      </c>
      <c r="H202" s="63"/>
      <c r="J202" s="63">
        <f>K194+K195+K197+K198+K199+SUM(K201:K201)</f>
        <v>11819.26</v>
      </c>
      <c r="K202" s="63"/>
      <c r="L202" s="39">
        <f>Source!U91</f>
        <v>3.9964340000000003</v>
      </c>
      <c r="O202" s="24">
        <f>G202</f>
        <v>1801.6399999999999</v>
      </c>
      <c r="P202" s="24">
        <f>J202</f>
        <v>11819.26</v>
      </c>
      <c r="Q202" s="24">
        <f>L202</f>
        <v>3.9964340000000003</v>
      </c>
      <c r="W202">
        <f>IF(Source!BI91&lt;=1,H194+H195+H197+H198+H199, 0)</f>
        <v>746.30000000000007</v>
      </c>
      <c r="X202">
        <f>IF(Source!BI91=2,H194+H195+H197+H198+H199, 0)</f>
        <v>0</v>
      </c>
      <c r="Y202">
        <f>IF(Source!BI91=3,H194+H195+H197+H198+H199, 0)</f>
        <v>0</v>
      </c>
      <c r="Z202">
        <f>IF(Source!BI91=4,H194+H195+H197+H198+H199, 0)</f>
        <v>0</v>
      </c>
    </row>
    <row r="203" spans="1:26" ht="42.75" x14ac:dyDescent="0.2">
      <c r="A203" s="44" t="str">
        <f>Source!E94</f>
        <v>20</v>
      </c>
      <c r="B203" s="45" t="str">
        <f>Source!F94</f>
        <v>15-02-031-01</v>
      </c>
      <c r="C203" s="45" t="str">
        <f>Source!G94</f>
        <v>Штукатурка поверхностей оконных и дверных откосов по бетону и камню плоских</v>
      </c>
      <c r="D203" s="28" t="str">
        <f>Source!H94</f>
        <v>100 м2</v>
      </c>
      <c r="E203" s="11">
        <f>Source!I94</f>
        <v>0.3241</v>
      </c>
      <c r="F203" s="29">
        <f>Source!AL94+Source!AM94+Source!AO94</f>
        <v>4206.63</v>
      </c>
      <c r="G203" s="30"/>
      <c r="H203" s="29"/>
      <c r="I203" s="30" t="str">
        <f>Source!BO94</f>
        <v/>
      </c>
      <c r="J203" s="30"/>
      <c r="K203" s="29"/>
      <c r="L203" s="31"/>
      <c r="S203">
        <f>ROUND((Source!FX94/100)*((ROUND(Source!AF94*Source!I94, 2)+ROUND(Source!AE94*Source!I94, 2))), 2)</f>
        <v>678.35</v>
      </c>
      <c r="T203">
        <f>Source!X94</f>
        <v>4473.51</v>
      </c>
      <c r="U203">
        <f>ROUND((Source!FY94/100)*((ROUND(Source!AF94*Source!I94, 2)+ROUND(Source!AE94*Source!I94, 2))), 2)</f>
        <v>335.59</v>
      </c>
      <c r="V203">
        <f>Source!Y94</f>
        <v>2213.21</v>
      </c>
    </row>
    <row r="204" spans="1:26" x14ac:dyDescent="0.2">
      <c r="C204" s="23" t="str">
        <f>"Объем: "&amp;Source!I94&amp;"=32,41/"&amp;"100"</f>
        <v>Объем: 0,3241=32,41/100</v>
      </c>
    </row>
    <row r="205" spans="1:26" ht="14.25" x14ac:dyDescent="0.2">
      <c r="A205" s="44"/>
      <c r="B205" s="45"/>
      <c r="C205" s="45" t="s">
        <v>1930</v>
      </c>
      <c r="D205" s="28"/>
      <c r="E205" s="11"/>
      <c r="F205" s="29">
        <f>Source!AO94</f>
        <v>1895.72</v>
      </c>
      <c r="G205" s="30" t="str">
        <f>Source!DG94</f>
        <v>)*1,15</v>
      </c>
      <c r="H205" s="29">
        <f>ROUND(Source!AF94*Source!I94, 2)</f>
        <v>706.56</v>
      </c>
      <c r="I205" s="30"/>
      <c r="J205" s="30">
        <f>IF(Source!BA94&lt;&gt; 0, Source!BA94, 1)</f>
        <v>6.56</v>
      </c>
      <c r="K205" s="29">
        <f>Source!S94</f>
        <v>4635.0600000000004</v>
      </c>
      <c r="L205" s="31"/>
      <c r="R205">
        <f>H205</f>
        <v>706.56</v>
      </c>
    </row>
    <row r="206" spans="1:26" ht="14.25" x14ac:dyDescent="0.2">
      <c r="A206" s="44"/>
      <c r="B206" s="45"/>
      <c r="C206" s="45" t="s">
        <v>151</v>
      </c>
      <c r="D206" s="28"/>
      <c r="E206" s="11"/>
      <c r="F206" s="29">
        <f>Source!AM94</f>
        <v>64.400000000000006</v>
      </c>
      <c r="G206" s="30" t="str">
        <f>Source!DE94</f>
        <v>)*1,25</v>
      </c>
      <c r="H206" s="29">
        <f>ROUND(Source!AD94*Source!I94, 2)</f>
        <v>26.09</v>
      </c>
      <c r="I206" s="30"/>
      <c r="J206" s="30">
        <f>IF(Source!BB94&lt;&gt; 0, Source!BB94, 1)</f>
        <v>6.56</v>
      </c>
      <c r="K206" s="29">
        <f>Source!Q94</f>
        <v>171.15</v>
      </c>
      <c r="L206" s="31"/>
    </row>
    <row r="207" spans="1:26" ht="14.25" x14ac:dyDescent="0.2">
      <c r="A207" s="44"/>
      <c r="B207" s="45"/>
      <c r="C207" s="45" t="s">
        <v>1931</v>
      </c>
      <c r="D207" s="28"/>
      <c r="E207" s="11"/>
      <c r="F207" s="29">
        <f>Source!AN94</f>
        <v>27.81</v>
      </c>
      <c r="G207" s="30" t="str">
        <f>Source!DF94</f>
        <v>)*1,25</v>
      </c>
      <c r="H207" s="32">
        <f>ROUND(Source!AE94*Source!I94, 2)</f>
        <v>11.27</v>
      </c>
      <c r="I207" s="30"/>
      <c r="J207" s="30">
        <f>IF(Source!BS94&lt;&gt; 0, Source!BS94, 1)</f>
        <v>6.56</v>
      </c>
      <c r="K207" s="32">
        <f>Source!R94</f>
        <v>73.900000000000006</v>
      </c>
      <c r="L207" s="31"/>
      <c r="R207">
        <f>H207</f>
        <v>11.27</v>
      </c>
    </row>
    <row r="208" spans="1:26" ht="14.25" x14ac:dyDescent="0.2">
      <c r="A208" s="44"/>
      <c r="B208" s="45"/>
      <c r="C208" s="45" t="s">
        <v>1937</v>
      </c>
      <c r="D208" s="28"/>
      <c r="E208" s="11"/>
      <c r="F208" s="29">
        <f>Source!AL94</f>
        <v>2246.5100000000002</v>
      </c>
      <c r="G208" s="30" t="str">
        <f>Source!DD94</f>
        <v/>
      </c>
      <c r="H208" s="29">
        <f>ROUND(Source!AC94*Source!I94, 2)</f>
        <v>728.09</v>
      </c>
      <c r="I208" s="30"/>
      <c r="J208" s="30">
        <f>IF(Source!BC94&lt;&gt; 0, Source!BC94, 1)</f>
        <v>6.56</v>
      </c>
      <c r="K208" s="29">
        <f>Source!P94</f>
        <v>4776.3</v>
      </c>
      <c r="L208" s="31"/>
    </row>
    <row r="209" spans="1:26" ht="14.25" x14ac:dyDescent="0.2">
      <c r="A209" s="44"/>
      <c r="B209" s="45"/>
      <c r="C209" s="45" t="s">
        <v>1932</v>
      </c>
      <c r="D209" s="28" t="s">
        <v>1933</v>
      </c>
      <c r="E209" s="11">
        <f>Source!BZ94</f>
        <v>105</v>
      </c>
      <c r="F209" s="64" t="str">
        <f>CONCATENATE(" )", Source!DL94, Source!FT94, "=", Source!FX94)</f>
        <v xml:space="preserve"> )*0,9=94,5</v>
      </c>
      <c r="G209" s="65"/>
      <c r="H209" s="29">
        <f>SUM(S203:S211)</f>
        <v>678.35</v>
      </c>
      <c r="I209" s="33"/>
      <c r="J209" s="26">
        <f>Source!AT94</f>
        <v>95</v>
      </c>
      <c r="K209" s="29">
        <f>SUM(T203:T211)</f>
        <v>4473.51</v>
      </c>
      <c r="L209" s="31"/>
    </row>
    <row r="210" spans="1:26" ht="14.25" x14ac:dyDescent="0.2">
      <c r="A210" s="44"/>
      <c r="B210" s="45"/>
      <c r="C210" s="45" t="s">
        <v>1934</v>
      </c>
      <c r="D210" s="28" t="s">
        <v>1933</v>
      </c>
      <c r="E210" s="11">
        <f>Source!CA94</f>
        <v>55</v>
      </c>
      <c r="F210" s="64" t="str">
        <f>CONCATENATE(" )", Source!DM94, Source!FU94, "=", Source!FY94)</f>
        <v xml:space="preserve"> )*0,85=46,75</v>
      </c>
      <c r="G210" s="65"/>
      <c r="H210" s="29">
        <f>SUM(U203:U211)</f>
        <v>335.59</v>
      </c>
      <c r="I210" s="33"/>
      <c r="J210" s="26">
        <f>Source!AU94</f>
        <v>47</v>
      </c>
      <c r="K210" s="29">
        <f>SUM(V203:V211)</f>
        <v>2213.21</v>
      </c>
      <c r="L210" s="31"/>
    </row>
    <row r="211" spans="1:26" ht="14.25" x14ac:dyDescent="0.2">
      <c r="A211" s="46"/>
      <c r="B211" s="47"/>
      <c r="C211" s="47" t="s">
        <v>1935</v>
      </c>
      <c r="D211" s="34" t="s">
        <v>1936</v>
      </c>
      <c r="E211" s="35">
        <f>Source!AQ94</f>
        <v>204.06</v>
      </c>
      <c r="F211" s="36"/>
      <c r="G211" s="37" t="str">
        <f>Source!DI94</f>
        <v>)*1,15</v>
      </c>
      <c r="H211" s="36"/>
      <c r="I211" s="37"/>
      <c r="J211" s="37"/>
      <c r="K211" s="36"/>
      <c r="L211" s="38">
        <f>Source!U94</f>
        <v>76.056222899999995</v>
      </c>
    </row>
    <row r="212" spans="1:26" ht="15" x14ac:dyDescent="0.25">
      <c r="G212" s="63">
        <f>H205+H206+H208+H209+H210</f>
        <v>2474.6800000000003</v>
      </c>
      <c r="H212" s="63"/>
      <c r="J212" s="63">
        <f>K205+K206+K208+K209+K210</f>
        <v>16269.23</v>
      </c>
      <c r="K212" s="63"/>
      <c r="L212" s="39">
        <f>Source!U94</f>
        <v>76.056222899999995</v>
      </c>
      <c r="O212" s="24">
        <f>G212</f>
        <v>2474.6800000000003</v>
      </c>
      <c r="P212" s="24">
        <f>J212</f>
        <v>16269.23</v>
      </c>
      <c r="Q212" s="24">
        <f>L212</f>
        <v>76.056222899999995</v>
      </c>
      <c r="W212">
        <f>IF(Source!BI94&lt;=1,H205+H206+H208+H209+H210, 0)</f>
        <v>2474.6800000000003</v>
      </c>
      <c r="X212">
        <f>IF(Source!BI94=2,H205+H206+H208+H209+H210, 0)</f>
        <v>0</v>
      </c>
      <c r="Y212">
        <f>IF(Source!BI94=3,H205+H206+H208+H209+H210, 0)</f>
        <v>0</v>
      </c>
      <c r="Z212">
        <f>IF(Source!BI94=4,H205+H206+H208+H209+H210, 0)</f>
        <v>0</v>
      </c>
    </row>
    <row r="213" spans="1:26" ht="57" x14ac:dyDescent="0.2">
      <c r="A213" s="44" t="str">
        <f>Source!E95</f>
        <v>21</v>
      </c>
      <c r="B213" s="45" t="str">
        <f>Source!F95</f>
        <v>15-04-005-03</v>
      </c>
      <c r="C213" s="45" t="str">
        <f>Source!G95</f>
        <v>Окраска поливинилацетатными водоэмульсионными составами улучшенная по штукатурке стен (откосы)</v>
      </c>
      <c r="D213" s="28" t="str">
        <f>Source!H95</f>
        <v>100 м2</v>
      </c>
      <c r="E213" s="11">
        <f>Source!I95</f>
        <v>0.3241</v>
      </c>
      <c r="F213" s="29">
        <f>Source!AL95+Source!AM95+Source!AO95</f>
        <v>675.6</v>
      </c>
      <c r="G213" s="30"/>
      <c r="H213" s="29"/>
      <c r="I213" s="30" t="str">
        <f>Source!BO95</f>
        <v/>
      </c>
      <c r="J213" s="30"/>
      <c r="K213" s="29"/>
      <c r="L213" s="31"/>
      <c r="S213">
        <f>ROUND((Source!FX95/100)*((ROUND(Source!AF95*Source!I95, 2)+ROUND(Source!AE95*Source!I95, 2))), 2)</f>
        <v>136.30000000000001</v>
      </c>
      <c r="T213">
        <f>Source!X95</f>
        <v>898.89</v>
      </c>
      <c r="U213">
        <f>ROUND((Source!FY95/100)*((ROUND(Source!AF95*Source!I95, 2)+ROUND(Source!AE95*Source!I95, 2))), 2)</f>
        <v>67.430000000000007</v>
      </c>
      <c r="V213">
        <f>Source!Y95</f>
        <v>444.71</v>
      </c>
    </row>
    <row r="214" spans="1:26" x14ac:dyDescent="0.2">
      <c r="C214" s="23" t="str">
        <f>"Объем: "&amp;Source!I95&amp;"=32,41/"&amp;"100"</f>
        <v>Объем: 0,3241=32,41/100</v>
      </c>
    </row>
    <row r="215" spans="1:26" ht="14.25" x14ac:dyDescent="0.2">
      <c r="A215" s="44"/>
      <c r="B215" s="45"/>
      <c r="C215" s="45" t="s">
        <v>1930</v>
      </c>
      <c r="D215" s="28"/>
      <c r="E215" s="11"/>
      <c r="F215" s="29">
        <f>Source!AO95</f>
        <v>384.81</v>
      </c>
      <c r="G215" s="30" t="str">
        <f>Source!DG95</f>
        <v>)*1,15</v>
      </c>
      <c r="H215" s="29">
        <f>ROUND(Source!AF95*Source!I95, 2)</f>
        <v>143.41999999999999</v>
      </c>
      <c r="I215" s="30"/>
      <c r="J215" s="30">
        <f>IF(Source!BA95&lt;&gt; 0, Source!BA95, 1)</f>
        <v>6.56</v>
      </c>
      <c r="K215" s="29">
        <f>Source!S95</f>
        <v>940.86</v>
      </c>
      <c r="L215" s="31"/>
      <c r="R215">
        <f>H215</f>
        <v>143.41999999999999</v>
      </c>
    </row>
    <row r="216" spans="1:26" ht="14.25" x14ac:dyDescent="0.2">
      <c r="A216" s="44"/>
      <c r="B216" s="45"/>
      <c r="C216" s="45" t="s">
        <v>151</v>
      </c>
      <c r="D216" s="28"/>
      <c r="E216" s="11"/>
      <c r="F216" s="29">
        <f>Source!AM95</f>
        <v>10.49</v>
      </c>
      <c r="G216" s="30" t="str">
        <f>Source!DE95</f>
        <v>)*1,25</v>
      </c>
      <c r="H216" s="29">
        <f>ROUND(Source!AD95*Source!I95, 2)</f>
        <v>4.25</v>
      </c>
      <c r="I216" s="30"/>
      <c r="J216" s="30">
        <f>IF(Source!BB95&lt;&gt; 0, Source!BB95, 1)</f>
        <v>6.56</v>
      </c>
      <c r="K216" s="29">
        <f>Source!Q95</f>
        <v>27.87</v>
      </c>
      <c r="L216" s="31"/>
    </row>
    <row r="217" spans="1:26" ht="14.25" x14ac:dyDescent="0.2">
      <c r="A217" s="44"/>
      <c r="B217" s="45"/>
      <c r="C217" s="45" t="s">
        <v>1931</v>
      </c>
      <c r="D217" s="28"/>
      <c r="E217" s="11"/>
      <c r="F217" s="29">
        <f>Source!AN95</f>
        <v>2.0099999999999998</v>
      </c>
      <c r="G217" s="30" t="str">
        <f>Source!DF95</f>
        <v>)*1,25</v>
      </c>
      <c r="H217" s="32">
        <f>ROUND(Source!AE95*Source!I95, 2)</f>
        <v>0.81</v>
      </c>
      <c r="I217" s="30"/>
      <c r="J217" s="30">
        <f>IF(Source!BS95&lt;&gt; 0, Source!BS95, 1)</f>
        <v>6.56</v>
      </c>
      <c r="K217" s="32">
        <f>Source!R95</f>
        <v>5.34</v>
      </c>
      <c r="L217" s="31"/>
      <c r="R217">
        <f>H217</f>
        <v>0.81</v>
      </c>
    </row>
    <row r="218" spans="1:26" ht="14.25" x14ac:dyDescent="0.2">
      <c r="A218" s="44"/>
      <c r="B218" s="45"/>
      <c r="C218" s="45" t="s">
        <v>1937</v>
      </c>
      <c r="D218" s="28"/>
      <c r="E218" s="11"/>
      <c r="F218" s="29">
        <f>Source!AL95</f>
        <v>280.3</v>
      </c>
      <c r="G218" s="30" t="str">
        <f>Source!DD95</f>
        <v/>
      </c>
      <c r="H218" s="29">
        <f>ROUND(Source!AC95*Source!I95, 2)</f>
        <v>90.85</v>
      </c>
      <c r="I218" s="30"/>
      <c r="J218" s="30">
        <f>IF(Source!BC95&lt;&gt; 0, Source!BC95, 1)</f>
        <v>6.56</v>
      </c>
      <c r="K218" s="29">
        <f>Source!P95</f>
        <v>595.94000000000005</v>
      </c>
      <c r="L218" s="31"/>
    </row>
    <row r="219" spans="1:26" ht="14.25" x14ac:dyDescent="0.2">
      <c r="A219" s="44"/>
      <c r="B219" s="45"/>
      <c r="C219" s="45" t="s">
        <v>1932</v>
      </c>
      <c r="D219" s="28" t="s">
        <v>1933</v>
      </c>
      <c r="E219" s="11">
        <f>Source!BZ95</f>
        <v>105</v>
      </c>
      <c r="F219" s="64" t="str">
        <f>CONCATENATE(" )", Source!DL95, Source!FT95, "=", Source!FX95)</f>
        <v xml:space="preserve"> )*0,9=94,5</v>
      </c>
      <c r="G219" s="65"/>
      <c r="H219" s="29">
        <f>SUM(S213:S223)</f>
        <v>136.30000000000001</v>
      </c>
      <c r="I219" s="33"/>
      <c r="J219" s="26">
        <f>Source!AT95</f>
        <v>95</v>
      </c>
      <c r="K219" s="29">
        <f>SUM(T213:T223)</f>
        <v>898.89</v>
      </c>
      <c r="L219" s="31"/>
    </row>
    <row r="220" spans="1:26" ht="14.25" x14ac:dyDescent="0.2">
      <c r="A220" s="44"/>
      <c r="B220" s="45"/>
      <c r="C220" s="45" t="s">
        <v>1934</v>
      </c>
      <c r="D220" s="28" t="s">
        <v>1933</v>
      </c>
      <c r="E220" s="11">
        <f>Source!CA95</f>
        <v>55</v>
      </c>
      <c r="F220" s="64" t="str">
        <f>CONCATENATE(" )", Source!DM95, Source!FU95, "=", Source!FY95)</f>
        <v xml:space="preserve"> )*0,85=46,75</v>
      </c>
      <c r="G220" s="65"/>
      <c r="H220" s="29">
        <f>SUM(U213:U223)</f>
        <v>67.430000000000007</v>
      </c>
      <c r="I220" s="33"/>
      <c r="J220" s="26">
        <f>Source!AU95</f>
        <v>47</v>
      </c>
      <c r="K220" s="29">
        <f>SUM(V213:V223)</f>
        <v>444.71</v>
      </c>
      <c r="L220" s="31"/>
    </row>
    <row r="221" spans="1:26" ht="14.25" x14ac:dyDescent="0.2">
      <c r="A221" s="44"/>
      <c r="B221" s="45"/>
      <c r="C221" s="45" t="s">
        <v>1935</v>
      </c>
      <c r="D221" s="28" t="s">
        <v>1936</v>
      </c>
      <c r="E221" s="11">
        <f>Source!AQ95</f>
        <v>42.9</v>
      </c>
      <c r="F221" s="29"/>
      <c r="G221" s="30" t="str">
        <f>Source!DI95</f>
        <v>)*1,15</v>
      </c>
      <c r="H221" s="29"/>
      <c r="I221" s="30"/>
      <c r="J221" s="30"/>
      <c r="K221" s="29"/>
      <c r="L221" s="40">
        <f>Source!U95</f>
        <v>15.989473499999997</v>
      </c>
    </row>
    <row r="222" spans="1:26" ht="28.5" x14ac:dyDescent="0.2">
      <c r="A222" s="44" t="str">
        <f>Source!E96</f>
        <v>21,1</v>
      </c>
      <c r="B222" s="45" t="str">
        <f>Source!F96</f>
        <v>14.3.02.01-0208</v>
      </c>
      <c r="C222" s="45" t="str">
        <f>Source!G96</f>
        <v>Краска водно-дисперсионная "БИРСС Интерьер-Колор", цвет белый</v>
      </c>
      <c r="D222" s="28" t="str">
        <f>Source!H96</f>
        <v>т</v>
      </c>
      <c r="E222" s="11">
        <f>Source!I96</f>
        <v>2.0417999999999999E-2</v>
      </c>
      <c r="F222" s="29">
        <f>Source!AL96+Source!AM96+Source!AO96</f>
        <v>15445.9</v>
      </c>
      <c r="G222" s="41" t="s">
        <v>6</v>
      </c>
      <c r="H222" s="29">
        <f>ROUND(Source!AC96*Source!I96, 2)+ROUND(Source!AD96*Source!I96, 2)+ROUND(Source!AF96*Source!I96, 2)</f>
        <v>315.37</v>
      </c>
      <c r="I222" s="30"/>
      <c r="J222" s="30">
        <f>IF(Source!BC96&lt;&gt; 0, Source!BC96, 1)</f>
        <v>6.56</v>
      </c>
      <c r="K222" s="29">
        <f>Source!O96</f>
        <v>2068.86</v>
      </c>
      <c r="L222" s="31"/>
      <c r="S222">
        <f>ROUND((Source!FX96/100)*((ROUND(Source!AF96*Source!I96, 2)+ROUND(Source!AE96*Source!I96, 2))), 2)</f>
        <v>0</v>
      </c>
      <c r="T222">
        <f>Source!X96</f>
        <v>0</v>
      </c>
      <c r="U222">
        <f>ROUND((Source!FY96/100)*((ROUND(Source!AF96*Source!I96, 2)+ROUND(Source!AE96*Source!I96, 2))), 2)</f>
        <v>0</v>
      </c>
      <c r="V222">
        <f>Source!Y96</f>
        <v>0</v>
      </c>
      <c r="W222">
        <f>IF(Source!BI96&lt;=1,H222, 0)</f>
        <v>315.37</v>
      </c>
      <c r="X222">
        <f>IF(Source!BI96=2,H222, 0)</f>
        <v>0</v>
      </c>
      <c r="Y222">
        <f>IF(Source!BI96=3,H222, 0)</f>
        <v>0</v>
      </c>
      <c r="Z222">
        <f>IF(Source!BI96=4,H222, 0)</f>
        <v>0</v>
      </c>
    </row>
    <row r="223" spans="1:26" ht="14.25" x14ac:dyDescent="0.2">
      <c r="A223" s="46" t="str">
        <f>Source!E97</f>
        <v>21,2</v>
      </c>
      <c r="B223" s="47" t="str">
        <f>Source!F97</f>
        <v>14.3.02.01</v>
      </c>
      <c r="C223" s="47" t="str">
        <f>Source!G97</f>
        <v>Краска водоэмульсионная</v>
      </c>
      <c r="D223" s="34" t="str">
        <f>Source!H97</f>
        <v>т</v>
      </c>
      <c r="E223" s="35">
        <f>Source!I97</f>
        <v>2.0417999999999999E-2</v>
      </c>
      <c r="F223" s="36">
        <f>Source!AL97+Source!AM97+Source!AO97</f>
        <v>0</v>
      </c>
      <c r="G223" s="42" t="s">
        <v>6</v>
      </c>
      <c r="H223" s="36">
        <f>ROUND(Source!AC97*Source!I97, 2)+ROUND(Source!AD97*Source!I97, 2)+ROUND(Source!AF97*Source!I97, 2)</f>
        <v>0</v>
      </c>
      <c r="I223" s="37"/>
      <c r="J223" s="37">
        <f>IF(Source!BC97&lt;&gt; 0, Source!BC97, 1)</f>
        <v>6.56</v>
      </c>
      <c r="K223" s="36">
        <f>Source!O97</f>
        <v>0</v>
      </c>
      <c r="L223" s="43"/>
      <c r="S223">
        <f>ROUND((Source!FX97/100)*((ROUND(Source!AF97*Source!I97, 2)+ROUND(Source!AE97*Source!I97, 2))), 2)</f>
        <v>0</v>
      </c>
      <c r="T223">
        <f>Source!X97</f>
        <v>0</v>
      </c>
      <c r="U223">
        <f>ROUND((Source!FY97/100)*((ROUND(Source!AF97*Source!I97, 2)+ROUND(Source!AE97*Source!I97, 2))), 2)</f>
        <v>0</v>
      </c>
      <c r="V223">
        <f>Source!Y97</f>
        <v>0</v>
      </c>
      <c r="W223">
        <f>IF(Source!BI97&lt;=1,H223, 0)</f>
        <v>0</v>
      </c>
      <c r="X223">
        <f>IF(Source!BI97=2,H223, 0)</f>
        <v>0</v>
      </c>
      <c r="Y223">
        <f>IF(Source!BI97=3,H223, 0)</f>
        <v>0</v>
      </c>
      <c r="Z223">
        <f>IF(Source!BI97=4,H223, 0)</f>
        <v>0</v>
      </c>
    </row>
    <row r="224" spans="1:26" ht="15" x14ac:dyDescent="0.25">
      <c r="G224" s="63">
        <f>H215+H216+H218+H219+H220+SUM(H222:H223)</f>
        <v>757.62</v>
      </c>
      <c r="H224" s="63"/>
      <c r="J224" s="63">
        <f>K215+K216+K218+K219+K220+SUM(K222:K223)</f>
        <v>4977.13</v>
      </c>
      <c r="K224" s="63"/>
      <c r="L224" s="39">
        <f>Source!U95</f>
        <v>15.989473499999997</v>
      </c>
      <c r="O224" s="24">
        <f>G224</f>
        <v>757.62</v>
      </c>
      <c r="P224" s="24">
        <f>J224</f>
        <v>4977.13</v>
      </c>
      <c r="Q224" s="24">
        <f>L224</f>
        <v>15.989473499999997</v>
      </c>
      <c r="W224">
        <f>IF(Source!BI95&lt;=1,H215+H216+H218+H219+H220, 0)</f>
        <v>442.25</v>
      </c>
      <c r="X224">
        <f>IF(Source!BI95=2,H215+H216+H218+H219+H220, 0)</f>
        <v>0</v>
      </c>
      <c r="Y224">
        <f>IF(Source!BI95=3,H215+H216+H218+H219+H220, 0)</f>
        <v>0</v>
      </c>
      <c r="Z224">
        <f>IF(Source!BI95=4,H215+H216+H218+H219+H220, 0)</f>
        <v>0</v>
      </c>
    </row>
    <row r="225" spans="1:26" ht="28.5" x14ac:dyDescent="0.2">
      <c r="A225" s="44" t="str">
        <f>Source!E98</f>
        <v>22</v>
      </c>
      <c r="B225" s="45" t="str">
        <f>Source!F98</f>
        <v>09-04-012-01</v>
      </c>
      <c r="C225" s="45" t="str">
        <f>Source!G98</f>
        <v>Установка металлических дверных блоков в готовые проемы</v>
      </c>
      <c r="D225" s="28" t="str">
        <f>Source!H98</f>
        <v>м2</v>
      </c>
      <c r="E225" s="11">
        <f>Source!I98</f>
        <v>10.8</v>
      </c>
      <c r="F225" s="29">
        <f>Source!AL98+Source!AM98+Source!AO98</f>
        <v>63.94</v>
      </c>
      <c r="G225" s="30"/>
      <c r="H225" s="29"/>
      <c r="I225" s="30" t="str">
        <f>Source!BO98</f>
        <v/>
      </c>
      <c r="J225" s="30"/>
      <c r="K225" s="29"/>
      <c r="L225" s="31"/>
      <c r="S225">
        <f>ROUND((Source!FX98/100)*((ROUND(Source!AF98*Source!I98, 2)+ROUND(Source!AE98*Source!I98, 2))), 2)</f>
        <v>261.04000000000002</v>
      </c>
      <c r="T225">
        <f>Source!X98</f>
        <v>1712.43</v>
      </c>
      <c r="U225">
        <f>ROUND((Source!FY98/100)*((ROUND(Source!AF98*Source!I98, 2)+ROUND(Source!AE98*Source!I98, 2))), 2)</f>
        <v>232.84</v>
      </c>
      <c r="V225">
        <f>Source!Y98</f>
        <v>1522.16</v>
      </c>
    </row>
    <row r="226" spans="1:26" ht="14.25" x14ac:dyDescent="0.2">
      <c r="A226" s="44"/>
      <c r="B226" s="45"/>
      <c r="C226" s="45" t="s">
        <v>1930</v>
      </c>
      <c r="D226" s="28"/>
      <c r="E226" s="11"/>
      <c r="F226" s="29">
        <f>Source!AO98</f>
        <v>23.81</v>
      </c>
      <c r="G226" s="30" t="str">
        <f>Source!DG98</f>
        <v>)*1,15</v>
      </c>
      <c r="H226" s="29">
        <f>ROUND(Source!AF98*Source!I98, 2)</f>
        <v>295.7</v>
      </c>
      <c r="I226" s="30"/>
      <c r="J226" s="30">
        <f>IF(Source!BA98&lt;&gt; 0, Source!BA98, 1)</f>
        <v>6.56</v>
      </c>
      <c r="K226" s="29">
        <f>Source!S98</f>
        <v>1939.82</v>
      </c>
      <c r="L226" s="31"/>
      <c r="R226">
        <f>H226</f>
        <v>295.7</v>
      </c>
    </row>
    <row r="227" spans="1:26" ht="14.25" x14ac:dyDescent="0.2">
      <c r="A227" s="44"/>
      <c r="B227" s="45"/>
      <c r="C227" s="45" t="s">
        <v>151</v>
      </c>
      <c r="D227" s="28"/>
      <c r="E227" s="11"/>
      <c r="F227" s="29">
        <f>Source!AM98</f>
        <v>14.41</v>
      </c>
      <c r="G227" s="30" t="str">
        <f>Source!DE98</f>
        <v>)*1,25</v>
      </c>
      <c r="H227" s="29">
        <f>ROUND(Source!AD98*Source!I98, 2)</f>
        <v>194.51</v>
      </c>
      <c r="I227" s="30"/>
      <c r="J227" s="30">
        <f>IF(Source!BB98&lt;&gt; 0, Source!BB98, 1)</f>
        <v>6.56</v>
      </c>
      <c r="K227" s="29">
        <f>Source!Q98</f>
        <v>1275.97</v>
      </c>
      <c r="L227" s="31"/>
    </row>
    <row r="228" spans="1:26" ht="14.25" x14ac:dyDescent="0.2">
      <c r="A228" s="44"/>
      <c r="B228" s="45"/>
      <c r="C228" s="45" t="s">
        <v>1931</v>
      </c>
      <c r="D228" s="28"/>
      <c r="E228" s="11"/>
      <c r="F228" s="29">
        <f>Source!AN98</f>
        <v>1.97</v>
      </c>
      <c r="G228" s="30" t="str">
        <f>Source!DF98</f>
        <v>)*1,25</v>
      </c>
      <c r="H228" s="32">
        <f>ROUND(Source!AE98*Source!I98, 2)</f>
        <v>26.57</v>
      </c>
      <c r="I228" s="30"/>
      <c r="J228" s="30">
        <f>IF(Source!BS98&lt;&gt; 0, Source!BS98, 1)</f>
        <v>6.56</v>
      </c>
      <c r="K228" s="32">
        <f>Source!R98</f>
        <v>174.29</v>
      </c>
      <c r="L228" s="31"/>
      <c r="R228">
        <f>H228</f>
        <v>26.57</v>
      </c>
    </row>
    <row r="229" spans="1:26" ht="14.25" x14ac:dyDescent="0.2">
      <c r="A229" s="44"/>
      <c r="B229" s="45"/>
      <c r="C229" s="45" t="s">
        <v>1937</v>
      </c>
      <c r="D229" s="28"/>
      <c r="E229" s="11"/>
      <c r="F229" s="29">
        <f>Source!AL98</f>
        <v>25.72</v>
      </c>
      <c r="G229" s="30" t="str">
        <f>Source!DD98</f>
        <v/>
      </c>
      <c r="H229" s="29">
        <f>ROUND(Source!AC98*Source!I98, 2)</f>
        <v>277.77999999999997</v>
      </c>
      <c r="I229" s="30"/>
      <c r="J229" s="30">
        <f>IF(Source!BC98&lt;&gt; 0, Source!BC98, 1)</f>
        <v>6.56</v>
      </c>
      <c r="K229" s="29">
        <f>Source!P98</f>
        <v>1822.21</v>
      </c>
      <c r="L229" s="31"/>
    </row>
    <row r="230" spans="1:26" ht="14.25" x14ac:dyDescent="0.2">
      <c r="A230" s="44"/>
      <c r="B230" s="45"/>
      <c r="C230" s="45" t="s">
        <v>1932</v>
      </c>
      <c r="D230" s="28" t="s">
        <v>1933</v>
      </c>
      <c r="E230" s="11">
        <f>Source!BZ98</f>
        <v>90</v>
      </c>
      <c r="F230" s="64" t="str">
        <f>CONCATENATE(" )", Source!DL98, Source!FT98, "=", Source!FX98)</f>
        <v xml:space="preserve"> )*0,9=81</v>
      </c>
      <c r="G230" s="65"/>
      <c r="H230" s="29">
        <f>SUM(S225:S235)</f>
        <v>261.04000000000002</v>
      </c>
      <c r="I230" s="33"/>
      <c r="J230" s="26">
        <f>Source!AT98</f>
        <v>81</v>
      </c>
      <c r="K230" s="29">
        <f>SUM(T225:T235)</f>
        <v>1712.43</v>
      </c>
      <c r="L230" s="31"/>
    </row>
    <row r="231" spans="1:26" ht="14.25" x14ac:dyDescent="0.2">
      <c r="A231" s="44"/>
      <c r="B231" s="45"/>
      <c r="C231" s="45" t="s">
        <v>1934</v>
      </c>
      <c r="D231" s="28" t="s">
        <v>1933</v>
      </c>
      <c r="E231" s="11">
        <f>Source!CA98</f>
        <v>85</v>
      </c>
      <c r="F231" s="64" t="str">
        <f>CONCATENATE(" )", Source!DM98, Source!FU98, "=", Source!FY98)</f>
        <v xml:space="preserve"> )*0,85=72,25</v>
      </c>
      <c r="G231" s="65"/>
      <c r="H231" s="29">
        <f>SUM(U225:U235)</f>
        <v>232.84</v>
      </c>
      <c r="I231" s="33"/>
      <c r="J231" s="26">
        <f>Source!AU98</f>
        <v>72</v>
      </c>
      <c r="K231" s="29">
        <f>SUM(V225:V235)</f>
        <v>1522.16</v>
      </c>
      <c r="L231" s="31"/>
    </row>
    <row r="232" spans="1:26" ht="14.25" x14ac:dyDescent="0.2">
      <c r="A232" s="44"/>
      <c r="B232" s="45"/>
      <c r="C232" s="45" t="s">
        <v>1935</v>
      </c>
      <c r="D232" s="28" t="s">
        <v>1936</v>
      </c>
      <c r="E232" s="11">
        <f>Source!AQ98</f>
        <v>2.4</v>
      </c>
      <c r="F232" s="29"/>
      <c r="G232" s="30" t="str">
        <f>Source!DI98</f>
        <v>)*1,15</v>
      </c>
      <c r="H232" s="29"/>
      <c r="I232" s="30"/>
      <c r="J232" s="30"/>
      <c r="K232" s="29"/>
      <c r="L232" s="40">
        <f>Source!U98</f>
        <v>29.808</v>
      </c>
    </row>
    <row r="233" spans="1:26" ht="28.5" x14ac:dyDescent="0.2">
      <c r="A233" s="44" t="str">
        <f>Source!E99</f>
        <v>22,1</v>
      </c>
      <c r="B233" s="45" t="str">
        <f>Source!F99</f>
        <v>01.7.04.04-0012</v>
      </c>
      <c r="C233" s="45" t="str">
        <f>Source!G99</f>
        <v>Замок врезной оцинкованный с цилиндровым механизмом из латуни</v>
      </c>
      <c r="D233" s="28" t="str">
        <f>Source!H99</f>
        <v>компл.</v>
      </c>
      <c r="E233" s="11">
        <f>Source!I99</f>
        <v>3.8344969999999998</v>
      </c>
      <c r="F233" s="29">
        <f>Source!AL99+Source!AM99+Source!AO99</f>
        <v>92.52</v>
      </c>
      <c r="G233" s="41" t="s">
        <v>6</v>
      </c>
      <c r="H233" s="29">
        <f>ROUND(Source!AC99*Source!I99, 2)+ROUND(Source!AD99*Source!I99, 2)+ROUND(Source!AF99*Source!I99, 2)</f>
        <v>354.77</v>
      </c>
      <c r="I233" s="30"/>
      <c r="J233" s="30">
        <f>IF(Source!BC99&lt;&gt; 0, Source!BC99, 1)</f>
        <v>6.56</v>
      </c>
      <c r="K233" s="29">
        <f>Source!O99</f>
        <v>2327.2800000000002</v>
      </c>
      <c r="L233" s="31"/>
      <c r="S233">
        <f>ROUND((Source!FX99/100)*((ROUND(Source!AF99*Source!I99, 2)+ROUND(Source!AE99*Source!I99, 2))), 2)</f>
        <v>0</v>
      </c>
      <c r="T233">
        <f>Source!X99</f>
        <v>0</v>
      </c>
      <c r="U233">
        <f>ROUND((Source!FY99/100)*((ROUND(Source!AF99*Source!I99, 2)+ROUND(Source!AE99*Source!I99, 2))), 2)</f>
        <v>0</v>
      </c>
      <c r="V233">
        <f>Source!Y99</f>
        <v>0</v>
      </c>
      <c r="W233">
        <f>IF(Source!BI99&lt;=1,H233, 0)</f>
        <v>354.77</v>
      </c>
      <c r="X233">
        <f>IF(Source!BI99=2,H233, 0)</f>
        <v>0</v>
      </c>
      <c r="Y233">
        <f>IF(Source!BI99=3,H233, 0)</f>
        <v>0</v>
      </c>
      <c r="Z233">
        <f>IF(Source!BI99=4,H233, 0)</f>
        <v>0</v>
      </c>
    </row>
    <row r="234" spans="1:26" ht="42.75" x14ac:dyDescent="0.2">
      <c r="A234" s="44" t="str">
        <f>Source!E100</f>
        <v>22,2</v>
      </c>
      <c r="B234" s="45" t="str">
        <f>Source!F100</f>
        <v>07.1.01.03-0002</v>
      </c>
      <c r="C234" s="45" t="str">
        <f>Source!G100</f>
        <v>Блок дверной стальной наружный двупольный ДСН ДКН, площадь 2,73 м2 (ГОСТ 31173-2003)</v>
      </c>
      <c r="D234" s="28" t="str">
        <f>Source!H100</f>
        <v>м2</v>
      </c>
      <c r="E234" s="11">
        <f>Source!I100</f>
        <v>10.8</v>
      </c>
      <c r="F234" s="29">
        <f>Source!AL100+Source!AM100+Source!AO100</f>
        <v>1465.11</v>
      </c>
      <c r="G234" s="41" t="s">
        <v>6</v>
      </c>
      <c r="H234" s="29">
        <f>ROUND(Source!AC100*Source!I100, 2)+ROUND(Source!AD100*Source!I100, 2)+ROUND(Source!AF100*Source!I100, 2)</f>
        <v>15823.19</v>
      </c>
      <c r="I234" s="30"/>
      <c r="J234" s="30">
        <f>IF(Source!BC100&lt;&gt; 0, Source!BC100, 1)</f>
        <v>6.56</v>
      </c>
      <c r="K234" s="29">
        <f>Source!O100</f>
        <v>103800.11</v>
      </c>
      <c r="L234" s="31"/>
      <c r="S234">
        <f>ROUND((Source!FX100/100)*((ROUND(Source!AF100*Source!I100, 2)+ROUND(Source!AE100*Source!I100, 2))), 2)</f>
        <v>0</v>
      </c>
      <c r="T234">
        <f>Source!X100</f>
        <v>0</v>
      </c>
      <c r="U234">
        <f>ROUND((Source!FY100/100)*((ROUND(Source!AF100*Source!I100, 2)+ROUND(Source!AE100*Source!I100, 2))), 2)</f>
        <v>0</v>
      </c>
      <c r="V234">
        <f>Source!Y100</f>
        <v>0</v>
      </c>
      <c r="W234">
        <f>IF(Source!BI100&lt;=1,H234, 0)</f>
        <v>15823.19</v>
      </c>
      <c r="X234">
        <f>IF(Source!BI100=2,H234, 0)</f>
        <v>0</v>
      </c>
      <c r="Y234">
        <f>IF(Source!BI100=3,H234, 0)</f>
        <v>0</v>
      </c>
      <c r="Z234">
        <f>IF(Source!BI100=4,H234, 0)</f>
        <v>0</v>
      </c>
    </row>
    <row r="235" spans="1:26" ht="14.25" x14ac:dyDescent="0.2">
      <c r="A235" s="46" t="str">
        <f>Source!E101</f>
        <v>22,3</v>
      </c>
      <c r="B235" s="47" t="str">
        <f>Source!F101</f>
        <v>07.1.01.03</v>
      </c>
      <c r="C235" s="47" t="str">
        <f>Source!G101</f>
        <v>Блоки дверные металлические</v>
      </c>
      <c r="D235" s="34" t="str">
        <f>Source!H101</f>
        <v>м2</v>
      </c>
      <c r="E235" s="35">
        <f>Source!I101</f>
        <v>10.8</v>
      </c>
      <c r="F235" s="36">
        <f>Source!AL101+Source!AM101+Source!AO101</f>
        <v>0</v>
      </c>
      <c r="G235" s="42" t="s">
        <v>6</v>
      </c>
      <c r="H235" s="36">
        <f>ROUND(Source!AC101*Source!I101, 2)+ROUND(Source!AD101*Source!I101, 2)+ROUND(Source!AF101*Source!I101, 2)</f>
        <v>0</v>
      </c>
      <c r="I235" s="37"/>
      <c r="J235" s="37">
        <f>IF(Source!BC101&lt;&gt; 0, Source!BC101, 1)</f>
        <v>6.56</v>
      </c>
      <c r="K235" s="36">
        <f>Source!O101</f>
        <v>0</v>
      </c>
      <c r="L235" s="43"/>
      <c r="S235">
        <f>ROUND((Source!FX101/100)*((ROUND(Source!AF101*Source!I101, 2)+ROUND(Source!AE101*Source!I101, 2))), 2)</f>
        <v>0</v>
      </c>
      <c r="T235">
        <f>Source!X101</f>
        <v>0</v>
      </c>
      <c r="U235">
        <f>ROUND((Source!FY101/100)*((ROUND(Source!AF101*Source!I101, 2)+ROUND(Source!AE101*Source!I101, 2))), 2)</f>
        <v>0</v>
      </c>
      <c r="V235">
        <f>Source!Y101</f>
        <v>0</v>
      </c>
      <c r="W235">
        <f>IF(Source!BI101&lt;=1,H235, 0)</f>
        <v>0</v>
      </c>
      <c r="X235">
        <f>IF(Source!BI101=2,H235, 0)</f>
        <v>0</v>
      </c>
      <c r="Y235">
        <f>IF(Source!BI101=3,H235, 0)</f>
        <v>0</v>
      </c>
      <c r="Z235">
        <f>IF(Source!BI101=4,H235, 0)</f>
        <v>0</v>
      </c>
    </row>
    <row r="236" spans="1:26" ht="15" x14ac:dyDescent="0.25">
      <c r="G236" s="63">
        <f>H226+H227+H229+H230+H231+SUM(H233:H235)</f>
        <v>17439.830000000002</v>
      </c>
      <c r="H236" s="63"/>
      <c r="J236" s="63">
        <f>K226+K227+K229+K230+K231+SUM(K233:K235)</f>
        <v>114399.98</v>
      </c>
      <c r="K236" s="63"/>
      <c r="L236" s="39">
        <f>Source!U98</f>
        <v>29.808</v>
      </c>
      <c r="O236" s="24">
        <f>G236</f>
        <v>17439.830000000002</v>
      </c>
      <c r="P236" s="24">
        <f>J236</f>
        <v>114399.98</v>
      </c>
      <c r="Q236" s="24">
        <f>L236</f>
        <v>29.808</v>
      </c>
      <c r="W236">
        <f>IF(Source!BI98&lt;=1,H226+H227+H229+H230+H231, 0)</f>
        <v>1261.8699999999999</v>
      </c>
      <c r="X236">
        <f>IF(Source!BI98=2,H226+H227+H229+H230+H231, 0)</f>
        <v>0</v>
      </c>
      <c r="Y236">
        <f>IF(Source!BI98=3,H226+H227+H229+H230+H231, 0)</f>
        <v>0</v>
      </c>
      <c r="Z236">
        <f>IF(Source!BI98=4,H226+H227+H229+H230+H231, 0)</f>
        <v>0</v>
      </c>
    </row>
    <row r="237" spans="1:26" ht="28.5" x14ac:dyDescent="0.2">
      <c r="A237" s="44" t="str">
        <f>Source!E102</f>
        <v>23</v>
      </c>
      <c r="B237" s="45" t="str">
        <f>Source!F102</f>
        <v>09-04-012-02</v>
      </c>
      <c r="C237" s="45" t="str">
        <f>Source!G102</f>
        <v>Установка дверного доводчика к металлическим дверям</v>
      </c>
      <c r="D237" s="28" t="str">
        <f>Source!H102</f>
        <v>ШТ</v>
      </c>
      <c r="E237" s="11">
        <f>Source!I102</f>
        <v>4</v>
      </c>
      <c r="F237" s="29">
        <f>Source!AL102+Source!AM102+Source!AO102</f>
        <v>13.84</v>
      </c>
      <c r="G237" s="30"/>
      <c r="H237" s="29"/>
      <c r="I237" s="30" t="str">
        <f>Source!BO102</f>
        <v/>
      </c>
      <c r="J237" s="30"/>
      <c r="K237" s="29"/>
      <c r="L237" s="31"/>
      <c r="S237">
        <f>ROUND((Source!FX102/100)*((ROUND(Source!AF102*Source!I102, 2)+ROUND(Source!AE102*Source!I102, 2))), 2)</f>
        <v>41.02</v>
      </c>
      <c r="T237">
        <f>Source!X102</f>
        <v>269.08</v>
      </c>
      <c r="U237">
        <f>ROUND((Source!FY102/100)*((ROUND(Source!AF102*Source!I102, 2)+ROUND(Source!AE102*Source!I102, 2))), 2)</f>
        <v>36.590000000000003</v>
      </c>
      <c r="V237">
        <f>Source!Y102</f>
        <v>239.18</v>
      </c>
    </row>
    <row r="238" spans="1:26" ht="14.25" x14ac:dyDescent="0.2">
      <c r="A238" s="44"/>
      <c r="B238" s="45"/>
      <c r="C238" s="45" t="s">
        <v>1930</v>
      </c>
      <c r="D238" s="28"/>
      <c r="E238" s="11"/>
      <c r="F238" s="29">
        <f>Source!AO102</f>
        <v>11.01</v>
      </c>
      <c r="G238" s="30" t="str">
        <f>Source!DG102</f>
        <v>)*1,15</v>
      </c>
      <c r="H238" s="29">
        <f>ROUND(Source!AF102*Source!I102, 2)</f>
        <v>50.64</v>
      </c>
      <c r="I238" s="30"/>
      <c r="J238" s="30">
        <f>IF(Source!BA102&lt;&gt; 0, Source!BA102, 1)</f>
        <v>6.56</v>
      </c>
      <c r="K238" s="29">
        <f>Source!S102</f>
        <v>332.2</v>
      </c>
      <c r="L238" s="31"/>
      <c r="R238">
        <f>H238</f>
        <v>50.64</v>
      </c>
    </row>
    <row r="239" spans="1:26" ht="14.25" x14ac:dyDescent="0.2">
      <c r="A239" s="44"/>
      <c r="B239" s="45"/>
      <c r="C239" s="45" t="s">
        <v>151</v>
      </c>
      <c r="D239" s="28"/>
      <c r="E239" s="11"/>
      <c r="F239" s="29">
        <f>Source!AM102</f>
        <v>2.11</v>
      </c>
      <c r="G239" s="30" t="str">
        <f>Source!DE102</f>
        <v>)*1,25</v>
      </c>
      <c r="H239" s="29">
        <f>ROUND(Source!AD102*Source!I102, 2)</f>
        <v>10.56</v>
      </c>
      <c r="I239" s="30"/>
      <c r="J239" s="30">
        <f>IF(Source!BB102&lt;&gt; 0, Source!BB102, 1)</f>
        <v>6.56</v>
      </c>
      <c r="K239" s="29">
        <f>Source!Q102</f>
        <v>69.27</v>
      </c>
      <c r="L239" s="31"/>
    </row>
    <row r="240" spans="1:26" ht="14.25" x14ac:dyDescent="0.2">
      <c r="A240" s="44"/>
      <c r="B240" s="45"/>
      <c r="C240" s="45" t="s">
        <v>1937</v>
      </c>
      <c r="D240" s="28"/>
      <c r="E240" s="11"/>
      <c r="F240" s="29">
        <f>Source!AL102</f>
        <v>0.72</v>
      </c>
      <c r="G240" s="30" t="str">
        <f>Source!DD102</f>
        <v/>
      </c>
      <c r="H240" s="29">
        <f>ROUND(Source!AC102*Source!I102, 2)</f>
        <v>2.88</v>
      </c>
      <c r="I240" s="30"/>
      <c r="J240" s="30">
        <f>IF(Source!BC102&lt;&gt; 0, Source!BC102, 1)</f>
        <v>6.56</v>
      </c>
      <c r="K240" s="29">
        <f>Source!P102</f>
        <v>18.89</v>
      </c>
      <c r="L240" s="31"/>
    </row>
    <row r="241" spans="1:26" ht="14.25" x14ac:dyDescent="0.2">
      <c r="A241" s="44"/>
      <c r="B241" s="45"/>
      <c r="C241" s="45" t="s">
        <v>1932</v>
      </c>
      <c r="D241" s="28" t="s">
        <v>1933</v>
      </c>
      <c r="E241" s="11">
        <f>Source!BZ102</f>
        <v>90</v>
      </c>
      <c r="F241" s="64" t="str">
        <f>CONCATENATE(" )", Source!DL102, Source!FT102, "=", Source!FX102)</f>
        <v xml:space="preserve"> )*0,9=81</v>
      </c>
      <c r="G241" s="65"/>
      <c r="H241" s="29">
        <f>SUM(S237:S244)</f>
        <v>41.02</v>
      </c>
      <c r="I241" s="33"/>
      <c r="J241" s="26">
        <f>Source!AT102</f>
        <v>81</v>
      </c>
      <c r="K241" s="29">
        <f>SUM(T237:T244)</f>
        <v>269.08</v>
      </c>
      <c r="L241" s="31"/>
    </row>
    <row r="242" spans="1:26" ht="14.25" x14ac:dyDescent="0.2">
      <c r="A242" s="44"/>
      <c r="B242" s="45"/>
      <c r="C242" s="45" t="s">
        <v>1934</v>
      </c>
      <c r="D242" s="28" t="s">
        <v>1933</v>
      </c>
      <c r="E242" s="11">
        <f>Source!CA102</f>
        <v>85</v>
      </c>
      <c r="F242" s="64" t="str">
        <f>CONCATENATE(" )", Source!DM102, Source!FU102, "=", Source!FY102)</f>
        <v xml:space="preserve"> )*0,85=72,25</v>
      </c>
      <c r="G242" s="65"/>
      <c r="H242" s="29">
        <f>SUM(U237:U244)</f>
        <v>36.590000000000003</v>
      </c>
      <c r="I242" s="33"/>
      <c r="J242" s="26">
        <f>Source!AU102</f>
        <v>72</v>
      </c>
      <c r="K242" s="29">
        <f>SUM(V237:V244)</f>
        <v>239.18</v>
      </c>
      <c r="L242" s="31"/>
    </row>
    <row r="243" spans="1:26" ht="14.25" x14ac:dyDescent="0.2">
      <c r="A243" s="44"/>
      <c r="B243" s="45"/>
      <c r="C243" s="45" t="s">
        <v>1935</v>
      </c>
      <c r="D243" s="28" t="s">
        <v>1936</v>
      </c>
      <c r="E243" s="11">
        <f>Source!AQ102</f>
        <v>1.1100000000000001</v>
      </c>
      <c r="F243" s="29"/>
      <c r="G243" s="30" t="str">
        <f>Source!DI102</f>
        <v>)*1,15</v>
      </c>
      <c r="H243" s="29"/>
      <c r="I243" s="30"/>
      <c r="J243" s="30"/>
      <c r="K243" s="29"/>
      <c r="L243" s="40">
        <f>Source!U102</f>
        <v>5.1059999999999999</v>
      </c>
    </row>
    <row r="244" spans="1:26" ht="28.5" x14ac:dyDescent="0.2">
      <c r="A244" s="46" t="str">
        <f>Source!E103</f>
        <v>23,1</v>
      </c>
      <c r="B244" s="47" t="str">
        <f>Source!F103</f>
        <v>01.7.04.01-0001</v>
      </c>
      <c r="C244" s="47" t="str">
        <f>Source!G103</f>
        <v>Доводчик дверной DS 73 BC "Серия Premium", усилие закрывания EN2-5</v>
      </c>
      <c r="D244" s="34" t="str">
        <f>Source!H103</f>
        <v>шт.</v>
      </c>
      <c r="E244" s="35">
        <f>Source!I103</f>
        <v>4</v>
      </c>
      <c r="F244" s="36">
        <f>Source!AL103+Source!AM103+Source!AO103</f>
        <v>371.2</v>
      </c>
      <c r="G244" s="42" t="s">
        <v>6</v>
      </c>
      <c r="H244" s="36">
        <f>ROUND(Source!AC103*Source!I103, 2)+ROUND(Source!AD103*Source!I103, 2)+ROUND(Source!AF103*Source!I103, 2)</f>
        <v>1484.8</v>
      </c>
      <c r="I244" s="37"/>
      <c r="J244" s="37">
        <f>IF(Source!BC103&lt;&gt; 0, Source!BC103, 1)</f>
        <v>6.56</v>
      </c>
      <c r="K244" s="36">
        <f>Source!O103</f>
        <v>9740.2900000000009</v>
      </c>
      <c r="L244" s="43"/>
      <c r="S244">
        <f>ROUND((Source!FX103/100)*((ROUND(Source!AF103*Source!I103, 2)+ROUND(Source!AE103*Source!I103, 2))), 2)</f>
        <v>0</v>
      </c>
      <c r="T244">
        <f>Source!X103</f>
        <v>0</v>
      </c>
      <c r="U244">
        <f>ROUND((Source!FY103/100)*((ROUND(Source!AF103*Source!I103, 2)+ROUND(Source!AE103*Source!I103, 2))), 2)</f>
        <v>0</v>
      </c>
      <c r="V244">
        <f>Source!Y103</f>
        <v>0</v>
      </c>
      <c r="W244">
        <f>IF(Source!BI103&lt;=1,H244, 0)</f>
        <v>1484.8</v>
      </c>
      <c r="X244">
        <f>IF(Source!BI103=2,H244, 0)</f>
        <v>0</v>
      </c>
      <c r="Y244">
        <f>IF(Source!BI103=3,H244, 0)</f>
        <v>0</v>
      </c>
      <c r="Z244">
        <f>IF(Source!BI103=4,H244, 0)</f>
        <v>0</v>
      </c>
    </row>
    <row r="245" spans="1:26" ht="15" x14ac:dyDescent="0.25">
      <c r="G245" s="63">
        <f>H238+H239+H240+H241+H242+SUM(H244:H244)</f>
        <v>1626.49</v>
      </c>
      <c r="H245" s="63"/>
      <c r="J245" s="63">
        <f>K238+K239+K240+K241+K242+SUM(K244:K244)</f>
        <v>10668.91</v>
      </c>
      <c r="K245" s="63"/>
      <c r="L245" s="39">
        <f>Source!U102</f>
        <v>5.1059999999999999</v>
      </c>
      <c r="O245" s="24">
        <f>G245</f>
        <v>1626.49</v>
      </c>
      <c r="P245" s="24">
        <f>J245</f>
        <v>10668.91</v>
      </c>
      <c r="Q245" s="24">
        <f>L245</f>
        <v>5.1059999999999999</v>
      </c>
      <c r="W245">
        <f>IF(Source!BI102&lt;=1,H238+H239+H240+H241+H242, 0)</f>
        <v>141.69</v>
      </c>
      <c r="X245">
        <f>IF(Source!BI102=2,H238+H239+H240+H241+H242, 0)</f>
        <v>0</v>
      </c>
      <c r="Y245">
        <f>IF(Source!BI102=3,H238+H239+H240+H241+H242, 0)</f>
        <v>0</v>
      </c>
      <c r="Z245">
        <f>IF(Source!BI102=4,H238+H239+H240+H241+H242, 0)</f>
        <v>0</v>
      </c>
    </row>
    <row r="246" spans="1:26" ht="57" x14ac:dyDescent="0.2">
      <c r="A246" s="44" t="str">
        <f>Source!E104</f>
        <v>24</v>
      </c>
      <c r="B246" s="45" t="str">
        <f>Source!F104</f>
        <v>10-01-039-01</v>
      </c>
      <c r="C246" s="45" t="str">
        <f>Source!G104</f>
        <v>Установка блоков в наружных и внутренних дверных проемах в каменных стенах, площадь проема до 3 м2</v>
      </c>
      <c r="D246" s="28" t="str">
        <f>Source!H104</f>
        <v>100 м2</v>
      </c>
      <c r="E246" s="11">
        <f>Source!I104</f>
        <v>6.0900000000000003E-2</v>
      </c>
      <c r="F246" s="29">
        <f>Source!AL104+Source!AM104+Source!AO104</f>
        <v>3493.69</v>
      </c>
      <c r="G246" s="30"/>
      <c r="H246" s="29"/>
      <c r="I246" s="30" t="str">
        <f>Source!BO104</f>
        <v/>
      </c>
      <c r="J246" s="30"/>
      <c r="K246" s="29"/>
      <c r="L246" s="31"/>
      <c r="S246">
        <f>ROUND((Source!FX104/100)*((ROUND(Source!AF104*Source!I104, 2)+ROUND(Source!AE104*Source!I104, 2))), 2)</f>
        <v>73.58</v>
      </c>
      <c r="T246">
        <f>Source!X104</f>
        <v>481.73</v>
      </c>
      <c r="U246">
        <f>ROUND((Source!FY104/100)*((ROUND(Source!AF104*Source!I104, 2)+ROUND(Source!AE104*Source!I104, 2))), 2)</f>
        <v>37.1</v>
      </c>
      <c r="V246">
        <f>Source!Y104</f>
        <v>245.41</v>
      </c>
    </row>
    <row r="247" spans="1:26" x14ac:dyDescent="0.2">
      <c r="C247" s="23" t="str">
        <f>"Объем: "&amp;Source!I104&amp;"=6,09/"&amp;"100"</f>
        <v>Объем: 0,0609=6,09/100</v>
      </c>
    </row>
    <row r="248" spans="1:26" ht="14.25" x14ac:dyDescent="0.2">
      <c r="A248" s="44"/>
      <c r="B248" s="45"/>
      <c r="C248" s="45" t="s">
        <v>1930</v>
      </c>
      <c r="D248" s="28"/>
      <c r="E248" s="11"/>
      <c r="F248" s="29">
        <f>Source!AO104</f>
        <v>821.89</v>
      </c>
      <c r="G248" s="30" t="str">
        <f>Source!DG104</f>
        <v>)*1,15</v>
      </c>
      <c r="H248" s="29">
        <f>ROUND(Source!AF104*Source!I104, 2)</f>
        <v>57.56</v>
      </c>
      <c r="I248" s="30"/>
      <c r="J248" s="30">
        <f>IF(Source!BA104&lt;&gt; 0, Source!BA104, 1)</f>
        <v>6.56</v>
      </c>
      <c r="K248" s="29">
        <f>Source!S104</f>
        <v>377.6</v>
      </c>
      <c r="L248" s="31"/>
      <c r="R248">
        <f>H248</f>
        <v>57.56</v>
      </c>
    </row>
    <row r="249" spans="1:26" ht="14.25" x14ac:dyDescent="0.2">
      <c r="A249" s="44"/>
      <c r="B249" s="45"/>
      <c r="C249" s="45" t="s">
        <v>151</v>
      </c>
      <c r="D249" s="28"/>
      <c r="E249" s="11"/>
      <c r="F249" s="29">
        <f>Source!AM104</f>
        <v>967.98</v>
      </c>
      <c r="G249" s="30" t="str">
        <f>Source!DE104</f>
        <v>)*1,25</v>
      </c>
      <c r="H249" s="29">
        <f>ROUND(Source!AD104*Source!I104, 2)</f>
        <v>73.69</v>
      </c>
      <c r="I249" s="30"/>
      <c r="J249" s="30">
        <f>IF(Source!BB104&lt;&gt; 0, Source!BB104, 1)</f>
        <v>6.56</v>
      </c>
      <c r="K249" s="29">
        <f>Source!Q104</f>
        <v>483.39</v>
      </c>
      <c r="L249" s="31"/>
    </row>
    <row r="250" spans="1:26" ht="14.25" x14ac:dyDescent="0.2">
      <c r="A250" s="44"/>
      <c r="B250" s="45"/>
      <c r="C250" s="45" t="s">
        <v>1931</v>
      </c>
      <c r="D250" s="28"/>
      <c r="E250" s="11"/>
      <c r="F250" s="29">
        <f>Source!AN104</f>
        <v>153.9</v>
      </c>
      <c r="G250" s="30" t="str">
        <f>Source!DF104</f>
        <v>)*1,25</v>
      </c>
      <c r="H250" s="32">
        <f>ROUND(Source!AE104*Source!I104, 2)</f>
        <v>11.72</v>
      </c>
      <c r="I250" s="30"/>
      <c r="J250" s="30">
        <f>IF(Source!BS104&lt;&gt; 0, Source!BS104, 1)</f>
        <v>6.56</v>
      </c>
      <c r="K250" s="32">
        <f>Source!R104</f>
        <v>76.86</v>
      </c>
      <c r="L250" s="31"/>
      <c r="R250">
        <f>H250</f>
        <v>11.72</v>
      </c>
    </row>
    <row r="251" spans="1:26" ht="14.25" x14ac:dyDescent="0.2">
      <c r="A251" s="44"/>
      <c r="B251" s="45"/>
      <c r="C251" s="45" t="s">
        <v>1937</v>
      </c>
      <c r="D251" s="28"/>
      <c r="E251" s="11"/>
      <c r="F251" s="29">
        <f>Source!AL104</f>
        <v>1703.82</v>
      </c>
      <c r="G251" s="30" t="str">
        <f>Source!DD104</f>
        <v/>
      </c>
      <c r="H251" s="29">
        <f>ROUND(Source!AC104*Source!I104, 2)</f>
        <v>103.76</v>
      </c>
      <c r="I251" s="30"/>
      <c r="J251" s="30">
        <f>IF(Source!BC104&lt;&gt; 0, Source!BC104, 1)</f>
        <v>6.56</v>
      </c>
      <c r="K251" s="29">
        <f>Source!P104</f>
        <v>680.68</v>
      </c>
      <c r="L251" s="31"/>
    </row>
    <row r="252" spans="1:26" ht="14.25" x14ac:dyDescent="0.2">
      <c r="A252" s="44"/>
      <c r="B252" s="45"/>
      <c r="C252" s="45" t="s">
        <v>1932</v>
      </c>
      <c r="D252" s="28" t="s">
        <v>1933</v>
      </c>
      <c r="E252" s="11">
        <f>Source!BZ104</f>
        <v>118</v>
      </c>
      <c r="F252" s="64" t="str">
        <f>CONCATENATE(" )", Source!DL104, Source!FT104, "=", Source!FX104)</f>
        <v xml:space="preserve"> )*0,9=106,2</v>
      </c>
      <c r="G252" s="65"/>
      <c r="H252" s="29">
        <f>SUM(S246:S258)</f>
        <v>73.58</v>
      </c>
      <c r="I252" s="33"/>
      <c r="J252" s="26">
        <f>Source!AT104</f>
        <v>106</v>
      </c>
      <c r="K252" s="29">
        <f>SUM(T246:T258)</f>
        <v>481.73</v>
      </c>
      <c r="L252" s="31"/>
    </row>
    <row r="253" spans="1:26" ht="14.25" x14ac:dyDescent="0.2">
      <c r="A253" s="44"/>
      <c r="B253" s="45"/>
      <c r="C253" s="45" t="s">
        <v>1934</v>
      </c>
      <c r="D253" s="28" t="s">
        <v>1933</v>
      </c>
      <c r="E253" s="11">
        <f>Source!CA104</f>
        <v>63</v>
      </c>
      <c r="F253" s="64" t="str">
        <f>CONCATENATE(" )", Source!DM104, Source!FU104, "=", Source!FY104)</f>
        <v xml:space="preserve"> )*0,85=53,55</v>
      </c>
      <c r="G253" s="65"/>
      <c r="H253" s="29">
        <f>SUM(U246:U258)</f>
        <v>37.1</v>
      </c>
      <c r="I253" s="33"/>
      <c r="J253" s="26">
        <f>Source!AU104</f>
        <v>54</v>
      </c>
      <c r="K253" s="29">
        <f>SUM(V246:V258)</f>
        <v>245.41</v>
      </c>
      <c r="L253" s="31"/>
    </row>
    <row r="254" spans="1:26" ht="14.25" x14ac:dyDescent="0.2">
      <c r="A254" s="44"/>
      <c r="B254" s="45"/>
      <c r="C254" s="45" t="s">
        <v>1935</v>
      </c>
      <c r="D254" s="28" t="s">
        <v>1936</v>
      </c>
      <c r="E254" s="11">
        <f>Source!AQ104</f>
        <v>89.53</v>
      </c>
      <c r="F254" s="29"/>
      <c r="G254" s="30" t="str">
        <f>Source!DI104</f>
        <v>)*1,15</v>
      </c>
      <c r="H254" s="29"/>
      <c r="I254" s="30"/>
      <c r="J254" s="30"/>
      <c r="K254" s="29"/>
      <c r="L254" s="40">
        <f>Source!U104</f>
        <v>6.2702335499999995</v>
      </c>
    </row>
    <row r="255" spans="1:26" ht="42.75" x14ac:dyDescent="0.2">
      <c r="A255" s="44" t="str">
        <f>Source!E105</f>
        <v>24,1</v>
      </c>
      <c r="B255" s="45" t="str">
        <f>Source!F105</f>
        <v>11.2.02.01-0032</v>
      </c>
      <c r="C255" s="45" t="str">
        <f>Source!G105</f>
        <v>Блоки дверные внутренние однопольные глухие шлифованные, из массива сосны, тонированные</v>
      </c>
      <c r="D255" s="28" t="str">
        <f>Source!H105</f>
        <v>м2</v>
      </c>
      <c r="E255" s="11">
        <f>Source!I105</f>
        <v>6.09</v>
      </c>
      <c r="F255" s="29">
        <f>Source!AL105+Source!AM105+Source!AO105</f>
        <v>1448.8</v>
      </c>
      <c r="G255" s="41" t="s">
        <v>6</v>
      </c>
      <c r="H255" s="29">
        <f>ROUND(Source!AC105*Source!I105, 2)+ROUND(Source!AD105*Source!I105, 2)+ROUND(Source!AF105*Source!I105, 2)</f>
        <v>8823.19</v>
      </c>
      <c r="I255" s="30"/>
      <c r="J255" s="30">
        <f>IF(Source!BC105&lt;&gt; 0, Source!BC105, 1)</f>
        <v>6.56</v>
      </c>
      <c r="K255" s="29">
        <f>Source!O105</f>
        <v>57880.14</v>
      </c>
      <c r="L255" s="31"/>
      <c r="S255">
        <f>ROUND((Source!FX105/100)*((ROUND(Source!AF105*Source!I105, 2)+ROUND(Source!AE105*Source!I105, 2))), 2)</f>
        <v>0</v>
      </c>
      <c r="T255">
        <f>Source!X105</f>
        <v>0</v>
      </c>
      <c r="U255">
        <f>ROUND((Source!FY105/100)*((ROUND(Source!AF105*Source!I105, 2)+ROUND(Source!AE105*Source!I105, 2))), 2)</f>
        <v>0</v>
      </c>
      <c r="V255">
        <f>Source!Y105</f>
        <v>0</v>
      </c>
      <c r="W255">
        <f>IF(Source!BI105&lt;=1,H255, 0)</f>
        <v>8823.19</v>
      </c>
      <c r="X255">
        <f>IF(Source!BI105=2,H255, 0)</f>
        <v>0</v>
      </c>
      <c r="Y255">
        <f>IF(Source!BI105=3,H255, 0)</f>
        <v>0</v>
      </c>
      <c r="Z255">
        <f>IF(Source!BI105=4,H255, 0)</f>
        <v>0</v>
      </c>
    </row>
    <row r="256" spans="1:26" ht="42.75" x14ac:dyDescent="0.2">
      <c r="A256" s="44" t="str">
        <f>Source!E106</f>
        <v>24,2</v>
      </c>
      <c r="B256" s="45" t="str">
        <f>Source!F106</f>
        <v>01.7.04.07-0003</v>
      </c>
      <c r="C256" s="45" t="str">
        <f>Source!G106</f>
        <v>Скобяные изделия для блоков входных дверей в помещение однопольных</v>
      </c>
      <c r="D256" s="28" t="str">
        <f>Source!H106</f>
        <v>компл.</v>
      </c>
      <c r="E256" s="11">
        <f>Source!I106</f>
        <v>3</v>
      </c>
      <c r="F256" s="29">
        <f>Source!AL106+Source!AM106+Source!AO106</f>
        <v>94.68</v>
      </c>
      <c r="G256" s="41" t="s">
        <v>6</v>
      </c>
      <c r="H256" s="29">
        <f>ROUND(Source!AC106*Source!I106, 2)+ROUND(Source!AD106*Source!I106, 2)+ROUND(Source!AF106*Source!I106, 2)</f>
        <v>284.04000000000002</v>
      </c>
      <c r="I256" s="30"/>
      <c r="J256" s="30">
        <f>IF(Source!BC106&lt;&gt; 0, Source!BC106, 1)</f>
        <v>6.56</v>
      </c>
      <c r="K256" s="29">
        <f>Source!O106</f>
        <v>1863.3</v>
      </c>
      <c r="L256" s="31"/>
      <c r="S256">
        <f>ROUND((Source!FX106/100)*((ROUND(Source!AF106*Source!I106, 2)+ROUND(Source!AE106*Source!I106, 2))), 2)</f>
        <v>0</v>
      </c>
      <c r="T256">
        <f>Source!X106</f>
        <v>0</v>
      </c>
      <c r="U256">
        <f>ROUND((Source!FY106/100)*((ROUND(Source!AF106*Source!I106, 2)+ROUND(Source!AE106*Source!I106, 2))), 2)</f>
        <v>0</v>
      </c>
      <c r="V256">
        <f>Source!Y106</f>
        <v>0</v>
      </c>
      <c r="W256">
        <f>IF(Source!BI106&lt;=1,H256, 0)</f>
        <v>284.04000000000002</v>
      </c>
      <c r="X256">
        <f>IF(Source!BI106=2,H256, 0)</f>
        <v>0</v>
      </c>
      <c r="Y256">
        <f>IF(Source!BI106=3,H256, 0)</f>
        <v>0</v>
      </c>
      <c r="Z256">
        <f>IF(Source!BI106=4,H256, 0)</f>
        <v>0</v>
      </c>
    </row>
    <row r="257" spans="1:26" ht="28.5" x14ac:dyDescent="0.2">
      <c r="A257" s="44" t="str">
        <f>Source!E107</f>
        <v>24,3</v>
      </c>
      <c r="B257" s="45" t="str">
        <f>Source!F107</f>
        <v>01.7.04.01-0001</v>
      </c>
      <c r="C257" s="45" t="str">
        <f>Source!G107</f>
        <v>Доводчик дверной DS 73 BC "Серия Premium", усилие закрывания EN2-5</v>
      </c>
      <c r="D257" s="28" t="str">
        <f>Source!H107</f>
        <v>шт.</v>
      </c>
      <c r="E257" s="11">
        <f>Source!I107</f>
        <v>1</v>
      </c>
      <c r="F257" s="29">
        <f>Source!AL107+Source!AM107+Source!AO107</f>
        <v>371.2</v>
      </c>
      <c r="G257" s="41" t="s">
        <v>6</v>
      </c>
      <c r="H257" s="29">
        <f>ROUND(Source!AC107*Source!I107, 2)+ROUND(Source!AD107*Source!I107, 2)+ROUND(Source!AF107*Source!I107, 2)</f>
        <v>371.2</v>
      </c>
      <c r="I257" s="30"/>
      <c r="J257" s="30">
        <f>IF(Source!BC107&lt;&gt; 0, Source!BC107, 1)</f>
        <v>6.56</v>
      </c>
      <c r="K257" s="29">
        <f>Source!O107</f>
        <v>2435.0700000000002</v>
      </c>
      <c r="L257" s="31"/>
      <c r="S257">
        <f>ROUND((Source!FX107/100)*((ROUND(Source!AF107*Source!I107, 2)+ROUND(Source!AE107*Source!I107, 2))), 2)</f>
        <v>0</v>
      </c>
      <c r="T257">
        <f>Source!X107</f>
        <v>0</v>
      </c>
      <c r="U257">
        <f>ROUND((Source!FY107/100)*((ROUND(Source!AF107*Source!I107, 2)+ROUND(Source!AE107*Source!I107, 2))), 2)</f>
        <v>0</v>
      </c>
      <c r="V257">
        <f>Source!Y107</f>
        <v>0</v>
      </c>
      <c r="W257">
        <f>IF(Source!BI107&lt;=1,H257, 0)</f>
        <v>371.2</v>
      </c>
      <c r="X257">
        <f>IF(Source!BI107=2,H257, 0)</f>
        <v>0</v>
      </c>
      <c r="Y257">
        <f>IF(Source!BI107=3,H257, 0)</f>
        <v>0</v>
      </c>
      <c r="Z257">
        <f>IF(Source!BI107=4,H257, 0)</f>
        <v>0</v>
      </c>
    </row>
    <row r="258" spans="1:26" ht="14.25" x14ac:dyDescent="0.2">
      <c r="A258" s="46" t="str">
        <f>Source!E108</f>
        <v>24,4</v>
      </c>
      <c r="B258" s="47" t="str">
        <f>Source!F108</f>
        <v>11.2.02.01</v>
      </c>
      <c r="C258" s="47" t="str">
        <f>Source!G108</f>
        <v>Блоки дверные</v>
      </c>
      <c r="D258" s="34" t="str">
        <f>Source!H108</f>
        <v>м2</v>
      </c>
      <c r="E258" s="35">
        <f>Source!I108</f>
        <v>6.09</v>
      </c>
      <c r="F258" s="36">
        <f>Source!AL108+Source!AM108+Source!AO108</f>
        <v>0</v>
      </c>
      <c r="G258" s="42" t="s">
        <v>6</v>
      </c>
      <c r="H258" s="36">
        <f>ROUND(Source!AC108*Source!I108, 2)+ROUND(Source!AD108*Source!I108, 2)+ROUND(Source!AF108*Source!I108, 2)</f>
        <v>0</v>
      </c>
      <c r="I258" s="37"/>
      <c r="J258" s="37">
        <f>IF(Source!BC108&lt;&gt; 0, Source!BC108, 1)</f>
        <v>6.56</v>
      </c>
      <c r="K258" s="36">
        <f>Source!O108</f>
        <v>0</v>
      </c>
      <c r="L258" s="43"/>
      <c r="S258">
        <f>ROUND((Source!FX108/100)*((ROUND(Source!AF108*Source!I108, 2)+ROUND(Source!AE108*Source!I108, 2))), 2)</f>
        <v>0</v>
      </c>
      <c r="T258">
        <f>Source!X108</f>
        <v>0</v>
      </c>
      <c r="U258">
        <f>ROUND((Source!FY108/100)*((ROUND(Source!AF108*Source!I108, 2)+ROUND(Source!AE108*Source!I108, 2))), 2)</f>
        <v>0</v>
      </c>
      <c r="V258">
        <f>Source!Y108</f>
        <v>0</v>
      </c>
      <c r="W258">
        <f>IF(Source!BI108&lt;=1,H258, 0)</f>
        <v>0</v>
      </c>
      <c r="X258">
        <f>IF(Source!BI108=2,H258, 0)</f>
        <v>0</v>
      </c>
      <c r="Y258">
        <f>IF(Source!BI108=3,H258, 0)</f>
        <v>0</v>
      </c>
      <c r="Z258">
        <f>IF(Source!BI108=4,H258, 0)</f>
        <v>0</v>
      </c>
    </row>
    <row r="259" spans="1:26" ht="15" x14ac:dyDescent="0.25">
      <c r="G259" s="63">
        <f>H248+H249+H251+H252+H253+SUM(H255:H258)</f>
        <v>9824.1200000000026</v>
      </c>
      <c r="H259" s="63"/>
      <c r="J259" s="63">
        <f>K248+K249+K251+K252+K253+SUM(K255:K258)</f>
        <v>64447.32</v>
      </c>
      <c r="K259" s="63"/>
      <c r="L259" s="39">
        <f>Source!U104</f>
        <v>6.2702335499999995</v>
      </c>
      <c r="O259" s="24">
        <f>G259</f>
        <v>9824.1200000000026</v>
      </c>
      <c r="P259" s="24">
        <f>J259</f>
        <v>64447.32</v>
      </c>
      <c r="Q259" s="24">
        <f>L259</f>
        <v>6.2702335499999995</v>
      </c>
      <c r="W259">
        <f>IF(Source!BI104&lt;=1,H248+H249+H251+H252+H253, 0)</f>
        <v>345.69</v>
      </c>
      <c r="X259">
        <f>IF(Source!BI104=2,H248+H249+H251+H252+H253, 0)</f>
        <v>0</v>
      </c>
      <c r="Y259">
        <f>IF(Source!BI104=3,H248+H249+H251+H252+H253, 0)</f>
        <v>0</v>
      </c>
      <c r="Z259">
        <f>IF(Source!BI104=4,H248+H249+H251+H252+H253, 0)</f>
        <v>0</v>
      </c>
    </row>
    <row r="260" spans="1:26" ht="57" x14ac:dyDescent="0.2">
      <c r="A260" s="44" t="str">
        <f>Source!E109</f>
        <v>25</v>
      </c>
      <c r="B260" s="45" t="str">
        <f>Source!F109</f>
        <v>10-04-014-01</v>
      </c>
      <c r="C260" s="45" t="str">
        <f>Source!G109</f>
        <v>Устройство сантехнических перегородок (стандартные туалетные кабины) на каркасе из алюминиевого профиля</v>
      </c>
      <c r="D260" s="28" t="str">
        <f>Source!H109</f>
        <v>100 м2</v>
      </c>
      <c r="E260" s="11">
        <f>Source!I109</f>
        <v>0.33600000000000002</v>
      </c>
      <c r="F260" s="29">
        <f>Source!AL109+Source!AM109+Source!AO109</f>
        <v>70425.8</v>
      </c>
      <c r="G260" s="30"/>
      <c r="H260" s="29"/>
      <c r="I260" s="30" t="str">
        <f>Source!BO109</f>
        <v/>
      </c>
      <c r="J260" s="30"/>
      <c r="K260" s="29"/>
      <c r="L260" s="31"/>
      <c r="S260">
        <f>ROUND((Source!FX109/100)*((ROUND(Source!AF109*Source!I109, 2)+ROUND(Source!AE109*Source!I109, 2))), 2)</f>
        <v>120.97</v>
      </c>
      <c r="T260">
        <f>Source!X109</f>
        <v>792.09</v>
      </c>
      <c r="U260">
        <f>ROUND((Source!FY109/100)*((ROUND(Source!AF109*Source!I109, 2)+ROUND(Source!AE109*Source!I109, 2))), 2)</f>
        <v>61</v>
      </c>
      <c r="V260">
        <f>Source!Y109</f>
        <v>403.52</v>
      </c>
    </row>
    <row r="261" spans="1:26" x14ac:dyDescent="0.2">
      <c r="C261" s="23" t="str">
        <f>"Объем: "&amp;Source!I109&amp;"=33,6/"&amp;"100"</f>
        <v>Объем: 0,336=33,6/100</v>
      </c>
    </row>
    <row r="262" spans="1:26" ht="14.25" x14ac:dyDescent="0.2">
      <c r="A262" s="44"/>
      <c r="B262" s="45"/>
      <c r="C262" s="45" t="s">
        <v>1930</v>
      </c>
      <c r="D262" s="28"/>
      <c r="E262" s="11"/>
      <c r="F262" s="29">
        <f>Source!AO109</f>
        <v>294.8</v>
      </c>
      <c r="G262" s="30" t="str">
        <f>Source!DG109</f>
        <v>)*1,15</v>
      </c>
      <c r="H262" s="29">
        <f>ROUND(Source!AF109*Source!I109, 2)</f>
        <v>113.91</v>
      </c>
      <c r="I262" s="30"/>
      <c r="J262" s="30">
        <f>IF(Source!BA109&lt;&gt; 0, Source!BA109, 1)</f>
        <v>6.56</v>
      </c>
      <c r="K262" s="29">
        <f>Source!S109</f>
        <v>747.25</v>
      </c>
      <c r="L262" s="31"/>
      <c r="R262">
        <f>H262</f>
        <v>113.91</v>
      </c>
    </row>
    <row r="263" spans="1:26" ht="14.25" x14ac:dyDescent="0.2">
      <c r="A263" s="44"/>
      <c r="B263" s="45"/>
      <c r="C263" s="45" t="s">
        <v>1937</v>
      </c>
      <c r="D263" s="28"/>
      <c r="E263" s="11"/>
      <c r="F263" s="29">
        <f>Source!AL109</f>
        <v>70131</v>
      </c>
      <c r="G263" s="30" t="str">
        <f>Source!DD109</f>
        <v/>
      </c>
      <c r="H263" s="29">
        <f>ROUND(Source!AC109*Source!I109, 2)</f>
        <v>23564.02</v>
      </c>
      <c r="I263" s="30"/>
      <c r="J263" s="30">
        <f>IF(Source!BC109&lt;&gt; 0, Source!BC109, 1)</f>
        <v>6.56</v>
      </c>
      <c r="K263" s="29">
        <f>Source!P109</f>
        <v>154579.94</v>
      </c>
      <c r="L263" s="31"/>
    </row>
    <row r="264" spans="1:26" ht="14.25" x14ac:dyDescent="0.2">
      <c r="A264" s="44"/>
      <c r="B264" s="45"/>
      <c r="C264" s="45" t="s">
        <v>1932</v>
      </c>
      <c r="D264" s="28" t="s">
        <v>1933</v>
      </c>
      <c r="E264" s="11">
        <f>Source!BZ109</f>
        <v>118</v>
      </c>
      <c r="F264" s="64" t="str">
        <f>CONCATENATE(" )", Source!DL109, Source!FT109, "=", Source!FX109)</f>
        <v xml:space="preserve"> )*0,9=106,2</v>
      </c>
      <c r="G264" s="65"/>
      <c r="H264" s="29">
        <f>SUM(S260:S266)</f>
        <v>120.97</v>
      </c>
      <c r="I264" s="33"/>
      <c r="J264" s="26">
        <f>Source!AT109</f>
        <v>106</v>
      </c>
      <c r="K264" s="29">
        <f>SUM(T260:T266)</f>
        <v>792.09</v>
      </c>
      <c r="L264" s="31"/>
    </row>
    <row r="265" spans="1:26" ht="14.25" x14ac:dyDescent="0.2">
      <c r="A265" s="44"/>
      <c r="B265" s="45"/>
      <c r="C265" s="45" t="s">
        <v>1934</v>
      </c>
      <c r="D265" s="28" t="s">
        <v>1933</v>
      </c>
      <c r="E265" s="11">
        <f>Source!CA109</f>
        <v>63</v>
      </c>
      <c r="F265" s="64" t="str">
        <f>CONCATENATE(" )", Source!DM109, Source!FU109, "=", Source!FY109)</f>
        <v xml:space="preserve"> )*0,85=53,55</v>
      </c>
      <c r="G265" s="65"/>
      <c r="H265" s="29">
        <f>SUM(U260:U266)</f>
        <v>61</v>
      </c>
      <c r="I265" s="33"/>
      <c r="J265" s="26">
        <f>Source!AU109</f>
        <v>54</v>
      </c>
      <c r="K265" s="29">
        <f>SUM(V260:V266)</f>
        <v>403.52</v>
      </c>
      <c r="L265" s="31"/>
    </row>
    <row r="266" spans="1:26" ht="14.25" x14ac:dyDescent="0.2">
      <c r="A266" s="46"/>
      <c r="B266" s="47"/>
      <c r="C266" s="47" t="s">
        <v>1935</v>
      </c>
      <c r="D266" s="34" t="s">
        <v>1936</v>
      </c>
      <c r="E266" s="35">
        <f>Source!AQ109</f>
        <v>34.56</v>
      </c>
      <c r="F266" s="36"/>
      <c r="G266" s="37" t="str">
        <f>Source!DI109</f>
        <v>)*1,15</v>
      </c>
      <c r="H266" s="36"/>
      <c r="I266" s="37"/>
      <c r="J266" s="37"/>
      <c r="K266" s="36"/>
      <c r="L266" s="38">
        <f>Source!U109</f>
        <v>13.353984000000001</v>
      </c>
    </row>
    <row r="267" spans="1:26" ht="15" x14ac:dyDescent="0.25">
      <c r="G267" s="63">
        <f>H262+H263+H264+H265</f>
        <v>23859.9</v>
      </c>
      <c r="H267" s="63"/>
      <c r="J267" s="63">
        <f>K262+K263+K264+K265</f>
        <v>156522.79999999999</v>
      </c>
      <c r="K267" s="63"/>
      <c r="L267" s="39">
        <f>Source!U109</f>
        <v>13.353984000000001</v>
      </c>
      <c r="O267" s="24">
        <f>G267</f>
        <v>23859.9</v>
      </c>
      <c r="P267" s="24">
        <f>J267</f>
        <v>156522.79999999999</v>
      </c>
      <c r="Q267" s="24">
        <f>L267</f>
        <v>13.353984000000001</v>
      </c>
      <c r="W267">
        <f>IF(Source!BI109&lt;=1,H262+H263+H264+H265, 0)</f>
        <v>23859.9</v>
      </c>
      <c r="X267">
        <f>IF(Source!BI109=2,H262+H263+H264+H265, 0)</f>
        <v>0</v>
      </c>
      <c r="Y267">
        <f>IF(Source!BI109=3,H262+H263+H264+H265, 0)</f>
        <v>0</v>
      </c>
      <c r="Z267">
        <f>IF(Source!BI109=4,H262+H263+H264+H265, 0)</f>
        <v>0</v>
      </c>
    </row>
    <row r="268" spans="1:26" ht="57" x14ac:dyDescent="0.2">
      <c r="A268" s="44" t="str">
        <f>Source!E110</f>
        <v>26</v>
      </c>
      <c r="B268" s="45" t="str">
        <f>Source!F110</f>
        <v>61-7-1</v>
      </c>
      <c r="C268" s="45" t="str">
        <f>Source!G110</f>
        <v>Ремонт штукатурки откосов внутри здания по камню и бетону цементно-известковым раствором прямолинейных</v>
      </c>
      <c r="D268" s="28" t="str">
        <f>Source!H110</f>
        <v>100 м2</v>
      </c>
      <c r="E268" s="11">
        <f>Source!I110</f>
        <v>6.6400000000000001E-2</v>
      </c>
      <c r="F268" s="29">
        <f>Source!AL110+Source!AM110+Source!AO110</f>
        <v>5751.9600000000009</v>
      </c>
      <c r="G268" s="30"/>
      <c r="H268" s="29"/>
      <c r="I268" s="30" t="str">
        <f>Source!BO110</f>
        <v/>
      </c>
      <c r="J268" s="30"/>
      <c r="K268" s="29"/>
      <c r="L268" s="31"/>
      <c r="S268">
        <f>ROUND((Source!FX110/100)*((ROUND(Source!AF110*Source!I110, 2)+ROUND(Source!AE110*Source!I110, 2))), 2)</f>
        <v>181.06</v>
      </c>
      <c r="T268">
        <f>Source!X110</f>
        <v>1187.77</v>
      </c>
      <c r="U268">
        <f>ROUND((Source!FY110/100)*((ROUND(Source!AF110*Source!I110, 2)+ROUND(Source!AE110*Source!I110, 2))), 2)</f>
        <v>114.6</v>
      </c>
      <c r="V268">
        <f>Source!Y110</f>
        <v>751.76</v>
      </c>
    </row>
    <row r="269" spans="1:26" x14ac:dyDescent="0.2">
      <c r="C269" s="23" t="str">
        <f>"Объем: "&amp;Source!I110&amp;"=6,64/"&amp;"100"</f>
        <v>Объем: 0,0664=6,64/100</v>
      </c>
    </row>
    <row r="270" spans="1:26" ht="14.25" x14ac:dyDescent="0.2">
      <c r="A270" s="44"/>
      <c r="B270" s="45"/>
      <c r="C270" s="45" t="s">
        <v>1930</v>
      </c>
      <c r="D270" s="28"/>
      <c r="E270" s="11"/>
      <c r="F270" s="29">
        <f>Source!AO110</f>
        <v>3436.05</v>
      </c>
      <c r="G270" s="30" t="str">
        <f>Source!DG110</f>
        <v/>
      </c>
      <c r="H270" s="29">
        <f>ROUND(Source!AF110*Source!I110, 2)</f>
        <v>228.15</v>
      </c>
      <c r="I270" s="30"/>
      <c r="J270" s="30">
        <f>IF(Source!BA110&lt;&gt; 0, Source!BA110, 1)</f>
        <v>6.56</v>
      </c>
      <c r="K270" s="29">
        <f>Source!S110</f>
        <v>1496.69</v>
      </c>
      <c r="L270" s="31"/>
      <c r="R270">
        <f>H270</f>
        <v>228.15</v>
      </c>
    </row>
    <row r="271" spans="1:26" ht="14.25" x14ac:dyDescent="0.2">
      <c r="A271" s="44"/>
      <c r="B271" s="45"/>
      <c r="C271" s="45" t="s">
        <v>151</v>
      </c>
      <c r="D271" s="28"/>
      <c r="E271" s="11"/>
      <c r="F271" s="29">
        <f>Source!AM110</f>
        <v>36.26</v>
      </c>
      <c r="G271" s="30" t="str">
        <f>Source!DE110</f>
        <v/>
      </c>
      <c r="H271" s="29">
        <f>ROUND(Source!AD110*Source!I110, 2)</f>
        <v>2.41</v>
      </c>
      <c r="I271" s="30"/>
      <c r="J271" s="30">
        <f>IF(Source!BB110&lt;&gt; 0, Source!BB110, 1)</f>
        <v>6.56</v>
      </c>
      <c r="K271" s="29">
        <f>Source!Q110</f>
        <v>15.79</v>
      </c>
      <c r="L271" s="31"/>
    </row>
    <row r="272" spans="1:26" ht="14.25" x14ac:dyDescent="0.2">
      <c r="A272" s="44"/>
      <c r="B272" s="45"/>
      <c r="C272" s="45" t="s">
        <v>1931</v>
      </c>
      <c r="D272" s="28"/>
      <c r="E272" s="11"/>
      <c r="F272" s="29">
        <f>Source!AN110</f>
        <v>15.66</v>
      </c>
      <c r="G272" s="30" t="str">
        <f>Source!DF110</f>
        <v/>
      </c>
      <c r="H272" s="32">
        <f>ROUND(Source!AE110*Source!I110, 2)</f>
        <v>1.04</v>
      </c>
      <c r="I272" s="30"/>
      <c r="J272" s="30">
        <f>IF(Source!BS110&lt;&gt; 0, Source!BS110, 1)</f>
        <v>6.56</v>
      </c>
      <c r="K272" s="32">
        <f>Source!R110</f>
        <v>6.82</v>
      </c>
      <c r="L272" s="31"/>
      <c r="R272">
        <f>H272</f>
        <v>1.04</v>
      </c>
    </row>
    <row r="273" spans="1:26" ht="14.25" x14ac:dyDescent="0.2">
      <c r="A273" s="44"/>
      <c r="B273" s="45"/>
      <c r="C273" s="45" t="s">
        <v>1937</v>
      </c>
      <c r="D273" s="28"/>
      <c r="E273" s="11"/>
      <c r="F273" s="29">
        <f>Source!AL110</f>
        <v>2279.65</v>
      </c>
      <c r="G273" s="30" t="str">
        <f>Source!DD110</f>
        <v/>
      </c>
      <c r="H273" s="29">
        <f>ROUND(Source!AC110*Source!I110, 2)</f>
        <v>151.37</v>
      </c>
      <c r="I273" s="30"/>
      <c r="J273" s="30">
        <f>IF(Source!BC110&lt;&gt; 0, Source!BC110, 1)</f>
        <v>6.56</v>
      </c>
      <c r="K273" s="29">
        <f>Source!P110</f>
        <v>992.98</v>
      </c>
      <c r="L273" s="31"/>
    </row>
    <row r="274" spans="1:26" ht="14.25" x14ac:dyDescent="0.2">
      <c r="A274" s="44"/>
      <c r="B274" s="45"/>
      <c r="C274" s="45" t="s">
        <v>1932</v>
      </c>
      <c r="D274" s="28" t="s">
        <v>1933</v>
      </c>
      <c r="E274" s="11">
        <f>Source!BZ110</f>
        <v>79</v>
      </c>
      <c r="F274" s="48"/>
      <c r="G274" s="30"/>
      <c r="H274" s="29">
        <f>SUM(S268:S277)</f>
        <v>181.06</v>
      </c>
      <c r="I274" s="33"/>
      <c r="J274" s="26">
        <f>Source!AT110</f>
        <v>79</v>
      </c>
      <c r="K274" s="29">
        <f>SUM(T268:T277)</f>
        <v>1187.77</v>
      </c>
      <c r="L274" s="31"/>
    </row>
    <row r="275" spans="1:26" ht="14.25" x14ac:dyDescent="0.2">
      <c r="A275" s="44"/>
      <c r="B275" s="45"/>
      <c r="C275" s="45" t="s">
        <v>1934</v>
      </c>
      <c r="D275" s="28" t="s">
        <v>1933</v>
      </c>
      <c r="E275" s="11">
        <f>Source!CA110</f>
        <v>50</v>
      </c>
      <c r="F275" s="48"/>
      <c r="G275" s="30"/>
      <c r="H275" s="29">
        <f>SUM(U268:U277)</f>
        <v>114.6</v>
      </c>
      <c r="I275" s="33"/>
      <c r="J275" s="26">
        <f>Source!AU110</f>
        <v>50</v>
      </c>
      <c r="K275" s="29">
        <f>SUM(V268:V277)</f>
        <v>751.76</v>
      </c>
      <c r="L275" s="31"/>
    </row>
    <row r="276" spans="1:26" ht="14.25" x14ac:dyDescent="0.2">
      <c r="A276" s="44"/>
      <c r="B276" s="45"/>
      <c r="C276" s="45" t="s">
        <v>1935</v>
      </c>
      <c r="D276" s="28" t="s">
        <v>1936</v>
      </c>
      <c r="E276" s="11">
        <f>Source!AQ110</f>
        <v>383.06</v>
      </c>
      <c r="F276" s="29"/>
      <c r="G276" s="30" t="str">
        <f>Source!DI110</f>
        <v/>
      </c>
      <c r="H276" s="29"/>
      <c r="I276" s="30"/>
      <c r="J276" s="30"/>
      <c r="K276" s="29"/>
      <c r="L276" s="40">
        <f>Source!U110</f>
        <v>25.435184</v>
      </c>
    </row>
    <row r="277" spans="1:26" ht="14.25" x14ac:dyDescent="0.2">
      <c r="A277" s="46" t="str">
        <f>Source!E111</f>
        <v>26,1</v>
      </c>
      <c r="B277" s="47" t="str">
        <f>Source!F111</f>
        <v>01.7.07.07</v>
      </c>
      <c r="C277" s="47" t="str">
        <f>Source!G111</f>
        <v>Строительный мусор</v>
      </c>
      <c r="D277" s="34" t="str">
        <f>Source!H111</f>
        <v>т</v>
      </c>
      <c r="E277" s="35">
        <f>Source!I111</f>
        <v>0.53783999999999998</v>
      </c>
      <c r="F277" s="36">
        <f>Source!AL111+Source!AM111+Source!AO111</f>
        <v>0</v>
      </c>
      <c r="G277" s="42" t="s">
        <v>6</v>
      </c>
      <c r="H277" s="36">
        <f>ROUND(Source!AC111*Source!I111, 2)+ROUND(Source!AD111*Source!I111, 2)+ROUND(Source!AF111*Source!I111, 2)</f>
        <v>0</v>
      </c>
      <c r="I277" s="37"/>
      <c r="J277" s="37">
        <f>IF(Source!BC111&lt;&gt; 0, Source!BC111, 1)</f>
        <v>6.56</v>
      </c>
      <c r="K277" s="36">
        <f>Source!O111</f>
        <v>0</v>
      </c>
      <c r="L277" s="43"/>
      <c r="S277">
        <f>ROUND((Source!FX111/100)*((ROUND(Source!AF111*Source!I111, 2)+ROUND(Source!AE111*Source!I111, 2))), 2)</f>
        <v>0</v>
      </c>
      <c r="T277">
        <f>Source!X111</f>
        <v>0</v>
      </c>
      <c r="U277">
        <f>ROUND((Source!FY111/100)*((ROUND(Source!AF111*Source!I111, 2)+ROUND(Source!AE111*Source!I111, 2))), 2)</f>
        <v>0</v>
      </c>
      <c r="V277">
        <f>Source!Y111</f>
        <v>0</v>
      </c>
      <c r="W277">
        <f>IF(Source!BI111&lt;=1,H277, 0)</f>
        <v>0</v>
      </c>
      <c r="X277">
        <f>IF(Source!BI111=2,H277, 0)</f>
        <v>0</v>
      </c>
      <c r="Y277">
        <f>IF(Source!BI111=3,H277, 0)</f>
        <v>0</v>
      </c>
      <c r="Z277">
        <f>IF(Source!BI111=4,H277, 0)</f>
        <v>0</v>
      </c>
    </row>
    <row r="278" spans="1:26" ht="15" x14ac:dyDescent="0.25">
      <c r="G278" s="63">
        <f>H270+H271+H273+H274+H275+SUM(H277:H277)</f>
        <v>677.59</v>
      </c>
      <c r="H278" s="63"/>
      <c r="J278" s="63">
        <f>K270+K271+K273+K274+K275+SUM(K277:K277)</f>
        <v>4444.99</v>
      </c>
      <c r="K278" s="63"/>
      <c r="L278" s="39">
        <f>Source!U110</f>
        <v>25.435184</v>
      </c>
      <c r="O278" s="24">
        <f>G278</f>
        <v>677.59</v>
      </c>
      <c r="P278" s="24">
        <f>J278</f>
        <v>4444.99</v>
      </c>
      <c r="Q278" s="24">
        <f>L278</f>
        <v>25.435184</v>
      </c>
      <c r="W278">
        <f>IF(Source!BI110&lt;=1,H270+H271+H273+H274+H275, 0)</f>
        <v>677.59</v>
      </c>
      <c r="X278">
        <f>IF(Source!BI110=2,H270+H271+H273+H274+H275, 0)</f>
        <v>0</v>
      </c>
      <c r="Y278">
        <f>IF(Source!BI110=3,H270+H271+H273+H274+H275, 0)</f>
        <v>0</v>
      </c>
      <c r="Z278">
        <f>IF(Source!BI110=4,H270+H271+H273+H274+H275, 0)</f>
        <v>0</v>
      </c>
    </row>
    <row r="279" spans="1:26" ht="28.5" x14ac:dyDescent="0.2">
      <c r="A279" s="44" t="str">
        <f>Source!E112</f>
        <v>27</v>
      </c>
      <c r="B279" s="45" t="str">
        <f>Source!F112</f>
        <v>53-25-1</v>
      </c>
      <c r="C279" s="45" t="str">
        <f>Source!G112</f>
        <v>Устройство металлических перемычек в стенах существующих зданий</v>
      </c>
      <c r="D279" s="28" t="str">
        <f>Source!H112</f>
        <v>т</v>
      </c>
      <c r="E279" s="11">
        <f>Source!I112</f>
        <v>2.7E-2</v>
      </c>
      <c r="F279" s="29">
        <f>Source!AL112+Source!AM112+Source!AO112</f>
        <v>1581.13</v>
      </c>
      <c r="G279" s="30"/>
      <c r="H279" s="29"/>
      <c r="I279" s="30" t="str">
        <f>Source!BO112</f>
        <v/>
      </c>
      <c r="J279" s="30"/>
      <c r="K279" s="29"/>
      <c r="L279" s="31"/>
      <c r="S279">
        <f>ROUND((Source!FX112/100)*((ROUND(Source!AF112*Source!I112, 2)+ROUND(Source!AE112*Source!I112, 2))), 2)</f>
        <v>33.450000000000003</v>
      </c>
      <c r="T279">
        <f>Source!X112</f>
        <v>219.39</v>
      </c>
      <c r="U279">
        <f>ROUND((Source!FY112/100)*((ROUND(Source!AF112*Source!I112, 2)+ROUND(Source!AE112*Source!I112, 2))), 2)</f>
        <v>27.22</v>
      </c>
      <c r="V279">
        <f>Source!Y112</f>
        <v>178.57</v>
      </c>
    </row>
    <row r="280" spans="1:26" ht="14.25" x14ac:dyDescent="0.2">
      <c r="A280" s="44"/>
      <c r="B280" s="45"/>
      <c r="C280" s="45" t="s">
        <v>1930</v>
      </c>
      <c r="D280" s="28"/>
      <c r="E280" s="11"/>
      <c r="F280" s="29">
        <f>Source!AO112</f>
        <v>1433.2</v>
      </c>
      <c r="G280" s="30" t="str">
        <f>Source!DG112</f>
        <v/>
      </c>
      <c r="H280" s="29">
        <f>ROUND(Source!AF112*Source!I112, 2)</f>
        <v>38.700000000000003</v>
      </c>
      <c r="I280" s="30"/>
      <c r="J280" s="30">
        <f>IF(Source!BA112&lt;&gt; 0, Source!BA112, 1)</f>
        <v>6.56</v>
      </c>
      <c r="K280" s="29">
        <f>Source!S112</f>
        <v>253.85</v>
      </c>
      <c r="L280" s="31"/>
      <c r="R280">
        <f>H280</f>
        <v>38.700000000000003</v>
      </c>
    </row>
    <row r="281" spans="1:26" ht="14.25" x14ac:dyDescent="0.2">
      <c r="A281" s="44"/>
      <c r="B281" s="45"/>
      <c r="C281" s="45" t="s">
        <v>151</v>
      </c>
      <c r="D281" s="28"/>
      <c r="E281" s="11"/>
      <c r="F281" s="29">
        <f>Source!AM112</f>
        <v>63.11</v>
      </c>
      <c r="G281" s="30" t="str">
        <f>Source!DE112</f>
        <v/>
      </c>
      <c r="H281" s="29">
        <f>ROUND(Source!AD112*Source!I112, 2)</f>
        <v>1.7</v>
      </c>
      <c r="I281" s="30"/>
      <c r="J281" s="30">
        <f>IF(Source!BB112&lt;&gt; 0, Source!BB112, 1)</f>
        <v>6.56</v>
      </c>
      <c r="K281" s="29">
        <f>Source!Q112</f>
        <v>11.18</v>
      </c>
      <c r="L281" s="31"/>
    </row>
    <row r="282" spans="1:26" ht="14.25" x14ac:dyDescent="0.2">
      <c r="A282" s="44"/>
      <c r="B282" s="45"/>
      <c r="C282" s="45" t="s">
        <v>1931</v>
      </c>
      <c r="D282" s="28"/>
      <c r="E282" s="11"/>
      <c r="F282" s="29">
        <f>Source!AN112</f>
        <v>7.05</v>
      </c>
      <c r="G282" s="30" t="str">
        <f>Source!DF112</f>
        <v/>
      </c>
      <c r="H282" s="32">
        <f>ROUND(Source!AE112*Source!I112, 2)</f>
        <v>0.19</v>
      </c>
      <c r="I282" s="30"/>
      <c r="J282" s="30">
        <f>IF(Source!BS112&lt;&gt; 0, Source!BS112, 1)</f>
        <v>6.56</v>
      </c>
      <c r="K282" s="32">
        <f>Source!R112</f>
        <v>1.25</v>
      </c>
      <c r="L282" s="31"/>
      <c r="R282">
        <f>H282</f>
        <v>0.19</v>
      </c>
    </row>
    <row r="283" spans="1:26" ht="14.25" x14ac:dyDescent="0.2">
      <c r="A283" s="44"/>
      <c r="B283" s="45"/>
      <c r="C283" s="45" t="s">
        <v>1937</v>
      </c>
      <c r="D283" s="28"/>
      <c r="E283" s="11"/>
      <c r="F283" s="29">
        <f>Source!AL112</f>
        <v>84.82</v>
      </c>
      <c r="G283" s="30" t="str">
        <f>Source!DD112</f>
        <v/>
      </c>
      <c r="H283" s="29">
        <f>ROUND(Source!AC112*Source!I112, 2)</f>
        <v>2.29</v>
      </c>
      <c r="I283" s="30"/>
      <c r="J283" s="30">
        <f>IF(Source!BC112&lt;&gt; 0, Source!BC112, 1)</f>
        <v>6.56</v>
      </c>
      <c r="K283" s="29">
        <f>Source!P112</f>
        <v>15.02</v>
      </c>
      <c r="L283" s="31"/>
    </row>
    <row r="284" spans="1:26" ht="14.25" x14ac:dyDescent="0.2">
      <c r="A284" s="44"/>
      <c r="B284" s="45"/>
      <c r="C284" s="45" t="s">
        <v>1932</v>
      </c>
      <c r="D284" s="28" t="s">
        <v>1933</v>
      </c>
      <c r="E284" s="11">
        <f>Source!BZ112</f>
        <v>86</v>
      </c>
      <c r="F284" s="48"/>
      <c r="G284" s="30"/>
      <c r="H284" s="29">
        <f>SUM(S279:S292)</f>
        <v>33.450000000000003</v>
      </c>
      <c r="I284" s="33"/>
      <c r="J284" s="26">
        <f>Source!AT112</f>
        <v>86</v>
      </c>
      <c r="K284" s="29">
        <f>SUM(T279:T292)</f>
        <v>219.39</v>
      </c>
      <c r="L284" s="31"/>
    </row>
    <row r="285" spans="1:26" ht="14.25" x14ac:dyDescent="0.2">
      <c r="A285" s="44"/>
      <c r="B285" s="45"/>
      <c r="C285" s="45" t="s">
        <v>1934</v>
      </c>
      <c r="D285" s="28" t="s">
        <v>1933</v>
      </c>
      <c r="E285" s="11">
        <f>Source!CA112</f>
        <v>70</v>
      </c>
      <c r="F285" s="48"/>
      <c r="G285" s="30"/>
      <c r="H285" s="29">
        <f>SUM(U279:U292)</f>
        <v>27.22</v>
      </c>
      <c r="I285" s="33"/>
      <c r="J285" s="26">
        <f>Source!AU112</f>
        <v>70</v>
      </c>
      <c r="K285" s="29">
        <f>SUM(V279:V292)</f>
        <v>178.57</v>
      </c>
      <c r="L285" s="31"/>
    </row>
    <row r="286" spans="1:26" ht="14.25" x14ac:dyDescent="0.2">
      <c r="A286" s="44"/>
      <c r="B286" s="45"/>
      <c r="C286" s="45" t="s">
        <v>1935</v>
      </c>
      <c r="D286" s="28" t="s">
        <v>1936</v>
      </c>
      <c r="E286" s="11">
        <f>Source!AQ112</f>
        <v>165.88</v>
      </c>
      <c r="F286" s="29"/>
      <c r="G286" s="30" t="str">
        <f>Source!DI112</f>
        <v/>
      </c>
      <c r="H286" s="29"/>
      <c r="I286" s="30"/>
      <c r="J286" s="30"/>
      <c r="K286" s="29"/>
      <c r="L286" s="40">
        <f>Source!U112</f>
        <v>4.4787599999999994</v>
      </c>
    </row>
    <row r="287" spans="1:26" ht="28.5" x14ac:dyDescent="0.2">
      <c r="A287" s="44" t="str">
        <f>Source!E113</f>
        <v>27,1</v>
      </c>
      <c r="B287" s="45" t="str">
        <f>Source!F113</f>
        <v>04.3.01.09-0014</v>
      </c>
      <c r="C287" s="45" t="str">
        <f>Source!G113</f>
        <v>Раствор готовый кладочный цементный марки 100</v>
      </c>
      <c r="D287" s="28" t="str">
        <f>Source!H113</f>
        <v>м3</v>
      </c>
      <c r="E287" s="11">
        <f>Source!I113</f>
        <v>1.4579999999999997E-2</v>
      </c>
      <c r="F287" s="29">
        <f>Source!AL113+Source!AM113+Source!AO113</f>
        <v>519.79999999999995</v>
      </c>
      <c r="G287" s="41" t="s">
        <v>6</v>
      </c>
      <c r="H287" s="29">
        <f>ROUND(Source!AC113*Source!I113, 2)+ROUND(Source!AD113*Source!I113, 2)+ROUND(Source!AF113*Source!I113, 2)</f>
        <v>7.58</v>
      </c>
      <c r="I287" s="30"/>
      <c r="J287" s="30">
        <f>IF(Source!BC113&lt;&gt; 0, Source!BC113, 1)</f>
        <v>6.56</v>
      </c>
      <c r="K287" s="29">
        <f>Source!O113</f>
        <v>49.72</v>
      </c>
      <c r="L287" s="31"/>
      <c r="S287">
        <f>ROUND((Source!FX113/100)*((ROUND(Source!AF113*Source!I113, 2)+ROUND(Source!AE113*Source!I113, 2))), 2)</f>
        <v>0</v>
      </c>
      <c r="T287">
        <f>Source!X113</f>
        <v>0</v>
      </c>
      <c r="U287">
        <f>ROUND((Source!FY113/100)*((ROUND(Source!AF113*Source!I113, 2)+ROUND(Source!AE113*Source!I113, 2))), 2)</f>
        <v>0</v>
      </c>
      <c r="V287">
        <f>Source!Y113</f>
        <v>0</v>
      </c>
      <c r="W287">
        <f>IF(Source!BI113&lt;=1,H287, 0)</f>
        <v>7.58</v>
      </c>
      <c r="X287">
        <f>IF(Source!BI113=2,H287, 0)</f>
        <v>0</v>
      </c>
      <c r="Y287">
        <f>IF(Source!BI113=3,H287, 0)</f>
        <v>0</v>
      </c>
      <c r="Z287">
        <f>IF(Source!BI113=4,H287, 0)</f>
        <v>0</v>
      </c>
    </row>
    <row r="288" spans="1:26" ht="28.5" x14ac:dyDescent="0.2">
      <c r="A288" s="44" t="str">
        <f>Source!E114</f>
        <v>27,2</v>
      </c>
      <c r="B288" s="45" t="str">
        <f>Source!F114</f>
        <v>06.1.01.05-0036</v>
      </c>
      <c r="C288" s="45" t="str">
        <f>Source!G114</f>
        <v>Кирпич керамический одинарный, размером 250х120х65 мм, марка 125</v>
      </c>
      <c r="D288" s="28" t="str">
        <f>Source!H114</f>
        <v>1000 шт.</v>
      </c>
      <c r="E288" s="11">
        <f>Source!I114</f>
        <v>1.5389999999999999E-2</v>
      </c>
      <c r="F288" s="29">
        <f>Source!AL114+Source!AM114+Source!AO114</f>
        <v>1863.37</v>
      </c>
      <c r="G288" s="41" t="s">
        <v>6</v>
      </c>
      <c r="H288" s="29">
        <f>ROUND(Source!AC114*Source!I114, 2)+ROUND(Source!AD114*Source!I114, 2)+ROUND(Source!AF114*Source!I114, 2)</f>
        <v>28.68</v>
      </c>
      <c r="I288" s="30"/>
      <c r="J288" s="30">
        <f>IF(Source!BC114&lt;&gt; 0, Source!BC114, 1)</f>
        <v>6.56</v>
      </c>
      <c r="K288" s="29">
        <f>Source!O114</f>
        <v>188.12</v>
      </c>
      <c r="L288" s="31"/>
      <c r="S288">
        <f>ROUND((Source!FX114/100)*((ROUND(Source!AF114*Source!I114, 2)+ROUND(Source!AE114*Source!I114, 2))), 2)</f>
        <v>0</v>
      </c>
      <c r="T288">
        <f>Source!X114</f>
        <v>0</v>
      </c>
      <c r="U288">
        <f>ROUND((Source!FY114/100)*((ROUND(Source!AF114*Source!I114, 2)+ROUND(Source!AE114*Source!I114, 2))), 2)</f>
        <v>0</v>
      </c>
      <c r="V288">
        <f>Source!Y114</f>
        <v>0</v>
      </c>
      <c r="W288">
        <f>IF(Source!BI114&lt;=1,H288, 0)</f>
        <v>28.68</v>
      </c>
      <c r="X288">
        <f>IF(Source!BI114=2,H288, 0)</f>
        <v>0</v>
      </c>
      <c r="Y288">
        <f>IF(Source!BI114=3,H288, 0)</f>
        <v>0</v>
      </c>
      <c r="Z288">
        <f>IF(Source!BI114=4,H288, 0)</f>
        <v>0</v>
      </c>
    </row>
    <row r="289" spans="1:26" ht="28.5" x14ac:dyDescent="0.2">
      <c r="A289" s="44" t="str">
        <f>Source!E115</f>
        <v>27,3</v>
      </c>
      <c r="B289" s="45" t="str">
        <f>Source!F115</f>
        <v>08.3.08.02-0083</v>
      </c>
      <c r="C289" s="45" t="str">
        <f>Source!G115</f>
        <v>Сталь угловая равнополочная, марка стали Ст3сп, размером 45х45 мм</v>
      </c>
      <c r="D289" s="28" t="str">
        <f>Source!H115</f>
        <v>т</v>
      </c>
      <c r="E289" s="11">
        <f>Source!I115</f>
        <v>2.8080000000000001E-2</v>
      </c>
      <c r="F289" s="29">
        <f>Source!AL115+Source!AM115+Source!AO115</f>
        <v>6743.51</v>
      </c>
      <c r="G289" s="41" t="s">
        <v>6</v>
      </c>
      <c r="H289" s="29">
        <f>ROUND(Source!AC115*Source!I115, 2)+ROUND(Source!AD115*Source!I115, 2)+ROUND(Source!AF115*Source!I115, 2)</f>
        <v>189.36</v>
      </c>
      <c r="I289" s="30"/>
      <c r="J289" s="30">
        <f>IF(Source!BC115&lt;&gt; 0, Source!BC115, 1)</f>
        <v>6.56</v>
      </c>
      <c r="K289" s="29">
        <f>Source!O115</f>
        <v>1242.19</v>
      </c>
      <c r="L289" s="31"/>
      <c r="S289">
        <f>ROUND((Source!FX115/100)*((ROUND(Source!AF115*Source!I115, 2)+ROUND(Source!AE115*Source!I115, 2))), 2)</f>
        <v>0</v>
      </c>
      <c r="T289">
        <f>Source!X115</f>
        <v>0</v>
      </c>
      <c r="U289">
        <f>ROUND((Source!FY115/100)*((ROUND(Source!AF115*Source!I115, 2)+ROUND(Source!AE115*Source!I115, 2))), 2)</f>
        <v>0</v>
      </c>
      <c r="V289">
        <f>Source!Y115</f>
        <v>0</v>
      </c>
      <c r="W289">
        <f>IF(Source!BI115&lt;=1,H289, 0)</f>
        <v>189.36</v>
      </c>
      <c r="X289">
        <f>IF(Source!BI115=2,H289, 0)</f>
        <v>0</v>
      </c>
      <c r="Y289">
        <f>IF(Source!BI115=3,H289, 0)</f>
        <v>0</v>
      </c>
      <c r="Z289">
        <f>IF(Source!BI115=4,H289, 0)</f>
        <v>0</v>
      </c>
    </row>
    <row r="290" spans="1:26" ht="14.25" x14ac:dyDescent="0.2">
      <c r="A290" s="44" t="str">
        <f>Source!E116</f>
        <v>27,4</v>
      </c>
      <c r="B290" s="45" t="str">
        <f>Source!F116</f>
        <v>04.3.01.12</v>
      </c>
      <c r="C290" s="45" t="str">
        <f>Source!G116</f>
        <v>Раствор цементно-известковый М50</v>
      </c>
      <c r="D290" s="28" t="str">
        <f>Source!H116</f>
        <v>м3</v>
      </c>
      <c r="E290" s="11">
        <f>Source!I116</f>
        <v>1.4579999999999997E-2</v>
      </c>
      <c r="F290" s="29">
        <f>Source!AL116+Source!AM116+Source!AO116</f>
        <v>0</v>
      </c>
      <c r="G290" s="41" t="s">
        <v>6</v>
      </c>
      <c r="H290" s="29">
        <f>ROUND(Source!AC116*Source!I116, 2)+ROUND(Source!AD116*Source!I116, 2)+ROUND(Source!AF116*Source!I116, 2)</f>
        <v>0</v>
      </c>
      <c r="I290" s="30"/>
      <c r="J290" s="30">
        <f>IF(Source!BC116&lt;&gt; 0, Source!BC116, 1)</f>
        <v>6.56</v>
      </c>
      <c r="K290" s="29">
        <f>Source!O116</f>
        <v>0</v>
      </c>
      <c r="L290" s="31"/>
      <c r="S290">
        <f>ROUND((Source!FX116/100)*((ROUND(Source!AF116*Source!I116, 2)+ROUND(Source!AE116*Source!I116, 2))), 2)</f>
        <v>0</v>
      </c>
      <c r="T290">
        <f>Source!X116</f>
        <v>0</v>
      </c>
      <c r="U290">
        <f>ROUND((Source!FY116/100)*((ROUND(Source!AF116*Source!I116, 2)+ROUND(Source!AE116*Source!I116, 2))), 2)</f>
        <v>0</v>
      </c>
      <c r="V290">
        <f>Source!Y116</f>
        <v>0</v>
      </c>
      <c r="W290">
        <f>IF(Source!BI116&lt;=1,H290, 0)</f>
        <v>0</v>
      </c>
      <c r="X290">
        <f>IF(Source!BI116=2,H290, 0)</f>
        <v>0</v>
      </c>
      <c r="Y290">
        <f>IF(Source!BI116=3,H290, 0)</f>
        <v>0</v>
      </c>
      <c r="Z290">
        <f>IF(Source!BI116=4,H290, 0)</f>
        <v>0</v>
      </c>
    </row>
    <row r="291" spans="1:26" ht="14.25" x14ac:dyDescent="0.2">
      <c r="A291" s="44" t="str">
        <f>Source!E117</f>
        <v>27,5</v>
      </c>
      <c r="B291" s="45" t="str">
        <f>Source!F117</f>
        <v>06.1.01.05</v>
      </c>
      <c r="C291" s="45" t="str">
        <f>Source!G117</f>
        <v>Кирпич</v>
      </c>
      <c r="D291" s="28" t="str">
        <f>Source!H117</f>
        <v>1000 шт.</v>
      </c>
      <c r="E291" s="11">
        <f>Source!I117</f>
        <v>1.5389999999999999E-2</v>
      </c>
      <c r="F291" s="29">
        <f>Source!AL117+Source!AM117+Source!AO117</f>
        <v>0</v>
      </c>
      <c r="G291" s="41" t="s">
        <v>6</v>
      </c>
      <c r="H291" s="29">
        <f>ROUND(Source!AC117*Source!I117, 2)+ROUND(Source!AD117*Source!I117, 2)+ROUND(Source!AF117*Source!I117, 2)</f>
        <v>0</v>
      </c>
      <c r="I291" s="30"/>
      <c r="J291" s="30">
        <f>IF(Source!BC117&lt;&gt; 0, Source!BC117, 1)</f>
        <v>6.56</v>
      </c>
      <c r="K291" s="29">
        <f>Source!O117</f>
        <v>0</v>
      </c>
      <c r="L291" s="31"/>
      <c r="S291">
        <f>ROUND((Source!FX117/100)*((ROUND(Source!AF117*Source!I117, 2)+ROUND(Source!AE117*Source!I117, 2))), 2)</f>
        <v>0</v>
      </c>
      <c r="T291">
        <f>Source!X117</f>
        <v>0</v>
      </c>
      <c r="U291">
        <f>ROUND((Source!FY117/100)*((ROUND(Source!AF117*Source!I117, 2)+ROUND(Source!AE117*Source!I117, 2))), 2)</f>
        <v>0</v>
      </c>
      <c r="V291">
        <f>Source!Y117</f>
        <v>0</v>
      </c>
      <c r="W291">
        <f>IF(Source!BI117&lt;=1,H291, 0)</f>
        <v>0</v>
      </c>
      <c r="X291">
        <f>IF(Source!BI117=2,H291, 0)</f>
        <v>0</v>
      </c>
      <c r="Y291">
        <f>IF(Source!BI117=3,H291, 0)</f>
        <v>0</v>
      </c>
      <c r="Z291">
        <f>IF(Source!BI117=4,H291, 0)</f>
        <v>0</v>
      </c>
    </row>
    <row r="292" spans="1:26" ht="14.25" x14ac:dyDescent="0.2">
      <c r="A292" s="46" t="str">
        <f>Source!E118</f>
        <v>27,6</v>
      </c>
      <c r="B292" s="47" t="str">
        <f>Source!F118</f>
        <v>07.2.07.13</v>
      </c>
      <c r="C292" s="47" t="str">
        <f>Source!G118</f>
        <v>Конструкции стальные</v>
      </c>
      <c r="D292" s="34" t="str">
        <f>Source!H118</f>
        <v>т</v>
      </c>
      <c r="E292" s="35">
        <f>Source!I118</f>
        <v>2.8080000000000001E-2</v>
      </c>
      <c r="F292" s="36">
        <f>Source!AL118+Source!AM118+Source!AO118</f>
        <v>0</v>
      </c>
      <c r="G292" s="42" t="s">
        <v>6</v>
      </c>
      <c r="H292" s="36">
        <f>ROUND(Source!AC118*Source!I118, 2)+ROUND(Source!AD118*Source!I118, 2)+ROUND(Source!AF118*Source!I118, 2)</f>
        <v>0</v>
      </c>
      <c r="I292" s="37"/>
      <c r="J292" s="37">
        <f>IF(Source!BC118&lt;&gt; 0, Source!BC118, 1)</f>
        <v>6.56</v>
      </c>
      <c r="K292" s="36">
        <f>Source!O118</f>
        <v>0</v>
      </c>
      <c r="L292" s="43"/>
      <c r="S292">
        <f>ROUND((Source!FX118/100)*((ROUND(Source!AF118*Source!I118, 2)+ROUND(Source!AE118*Source!I118, 2))), 2)</f>
        <v>0</v>
      </c>
      <c r="T292">
        <f>Source!X118</f>
        <v>0</v>
      </c>
      <c r="U292">
        <f>ROUND((Source!FY118/100)*((ROUND(Source!AF118*Source!I118, 2)+ROUND(Source!AE118*Source!I118, 2))), 2)</f>
        <v>0</v>
      </c>
      <c r="V292">
        <f>Source!Y118</f>
        <v>0</v>
      </c>
      <c r="W292">
        <f>IF(Source!BI118&lt;=1,H292, 0)</f>
        <v>0</v>
      </c>
      <c r="X292">
        <f>IF(Source!BI118=2,H292, 0)</f>
        <v>0</v>
      </c>
      <c r="Y292">
        <f>IF(Source!BI118=3,H292, 0)</f>
        <v>0</v>
      </c>
      <c r="Z292">
        <f>IF(Source!BI118=4,H292, 0)</f>
        <v>0</v>
      </c>
    </row>
    <row r="293" spans="1:26" ht="15" x14ac:dyDescent="0.25">
      <c r="G293" s="63">
        <f>H280+H281+H283+H284+H285+SUM(H287:H292)</f>
        <v>328.98</v>
      </c>
      <c r="H293" s="63"/>
      <c r="J293" s="63">
        <f>K280+K281+K283+K284+K285+SUM(K287:K292)</f>
        <v>2158.04</v>
      </c>
      <c r="K293" s="63"/>
      <c r="L293" s="39">
        <f>Source!U112</f>
        <v>4.4787599999999994</v>
      </c>
      <c r="O293" s="24">
        <f>G293</f>
        <v>328.98</v>
      </c>
      <c r="P293" s="24">
        <f>J293</f>
        <v>2158.04</v>
      </c>
      <c r="Q293" s="24">
        <f>L293</f>
        <v>4.4787599999999994</v>
      </c>
      <c r="W293">
        <f>IF(Source!BI112&lt;=1,H280+H281+H283+H284+H285, 0)</f>
        <v>103.36000000000001</v>
      </c>
      <c r="X293">
        <f>IF(Source!BI112=2,H280+H281+H283+H284+H285, 0)</f>
        <v>0</v>
      </c>
      <c r="Y293">
        <f>IF(Source!BI112=3,H280+H281+H283+H284+H285, 0)</f>
        <v>0</v>
      </c>
      <c r="Z293">
        <f>IF(Source!BI112=4,H280+H281+H283+H284+H285, 0)</f>
        <v>0</v>
      </c>
    </row>
    <row r="294" spans="1:26" ht="42.75" x14ac:dyDescent="0.2">
      <c r="A294" s="44" t="str">
        <f>Source!E119</f>
        <v>28</v>
      </c>
      <c r="B294" s="45" t="str">
        <f>Source!F119</f>
        <v>08-04-003-03</v>
      </c>
      <c r="C294" s="45" t="str">
        <f>Source!G119</f>
        <v>Кладка перегородок из газобетонных блоков на клее толщиной 200 мм при высоте этажа до 4 м</v>
      </c>
      <c r="D294" s="28" t="str">
        <f>Source!H119</f>
        <v>100 м2</v>
      </c>
      <c r="E294" s="11">
        <f>Source!I119</f>
        <v>0.19409999999999999</v>
      </c>
      <c r="F294" s="29">
        <f>Source!AL119+Source!AM119+Source!AO119</f>
        <v>1170.1300000000001</v>
      </c>
      <c r="G294" s="30"/>
      <c r="H294" s="29"/>
      <c r="I294" s="30" t="str">
        <f>Source!BO119</f>
        <v/>
      </c>
      <c r="J294" s="30"/>
      <c r="K294" s="29"/>
      <c r="L294" s="31"/>
      <c r="S294">
        <f>ROUND((Source!FX119/100)*((ROUND(Source!AF119*Source!I119, 2)+ROUND(Source!AE119*Source!I119, 2))), 2)</f>
        <v>151.38999999999999</v>
      </c>
      <c r="T294">
        <f>Source!X119</f>
        <v>994.95</v>
      </c>
      <c r="U294">
        <f>ROUND((Source!FY119/100)*((ROUND(Source!AF119*Source!I119, 2)+ROUND(Source!AE119*Source!I119, 2))), 2)</f>
        <v>93.76</v>
      </c>
      <c r="V294">
        <f>Source!Y119</f>
        <v>615.05999999999995</v>
      </c>
    </row>
    <row r="295" spans="1:26" x14ac:dyDescent="0.2">
      <c r="C295" s="23" t="str">
        <f>"Объем: "&amp;Source!I119&amp;"=19,41/"&amp;"100"</f>
        <v>Объем: 0,1941=19,41/100</v>
      </c>
    </row>
    <row r="296" spans="1:26" ht="14.25" x14ac:dyDescent="0.2">
      <c r="A296" s="44"/>
      <c r="B296" s="45"/>
      <c r="C296" s="45" t="s">
        <v>1930</v>
      </c>
      <c r="D296" s="28"/>
      <c r="E296" s="11"/>
      <c r="F296" s="29">
        <f>Source!AO119</f>
        <v>678.41</v>
      </c>
      <c r="G296" s="30" t="str">
        <f>Source!DG119</f>
        <v/>
      </c>
      <c r="H296" s="29">
        <f>ROUND(Source!AF119*Source!I119, 2)</f>
        <v>131.68</v>
      </c>
      <c r="I296" s="30"/>
      <c r="J296" s="30">
        <f>IF(Source!BA119&lt;&gt; 0, Source!BA119, 1)</f>
        <v>6.56</v>
      </c>
      <c r="K296" s="29">
        <f>Source!S119</f>
        <v>863.82</v>
      </c>
      <c r="L296" s="31"/>
      <c r="R296">
        <f>H296</f>
        <v>131.68</v>
      </c>
    </row>
    <row r="297" spans="1:26" ht="14.25" x14ac:dyDescent="0.2">
      <c r="A297" s="44"/>
      <c r="B297" s="45"/>
      <c r="C297" s="45" t="s">
        <v>151</v>
      </c>
      <c r="D297" s="28"/>
      <c r="E297" s="11"/>
      <c r="F297" s="29">
        <f>Source!AM119</f>
        <v>218.87</v>
      </c>
      <c r="G297" s="30" t="str">
        <f>Source!DE119</f>
        <v/>
      </c>
      <c r="H297" s="29">
        <f>ROUND(Source!AD119*Source!I119, 2)</f>
        <v>42.48</v>
      </c>
      <c r="I297" s="30"/>
      <c r="J297" s="30">
        <f>IF(Source!BB119&lt;&gt; 0, Source!BB119, 1)</f>
        <v>6.56</v>
      </c>
      <c r="K297" s="29">
        <f>Source!Q119</f>
        <v>278.69</v>
      </c>
      <c r="L297" s="31"/>
    </row>
    <row r="298" spans="1:26" ht="14.25" x14ac:dyDescent="0.2">
      <c r="A298" s="44"/>
      <c r="B298" s="45"/>
      <c r="C298" s="45" t="s">
        <v>1931</v>
      </c>
      <c r="D298" s="28"/>
      <c r="E298" s="11"/>
      <c r="F298" s="29">
        <f>Source!AN119</f>
        <v>31.95</v>
      </c>
      <c r="G298" s="30" t="str">
        <f>Source!DF119</f>
        <v/>
      </c>
      <c r="H298" s="32">
        <f>ROUND(Source!AE119*Source!I119, 2)</f>
        <v>6.2</v>
      </c>
      <c r="I298" s="30"/>
      <c r="J298" s="30">
        <f>IF(Source!BS119&lt;&gt; 0, Source!BS119, 1)</f>
        <v>6.56</v>
      </c>
      <c r="K298" s="32">
        <f>Source!R119</f>
        <v>40.68</v>
      </c>
      <c r="L298" s="31"/>
      <c r="R298">
        <f>H298</f>
        <v>6.2</v>
      </c>
    </row>
    <row r="299" spans="1:26" ht="14.25" x14ac:dyDescent="0.2">
      <c r="A299" s="44"/>
      <c r="B299" s="45"/>
      <c r="C299" s="45" t="s">
        <v>1937</v>
      </c>
      <c r="D299" s="28"/>
      <c r="E299" s="11"/>
      <c r="F299" s="29">
        <f>Source!AL119</f>
        <v>272.85000000000002</v>
      </c>
      <c r="G299" s="30" t="str">
        <f>Source!DD119</f>
        <v/>
      </c>
      <c r="H299" s="29">
        <f>ROUND(Source!AC119*Source!I119, 2)</f>
        <v>52.96</v>
      </c>
      <c r="I299" s="30"/>
      <c r="J299" s="30">
        <f>IF(Source!BC119&lt;&gt; 0, Source!BC119, 1)</f>
        <v>6.56</v>
      </c>
      <c r="K299" s="29">
        <f>Source!P119</f>
        <v>347.42</v>
      </c>
      <c r="L299" s="31"/>
    </row>
    <row r="300" spans="1:26" ht="14.25" x14ac:dyDescent="0.2">
      <c r="A300" s="44"/>
      <c r="B300" s="45"/>
      <c r="C300" s="45" t="s">
        <v>1932</v>
      </c>
      <c r="D300" s="28" t="s">
        <v>1933</v>
      </c>
      <c r="E300" s="11">
        <f>Source!BZ119</f>
        <v>122</v>
      </c>
      <c r="F300" s="64" t="str">
        <f>CONCATENATE(" )", Source!DL119, Source!FT119, "=", Source!FX119)</f>
        <v xml:space="preserve"> )*0,9=109,8</v>
      </c>
      <c r="G300" s="65"/>
      <c r="H300" s="29">
        <f>SUM(S294:S306)</f>
        <v>151.38999999999999</v>
      </c>
      <c r="I300" s="33"/>
      <c r="J300" s="26">
        <f>Source!AT119</f>
        <v>110</v>
      </c>
      <c r="K300" s="29">
        <f>SUM(T294:T306)</f>
        <v>994.95</v>
      </c>
      <c r="L300" s="31"/>
    </row>
    <row r="301" spans="1:26" ht="14.25" x14ac:dyDescent="0.2">
      <c r="A301" s="44"/>
      <c r="B301" s="45"/>
      <c r="C301" s="45" t="s">
        <v>1934</v>
      </c>
      <c r="D301" s="28" t="s">
        <v>1933</v>
      </c>
      <c r="E301" s="11">
        <f>Source!CA119</f>
        <v>80</v>
      </c>
      <c r="F301" s="64" t="str">
        <f>CONCATENATE(" )", Source!DM119, Source!FU119, "=", Source!FY119)</f>
        <v xml:space="preserve"> )*0,85=68</v>
      </c>
      <c r="G301" s="65"/>
      <c r="H301" s="29">
        <f>SUM(U294:U306)</f>
        <v>93.76</v>
      </c>
      <c r="I301" s="33"/>
      <c r="J301" s="26">
        <f>Source!AU119</f>
        <v>68</v>
      </c>
      <c r="K301" s="29">
        <f>SUM(V294:V306)</f>
        <v>615.05999999999995</v>
      </c>
      <c r="L301" s="31"/>
    </row>
    <row r="302" spans="1:26" ht="14.25" x14ac:dyDescent="0.2">
      <c r="A302" s="44"/>
      <c r="B302" s="45"/>
      <c r="C302" s="45" t="s">
        <v>1935</v>
      </c>
      <c r="D302" s="28" t="s">
        <v>1936</v>
      </c>
      <c r="E302" s="11">
        <f>Source!AQ119</f>
        <v>80.19</v>
      </c>
      <c r="F302" s="29"/>
      <c r="G302" s="30" t="str">
        <f>Source!DI119</f>
        <v/>
      </c>
      <c r="H302" s="29"/>
      <c r="I302" s="30"/>
      <c r="J302" s="30"/>
      <c r="K302" s="29"/>
      <c r="L302" s="40">
        <f>Source!U119</f>
        <v>15.564878999999999</v>
      </c>
    </row>
    <row r="303" spans="1:26" ht="42.75" x14ac:dyDescent="0.2">
      <c r="A303" s="44" t="str">
        <f>Source!E120</f>
        <v>28,1</v>
      </c>
      <c r="B303" s="45" t="str">
        <f>Source!F120</f>
        <v>05.2.02.07-0010</v>
      </c>
      <c r="C303" s="45" t="str">
        <f>Source!G120</f>
        <v>Блок пенобетонный, размером 20х30х60, D500 (Пеноблок газоселикатный 600х250х100мм) прим.</v>
      </c>
      <c r="D303" s="28" t="str">
        <f>Source!H120</f>
        <v>шт.</v>
      </c>
      <c r="E303" s="11">
        <f>Source!I120</f>
        <v>129.33333300000001</v>
      </c>
      <c r="F303" s="29">
        <f>Source!AL120+Source!AM120+Source!AO120</f>
        <v>39.880000000000003</v>
      </c>
      <c r="G303" s="41" t="s">
        <v>6</v>
      </c>
      <c r="H303" s="29">
        <f>ROUND(Source!AC120*Source!I120, 2)+ROUND(Source!AD120*Source!I120, 2)+ROUND(Source!AF120*Source!I120, 2)</f>
        <v>5157.8100000000004</v>
      </c>
      <c r="I303" s="30"/>
      <c r="J303" s="30">
        <f>IF(Source!BC120&lt;&gt; 0, Source!BC120, 1)</f>
        <v>6.56</v>
      </c>
      <c r="K303" s="29">
        <f>Source!O120</f>
        <v>33835.26</v>
      </c>
      <c r="L303" s="31"/>
      <c r="S303">
        <f>ROUND((Source!FX120/100)*((ROUND(Source!AF120*Source!I120, 2)+ROUND(Source!AE120*Source!I120, 2))), 2)</f>
        <v>0</v>
      </c>
      <c r="T303">
        <f>Source!X120</f>
        <v>0</v>
      </c>
      <c r="U303">
        <f>ROUND((Source!FY120/100)*((ROUND(Source!AF120*Source!I120, 2)+ROUND(Source!AE120*Source!I120, 2))), 2)</f>
        <v>0</v>
      </c>
      <c r="V303">
        <f>Source!Y120</f>
        <v>0</v>
      </c>
      <c r="W303">
        <f>IF(Source!BI120&lt;=1,H303, 0)</f>
        <v>5157.8100000000004</v>
      </c>
      <c r="X303">
        <f>IF(Source!BI120=2,H303, 0)</f>
        <v>0</v>
      </c>
      <c r="Y303">
        <f>IF(Source!BI120=3,H303, 0)</f>
        <v>0</v>
      </c>
      <c r="Z303">
        <f>IF(Source!BI120=4,H303, 0)</f>
        <v>0</v>
      </c>
    </row>
    <row r="304" spans="1:26" ht="28.5" x14ac:dyDescent="0.2">
      <c r="A304" s="44" t="str">
        <f>Source!E121</f>
        <v>28,2</v>
      </c>
      <c r="B304" s="45" t="str">
        <f>Source!F121</f>
        <v>14.1.06.02-0001</v>
      </c>
      <c r="C304" s="45" t="str">
        <f>Source!G121</f>
        <v>Клей для облицовочных работ водостойкий «Плюс» (сухая смесь)</v>
      </c>
      <c r="D304" s="28" t="str">
        <f>Source!H121</f>
        <v>т</v>
      </c>
      <c r="E304" s="11">
        <f>Source!I121</f>
        <v>7.9576999999999995E-2</v>
      </c>
      <c r="F304" s="29">
        <f>Source!AL121+Source!AM121+Source!AO121</f>
        <v>4316</v>
      </c>
      <c r="G304" s="41" t="s">
        <v>6</v>
      </c>
      <c r="H304" s="29">
        <f>ROUND(Source!AC121*Source!I121, 2)+ROUND(Source!AD121*Source!I121, 2)+ROUND(Source!AF121*Source!I121, 2)</f>
        <v>343.45</v>
      </c>
      <c r="I304" s="30"/>
      <c r="J304" s="30">
        <f>IF(Source!BC121&lt;&gt; 0, Source!BC121, 1)</f>
        <v>6.56</v>
      </c>
      <c r="K304" s="29">
        <f>Source!O121</f>
        <v>2253.06</v>
      </c>
      <c r="L304" s="31"/>
      <c r="S304">
        <f>ROUND((Source!FX121/100)*((ROUND(Source!AF121*Source!I121, 2)+ROUND(Source!AE121*Source!I121, 2))), 2)</f>
        <v>0</v>
      </c>
      <c r="T304">
        <f>Source!X121</f>
        <v>0</v>
      </c>
      <c r="U304">
        <f>ROUND((Source!FY121/100)*((ROUND(Source!AF121*Source!I121, 2)+ROUND(Source!AE121*Source!I121, 2))), 2)</f>
        <v>0</v>
      </c>
      <c r="V304">
        <f>Source!Y121</f>
        <v>0</v>
      </c>
      <c r="W304">
        <f>IF(Source!BI121&lt;=1,H304, 0)</f>
        <v>343.45</v>
      </c>
      <c r="X304">
        <f>IF(Source!BI121=2,H304, 0)</f>
        <v>0</v>
      </c>
      <c r="Y304">
        <f>IF(Source!BI121=3,H304, 0)</f>
        <v>0</v>
      </c>
      <c r="Z304">
        <f>IF(Source!BI121=4,H304, 0)</f>
        <v>0</v>
      </c>
    </row>
    <row r="305" spans="1:26" ht="14.25" x14ac:dyDescent="0.2">
      <c r="A305" s="44" t="str">
        <f>Source!E122</f>
        <v>28,3</v>
      </c>
      <c r="B305" s="45" t="str">
        <f>Source!F122</f>
        <v>05.2.02.09</v>
      </c>
      <c r="C305" s="45" t="str">
        <f>Source!G122</f>
        <v>Блоки из ячеистых бетонов стеновые</v>
      </c>
      <c r="D305" s="28" t="str">
        <f>Source!H122</f>
        <v>м3</v>
      </c>
      <c r="E305" s="11">
        <f>Source!I122</f>
        <v>3.92082</v>
      </c>
      <c r="F305" s="29">
        <f>Source!AL122+Source!AM122+Source!AO122</f>
        <v>0</v>
      </c>
      <c r="G305" s="41" t="s">
        <v>6</v>
      </c>
      <c r="H305" s="29">
        <f>ROUND(Source!AC122*Source!I122, 2)+ROUND(Source!AD122*Source!I122, 2)+ROUND(Source!AF122*Source!I122, 2)</f>
        <v>0</v>
      </c>
      <c r="I305" s="30"/>
      <c r="J305" s="30">
        <f>IF(Source!BC122&lt;&gt; 0, Source!BC122, 1)</f>
        <v>6.56</v>
      </c>
      <c r="K305" s="29">
        <f>Source!O122</f>
        <v>0</v>
      </c>
      <c r="L305" s="31"/>
      <c r="S305">
        <f>ROUND((Source!FX122/100)*((ROUND(Source!AF122*Source!I122, 2)+ROUND(Source!AE122*Source!I122, 2))), 2)</f>
        <v>0</v>
      </c>
      <c r="T305">
        <f>Source!X122</f>
        <v>0</v>
      </c>
      <c r="U305">
        <f>ROUND((Source!FY122/100)*((ROUND(Source!AF122*Source!I122, 2)+ROUND(Source!AE122*Source!I122, 2))), 2)</f>
        <v>0</v>
      </c>
      <c r="V305">
        <f>Source!Y122</f>
        <v>0</v>
      </c>
      <c r="W305">
        <f>IF(Source!BI122&lt;=1,H305, 0)</f>
        <v>0</v>
      </c>
      <c r="X305">
        <f>IF(Source!BI122=2,H305, 0)</f>
        <v>0</v>
      </c>
      <c r="Y305">
        <f>IF(Source!BI122=3,H305, 0)</f>
        <v>0</v>
      </c>
      <c r="Z305">
        <f>IF(Source!BI122=4,H305, 0)</f>
        <v>0</v>
      </c>
    </row>
    <row r="306" spans="1:26" ht="14.25" x14ac:dyDescent="0.2">
      <c r="A306" s="46" t="str">
        <f>Source!E123</f>
        <v>28,4</v>
      </c>
      <c r="B306" s="47" t="str">
        <f>Source!F123</f>
        <v>14.1.06.05</v>
      </c>
      <c r="C306" s="47" t="str">
        <f>Source!G123</f>
        <v>Состав клеящий</v>
      </c>
      <c r="D306" s="34" t="str">
        <f>Source!H123</f>
        <v>кг</v>
      </c>
      <c r="E306" s="35">
        <f>Source!I123</f>
        <v>79.577117999999999</v>
      </c>
      <c r="F306" s="36">
        <f>Source!AL123+Source!AM123+Source!AO123</f>
        <v>0</v>
      </c>
      <c r="G306" s="42" t="s">
        <v>6</v>
      </c>
      <c r="H306" s="36">
        <f>ROUND(Source!AC123*Source!I123, 2)+ROUND(Source!AD123*Source!I123, 2)+ROUND(Source!AF123*Source!I123, 2)</f>
        <v>0</v>
      </c>
      <c r="I306" s="37"/>
      <c r="J306" s="37">
        <f>IF(Source!BC123&lt;&gt; 0, Source!BC123, 1)</f>
        <v>6.56</v>
      </c>
      <c r="K306" s="36">
        <f>Source!O123</f>
        <v>0</v>
      </c>
      <c r="L306" s="43"/>
      <c r="S306">
        <f>ROUND((Source!FX123/100)*((ROUND(Source!AF123*Source!I123, 2)+ROUND(Source!AE123*Source!I123, 2))), 2)</f>
        <v>0</v>
      </c>
      <c r="T306">
        <f>Source!X123</f>
        <v>0</v>
      </c>
      <c r="U306">
        <f>ROUND((Source!FY123/100)*((ROUND(Source!AF123*Source!I123, 2)+ROUND(Source!AE123*Source!I123, 2))), 2)</f>
        <v>0</v>
      </c>
      <c r="V306">
        <f>Source!Y123</f>
        <v>0</v>
      </c>
      <c r="W306">
        <f>IF(Source!BI123&lt;=1,H306, 0)</f>
        <v>0</v>
      </c>
      <c r="X306">
        <f>IF(Source!BI123=2,H306, 0)</f>
        <v>0</v>
      </c>
      <c r="Y306">
        <f>IF(Source!BI123=3,H306, 0)</f>
        <v>0</v>
      </c>
      <c r="Z306">
        <f>IF(Source!BI123=4,H306, 0)</f>
        <v>0</v>
      </c>
    </row>
    <row r="307" spans="1:26" ht="15" x14ac:dyDescent="0.25">
      <c r="G307" s="63">
        <f>H296+H297+H299+H300+H301+SUM(H303:H306)</f>
        <v>5973.5300000000007</v>
      </c>
      <c r="H307" s="63"/>
      <c r="J307" s="63">
        <f>K296+K297+K299+K300+K301+SUM(K303:K306)</f>
        <v>39188.26</v>
      </c>
      <c r="K307" s="63"/>
      <c r="L307" s="39">
        <f>Source!U119</f>
        <v>15.564878999999999</v>
      </c>
      <c r="O307" s="24">
        <f>G307</f>
        <v>5973.5300000000007</v>
      </c>
      <c r="P307" s="24">
        <f>J307</f>
        <v>39188.26</v>
      </c>
      <c r="Q307" s="24">
        <f>L307</f>
        <v>15.564878999999999</v>
      </c>
      <c r="W307">
        <f>IF(Source!BI119&lt;=1,H296+H297+H299+H300+H301, 0)</f>
        <v>472.27</v>
      </c>
      <c r="X307">
        <f>IF(Source!BI119=2,H296+H297+H299+H300+H301, 0)</f>
        <v>0</v>
      </c>
      <c r="Y307">
        <f>IF(Source!BI119=3,H296+H297+H299+H300+H301, 0)</f>
        <v>0</v>
      </c>
      <c r="Z307">
        <f>IF(Source!BI119=4,H296+H297+H299+H300+H301, 0)</f>
        <v>0</v>
      </c>
    </row>
    <row r="308" spans="1:26" ht="57" x14ac:dyDescent="0.2">
      <c r="A308" s="44" t="str">
        <f>Source!E124</f>
        <v>29</v>
      </c>
      <c r="B308" s="45" t="str">
        <f>Source!F124</f>
        <v>46-02-007-01</v>
      </c>
      <c r="C308" s="45" t="str">
        <f>Source!G124</f>
        <v>Кладка отдельных участков кирпичных стен и заделка проемов в кирпичных стенах при объеме кладки в одном месте до 5 м3</v>
      </c>
      <c r="D308" s="28" t="str">
        <f>Source!H124</f>
        <v>м3</v>
      </c>
      <c r="E308" s="11">
        <f>Source!I124</f>
        <v>1.62</v>
      </c>
      <c r="F308" s="29">
        <f>Source!AL124+Source!AM124+Source!AO124</f>
        <v>246.41</v>
      </c>
      <c r="G308" s="30"/>
      <c r="H308" s="29"/>
      <c r="I308" s="30" t="str">
        <f>Source!BO124</f>
        <v/>
      </c>
      <c r="J308" s="30"/>
      <c r="K308" s="29"/>
      <c r="L308" s="31"/>
      <c r="S308">
        <f>ROUND((Source!FX124/100)*((ROUND(Source!AF124*Source!I124, 2)+ROUND(Source!AE124*Source!I124, 2))), 2)</f>
        <v>191.7</v>
      </c>
      <c r="T308">
        <f>Source!X124</f>
        <v>1257.57</v>
      </c>
      <c r="U308">
        <f>ROUND((Source!FY124/100)*((ROUND(Source!AF124*Source!I124, 2)+ROUND(Source!AE124*Source!I124, 2))), 2)</f>
        <v>115.22</v>
      </c>
      <c r="V308">
        <f>Source!Y124</f>
        <v>762.16</v>
      </c>
    </row>
    <row r="309" spans="1:26" ht="14.25" x14ac:dyDescent="0.2">
      <c r="A309" s="44"/>
      <c r="B309" s="45"/>
      <c r="C309" s="45" t="s">
        <v>1930</v>
      </c>
      <c r="D309" s="28"/>
      <c r="E309" s="11"/>
      <c r="F309" s="29">
        <f>Source!AO124</f>
        <v>119.53</v>
      </c>
      <c r="G309" s="30" t="str">
        <f>Source!DG124</f>
        <v/>
      </c>
      <c r="H309" s="29">
        <f>ROUND(Source!AF124*Source!I124, 2)</f>
        <v>193.64</v>
      </c>
      <c r="I309" s="30"/>
      <c r="J309" s="30">
        <f>IF(Source!BA124&lt;&gt; 0, Source!BA124, 1)</f>
        <v>6.56</v>
      </c>
      <c r="K309" s="29">
        <f>Source!S124</f>
        <v>1270.27</v>
      </c>
      <c r="L309" s="31"/>
      <c r="R309">
        <f>H309</f>
        <v>193.64</v>
      </c>
    </row>
    <row r="310" spans="1:26" ht="14.25" x14ac:dyDescent="0.2">
      <c r="A310" s="44"/>
      <c r="B310" s="45"/>
      <c r="C310" s="45" t="s">
        <v>151</v>
      </c>
      <c r="D310" s="28"/>
      <c r="E310" s="11"/>
      <c r="F310" s="29">
        <f>Source!AM124</f>
        <v>2.13</v>
      </c>
      <c r="G310" s="30" t="str">
        <f>Source!DE124</f>
        <v/>
      </c>
      <c r="H310" s="29">
        <f>ROUND(Source!AD124*Source!I124, 2)</f>
        <v>3.45</v>
      </c>
      <c r="I310" s="30"/>
      <c r="J310" s="30">
        <f>IF(Source!BB124&lt;&gt; 0, Source!BB124, 1)</f>
        <v>6.56</v>
      </c>
      <c r="K310" s="29">
        <f>Source!Q124</f>
        <v>22.64</v>
      </c>
      <c r="L310" s="31"/>
    </row>
    <row r="311" spans="1:26" ht="14.25" x14ac:dyDescent="0.2">
      <c r="A311" s="44"/>
      <c r="B311" s="45"/>
      <c r="C311" s="45" t="s">
        <v>1937</v>
      </c>
      <c r="D311" s="28"/>
      <c r="E311" s="11"/>
      <c r="F311" s="29">
        <f>Source!AL124</f>
        <v>124.75</v>
      </c>
      <c r="G311" s="30" t="str">
        <f>Source!DD124</f>
        <v/>
      </c>
      <c r="H311" s="29">
        <f>ROUND(Source!AC124*Source!I124, 2)</f>
        <v>202.1</v>
      </c>
      <c r="I311" s="30"/>
      <c r="J311" s="30">
        <f>IF(Source!BC124&lt;&gt; 0, Source!BC124, 1)</f>
        <v>6.56</v>
      </c>
      <c r="K311" s="29">
        <f>Source!P124</f>
        <v>1325.74</v>
      </c>
      <c r="L311" s="31"/>
    </row>
    <row r="312" spans="1:26" ht="14.25" x14ac:dyDescent="0.2">
      <c r="A312" s="44"/>
      <c r="B312" s="45"/>
      <c r="C312" s="45" t="s">
        <v>1932</v>
      </c>
      <c r="D312" s="28" t="s">
        <v>1933</v>
      </c>
      <c r="E312" s="11">
        <f>Source!BZ124</f>
        <v>110</v>
      </c>
      <c r="F312" s="64" t="str">
        <f>CONCATENATE(" )", Source!DL124, Source!FT124, "=", Source!FX124)</f>
        <v xml:space="preserve"> )*0,9=99</v>
      </c>
      <c r="G312" s="65"/>
      <c r="H312" s="29">
        <f>SUM(S308:S316)</f>
        <v>191.7</v>
      </c>
      <c r="I312" s="33"/>
      <c r="J312" s="26">
        <f>Source!AT124</f>
        <v>99</v>
      </c>
      <c r="K312" s="29">
        <f>SUM(T308:T316)</f>
        <v>1257.57</v>
      </c>
      <c r="L312" s="31"/>
    </row>
    <row r="313" spans="1:26" ht="14.25" x14ac:dyDescent="0.2">
      <c r="A313" s="44"/>
      <c r="B313" s="45"/>
      <c r="C313" s="45" t="s">
        <v>1934</v>
      </c>
      <c r="D313" s="28" t="s">
        <v>1933</v>
      </c>
      <c r="E313" s="11">
        <f>Source!CA124</f>
        <v>70</v>
      </c>
      <c r="F313" s="64" t="str">
        <f>CONCATENATE(" )", Source!DM124, Source!FU124, "=", Source!FY124)</f>
        <v xml:space="preserve"> )*0,85=59,5</v>
      </c>
      <c r="G313" s="65"/>
      <c r="H313" s="29">
        <f>SUM(U308:U316)</f>
        <v>115.22</v>
      </c>
      <c r="I313" s="33"/>
      <c r="J313" s="26">
        <f>Source!AU124</f>
        <v>60</v>
      </c>
      <c r="K313" s="29">
        <f>SUM(V308:V316)</f>
        <v>762.16</v>
      </c>
      <c r="L313" s="31"/>
    </row>
    <row r="314" spans="1:26" ht="14.25" x14ac:dyDescent="0.2">
      <c r="A314" s="44"/>
      <c r="B314" s="45"/>
      <c r="C314" s="45" t="s">
        <v>1935</v>
      </c>
      <c r="D314" s="28" t="s">
        <v>1936</v>
      </c>
      <c r="E314" s="11">
        <f>Source!AQ124</f>
        <v>14.63</v>
      </c>
      <c r="F314" s="29"/>
      <c r="G314" s="30" t="str">
        <f>Source!DI124</f>
        <v/>
      </c>
      <c r="H314" s="29"/>
      <c r="I314" s="30"/>
      <c r="J314" s="30"/>
      <c r="K314" s="29"/>
      <c r="L314" s="40">
        <f>Source!U124</f>
        <v>23.700600000000001</v>
      </c>
    </row>
    <row r="315" spans="1:26" ht="28.5" x14ac:dyDescent="0.2">
      <c r="A315" s="44" t="str">
        <f>Source!E125</f>
        <v>29,1</v>
      </c>
      <c r="B315" s="45" t="str">
        <f>Source!F125</f>
        <v>06.1.01.09-0002</v>
      </c>
      <c r="C315" s="45" t="str">
        <f>Source!G125</f>
        <v>Кирпич-половняк силикатный</v>
      </c>
      <c r="D315" s="28" t="str">
        <f>Source!H125</f>
        <v>м3</v>
      </c>
      <c r="E315" s="11">
        <f>Source!I125</f>
        <v>1.62</v>
      </c>
      <c r="F315" s="29">
        <f>Source!AL125+Source!AM125+Source!AO125</f>
        <v>103.41</v>
      </c>
      <c r="G315" s="41" t="s">
        <v>6</v>
      </c>
      <c r="H315" s="29">
        <f>ROUND(Source!AC125*Source!I125, 2)+ROUND(Source!AD125*Source!I125, 2)+ROUND(Source!AF125*Source!I125, 2)</f>
        <v>167.52</v>
      </c>
      <c r="I315" s="30"/>
      <c r="J315" s="30">
        <f>IF(Source!BC125&lt;&gt; 0, Source!BC125, 1)</f>
        <v>6.56</v>
      </c>
      <c r="K315" s="29">
        <f>Source!O125</f>
        <v>1098.96</v>
      </c>
      <c r="L315" s="31"/>
      <c r="S315">
        <f>ROUND((Source!FX125/100)*((ROUND(Source!AF125*Source!I125, 2)+ROUND(Source!AE125*Source!I125, 2))), 2)</f>
        <v>0</v>
      </c>
      <c r="T315">
        <f>Source!X125</f>
        <v>0</v>
      </c>
      <c r="U315">
        <f>ROUND((Source!FY125/100)*((ROUND(Source!AF125*Source!I125, 2)+ROUND(Source!AE125*Source!I125, 2))), 2)</f>
        <v>0</v>
      </c>
      <c r="V315">
        <f>Source!Y125</f>
        <v>0</v>
      </c>
      <c r="W315">
        <f>IF(Source!BI125&lt;=1,H315, 0)</f>
        <v>167.52</v>
      </c>
      <c r="X315">
        <f>IF(Source!BI125=2,H315, 0)</f>
        <v>0</v>
      </c>
      <c r="Y315">
        <f>IF(Source!BI125=3,H315, 0)</f>
        <v>0</v>
      </c>
      <c r="Z315">
        <f>IF(Source!BI125=4,H315, 0)</f>
        <v>0</v>
      </c>
    </row>
    <row r="316" spans="1:26" ht="14.25" x14ac:dyDescent="0.2">
      <c r="A316" s="46" t="str">
        <f>Source!E126</f>
        <v>29,2</v>
      </c>
      <c r="B316" s="47" t="str">
        <f>Source!F126</f>
        <v>06.1.01.05</v>
      </c>
      <c r="C316" s="47" t="str">
        <f>Source!G126</f>
        <v>Кирпич глиняный обыкновенный</v>
      </c>
      <c r="D316" s="34" t="str">
        <f>Source!H126</f>
        <v>1000 шт.</v>
      </c>
      <c r="E316" s="35">
        <f>Source!I126</f>
        <v>0.64800000000000002</v>
      </c>
      <c r="F316" s="36">
        <f>Source!AL126+Source!AM126+Source!AO126</f>
        <v>0</v>
      </c>
      <c r="G316" s="42" t="s">
        <v>6</v>
      </c>
      <c r="H316" s="36">
        <f>ROUND(Source!AC126*Source!I126, 2)+ROUND(Source!AD126*Source!I126, 2)+ROUND(Source!AF126*Source!I126, 2)</f>
        <v>0</v>
      </c>
      <c r="I316" s="37"/>
      <c r="J316" s="37">
        <f>IF(Source!BC126&lt;&gt; 0, Source!BC126, 1)</f>
        <v>6.56</v>
      </c>
      <c r="K316" s="36">
        <f>Source!O126</f>
        <v>0</v>
      </c>
      <c r="L316" s="43"/>
      <c r="S316">
        <f>ROUND((Source!FX126/100)*((ROUND(Source!AF126*Source!I126, 2)+ROUND(Source!AE126*Source!I126, 2))), 2)</f>
        <v>0</v>
      </c>
      <c r="T316">
        <f>Source!X126</f>
        <v>0</v>
      </c>
      <c r="U316">
        <f>ROUND((Source!FY126/100)*((ROUND(Source!AF126*Source!I126, 2)+ROUND(Source!AE126*Source!I126, 2))), 2)</f>
        <v>0</v>
      </c>
      <c r="V316">
        <f>Source!Y126</f>
        <v>0</v>
      </c>
      <c r="W316">
        <f>IF(Source!BI126&lt;=1,H316, 0)</f>
        <v>0</v>
      </c>
      <c r="X316">
        <f>IF(Source!BI126=2,H316, 0)</f>
        <v>0</v>
      </c>
      <c r="Y316">
        <f>IF(Source!BI126=3,H316, 0)</f>
        <v>0</v>
      </c>
      <c r="Z316">
        <f>IF(Source!BI126=4,H316, 0)</f>
        <v>0</v>
      </c>
    </row>
    <row r="317" spans="1:26" ht="15" x14ac:dyDescent="0.25">
      <c r="G317" s="63">
        <f>H309+H310+H311+H312+H313+SUM(H315:H316)</f>
        <v>873.62999999999988</v>
      </c>
      <c r="H317" s="63"/>
      <c r="J317" s="63">
        <f>K309+K310+K311+K312+K313+SUM(K315:K316)</f>
        <v>5737.34</v>
      </c>
      <c r="K317" s="63"/>
      <c r="L317" s="39">
        <f>Source!U124</f>
        <v>23.700600000000001</v>
      </c>
      <c r="O317" s="24">
        <f>G317</f>
        <v>873.62999999999988</v>
      </c>
      <c r="P317" s="24">
        <f>J317</f>
        <v>5737.34</v>
      </c>
      <c r="Q317" s="24">
        <f>L317</f>
        <v>23.700600000000001</v>
      </c>
      <c r="W317">
        <f>IF(Source!BI124&lt;=1,H309+H310+H311+H312+H313, 0)</f>
        <v>706.1099999999999</v>
      </c>
      <c r="X317">
        <f>IF(Source!BI124=2,H309+H310+H311+H312+H313, 0)</f>
        <v>0</v>
      </c>
      <c r="Y317">
        <f>IF(Source!BI124=3,H309+H310+H311+H312+H313, 0)</f>
        <v>0</v>
      </c>
      <c r="Z317">
        <f>IF(Source!BI124=4,H309+H310+H311+H312+H313, 0)</f>
        <v>0</v>
      </c>
    </row>
    <row r="318" spans="1:26" ht="28.5" x14ac:dyDescent="0.2">
      <c r="A318" s="44" t="str">
        <f>Source!E127</f>
        <v>30</v>
      </c>
      <c r="B318" s="45" t="str">
        <f>Source!F127</f>
        <v>15-04-006-03</v>
      </c>
      <c r="C318" s="45" t="str">
        <f>Source!G127</f>
        <v>Покрытие поверхностей грунтовкой глубокого проникновения за 1 раз стен</v>
      </c>
      <c r="D318" s="28" t="str">
        <f>Source!H127</f>
        <v>100 м2</v>
      </c>
      <c r="E318" s="11">
        <f>Source!I127</f>
        <v>3.484</v>
      </c>
      <c r="F318" s="29">
        <f>Source!AL127+Source!AM127+Source!AO127</f>
        <v>64.16</v>
      </c>
      <c r="G318" s="30"/>
      <c r="H318" s="29"/>
      <c r="I318" s="30" t="str">
        <f>Source!BO127</f>
        <v/>
      </c>
      <c r="J318" s="30"/>
      <c r="K318" s="29"/>
      <c r="L318" s="31"/>
      <c r="S318">
        <f>ROUND((Source!FX127/100)*((ROUND(Source!AF127*Source!I127, 2)+ROUND(Source!AE127*Source!I127, 2))), 2)</f>
        <v>208.32</v>
      </c>
      <c r="T318">
        <f>Source!X127</f>
        <v>1373.74</v>
      </c>
      <c r="U318">
        <f>ROUND((Source!FY127/100)*((ROUND(Source!AF127*Source!I127, 2)+ROUND(Source!AE127*Source!I127, 2))), 2)</f>
        <v>103.06</v>
      </c>
      <c r="V318">
        <f>Source!Y127</f>
        <v>679.64</v>
      </c>
    </row>
    <row r="319" spans="1:26" x14ac:dyDescent="0.2">
      <c r="C319" s="23" t="str">
        <f>"Объем: "&amp;Source!I127&amp;"=348,4/"&amp;"100"</f>
        <v>Объем: 3,484=348,4/100</v>
      </c>
    </row>
    <row r="320" spans="1:26" ht="14.25" x14ac:dyDescent="0.2">
      <c r="A320" s="44"/>
      <c r="B320" s="45"/>
      <c r="C320" s="45" t="s">
        <v>1930</v>
      </c>
      <c r="D320" s="28"/>
      <c r="E320" s="11"/>
      <c r="F320" s="29">
        <f>Source!AO127</f>
        <v>63.01</v>
      </c>
      <c r="G320" s="30" t="str">
        <f>Source!DG127</f>
        <v/>
      </c>
      <c r="H320" s="29">
        <f>ROUND(Source!AF127*Source!I127, 2)</f>
        <v>219.53</v>
      </c>
      <c r="I320" s="30"/>
      <c r="J320" s="30">
        <f>IF(Source!BA127&lt;&gt; 0, Source!BA127, 1)</f>
        <v>6.56</v>
      </c>
      <c r="K320" s="29">
        <f>Source!S127</f>
        <v>1440.1</v>
      </c>
      <c r="L320" s="31"/>
      <c r="R320">
        <f>H320</f>
        <v>219.53</v>
      </c>
    </row>
    <row r="321" spans="1:26" ht="14.25" x14ac:dyDescent="0.2">
      <c r="A321" s="44"/>
      <c r="B321" s="45"/>
      <c r="C321" s="45" t="s">
        <v>151</v>
      </c>
      <c r="D321" s="28"/>
      <c r="E321" s="11"/>
      <c r="F321" s="29">
        <f>Source!AM127</f>
        <v>0.97</v>
      </c>
      <c r="G321" s="30" t="str">
        <f>Source!DE127</f>
        <v/>
      </c>
      <c r="H321" s="29">
        <f>ROUND(Source!AD127*Source!I127, 2)</f>
        <v>3.38</v>
      </c>
      <c r="I321" s="30"/>
      <c r="J321" s="30">
        <f>IF(Source!BB127&lt;&gt; 0, Source!BB127, 1)</f>
        <v>6.56</v>
      </c>
      <c r="K321" s="29">
        <f>Source!Q127</f>
        <v>22.17</v>
      </c>
      <c r="L321" s="31"/>
    </row>
    <row r="322" spans="1:26" ht="14.25" x14ac:dyDescent="0.2">
      <c r="A322" s="44"/>
      <c r="B322" s="45"/>
      <c r="C322" s="45" t="s">
        <v>1931</v>
      </c>
      <c r="D322" s="28"/>
      <c r="E322" s="11"/>
      <c r="F322" s="29">
        <f>Source!AN127</f>
        <v>0.26</v>
      </c>
      <c r="G322" s="30" t="str">
        <f>Source!DF127</f>
        <v/>
      </c>
      <c r="H322" s="32">
        <f>ROUND(Source!AE127*Source!I127, 2)</f>
        <v>0.91</v>
      </c>
      <c r="I322" s="30"/>
      <c r="J322" s="30">
        <f>IF(Source!BS127&lt;&gt; 0, Source!BS127, 1)</f>
        <v>6.56</v>
      </c>
      <c r="K322" s="32">
        <f>Source!R127</f>
        <v>5.94</v>
      </c>
      <c r="L322" s="31"/>
      <c r="R322">
        <f>H322</f>
        <v>0.91</v>
      </c>
    </row>
    <row r="323" spans="1:26" ht="14.25" x14ac:dyDescent="0.2">
      <c r="A323" s="44"/>
      <c r="B323" s="45"/>
      <c r="C323" s="45" t="s">
        <v>1937</v>
      </c>
      <c r="D323" s="28"/>
      <c r="E323" s="11"/>
      <c r="F323" s="29">
        <f>Source!AL127</f>
        <v>0.18</v>
      </c>
      <c r="G323" s="30" t="str">
        <f>Source!DD127</f>
        <v/>
      </c>
      <c r="H323" s="29">
        <f>ROUND(Source!AC127*Source!I127, 2)</f>
        <v>0.63</v>
      </c>
      <c r="I323" s="30"/>
      <c r="J323" s="30">
        <f>IF(Source!BC127&lt;&gt; 0, Source!BC127, 1)</f>
        <v>6.56</v>
      </c>
      <c r="K323" s="29">
        <f>Source!P127</f>
        <v>4.1100000000000003</v>
      </c>
      <c r="L323" s="31"/>
    </row>
    <row r="324" spans="1:26" ht="14.25" x14ac:dyDescent="0.2">
      <c r="A324" s="44"/>
      <c r="B324" s="45"/>
      <c r="C324" s="45" t="s">
        <v>1932</v>
      </c>
      <c r="D324" s="28" t="s">
        <v>1933</v>
      </c>
      <c r="E324" s="11">
        <f>Source!BZ127</f>
        <v>105</v>
      </c>
      <c r="F324" s="64" t="str">
        <f>CONCATENATE(" )", Source!DL127, Source!FT127, "=", Source!FX127)</f>
        <v xml:space="preserve"> )*0,9=94,5</v>
      </c>
      <c r="G324" s="65"/>
      <c r="H324" s="29">
        <f>SUM(S318:S328)</f>
        <v>208.32</v>
      </c>
      <c r="I324" s="33"/>
      <c r="J324" s="26">
        <f>Source!AT127</f>
        <v>95</v>
      </c>
      <c r="K324" s="29">
        <f>SUM(T318:T328)</f>
        <v>1373.74</v>
      </c>
      <c r="L324" s="31"/>
    </row>
    <row r="325" spans="1:26" ht="14.25" x14ac:dyDescent="0.2">
      <c r="A325" s="44"/>
      <c r="B325" s="45"/>
      <c r="C325" s="45" t="s">
        <v>1934</v>
      </c>
      <c r="D325" s="28" t="s">
        <v>1933</v>
      </c>
      <c r="E325" s="11">
        <f>Source!CA127</f>
        <v>55</v>
      </c>
      <c r="F325" s="64" t="str">
        <f>CONCATENATE(" )", Source!DM127, Source!FU127, "=", Source!FY127)</f>
        <v xml:space="preserve"> )*0,85=46,75</v>
      </c>
      <c r="G325" s="65"/>
      <c r="H325" s="29">
        <f>SUM(U318:U328)</f>
        <v>103.06</v>
      </c>
      <c r="I325" s="33"/>
      <c r="J325" s="26">
        <f>Source!AU127</f>
        <v>47</v>
      </c>
      <c r="K325" s="29">
        <f>SUM(V318:V328)</f>
        <v>679.64</v>
      </c>
      <c r="L325" s="31"/>
    </row>
    <row r="326" spans="1:26" ht="14.25" x14ac:dyDescent="0.2">
      <c r="A326" s="44"/>
      <c r="B326" s="45"/>
      <c r="C326" s="45" t="s">
        <v>1935</v>
      </c>
      <c r="D326" s="28" t="s">
        <v>1936</v>
      </c>
      <c r="E326" s="11">
        <f>Source!AQ127</f>
        <v>6.55</v>
      </c>
      <c r="F326" s="29"/>
      <c r="G326" s="30" t="str">
        <f>Source!DI127</f>
        <v/>
      </c>
      <c r="H326" s="29"/>
      <c r="I326" s="30"/>
      <c r="J326" s="30"/>
      <c r="K326" s="29"/>
      <c r="L326" s="40">
        <f>Source!U127</f>
        <v>22.8202</v>
      </c>
    </row>
    <row r="327" spans="1:26" ht="28.5" x14ac:dyDescent="0.2">
      <c r="A327" s="44" t="str">
        <f>Source!E128</f>
        <v>30,1</v>
      </c>
      <c r="B327" s="45" t="str">
        <f>Source!F128</f>
        <v>14.3.01.01-0001</v>
      </c>
      <c r="C327" s="45" t="str">
        <f>Source!G128</f>
        <v>Грунтовка: «Бетоконтакт», КНАУФ</v>
      </c>
      <c r="D327" s="28" t="str">
        <f>Source!H128</f>
        <v>кг</v>
      </c>
      <c r="E327" s="11">
        <f>Source!I128</f>
        <v>45.292000000000002</v>
      </c>
      <c r="F327" s="29">
        <f>Source!AL128+Source!AM128+Source!AO128</f>
        <v>15.09</v>
      </c>
      <c r="G327" s="41" t="s">
        <v>6</v>
      </c>
      <c r="H327" s="29">
        <f>ROUND(Source!AC128*Source!I128, 2)+ROUND(Source!AD128*Source!I128, 2)+ROUND(Source!AF128*Source!I128, 2)</f>
        <v>683.46</v>
      </c>
      <c r="I327" s="30"/>
      <c r="J327" s="30">
        <f>IF(Source!BC128&lt;&gt; 0, Source!BC128, 1)</f>
        <v>6.56</v>
      </c>
      <c r="K327" s="29">
        <f>Source!O128</f>
        <v>4483.47</v>
      </c>
      <c r="L327" s="31"/>
      <c r="S327">
        <f>ROUND((Source!FX128/100)*((ROUND(Source!AF128*Source!I128, 2)+ROUND(Source!AE128*Source!I128, 2))), 2)</f>
        <v>0</v>
      </c>
      <c r="T327">
        <f>Source!X128</f>
        <v>0</v>
      </c>
      <c r="U327">
        <f>ROUND((Source!FY128/100)*((ROUND(Source!AF128*Source!I128, 2)+ROUND(Source!AE128*Source!I128, 2))), 2)</f>
        <v>0</v>
      </c>
      <c r="V327">
        <f>Source!Y128</f>
        <v>0</v>
      </c>
      <c r="W327">
        <f>IF(Source!BI128&lt;=1,H327, 0)</f>
        <v>683.46</v>
      </c>
      <c r="X327">
        <f>IF(Source!BI128=2,H327, 0)</f>
        <v>0</v>
      </c>
      <c r="Y327">
        <f>IF(Source!BI128=3,H327, 0)</f>
        <v>0</v>
      </c>
      <c r="Z327">
        <f>IF(Source!BI128=4,H327, 0)</f>
        <v>0</v>
      </c>
    </row>
    <row r="328" spans="1:26" ht="14.25" x14ac:dyDescent="0.2">
      <c r="A328" s="46" t="str">
        <f>Source!E129</f>
        <v>30,2</v>
      </c>
      <c r="B328" s="47" t="str">
        <f>Source!F129</f>
        <v>14.4.01.21</v>
      </c>
      <c r="C328" s="47" t="str">
        <f>Source!G129</f>
        <v>Грунтовка</v>
      </c>
      <c r="D328" s="34" t="str">
        <f>Source!H129</f>
        <v>т</v>
      </c>
      <c r="E328" s="35">
        <f>Source!I129</f>
        <v>4.5291999999999999E-2</v>
      </c>
      <c r="F328" s="36">
        <f>Source!AL129+Source!AM129+Source!AO129</f>
        <v>0</v>
      </c>
      <c r="G328" s="42" t="s">
        <v>6</v>
      </c>
      <c r="H328" s="36">
        <f>ROUND(Source!AC129*Source!I129, 2)+ROUND(Source!AD129*Source!I129, 2)+ROUND(Source!AF129*Source!I129, 2)</f>
        <v>0</v>
      </c>
      <c r="I328" s="37"/>
      <c r="J328" s="37">
        <f>IF(Source!BC129&lt;&gt; 0, Source!BC129, 1)</f>
        <v>6.56</v>
      </c>
      <c r="K328" s="36">
        <f>Source!O129</f>
        <v>0</v>
      </c>
      <c r="L328" s="43"/>
      <c r="S328">
        <f>ROUND((Source!FX129/100)*((ROUND(Source!AF129*Source!I129, 2)+ROUND(Source!AE129*Source!I129, 2))), 2)</f>
        <v>0</v>
      </c>
      <c r="T328">
        <f>Source!X129</f>
        <v>0</v>
      </c>
      <c r="U328">
        <f>ROUND((Source!FY129/100)*((ROUND(Source!AF129*Source!I129, 2)+ROUND(Source!AE129*Source!I129, 2))), 2)</f>
        <v>0</v>
      </c>
      <c r="V328">
        <f>Source!Y129</f>
        <v>0</v>
      </c>
      <c r="W328">
        <f>IF(Source!BI129&lt;=1,H328, 0)</f>
        <v>0</v>
      </c>
      <c r="X328">
        <f>IF(Source!BI129=2,H328, 0)</f>
        <v>0</v>
      </c>
      <c r="Y328">
        <f>IF(Source!BI129=3,H328, 0)</f>
        <v>0</v>
      </c>
      <c r="Z328">
        <f>IF(Source!BI129=4,H328, 0)</f>
        <v>0</v>
      </c>
    </row>
    <row r="329" spans="1:26" ht="15" x14ac:dyDescent="0.25">
      <c r="G329" s="63">
        <f>H320+H321+H323+H324+H325+SUM(H327:H328)</f>
        <v>1218.3800000000001</v>
      </c>
      <c r="H329" s="63"/>
      <c r="J329" s="63">
        <f>K320+K321+K323+K324+K325+SUM(K327:K328)</f>
        <v>8003.23</v>
      </c>
      <c r="K329" s="63"/>
      <c r="L329" s="39">
        <f>Source!U127</f>
        <v>22.8202</v>
      </c>
      <c r="O329" s="24">
        <f>G329</f>
        <v>1218.3800000000001</v>
      </c>
      <c r="P329" s="24">
        <f>J329</f>
        <v>8003.23</v>
      </c>
      <c r="Q329" s="24">
        <f>L329</f>
        <v>22.8202</v>
      </c>
      <c r="W329">
        <f>IF(Source!BI127&lt;=1,H320+H321+H323+H324+H325, 0)</f>
        <v>534.92000000000007</v>
      </c>
      <c r="X329">
        <f>IF(Source!BI127=2,H320+H321+H323+H324+H325, 0)</f>
        <v>0</v>
      </c>
      <c r="Y329">
        <f>IF(Source!BI127=3,H320+H321+H323+H324+H325, 0)</f>
        <v>0</v>
      </c>
      <c r="Z329">
        <f>IF(Source!BI127=4,H320+H321+H323+H324+H325, 0)</f>
        <v>0</v>
      </c>
    </row>
    <row r="330" spans="1:26" ht="85.5" x14ac:dyDescent="0.2">
      <c r="A330" s="44" t="str">
        <f>Source!E130</f>
        <v>31</v>
      </c>
      <c r="B330" s="45" t="str">
        <f>Source!F130</f>
        <v>61-1-9</v>
      </c>
      <c r="C330" s="45" t="str">
        <f>Source!G130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330" s="28" t="str">
        <f>Source!H130</f>
        <v>100 м2</v>
      </c>
      <c r="E330" s="11">
        <f>Source!I130</f>
        <v>7.9081999999999999</v>
      </c>
      <c r="F330" s="29">
        <f>Source!AL130+Source!AM130+Source!AO130</f>
        <v>321.53000000000003</v>
      </c>
      <c r="G330" s="30"/>
      <c r="H330" s="29"/>
      <c r="I330" s="30" t="str">
        <f>Source!BO130</f>
        <v/>
      </c>
      <c r="J330" s="30"/>
      <c r="K330" s="29"/>
      <c r="L330" s="31"/>
      <c r="S330">
        <f>ROUND((Source!FX130/100)*((ROUND(Source!AF130*Source!I130, 2)+ROUND(Source!AE130*Source!I130, 2))), 2)</f>
        <v>1957.34</v>
      </c>
      <c r="T330">
        <f>Source!X130</f>
        <v>12840.12</v>
      </c>
      <c r="U330">
        <f>ROUND((Source!FY130/100)*((ROUND(Source!AF130*Source!I130, 2)+ROUND(Source!AE130*Source!I130, 2))), 2)</f>
        <v>1238.82</v>
      </c>
      <c r="V330">
        <f>Source!Y130</f>
        <v>8126.66</v>
      </c>
    </row>
    <row r="331" spans="1:26" x14ac:dyDescent="0.2">
      <c r="C331" s="23" t="str">
        <f>"Объем: "&amp;Source!I130&amp;"=790,82/"&amp;"100"</f>
        <v>Объем: 7,9082=790,82/100</v>
      </c>
    </row>
    <row r="332" spans="1:26" ht="14.25" x14ac:dyDescent="0.2">
      <c r="A332" s="44"/>
      <c r="B332" s="45"/>
      <c r="C332" s="45" t="s">
        <v>1930</v>
      </c>
      <c r="D332" s="28"/>
      <c r="E332" s="11"/>
      <c r="F332" s="29">
        <f>Source!AO130</f>
        <v>303.12</v>
      </c>
      <c r="G332" s="30" t="str">
        <f>Source!DG130</f>
        <v/>
      </c>
      <c r="H332" s="29">
        <f>ROUND(Source!AF130*Source!I130, 2)</f>
        <v>2397.13</v>
      </c>
      <c r="I332" s="30"/>
      <c r="J332" s="30">
        <f>IF(Source!BA130&lt;&gt; 0, Source!BA130, 1)</f>
        <v>6.56</v>
      </c>
      <c r="K332" s="29">
        <f>Source!S130</f>
        <v>15725.2</v>
      </c>
      <c r="L332" s="31"/>
      <c r="R332">
        <f>H332</f>
        <v>2397.13</v>
      </c>
    </row>
    <row r="333" spans="1:26" ht="14.25" x14ac:dyDescent="0.2">
      <c r="A333" s="44"/>
      <c r="B333" s="45"/>
      <c r="C333" s="45" t="s">
        <v>151</v>
      </c>
      <c r="D333" s="28"/>
      <c r="E333" s="11"/>
      <c r="F333" s="29">
        <f>Source!AM130</f>
        <v>17.16</v>
      </c>
      <c r="G333" s="30" t="str">
        <f>Source!DE130</f>
        <v/>
      </c>
      <c r="H333" s="29">
        <f>ROUND(Source!AD130*Source!I130, 2)</f>
        <v>135.69999999999999</v>
      </c>
      <c r="I333" s="30"/>
      <c r="J333" s="30">
        <f>IF(Source!BB130&lt;&gt; 0, Source!BB130, 1)</f>
        <v>6.56</v>
      </c>
      <c r="K333" s="29">
        <f>Source!Q130</f>
        <v>890.22</v>
      </c>
      <c r="L333" s="31"/>
    </row>
    <row r="334" spans="1:26" ht="14.25" x14ac:dyDescent="0.2">
      <c r="A334" s="44"/>
      <c r="B334" s="45"/>
      <c r="C334" s="45" t="s">
        <v>1931</v>
      </c>
      <c r="D334" s="28"/>
      <c r="E334" s="11"/>
      <c r="F334" s="29">
        <f>Source!AN130</f>
        <v>10.18</v>
      </c>
      <c r="G334" s="30" t="str">
        <f>Source!DF130</f>
        <v/>
      </c>
      <c r="H334" s="32">
        <f>ROUND(Source!AE130*Source!I130, 2)</f>
        <v>80.510000000000005</v>
      </c>
      <c r="I334" s="30"/>
      <c r="J334" s="30">
        <f>IF(Source!BS130&lt;&gt; 0, Source!BS130, 1)</f>
        <v>6.56</v>
      </c>
      <c r="K334" s="32">
        <f>Source!R130</f>
        <v>528.12</v>
      </c>
      <c r="L334" s="31"/>
      <c r="R334">
        <f>H334</f>
        <v>80.510000000000005</v>
      </c>
    </row>
    <row r="335" spans="1:26" ht="14.25" x14ac:dyDescent="0.2">
      <c r="A335" s="44"/>
      <c r="B335" s="45"/>
      <c r="C335" s="45" t="s">
        <v>1937</v>
      </c>
      <c r="D335" s="28"/>
      <c r="E335" s="11"/>
      <c r="F335" s="29">
        <f>Source!AL130</f>
        <v>1.25</v>
      </c>
      <c r="G335" s="30" t="str">
        <f>Source!DD130</f>
        <v/>
      </c>
      <c r="H335" s="29">
        <f>ROUND(Source!AC130*Source!I130, 2)</f>
        <v>9.89</v>
      </c>
      <c r="I335" s="30"/>
      <c r="J335" s="30">
        <f>IF(Source!BC130&lt;&gt; 0, Source!BC130, 1)</f>
        <v>6.56</v>
      </c>
      <c r="K335" s="29">
        <f>Source!P130</f>
        <v>64.849999999999994</v>
      </c>
      <c r="L335" s="31"/>
    </row>
    <row r="336" spans="1:26" ht="14.25" x14ac:dyDescent="0.2">
      <c r="A336" s="44"/>
      <c r="B336" s="45"/>
      <c r="C336" s="45" t="s">
        <v>1932</v>
      </c>
      <c r="D336" s="28" t="s">
        <v>1933</v>
      </c>
      <c r="E336" s="11">
        <f>Source!BZ130</f>
        <v>79</v>
      </c>
      <c r="F336" s="48"/>
      <c r="G336" s="30"/>
      <c r="H336" s="29">
        <f>SUM(S330:S340)</f>
        <v>1957.34</v>
      </c>
      <c r="I336" s="33"/>
      <c r="J336" s="26">
        <f>Source!AT130</f>
        <v>79</v>
      </c>
      <c r="K336" s="29">
        <f>SUM(T330:T340)</f>
        <v>12840.12</v>
      </c>
      <c r="L336" s="31"/>
    </row>
    <row r="337" spans="1:26" ht="14.25" x14ac:dyDescent="0.2">
      <c r="A337" s="44"/>
      <c r="B337" s="45"/>
      <c r="C337" s="45" t="s">
        <v>1934</v>
      </c>
      <c r="D337" s="28" t="s">
        <v>1933</v>
      </c>
      <c r="E337" s="11">
        <f>Source!CA130</f>
        <v>50</v>
      </c>
      <c r="F337" s="48"/>
      <c r="G337" s="30"/>
      <c r="H337" s="29">
        <f>SUM(U330:U340)</f>
        <v>1238.82</v>
      </c>
      <c r="I337" s="33"/>
      <c r="J337" s="26">
        <f>Source!AU130</f>
        <v>50</v>
      </c>
      <c r="K337" s="29">
        <f>SUM(V330:V340)</f>
        <v>8126.66</v>
      </c>
      <c r="L337" s="31"/>
    </row>
    <row r="338" spans="1:26" ht="14.25" x14ac:dyDescent="0.2">
      <c r="A338" s="44"/>
      <c r="B338" s="45"/>
      <c r="C338" s="45" t="s">
        <v>1935</v>
      </c>
      <c r="D338" s="28" t="s">
        <v>1936</v>
      </c>
      <c r="E338" s="11">
        <f>Source!AQ130</f>
        <v>35.83</v>
      </c>
      <c r="F338" s="29"/>
      <c r="G338" s="30" t="str">
        <f>Source!DI130</f>
        <v/>
      </c>
      <c r="H338" s="29"/>
      <c r="I338" s="30"/>
      <c r="J338" s="30"/>
      <c r="K338" s="29"/>
      <c r="L338" s="40">
        <f>Source!U130</f>
        <v>283.35080599999998</v>
      </c>
    </row>
    <row r="339" spans="1:26" ht="28.5" x14ac:dyDescent="0.2">
      <c r="A339" s="44" t="str">
        <f>Source!E131</f>
        <v>31,1</v>
      </c>
      <c r="B339" s="45" t="str">
        <f>Source!F131</f>
        <v>04.3.02.05-0002</v>
      </c>
      <c r="C339" s="45" t="str">
        <f>Source!G131</f>
        <v>Смесь штукатурная «Ротбанд», КНАУФ</v>
      </c>
      <c r="D339" s="28" t="str">
        <f>Source!H131</f>
        <v>кг</v>
      </c>
      <c r="E339" s="11">
        <f>Source!I131</f>
        <v>6761.5111580000003</v>
      </c>
      <c r="F339" s="29">
        <f>Source!AL131+Source!AM131+Source!AO131</f>
        <v>2.0699999999999998</v>
      </c>
      <c r="G339" s="41" t="s">
        <v>6</v>
      </c>
      <c r="H339" s="29">
        <f>ROUND(Source!AC131*Source!I131, 2)+ROUND(Source!AD131*Source!I131, 2)+ROUND(Source!AF131*Source!I131, 2)</f>
        <v>13996.33</v>
      </c>
      <c r="I339" s="30"/>
      <c r="J339" s="30">
        <f>IF(Source!BC131&lt;&gt; 0, Source!BC131, 1)</f>
        <v>6.56</v>
      </c>
      <c r="K339" s="29">
        <f>Source!O131</f>
        <v>91815.91</v>
      </c>
      <c r="L339" s="31"/>
      <c r="S339">
        <f>ROUND((Source!FX131/100)*((ROUND(Source!AF131*Source!I131, 2)+ROUND(Source!AE131*Source!I131, 2))), 2)</f>
        <v>0</v>
      </c>
      <c r="T339">
        <f>Source!X131</f>
        <v>0</v>
      </c>
      <c r="U339">
        <f>ROUND((Source!FY131/100)*((ROUND(Source!AF131*Source!I131, 2)+ROUND(Source!AE131*Source!I131, 2))), 2)</f>
        <v>0</v>
      </c>
      <c r="V339">
        <f>Source!Y131</f>
        <v>0</v>
      </c>
      <c r="W339">
        <f>IF(Source!BI131&lt;=1,H339, 0)</f>
        <v>13996.33</v>
      </c>
      <c r="X339">
        <f>IF(Source!BI131=2,H339, 0)</f>
        <v>0</v>
      </c>
      <c r="Y339">
        <f>IF(Source!BI131=3,H339, 0)</f>
        <v>0</v>
      </c>
      <c r="Z339">
        <f>IF(Source!BI131=4,H339, 0)</f>
        <v>0</v>
      </c>
    </row>
    <row r="340" spans="1:26" ht="14.25" x14ac:dyDescent="0.2">
      <c r="A340" s="46" t="str">
        <f>Source!E132</f>
        <v>31,2</v>
      </c>
      <c r="B340" s="47" t="str">
        <f>Source!F132</f>
        <v>04.3.02.09</v>
      </c>
      <c r="C340" s="47" t="str">
        <f>Source!G132</f>
        <v>Смеси на цементной основе</v>
      </c>
      <c r="D340" s="34" t="str">
        <f>Source!H132</f>
        <v>т</v>
      </c>
      <c r="E340" s="35">
        <f>Source!I132</f>
        <v>6.7615109999999996</v>
      </c>
      <c r="F340" s="36">
        <f>Source!AL132+Source!AM132+Source!AO132</f>
        <v>0</v>
      </c>
      <c r="G340" s="42" t="s">
        <v>6</v>
      </c>
      <c r="H340" s="36">
        <f>ROUND(Source!AC132*Source!I132, 2)+ROUND(Source!AD132*Source!I132, 2)+ROUND(Source!AF132*Source!I132, 2)</f>
        <v>0</v>
      </c>
      <c r="I340" s="37"/>
      <c r="J340" s="37">
        <f>IF(Source!BC132&lt;&gt; 0, Source!BC132, 1)</f>
        <v>6.56</v>
      </c>
      <c r="K340" s="36">
        <f>Source!O132</f>
        <v>0</v>
      </c>
      <c r="L340" s="43"/>
      <c r="S340">
        <f>ROUND((Source!FX132/100)*((ROUND(Source!AF132*Source!I132, 2)+ROUND(Source!AE132*Source!I132, 2))), 2)</f>
        <v>0</v>
      </c>
      <c r="T340">
        <f>Source!X132</f>
        <v>0</v>
      </c>
      <c r="U340">
        <f>ROUND((Source!FY132/100)*((ROUND(Source!AF132*Source!I132, 2)+ROUND(Source!AE132*Source!I132, 2))), 2)</f>
        <v>0</v>
      </c>
      <c r="V340">
        <f>Source!Y132</f>
        <v>0</v>
      </c>
      <c r="W340">
        <f>IF(Source!BI132&lt;=1,H340, 0)</f>
        <v>0</v>
      </c>
      <c r="X340">
        <f>IF(Source!BI132=2,H340, 0)</f>
        <v>0</v>
      </c>
      <c r="Y340">
        <f>IF(Source!BI132=3,H340, 0)</f>
        <v>0</v>
      </c>
      <c r="Z340">
        <f>IF(Source!BI132=4,H340, 0)</f>
        <v>0</v>
      </c>
    </row>
    <row r="341" spans="1:26" ht="15" x14ac:dyDescent="0.25">
      <c r="G341" s="63">
        <f>H332+H333+H335+H336+H337+SUM(H339:H340)</f>
        <v>19735.21</v>
      </c>
      <c r="H341" s="63"/>
      <c r="J341" s="63">
        <f>K332+K333+K335+K336+K337+SUM(K339:K340)</f>
        <v>129462.96</v>
      </c>
      <c r="K341" s="63"/>
      <c r="L341" s="39">
        <f>Source!U130</f>
        <v>283.35080599999998</v>
      </c>
      <c r="O341" s="24">
        <f>G341</f>
        <v>19735.21</v>
      </c>
      <c r="P341" s="24">
        <f>J341</f>
        <v>129462.96</v>
      </c>
      <c r="Q341" s="24">
        <f>L341</f>
        <v>283.35080599999998</v>
      </c>
      <c r="W341">
        <f>IF(Source!BI130&lt;=1,H332+H333+H335+H336+H337, 0)</f>
        <v>5738.8799999999992</v>
      </c>
      <c r="X341">
        <f>IF(Source!BI130=2,H332+H333+H335+H336+H337, 0)</f>
        <v>0</v>
      </c>
      <c r="Y341">
        <f>IF(Source!BI130=3,H332+H333+H335+H336+H337, 0)</f>
        <v>0</v>
      </c>
      <c r="Z341">
        <f>IF(Source!BI130=4,H332+H333+H335+H336+H337, 0)</f>
        <v>0</v>
      </c>
    </row>
    <row r="342" spans="1:26" ht="57" x14ac:dyDescent="0.2">
      <c r="A342" s="44" t="str">
        <f>Source!E133</f>
        <v>32</v>
      </c>
      <c r="B342" s="45" t="str">
        <f>Source!F133</f>
        <v>15-02-016-03</v>
      </c>
      <c r="C342" s="45" t="str">
        <f>Source!G133</f>
        <v>Штукатурка поверхностей внутри здания цементно-известковым или цементным раствором по камню и бетону улучшенная стен</v>
      </c>
      <c r="D342" s="28" t="str">
        <f>Source!H133</f>
        <v>100 м2</v>
      </c>
      <c r="E342" s="11">
        <f>Source!I133</f>
        <v>1.19</v>
      </c>
      <c r="F342" s="29">
        <f>Source!AL133+Source!AM133+Source!AO133</f>
        <v>2040.6800000000003</v>
      </c>
      <c r="G342" s="30"/>
      <c r="H342" s="29"/>
      <c r="I342" s="30" t="str">
        <f>Source!BO133</f>
        <v/>
      </c>
      <c r="J342" s="30"/>
      <c r="K342" s="29"/>
      <c r="L342" s="31"/>
      <c r="S342">
        <f>ROUND((Source!FX133/100)*((ROUND(Source!AF133*Source!I133, 2)+ROUND(Source!AE133*Source!I133, 2))), 2)</f>
        <v>974.76</v>
      </c>
      <c r="T342">
        <f>Source!X133</f>
        <v>6428.25</v>
      </c>
      <c r="U342">
        <f>ROUND((Source!FY133/100)*((ROUND(Source!AF133*Source!I133, 2)+ROUND(Source!AE133*Source!I133, 2))), 2)</f>
        <v>482.22</v>
      </c>
      <c r="V342">
        <f>Source!Y133</f>
        <v>3180.29</v>
      </c>
    </row>
    <row r="343" spans="1:26" x14ac:dyDescent="0.2">
      <c r="C343" s="23" t="str">
        <f>"Объем: "&amp;Source!I133&amp;"=119/"&amp;"100"</f>
        <v>Объем: 1,19=119/100</v>
      </c>
    </row>
    <row r="344" spans="1:26" ht="14.25" x14ac:dyDescent="0.2">
      <c r="A344" s="44"/>
      <c r="B344" s="45"/>
      <c r="C344" s="45" t="s">
        <v>1930</v>
      </c>
      <c r="D344" s="28"/>
      <c r="E344" s="11"/>
      <c r="F344" s="29">
        <f>Source!AO133</f>
        <v>806.9</v>
      </c>
      <c r="G344" s="30" t="str">
        <f>Source!DG133</f>
        <v/>
      </c>
      <c r="H344" s="29">
        <f>ROUND(Source!AF133*Source!I133, 2)</f>
        <v>960.21</v>
      </c>
      <c r="I344" s="30"/>
      <c r="J344" s="30">
        <f>IF(Source!BA133&lt;&gt; 0, Source!BA133, 1)</f>
        <v>6.56</v>
      </c>
      <c r="K344" s="29">
        <f>Source!S133</f>
        <v>6298.98</v>
      </c>
      <c r="L344" s="31"/>
      <c r="R344">
        <f>H344</f>
        <v>960.21</v>
      </c>
    </row>
    <row r="345" spans="1:26" ht="14.25" x14ac:dyDescent="0.2">
      <c r="A345" s="44"/>
      <c r="B345" s="45"/>
      <c r="C345" s="45" t="s">
        <v>151</v>
      </c>
      <c r="D345" s="28"/>
      <c r="E345" s="11"/>
      <c r="F345" s="29">
        <f>Source!AM133</f>
        <v>103.38</v>
      </c>
      <c r="G345" s="30" t="str">
        <f>Source!DE133</f>
        <v/>
      </c>
      <c r="H345" s="29">
        <f>ROUND(Source!AD133*Source!I133, 2)</f>
        <v>123.02</v>
      </c>
      <c r="I345" s="30"/>
      <c r="J345" s="30">
        <f>IF(Source!BB133&lt;&gt; 0, Source!BB133, 1)</f>
        <v>6.56</v>
      </c>
      <c r="K345" s="29">
        <f>Source!Q133</f>
        <v>807.03</v>
      </c>
      <c r="L345" s="31"/>
    </row>
    <row r="346" spans="1:26" ht="14.25" x14ac:dyDescent="0.2">
      <c r="A346" s="44"/>
      <c r="B346" s="45"/>
      <c r="C346" s="45" t="s">
        <v>1931</v>
      </c>
      <c r="D346" s="28"/>
      <c r="E346" s="11"/>
      <c r="F346" s="29">
        <f>Source!AN133</f>
        <v>59.9</v>
      </c>
      <c r="G346" s="30" t="str">
        <f>Source!DF133</f>
        <v/>
      </c>
      <c r="H346" s="32">
        <f>ROUND(Source!AE133*Source!I133, 2)</f>
        <v>71.28</v>
      </c>
      <c r="I346" s="30"/>
      <c r="J346" s="30">
        <f>IF(Source!BS133&lt;&gt; 0, Source!BS133, 1)</f>
        <v>6.56</v>
      </c>
      <c r="K346" s="32">
        <f>Source!R133</f>
        <v>467.6</v>
      </c>
      <c r="L346" s="31"/>
      <c r="R346">
        <f>H346</f>
        <v>71.28</v>
      </c>
    </row>
    <row r="347" spans="1:26" ht="14.25" x14ac:dyDescent="0.2">
      <c r="A347" s="44"/>
      <c r="B347" s="45"/>
      <c r="C347" s="45" t="s">
        <v>1937</v>
      </c>
      <c r="D347" s="28"/>
      <c r="E347" s="11"/>
      <c r="F347" s="29">
        <f>Source!AL133</f>
        <v>1130.4000000000001</v>
      </c>
      <c r="G347" s="30" t="str">
        <f>Source!DD133</f>
        <v/>
      </c>
      <c r="H347" s="29">
        <f>ROUND(Source!AC133*Source!I133, 2)</f>
        <v>1345.18</v>
      </c>
      <c r="I347" s="30"/>
      <c r="J347" s="30">
        <f>IF(Source!BC133&lt;&gt; 0, Source!BC133, 1)</f>
        <v>6.56</v>
      </c>
      <c r="K347" s="29">
        <f>Source!P133</f>
        <v>8824.35</v>
      </c>
      <c r="L347" s="31"/>
    </row>
    <row r="348" spans="1:26" ht="14.25" x14ac:dyDescent="0.2">
      <c r="A348" s="44"/>
      <c r="B348" s="45"/>
      <c r="C348" s="45" t="s">
        <v>1932</v>
      </c>
      <c r="D348" s="28" t="s">
        <v>1933</v>
      </c>
      <c r="E348" s="11">
        <f>Source!BZ133</f>
        <v>105</v>
      </c>
      <c r="F348" s="64" t="str">
        <f>CONCATENATE(" )", Source!DL133, Source!FT133, "=", Source!FX133)</f>
        <v xml:space="preserve"> )*0,9=94,5</v>
      </c>
      <c r="G348" s="65"/>
      <c r="H348" s="29">
        <f>SUM(S342:S350)</f>
        <v>974.76</v>
      </c>
      <c r="I348" s="33"/>
      <c r="J348" s="26">
        <f>Source!AT133</f>
        <v>95</v>
      </c>
      <c r="K348" s="29">
        <f>SUM(T342:T350)</f>
        <v>6428.25</v>
      </c>
      <c r="L348" s="31"/>
    </row>
    <row r="349" spans="1:26" ht="14.25" x14ac:dyDescent="0.2">
      <c r="A349" s="44"/>
      <c r="B349" s="45"/>
      <c r="C349" s="45" t="s">
        <v>1934</v>
      </c>
      <c r="D349" s="28" t="s">
        <v>1933</v>
      </c>
      <c r="E349" s="11">
        <f>Source!CA133</f>
        <v>55</v>
      </c>
      <c r="F349" s="64" t="str">
        <f>CONCATENATE(" )", Source!DM133, Source!FU133, "=", Source!FY133)</f>
        <v xml:space="preserve"> )*0,85=46,75</v>
      </c>
      <c r="G349" s="65"/>
      <c r="H349" s="29">
        <f>SUM(U342:U350)</f>
        <v>482.22</v>
      </c>
      <c r="I349" s="33"/>
      <c r="J349" s="26">
        <f>Source!AU133</f>
        <v>47</v>
      </c>
      <c r="K349" s="29">
        <f>SUM(V342:V350)</f>
        <v>3180.29</v>
      </c>
      <c r="L349" s="31"/>
    </row>
    <row r="350" spans="1:26" ht="14.25" x14ac:dyDescent="0.2">
      <c r="A350" s="46"/>
      <c r="B350" s="47"/>
      <c r="C350" s="47" t="s">
        <v>1935</v>
      </c>
      <c r="D350" s="34" t="s">
        <v>1936</v>
      </c>
      <c r="E350" s="35">
        <f>Source!AQ133</f>
        <v>85.84</v>
      </c>
      <c r="F350" s="36"/>
      <c r="G350" s="37" t="str">
        <f>Source!DI133</f>
        <v/>
      </c>
      <c r="H350" s="36"/>
      <c r="I350" s="37"/>
      <c r="J350" s="37"/>
      <c r="K350" s="36"/>
      <c r="L350" s="38">
        <f>Source!U133</f>
        <v>102.14959999999999</v>
      </c>
    </row>
    <row r="351" spans="1:26" ht="15" x14ac:dyDescent="0.25">
      <c r="G351" s="63">
        <f>H344+H345+H347+H348+H349</f>
        <v>3885.3900000000003</v>
      </c>
      <c r="H351" s="63"/>
      <c r="J351" s="63">
        <f>K344+K345+K347+K348+K349</f>
        <v>25538.9</v>
      </c>
      <c r="K351" s="63"/>
      <c r="L351" s="39">
        <f>Source!U133</f>
        <v>102.14959999999999</v>
      </c>
      <c r="O351" s="24">
        <f>G351</f>
        <v>3885.3900000000003</v>
      </c>
      <c r="P351" s="24">
        <f>J351</f>
        <v>25538.9</v>
      </c>
      <c r="Q351" s="24">
        <f>L351</f>
        <v>102.14959999999999</v>
      </c>
      <c r="W351">
        <f>IF(Source!BI133&lt;=1,H344+H345+H347+H348+H349, 0)</f>
        <v>3885.3900000000003</v>
      </c>
      <c r="X351">
        <f>IF(Source!BI133=2,H344+H345+H347+H348+H349, 0)</f>
        <v>0</v>
      </c>
      <c r="Y351">
        <f>IF(Source!BI133=3,H344+H345+H347+H348+H349, 0)</f>
        <v>0</v>
      </c>
      <c r="Z351">
        <f>IF(Source!BI133=4,H344+H345+H347+H348+H349, 0)</f>
        <v>0</v>
      </c>
    </row>
    <row r="352" spans="1:26" ht="71.25" x14ac:dyDescent="0.2">
      <c r="A352" s="44" t="str">
        <f>Source!E134</f>
        <v>33</v>
      </c>
      <c r="B352" s="45" t="str">
        <f>Source!F134</f>
        <v>62-16-3</v>
      </c>
      <c r="C352" s="45" t="str">
        <f>Source!G134</f>
        <v>Окрашивание водоэмульсионными составами поверхностей стен, ранее окрашенных водоэмульсионной краской с расчисткой старой краски до 35%</v>
      </c>
      <c r="D352" s="28" t="str">
        <f>Source!H134</f>
        <v>100 м2</v>
      </c>
      <c r="E352" s="11">
        <f>Source!I134</f>
        <v>5.8792999999999997</v>
      </c>
      <c r="F352" s="29">
        <f>Source!AL134+Source!AM134+Source!AO134</f>
        <v>681.71</v>
      </c>
      <c r="G352" s="30"/>
      <c r="H352" s="29"/>
      <c r="I352" s="30" t="str">
        <f>Source!BO134</f>
        <v/>
      </c>
      <c r="J352" s="30"/>
      <c r="K352" s="29"/>
      <c r="L352" s="31"/>
      <c r="S352">
        <f>ROUND((Source!FX134/100)*((ROUND(Source!AF134*Source!I134, 2)+ROUND(Source!AE134*Source!I134, 2))), 2)</f>
        <v>1148.3</v>
      </c>
      <c r="T352">
        <f>Source!X134</f>
        <v>7532.83</v>
      </c>
      <c r="U352">
        <f>ROUND((Source!FY134/100)*((ROUND(Source!AF134*Source!I134, 2)+ROUND(Source!AE134*Source!I134, 2))), 2)</f>
        <v>717.69</v>
      </c>
      <c r="V352">
        <f>Source!Y134</f>
        <v>4708.0200000000004</v>
      </c>
    </row>
    <row r="353" spans="1:26" x14ac:dyDescent="0.2">
      <c r="C353" s="23" t="str">
        <f>"Объем: "&amp;Source!I134&amp;"=587,93/"&amp;"100"</f>
        <v>Объем: 5,8793=587,93/100</v>
      </c>
    </row>
    <row r="354" spans="1:26" ht="14.25" x14ac:dyDescent="0.2">
      <c r="A354" s="44"/>
      <c r="B354" s="45"/>
      <c r="C354" s="45" t="s">
        <v>1930</v>
      </c>
      <c r="D354" s="28"/>
      <c r="E354" s="11"/>
      <c r="F354" s="29">
        <f>Source!AO134</f>
        <v>242.09</v>
      </c>
      <c r="G354" s="30" t="str">
        <f>Source!DG134</f>
        <v/>
      </c>
      <c r="H354" s="29">
        <f>ROUND(Source!AF134*Source!I134, 2)</f>
        <v>1423.32</v>
      </c>
      <c r="I354" s="30"/>
      <c r="J354" s="30">
        <f>IF(Source!BA134&lt;&gt; 0, Source!BA134, 1)</f>
        <v>6.56</v>
      </c>
      <c r="K354" s="29">
        <f>Source!S134</f>
        <v>9336.98</v>
      </c>
      <c r="L354" s="31"/>
      <c r="R354">
        <f>H354</f>
        <v>1423.32</v>
      </c>
    </row>
    <row r="355" spans="1:26" ht="14.25" x14ac:dyDescent="0.2">
      <c r="A355" s="44"/>
      <c r="B355" s="45"/>
      <c r="C355" s="45" t="s">
        <v>151</v>
      </c>
      <c r="D355" s="28"/>
      <c r="E355" s="11"/>
      <c r="F355" s="29">
        <f>Source!AM134</f>
        <v>7.07</v>
      </c>
      <c r="G355" s="30" t="str">
        <f>Source!DE134</f>
        <v/>
      </c>
      <c r="H355" s="29">
        <f>ROUND(Source!AD134*Source!I134, 2)</f>
        <v>41.57</v>
      </c>
      <c r="I355" s="30"/>
      <c r="J355" s="30">
        <f>IF(Source!BB134&lt;&gt; 0, Source!BB134, 1)</f>
        <v>6.56</v>
      </c>
      <c r="K355" s="29">
        <f>Source!Q134</f>
        <v>272.68</v>
      </c>
      <c r="L355" s="31"/>
    </row>
    <row r="356" spans="1:26" ht="14.25" x14ac:dyDescent="0.2">
      <c r="A356" s="44"/>
      <c r="B356" s="45"/>
      <c r="C356" s="45" t="s">
        <v>1931</v>
      </c>
      <c r="D356" s="28"/>
      <c r="E356" s="11"/>
      <c r="F356" s="29">
        <f>Source!AN134</f>
        <v>2.0499999999999998</v>
      </c>
      <c r="G356" s="30" t="str">
        <f>Source!DF134</f>
        <v/>
      </c>
      <c r="H356" s="32">
        <f>ROUND(Source!AE134*Source!I134, 2)</f>
        <v>12.05</v>
      </c>
      <c r="I356" s="30"/>
      <c r="J356" s="30">
        <f>IF(Source!BS134&lt;&gt; 0, Source!BS134, 1)</f>
        <v>6.56</v>
      </c>
      <c r="K356" s="32">
        <f>Source!R134</f>
        <v>79.06</v>
      </c>
      <c r="L356" s="31"/>
      <c r="R356">
        <f>H356</f>
        <v>12.05</v>
      </c>
    </row>
    <row r="357" spans="1:26" ht="14.25" x14ac:dyDescent="0.2">
      <c r="A357" s="44"/>
      <c r="B357" s="45"/>
      <c r="C357" s="45" t="s">
        <v>1937</v>
      </c>
      <c r="D357" s="28"/>
      <c r="E357" s="11"/>
      <c r="F357" s="29">
        <f>Source!AL134</f>
        <v>432.55</v>
      </c>
      <c r="G357" s="30" t="str">
        <f>Source!DD134</f>
        <v/>
      </c>
      <c r="H357" s="29">
        <f>ROUND(Source!AC134*Source!I134, 2)</f>
        <v>2543.09</v>
      </c>
      <c r="I357" s="30"/>
      <c r="J357" s="30">
        <f>IF(Source!BC134&lt;&gt; 0, Source!BC134, 1)</f>
        <v>6.56</v>
      </c>
      <c r="K357" s="29">
        <f>Source!P134</f>
        <v>16682.68</v>
      </c>
      <c r="L357" s="31"/>
    </row>
    <row r="358" spans="1:26" ht="14.25" x14ac:dyDescent="0.2">
      <c r="A358" s="44"/>
      <c r="B358" s="45"/>
      <c r="C358" s="45" t="s">
        <v>1932</v>
      </c>
      <c r="D358" s="28" t="s">
        <v>1933</v>
      </c>
      <c r="E358" s="11">
        <f>Source!BZ134</f>
        <v>80</v>
      </c>
      <c r="F358" s="48"/>
      <c r="G358" s="30"/>
      <c r="H358" s="29">
        <f>SUM(S352:S362)</f>
        <v>1148.3</v>
      </c>
      <c r="I358" s="33"/>
      <c r="J358" s="26">
        <f>Source!AT134</f>
        <v>80</v>
      </c>
      <c r="K358" s="29">
        <f>SUM(T352:T362)</f>
        <v>7532.83</v>
      </c>
      <c r="L358" s="31"/>
    </row>
    <row r="359" spans="1:26" ht="14.25" x14ac:dyDescent="0.2">
      <c r="A359" s="44"/>
      <c r="B359" s="45"/>
      <c r="C359" s="45" t="s">
        <v>1934</v>
      </c>
      <c r="D359" s="28" t="s">
        <v>1933</v>
      </c>
      <c r="E359" s="11">
        <f>Source!CA134</f>
        <v>50</v>
      </c>
      <c r="F359" s="48"/>
      <c r="G359" s="30"/>
      <c r="H359" s="29">
        <f>SUM(U352:U362)</f>
        <v>717.69</v>
      </c>
      <c r="I359" s="33"/>
      <c r="J359" s="26">
        <f>Source!AU134</f>
        <v>50</v>
      </c>
      <c r="K359" s="29">
        <f>SUM(V352:V362)</f>
        <v>4708.0200000000004</v>
      </c>
      <c r="L359" s="31"/>
    </row>
    <row r="360" spans="1:26" ht="14.25" x14ac:dyDescent="0.2">
      <c r="A360" s="44"/>
      <c r="B360" s="45"/>
      <c r="C360" s="45" t="s">
        <v>1935</v>
      </c>
      <c r="D360" s="28" t="s">
        <v>1936</v>
      </c>
      <c r="E360" s="11">
        <f>Source!AQ134</f>
        <v>28.02</v>
      </c>
      <c r="F360" s="29"/>
      <c r="G360" s="30" t="str">
        <f>Source!DI134</f>
        <v/>
      </c>
      <c r="H360" s="29"/>
      <c r="I360" s="30"/>
      <c r="J360" s="30"/>
      <c r="K360" s="29"/>
      <c r="L360" s="40">
        <f>Source!U134</f>
        <v>164.73798599999998</v>
      </c>
    </row>
    <row r="361" spans="1:26" ht="28.5" x14ac:dyDescent="0.2">
      <c r="A361" s="44" t="str">
        <f>Source!E135</f>
        <v>33,1</v>
      </c>
      <c r="B361" s="45" t="str">
        <f>Source!F135</f>
        <v>14.3.02.01-0026</v>
      </c>
      <c r="C361" s="45" t="str">
        <f>Source!G135</f>
        <v>Краска акриловая АКВА ВД-АК-11</v>
      </c>
      <c r="D361" s="28" t="str">
        <f>Source!H135</f>
        <v>т</v>
      </c>
      <c r="E361" s="11">
        <f>Source!I135</f>
        <v>0.39391300000000001</v>
      </c>
      <c r="F361" s="29">
        <f>Source!AL135+Source!AM135+Source!AO135</f>
        <v>8505</v>
      </c>
      <c r="G361" s="41" t="s">
        <v>6</v>
      </c>
      <c r="H361" s="29">
        <f>ROUND(Source!AC135*Source!I135, 2)+ROUND(Source!AD135*Source!I135, 2)+ROUND(Source!AF135*Source!I135, 2)</f>
        <v>3350.23</v>
      </c>
      <c r="I361" s="30"/>
      <c r="J361" s="30">
        <f>IF(Source!BC135&lt;&gt; 0, Source!BC135, 1)</f>
        <v>6.56</v>
      </c>
      <c r="K361" s="29">
        <f>Source!O135</f>
        <v>21977.51</v>
      </c>
      <c r="L361" s="31"/>
      <c r="S361">
        <f>ROUND((Source!FX135/100)*((ROUND(Source!AF135*Source!I135, 2)+ROUND(Source!AE135*Source!I135, 2))), 2)</f>
        <v>0</v>
      </c>
      <c r="T361">
        <f>Source!X135</f>
        <v>0</v>
      </c>
      <c r="U361">
        <f>ROUND((Source!FY135/100)*((ROUND(Source!AF135*Source!I135, 2)+ROUND(Source!AE135*Source!I135, 2))), 2)</f>
        <v>0</v>
      </c>
      <c r="V361">
        <f>Source!Y135</f>
        <v>0</v>
      </c>
      <c r="W361">
        <f>IF(Source!BI135&lt;=1,H361, 0)</f>
        <v>3350.23</v>
      </c>
      <c r="X361">
        <f>IF(Source!BI135=2,H361, 0)</f>
        <v>0</v>
      </c>
      <c r="Y361">
        <f>IF(Source!BI135=3,H361, 0)</f>
        <v>0</v>
      </c>
      <c r="Z361">
        <f>IF(Source!BI135=4,H361, 0)</f>
        <v>0</v>
      </c>
    </row>
    <row r="362" spans="1:26" ht="14.25" x14ac:dyDescent="0.2">
      <c r="A362" s="46" t="str">
        <f>Source!E136</f>
        <v>33,2</v>
      </c>
      <c r="B362" s="47" t="str">
        <f>Source!F136</f>
        <v>14.3.02.01</v>
      </c>
      <c r="C362" s="47" t="str">
        <f>Source!G136</f>
        <v>Краска водоэмульсионная</v>
      </c>
      <c r="D362" s="34" t="str">
        <f>Source!H136</f>
        <v>т</v>
      </c>
      <c r="E362" s="35">
        <f>Source!I136</f>
        <v>0.39391300000000001</v>
      </c>
      <c r="F362" s="36">
        <f>Source!AL136+Source!AM136+Source!AO136</f>
        <v>0</v>
      </c>
      <c r="G362" s="42" t="s">
        <v>6</v>
      </c>
      <c r="H362" s="36">
        <f>ROUND(Source!AC136*Source!I136, 2)+ROUND(Source!AD136*Source!I136, 2)+ROUND(Source!AF136*Source!I136, 2)</f>
        <v>0</v>
      </c>
      <c r="I362" s="37"/>
      <c r="J362" s="37">
        <f>IF(Source!BC136&lt;&gt; 0, Source!BC136, 1)</f>
        <v>6.56</v>
      </c>
      <c r="K362" s="36">
        <f>Source!O136</f>
        <v>0</v>
      </c>
      <c r="L362" s="43"/>
      <c r="S362">
        <f>ROUND((Source!FX136/100)*((ROUND(Source!AF136*Source!I136, 2)+ROUND(Source!AE136*Source!I136, 2))), 2)</f>
        <v>0</v>
      </c>
      <c r="T362">
        <f>Source!X136</f>
        <v>0</v>
      </c>
      <c r="U362">
        <f>ROUND((Source!FY136/100)*((ROUND(Source!AF136*Source!I136, 2)+ROUND(Source!AE136*Source!I136, 2))), 2)</f>
        <v>0</v>
      </c>
      <c r="V362">
        <f>Source!Y136</f>
        <v>0</v>
      </c>
      <c r="W362">
        <f>IF(Source!BI136&lt;=1,H362, 0)</f>
        <v>0</v>
      </c>
      <c r="X362">
        <f>IF(Source!BI136=2,H362, 0)</f>
        <v>0</v>
      </c>
      <c r="Y362">
        <f>IF(Source!BI136=3,H362, 0)</f>
        <v>0</v>
      </c>
      <c r="Z362">
        <f>IF(Source!BI136=4,H362, 0)</f>
        <v>0</v>
      </c>
    </row>
    <row r="363" spans="1:26" ht="15" x14ac:dyDescent="0.25">
      <c r="G363" s="63">
        <f>H354+H355+H357+H358+H359+SUM(H361:H362)</f>
        <v>9224.1999999999989</v>
      </c>
      <c r="H363" s="63"/>
      <c r="J363" s="63">
        <f>K354+K355+K357+K358+K359+SUM(K361:K362)</f>
        <v>60510.7</v>
      </c>
      <c r="K363" s="63"/>
      <c r="L363" s="39">
        <f>Source!U134</f>
        <v>164.73798599999998</v>
      </c>
      <c r="O363" s="24">
        <f>G363</f>
        <v>9224.1999999999989</v>
      </c>
      <c r="P363" s="24">
        <f>J363</f>
        <v>60510.7</v>
      </c>
      <c r="Q363" s="24">
        <f>L363</f>
        <v>164.73798599999998</v>
      </c>
      <c r="W363">
        <f>IF(Source!BI134&lt;=1,H354+H355+H357+H358+H359, 0)</f>
        <v>5873.9699999999993</v>
      </c>
      <c r="X363">
        <f>IF(Source!BI134=2,H354+H355+H357+H358+H359, 0)</f>
        <v>0</v>
      </c>
      <c r="Y363">
        <f>IF(Source!BI134=3,H354+H355+H357+H358+H359, 0)</f>
        <v>0</v>
      </c>
      <c r="Z363">
        <f>IF(Source!BI134=4,H354+H355+H357+H358+H359, 0)</f>
        <v>0</v>
      </c>
    </row>
    <row r="364" spans="1:26" ht="42.75" x14ac:dyDescent="0.2">
      <c r="A364" s="44" t="str">
        <f>Source!E137</f>
        <v>34</v>
      </c>
      <c r="B364" s="45" t="str">
        <f>Source!F137</f>
        <v>15-06-001-01</v>
      </c>
      <c r="C364" s="45" t="str">
        <f>Source!G137</f>
        <v>Оклейка обоями стен по монолитной штукатурке и бетону простыми и средней плотности</v>
      </c>
      <c r="D364" s="28" t="str">
        <f>Source!H137</f>
        <v>100 м2</v>
      </c>
      <c r="E364" s="11">
        <f>Source!I137</f>
        <v>2.0952999999999999</v>
      </c>
      <c r="F364" s="29">
        <f>Source!AL137+Source!AM137+Source!AO137</f>
        <v>419.87</v>
      </c>
      <c r="G364" s="30"/>
      <c r="H364" s="29"/>
      <c r="I364" s="30" t="str">
        <f>Source!BO137</f>
        <v/>
      </c>
      <c r="J364" s="30"/>
      <c r="K364" s="29"/>
      <c r="L364" s="31"/>
      <c r="S364">
        <f>ROUND((Source!FX137/100)*((ROUND(Source!AF137*Source!I137, 2)+ROUND(Source!AE137*Source!I137, 2))), 2)</f>
        <v>590.49</v>
      </c>
      <c r="T364">
        <f>Source!X137</f>
        <v>3894.13</v>
      </c>
      <c r="U364">
        <f>ROUND((Source!FY137/100)*((ROUND(Source!AF137*Source!I137, 2)+ROUND(Source!AE137*Source!I137, 2))), 2)</f>
        <v>292.12</v>
      </c>
      <c r="V364">
        <f>Source!Y137</f>
        <v>1926.57</v>
      </c>
    </row>
    <row r="365" spans="1:26" x14ac:dyDescent="0.2">
      <c r="C365" s="23" t="str">
        <f>"Объем: "&amp;Source!I137&amp;"=209,53/"&amp;"100"</f>
        <v>Объем: 2,0953=209,53/100</v>
      </c>
    </row>
    <row r="366" spans="1:26" ht="14.25" x14ac:dyDescent="0.2">
      <c r="A366" s="44"/>
      <c r="B366" s="45"/>
      <c r="C366" s="45" t="s">
        <v>1930</v>
      </c>
      <c r="D366" s="28"/>
      <c r="E366" s="11"/>
      <c r="F366" s="29">
        <f>Source!AO137</f>
        <v>297.95999999999998</v>
      </c>
      <c r="G366" s="30" t="str">
        <f>Source!DG137</f>
        <v/>
      </c>
      <c r="H366" s="29">
        <f>ROUND(Source!AF137*Source!I137, 2)</f>
        <v>624.32000000000005</v>
      </c>
      <c r="I366" s="30"/>
      <c r="J366" s="30">
        <f>IF(Source!BA137&lt;&gt; 0, Source!BA137, 1)</f>
        <v>6.56</v>
      </c>
      <c r="K366" s="29">
        <f>Source!S137</f>
        <v>4095.51</v>
      </c>
      <c r="L366" s="31"/>
      <c r="R366">
        <f>H366</f>
        <v>624.32000000000005</v>
      </c>
    </row>
    <row r="367" spans="1:26" ht="14.25" x14ac:dyDescent="0.2">
      <c r="A367" s="44"/>
      <c r="B367" s="45"/>
      <c r="C367" s="45" t="s">
        <v>151</v>
      </c>
      <c r="D367" s="28"/>
      <c r="E367" s="11"/>
      <c r="F367" s="29">
        <f>Source!AM137</f>
        <v>0.97</v>
      </c>
      <c r="G367" s="30" t="str">
        <f>Source!DE137</f>
        <v/>
      </c>
      <c r="H367" s="29">
        <f>ROUND(Source!AD137*Source!I137, 2)</f>
        <v>2.0299999999999998</v>
      </c>
      <c r="I367" s="30"/>
      <c r="J367" s="30">
        <f>IF(Source!BB137&lt;&gt; 0, Source!BB137, 1)</f>
        <v>6.56</v>
      </c>
      <c r="K367" s="29">
        <f>Source!Q137</f>
        <v>13.33</v>
      </c>
      <c r="L367" s="31"/>
    </row>
    <row r="368" spans="1:26" ht="14.25" x14ac:dyDescent="0.2">
      <c r="A368" s="44"/>
      <c r="B368" s="45"/>
      <c r="C368" s="45" t="s">
        <v>1931</v>
      </c>
      <c r="D368" s="28"/>
      <c r="E368" s="11"/>
      <c r="F368" s="29">
        <f>Source!AN137</f>
        <v>0.26</v>
      </c>
      <c r="G368" s="30" t="str">
        <f>Source!DF137</f>
        <v/>
      </c>
      <c r="H368" s="32">
        <f>ROUND(Source!AE137*Source!I137, 2)</f>
        <v>0.54</v>
      </c>
      <c r="I368" s="30"/>
      <c r="J368" s="30">
        <f>IF(Source!BS137&lt;&gt; 0, Source!BS137, 1)</f>
        <v>6.56</v>
      </c>
      <c r="K368" s="32">
        <f>Source!R137</f>
        <v>3.57</v>
      </c>
      <c r="L368" s="31"/>
      <c r="R368">
        <f>H368</f>
        <v>0.54</v>
      </c>
    </row>
    <row r="369" spans="1:26" ht="14.25" x14ac:dyDescent="0.2">
      <c r="A369" s="44"/>
      <c r="B369" s="45"/>
      <c r="C369" s="45" t="s">
        <v>1937</v>
      </c>
      <c r="D369" s="28"/>
      <c r="E369" s="11"/>
      <c r="F369" s="29">
        <f>Source!AL137</f>
        <v>120.94</v>
      </c>
      <c r="G369" s="30" t="str">
        <f>Source!DD137</f>
        <v/>
      </c>
      <c r="H369" s="29">
        <f>ROUND(Source!AC137*Source!I137, 2)</f>
        <v>253.41</v>
      </c>
      <c r="I369" s="30"/>
      <c r="J369" s="30">
        <f>IF(Source!BC137&lt;&gt; 0, Source!BC137, 1)</f>
        <v>6.56</v>
      </c>
      <c r="K369" s="29">
        <f>Source!P137</f>
        <v>1662.34</v>
      </c>
      <c r="L369" s="31"/>
    </row>
    <row r="370" spans="1:26" ht="14.25" x14ac:dyDescent="0.2">
      <c r="A370" s="44"/>
      <c r="B370" s="45"/>
      <c r="C370" s="45" t="s">
        <v>1932</v>
      </c>
      <c r="D370" s="28" t="s">
        <v>1933</v>
      </c>
      <c r="E370" s="11">
        <f>Source!BZ137</f>
        <v>105</v>
      </c>
      <c r="F370" s="64" t="str">
        <f>CONCATENATE(" )", Source!DL137, Source!FT137, "=", Source!FX137)</f>
        <v xml:space="preserve"> )*0,9=94,5</v>
      </c>
      <c r="G370" s="65"/>
      <c r="H370" s="29">
        <f>SUM(S364:S373)</f>
        <v>590.49</v>
      </c>
      <c r="I370" s="33"/>
      <c r="J370" s="26">
        <f>Source!AT137</f>
        <v>95</v>
      </c>
      <c r="K370" s="29">
        <f>SUM(T364:T373)</f>
        <v>3894.13</v>
      </c>
      <c r="L370" s="31"/>
    </row>
    <row r="371" spans="1:26" ht="14.25" x14ac:dyDescent="0.2">
      <c r="A371" s="44"/>
      <c r="B371" s="45"/>
      <c r="C371" s="45" t="s">
        <v>1934</v>
      </c>
      <c r="D371" s="28" t="s">
        <v>1933</v>
      </c>
      <c r="E371" s="11">
        <f>Source!CA137</f>
        <v>55</v>
      </c>
      <c r="F371" s="64" t="str">
        <f>CONCATENATE(" )", Source!DM137, Source!FU137, "=", Source!FY137)</f>
        <v xml:space="preserve"> )*0,85=46,75</v>
      </c>
      <c r="G371" s="65"/>
      <c r="H371" s="29">
        <f>SUM(U364:U373)</f>
        <v>292.12</v>
      </c>
      <c r="I371" s="33"/>
      <c r="J371" s="26">
        <f>Source!AU137</f>
        <v>47</v>
      </c>
      <c r="K371" s="29">
        <f>SUM(V364:V373)</f>
        <v>1926.57</v>
      </c>
      <c r="L371" s="31"/>
    </row>
    <row r="372" spans="1:26" ht="14.25" x14ac:dyDescent="0.2">
      <c r="A372" s="44"/>
      <c r="B372" s="45"/>
      <c r="C372" s="45" t="s">
        <v>1935</v>
      </c>
      <c r="D372" s="28" t="s">
        <v>1936</v>
      </c>
      <c r="E372" s="11">
        <f>Source!AQ137</f>
        <v>33.630000000000003</v>
      </c>
      <c r="F372" s="29"/>
      <c r="G372" s="30" t="str">
        <f>Source!DI137</f>
        <v/>
      </c>
      <c r="H372" s="29"/>
      <c r="I372" s="30"/>
      <c r="J372" s="30"/>
      <c r="K372" s="29"/>
      <c r="L372" s="40">
        <f>Source!U137</f>
        <v>70.464939000000001</v>
      </c>
    </row>
    <row r="373" spans="1:26" ht="14.25" x14ac:dyDescent="0.2">
      <c r="A373" s="46" t="str">
        <f>Source!E138</f>
        <v>34,1</v>
      </c>
      <c r="B373" s="47" t="str">
        <f>Source!F138</f>
        <v>01.6.02.01</v>
      </c>
      <c r="C373" s="47" t="str">
        <f>Source!G138</f>
        <v>Обои</v>
      </c>
      <c r="D373" s="34" t="str">
        <f>Source!H138</f>
        <v>100 м2</v>
      </c>
      <c r="E373" s="35">
        <f>Source!I138</f>
        <v>2.3676889999999995</v>
      </c>
      <c r="F373" s="36">
        <f>Source!AL138+Source!AM138+Source!AO138</f>
        <v>0</v>
      </c>
      <c r="G373" s="42" t="s">
        <v>6</v>
      </c>
      <c r="H373" s="36">
        <f>ROUND(Source!AC138*Source!I138, 2)+ROUND(Source!AD138*Source!I138, 2)+ROUND(Source!AF138*Source!I138, 2)</f>
        <v>0</v>
      </c>
      <c r="I373" s="37"/>
      <c r="J373" s="37">
        <f>IF(Source!BC138&lt;&gt; 0, Source!BC138, 1)</f>
        <v>6.56</v>
      </c>
      <c r="K373" s="36">
        <f>Source!O138</f>
        <v>0</v>
      </c>
      <c r="L373" s="43"/>
      <c r="S373">
        <f>ROUND((Source!FX138/100)*((ROUND(Source!AF138*Source!I138, 2)+ROUND(Source!AE138*Source!I138, 2))), 2)</f>
        <v>0</v>
      </c>
      <c r="T373">
        <f>Source!X138</f>
        <v>0</v>
      </c>
      <c r="U373">
        <f>ROUND((Source!FY138/100)*((ROUND(Source!AF138*Source!I138, 2)+ROUND(Source!AE138*Source!I138, 2))), 2)</f>
        <v>0</v>
      </c>
      <c r="V373">
        <f>Source!Y138</f>
        <v>0</v>
      </c>
      <c r="W373">
        <f>IF(Source!BI138&lt;=1,H373, 0)</f>
        <v>0</v>
      </c>
      <c r="X373">
        <f>IF(Source!BI138=2,H373, 0)</f>
        <v>0</v>
      </c>
      <c r="Y373">
        <f>IF(Source!BI138=3,H373, 0)</f>
        <v>0</v>
      </c>
      <c r="Z373">
        <f>IF(Source!BI138=4,H373, 0)</f>
        <v>0</v>
      </c>
    </row>
    <row r="374" spans="1:26" ht="15" x14ac:dyDescent="0.25">
      <c r="G374" s="63">
        <f>H366+H367+H369+H370+H371+SUM(H373:H373)</f>
        <v>1762.37</v>
      </c>
      <c r="H374" s="63"/>
      <c r="J374" s="63">
        <f>K366+K367+K369+K370+K371+SUM(K373:K373)</f>
        <v>11591.880000000001</v>
      </c>
      <c r="K374" s="63"/>
      <c r="L374" s="39">
        <f>Source!U137</f>
        <v>70.464939000000001</v>
      </c>
      <c r="O374" s="24">
        <f>G374</f>
        <v>1762.37</v>
      </c>
      <c r="P374" s="24">
        <f>J374</f>
        <v>11591.880000000001</v>
      </c>
      <c r="Q374" s="24">
        <f>L374</f>
        <v>70.464939000000001</v>
      </c>
      <c r="W374">
        <f>IF(Source!BI137&lt;=1,H366+H367+H369+H370+H371, 0)</f>
        <v>1762.37</v>
      </c>
      <c r="X374">
        <f>IF(Source!BI137=2,H366+H367+H369+H370+H371, 0)</f>
        <v>0</v>
      </c>
      <c r="Y374">
        <f>IF(Source!BI137=3,H366+H367+H369+H370+H371, 0)</f>
        <v>0</v>
      </c>
      <c r="Z374">
        <f>IF(Source!BI137=4,H366+H367+H369+H370+H371, 0)</f>
        <v>0</v>
      </c>
    </row>
    <row r="375" spans="1:26" ht="28.5" x14ac:dyDescent="0.2">
      <c r="A375" s="44" t="str">
        <f>Source!E139</f>
        <v>35</v>
      </c>
      <c r="B375" s="45" t="str">
        <f>Source!F139</f>
        <v>15-06-004-01</v>
      </c>
      <c r="C375" s="45" t="str">
        <f>Source!G139</f>
        <v>Вторая окраска стен, оклееных стеклообоями, красками</v>
      </c>
      <c r="D375" s="28" t="str">
        <f>Source!H139</f>
        <v>100 м2</v>
      </c>
      <c r="E375" s="11">
        <f>Source!I139</f>
        <v>2.0952999999999999</v>
      </c>
      <c r="F375" s="29">
        <f>Source!AL139+Source!AM139+Source!AO139</f>
        <v>80.62</v>
      </c>
      <c r="G375" s="30"/>
      <c r="H375" s="29"/>
      <c r="I375" s="30" t="str">
        <f>Source!BO139</f>
        <v/>
      </c>
      <c r="J375" s="30"/>
      <c r="K375" s="29"/>
      <c r="L375" s="31"/>
      <c r="S375">
        <f>ROUND((Source!FX139/100)*((ROUND(Source!AF139*Source!I139, 2)+ROUND(Source!AE139*Source!I139, 2))), 2)</f>
        <v>159.63</v>
      </c>
      <c r="T375">
        <f>Source!X139</f>
        <v>1052.73</v>
      </c>
      <c r="U375">
        <f>ROUND((Source!FY139/100)*((ROUND(Source!AF139*Source!I139, 2)+ROUND(Source!AE139*Source!I139, 2))), 2)</f>
        <v>78.97</v>
      </c>
      <c r="V375">
        <f>Source!Y139</f>
        <v>520.83000000000004</v>
      </c>
    </row>
    <row r="376" spans="1:26" x14ac:dyDescent="0.2">
      <c r="C376" s="23" t="str">
        <f>"Объем: "&amp;Source!I139&amp;"=209,53/"&amp;"100"</f>
        <v>Объем: 2,0953=209,53/100</v>
      </c>
    </row>
    <row r="377" spans="1:26" ht="14.25" x14ac:dyDescent="0.2">
      <c r="A377" s="44"/>
      <c r="B377" s="45"/>
      <c r="C377" s="45" t="s">
        <v>1930</v>
      </c>
      <c r="D377" s="28"/>
      <c r="E377" s="11"/>
      <c r="F377" s="29">
        <f>Source!AO139</f>
        <v>80.62</v>
      </c>
      <c r="G377" s="30" t="str">
        <f>Source!DG139</f>
        <v/>
      </c>
      <c r="H377" s="29">
        <f>ROUND(Source!AF139*Source!I139, 2)</f>
        <v>168.92</v>
      </c>
      <c r="I377" s="30"/>
      <c r="J377" s="30">
        <f>IF(Source!BA139&lt;&gt; 0, Source!BA139, 1)</f>
        <v>6.56</v>
      </c>
      <c r="K377" s="29">
        <f>Source!S139</f>
        <v>1108.1400000000001</v>
      </c>
      <c r="L377" s="31"/>
      <c r="R377">
        <f>H377</f>
        <v>168.92</v>
      </c>
    </row>
    <row r="378" spans="1:26" ht="14.25" x14ac:dyDescent="0.2">
      <c r="A378" s="44"/>
      <c r="B378" s="45"/>
      <c r="C378" s="45" t="s">
        <v>1932</v>
      </c>
      <c r="D378" s="28" t="s">
        <v>1933</v>
      </c>
      <c r="E378" s="11">
        <f>Source!BZ139</f>
        <v>105</v>
      </c>
      <c r="F378" s="64" t="str">
        <f>CONCATENATE(" )", Source!DL139, Source!FT139, "=", Source!FX139)</f>
        <v xml:space="preserve"> )*0,9=94,5</v>
      </c>
      <c r="G378" s="65"/>
      <c r="H378" s="29">
        <f>SUM(S375:S382)</f>
        <v>159.63</v>
      </c>
      <c r="I378" s="33"/>
      <c r="J378" s="26">
        <f>Source!AT139</f>
        <v>95</v>
      </c>
      <c r="K378" s="29">
        <f>SUM(T375:T382)</f>
        <v>1052.73</v>
      </c>
      <c r="L378" s="31"/>
    </row>
    <row r="379" spans="1:26" ht="14.25" x14ac:dyDescent="0.2">
      <c r="A379" s="44"/>
      <c r="B379" s="45"/>
      <c r="C379" s="45" t="s">
        <v>1934</v>
      </c>
      <c r="D379" s="28" t="s">
        <v>1933</v>
      </c>
      <c r="E379" s="11">
        <f>Source!CA139</f>
        <v>55</v>
      </c>
      <c r="F379" s="64" t="str">
        <f>CONCATENATE(" )", Source!DM139, Source!FU139, "=", Source!FY139)</f>
        <v xml:space="preserve"> )*0,85=46,75</v>
      </c>
      <c r="G379" s="65"/>
      <c r="H379" s="29">
        <f>SUM(U375:U382)</f>
        <v>78.97</v>
      </c>
      <c r="I379" s="33"/>
      <c r="J379" s="26">
        <f>Source!AU139</f>
        <v>47</v>
      </c>
      <c r="K379" s="29">
        <f>SUM(V375:V382)</f>
        <v>520.83000000000004</v>
      </c>
      <c r="L379" s="31"/>
    </row>
    <row r="380" spans="1:26" ht="14.25" x14ac:dyDescent="0.2">
      <c r="A380" s="44"/>
      <c r="B380" s="45"/>
      <c r="C380" s="45" t="s">
        <v>1935</v>
      </c>
      <c r="D380" s="28" t="s">
        <v>1936</v>
      </c>
      <c r="E380" s="11">
        <f>Source!AQ139</f>
        <v>8.3800000000000008</v>
      </c>
      <c r="F380" s="29"/>
      <c r="G380" s="30" t="str">
        <f>Source!DI139</f>
        <v/>
      </c>
      <c r="H380" s="29"/>
      <c r="I380" s="30"/>
      <c r="J380" s="30"/>
      <c r="K380" s="29"/>
      <c r="L380" s="40">
        <f>Source!U139</f>
        <v>17.558614000000002</v>
      </c>
    </row>
    <row r="381" spans="1:26" ht="28.5" x14ac:dyDescent="0.2">
      <c r="A381" s="44" t="str">
        <f>Source!E140</f>
        <v>35,1</v>
      </c>
      <c r="B381" s="45" t="str">
        <f>Source!F140</f>
        <v>14.3.02.01-0026</v>
      </c>
      <c r="C381" s="45" t="str">
        <f>Source!G140</f>
        <v>Краска акриловая АКВА ВД-АК-11</v>
      </c>
      <c r="D381" s="28" t="str">
        <f>Source!H140</f>
        <v>т</v>
      </c>
      <c r="E381" s="11">
        <f>Source!I140</f>
        <v>3.3524999999999999E-2</v>
      </c>
      <c r="F381" s="29">
        <f>Source!AL140+Source!AM140+Source!AO140</f>
        <v>8505</v>
      </c>
      <c r="G381" s="41" t="s">
        <v>6</v>
      </c>
      <c r="H381" s="29">
        <f>ROUND(Source!AC140*Source!I140, 2)+ROUND(Source!AD140*Source!I140, 2)+ROUND(Source!AF140*Source!I140, 2)</f>
        <v>285.13</v>
      </c>
      <c r="I381" s="30"/>
      <c r="J381" s="30">
        <f>IF(Source!BC140&lt;&gt; 0, Source!BC140, 1)</f>
        <v>6.56</v>
      </c>
      <c r="K381" s="29">
        <f>Source!O140</f>
        <v>1870.45</v>
      </c>
      <c r="L381" s="31"/>
      <c r="S381">
        <f>ROUND((Source!FX140/100)*((ROUND(Source!AF140*Source!I140, 2)+ROUND(Source!AE140*Source!I140, 2))), 2)</f>
        <v>0</v>
      </c>
      <c r="T381">
        <f>Source!X140</f>
        <v>0</v>
      </c>
      <c r="U381">
        <f>ROUND((Source!FY140/100)*((ROUND(Source!AF140*Source!I140, 2)+ROUND(Source!AE140*Source!I140, 2))), 2)</f>
        <v>0</v>
      </c>
      <c r="V381">
        <f>Source!Y140</f>
        <v>0</v>
      </c>
      <c r="W381">
        <f>IF(Source!BI140&lt;=1,H381, 0)</f>
        <v>285.13</v>
      </c>
      <c r="X381">
        <f>IF(Source!BI140=2,H381, 0)</f>
        <v>0</v>
      </c>
      <c r="Y381">
        <f>IF(Source!BI140=3,H381, 0)</f>
        <v>0</v>
      </c>
      <c r="Z381">
        <f>IF(Source!BI140=4,H381, 0)</f>
        <v>0</v>
      </c>
    </row>
    <row r="382" spans="1:26" ht="14.25" x14ac:dyDescent="0.2">
      <c r="A382" s="46" t="str">
        <f>Source!E141</f>
        <v>35,2</v>
      </c>
      <c r="B382" s="47" t="str">
        <f>Source!F141</f>
        <v>14.4.02.09</v>
      </c>
      <c r="C382" s="47" t="str">
        <f>Source!G141</f>
        <v>Краска</v>
      </c>
      <c r="D382" s="34" t="str">
        <f>Source!H141</f>
        <v>т</v>
      </c>
      <c r="E382" s="35">
        <f>Source!I141</f>
        <v>3.3524999999999999E-2</v>
      </c>
      <c r="F382" s="36">
        <f>Source!AL141+Source!AM141+Source!AO141</f>
        <v>0</v>
      </c>
      <c r="G382" s="42" t="s">
        <v>6</v>
      </c>
      <c r="H382" s="36">
        <f>ROUND(Source!AC141*Source!I141, 2)+ROUND(Source!AD141*Source!I141, 2)+ROUND(Source!AF141*Source!I141, 2)</f>
        <v>0</v>
      </c>
      <c r="I382" s="37"/>
      <c r="J382" s="37">
        <f>IF(Source!BC141&lt;&gt; 0, Source!BC141, 1)</f>
        <v>6.56</v>
      </c>
      <c r="K382" s="36">
        <f>Source!O141</f>
        <v>0</v>
      </c>
      <c r="L382" s="43"/>
      <c r="S382">
        <f>ROUND((Source!FX141/100)*((ROUND(Source!AF141*Source!I141, 2)+ROUND(Source!AE141*Source!I141, 2))), 2)</f>
        <v>0</v>
      </c>
      <c r="T382">
        <f>Source!X141</f>
        <v>0</v>
      </c>
      <c r="U382">
        <f>ROUND((Source!FY141/100)*((ROUND(Source!AF141*Source!I141, 2)+ROUND(Source!AE141*Source!I141, 2))), 2)</f>
        <v>0</v>
      </c>
      <c r="V382">
        <f>Source!Y141</f>
        <v>0</v>
      </c>
      <c r="W382">
        <f>IF(Source!BI141&lt;=1,H382, 0)</f>
        <v>0</v>
      </c>
      <c r="X382">
        <f>IF(Source!BI141=2,H382, 0)</f>
        <v>0</v>
      </c>
      <c r="Y382">
        <f>IF(Source!BI141=3,H382, 0)</f>
        <v>0</v>
      </c>
      <c r="Z382">
        <f>IF(Source!BI141=4,H382, 0)</f>
        <v>0</v>
      </c>
    </row>
    <row r="383" spans="1:26" ht="15" x14ac:dyDescent="0.25">
      <c r="G383" s="63">
        <f>H377+H378+H379+SUM(H381:H382)</f>
        <v>692.65</v>
      </c>
      <c r="H383" s="63"/>
      <c r="J383" s="63">
        <f>K377+K378+K379+SUM(K381:K382)</f>
        <v>4552.1499999999996</v>
      </c>
      <c r="K383" s="63"/>
      <c r="L383" s="39">
        <f>Source!U139</f>
        <v>17.558614000000002</v>
      </c>
      <c r="O383" s="24">
        <f>G383</f>
        <v>692.65</v>
      </c>
      <c r="P383" s="24">
        <f>J383</f>
        <v>4552.1499999999996</v>
      </c>
      <c r="Q383" s="24">
        <f>L383</f>
        <v>17.558614000000002</v>
      </c>
      <c r="W383">
        <f>IF(Source!BI139&lt;=1,H377+H378+H379, 0)</f>
        <v>407.52</v>
      </c>
      <c r="X383">
        <f>IF(Source!BI139=2,H377+H378+H379, 0)</f>
        <v>0</v>
      </c>
      <c r="Y383">
        <f>IF(Source!BI139=3,H377+H378+H379, 0)</f>
        <v>0</v>
      </c>
      <c r="Z383">
        <f>IF(Source!BI139=4,H377+H378+H379, 0)</f>
        <v>0</v>
      </c>
    </row>
    <row r="384" spans="1:26" ht="57" x14ac:dyDescent="0.2">
      <c r="A384" s="44" t="str">
        <f>Source!E142</f>
        <v>36</v>
      </c>
      <c r="B384" s="45" t="str">
        <f>Source!F142</f>
        <v>15-02-041-02 прим.</v>
      </c>
      <c r="C384" s="45" t="str">
        <f>Source!G142</f>
        <v>Устройство металлического каркаса из направляющих профилей под облицовку различными материалами перегородок (канализационные стояки)</v>
      </c>
      <c r="D384" s="28" t="str">
        <f>Source!H142</f>
        <v>100 м2</v>
      </c>
      <c r="E384" s="11">
        <f>Source!I142</f>
        <v>5.6000000000000001E-2</v>
      </c>
      <c r="F384" s="29">
        <f>Source!AL142+Source!AM142+Source!AO142</f>
        <v>3359.9199999999996</v>
      </c>
      <c r="G384" s="30"/>
      <c r="H384" s="29"/>
      <c r="I384" s="30" t="str">
        <f>Source!BO142</f>
        <v/>
      </c>
      <c r="J384" s="30"/>
      <c r="K384" s="29"/>
      <c r="L384" s="31"/>
      <c r="S384">
        <f>ROUND((Source!FX142/100)*((ROUND(Source!AF142*Source!I142, 2)+ROUND(Source!AE142*Source!I142, 2))), 2)</f>
        <v>29.77</v>
      </c>
      <c r="T384">
        <f>Source!X142</f>
        <v>196.35</v>
      </c>
      <c r="U384">
        <f>ROUND((Source!FY142/100)*((ROUND(Source!AF142*Source!I142, 2)+ROUND(Source!AE142*Source!I142, 2))), 2)</f>
        <v>14.73</v>
      </c>
      <c r="V384">
        <f>Source!Y142</f>
        <v>97.14</v>
      </c>
    </row>
    <row r="385" spans="1:26" x14ac:dyDescent="0.2">
      <c r="C385" s="23" t="str">
        <f>"Объем: "&amp;Source!I142&amp;"=5,6/"&amp;"100"</f>
        <v>Объем: 0,056=5,6/100</v>
      </c>
    </row>
    <row r="386" spans="1:26" ht="14.25" x14ac:dyDescent="0.2">
      <c r="A386" s="44"/>
      <c r="B386" s="45"/>
      <c r="C386" s="45" t="s">
        <v>1930</v>
      </c>
      <c r="D386" s="28"/>
      <c r="E386" s="11"/>
      <c r="F386" s="29">
        <f>Source!AO142</f>
        <v>488.43</v>
      </c>
      <c r="G386" s="30" t="str">
        <f>Source!DG142</f>
        <v>)*1,15</v>
      </c>
      <c r="H386" s="29">
        <f>ROUND(Source!AF142*Source!I142, 2)</f>
        <v>31.45</v>
      </c>
      <c r="I386" s="30"/>
      <c r="J386" s="30">
        <f>IF(Source!BA142&lt;&gt; 0, Source!BA142, 1)</f>
        <v>6.56</v>
      </c>
      <c r="K386" s="29">
        <f>Source!S142</f>
        <v>206.34</v>
      </c>
      <c r="L386" s="31"/>
      <c r="R386">
        <f>H386</f>
        <v>31.45</v>
      </c>
    </row>
    <row r="387" spans="1:26" ht="14.25" x14ac:dyDescent="0.2">
      <c r="A387" s="44"/>
      <c r="B387" s="45"/>
      <c r="C387" s="45" t="s">
        <v>151</v>
      </c>
      <c r="D387" s="28"/>
      <c r="E387" s="11"/>
      <c r="F387" s="29">
        <f>Source!AM142</f>
        <v>1.89</v>
      </c>
      <c r="G387" s="30" t="str">
        <f>Source!DE142</f>
        <v>)*1,25</v>
      </c>
      <c r="H387" s="29">
        <f>ROUND(Source!AD142*Source!I142, 2)</f>
        <v>0.13</v>
      </c>
      <c r="I387" s="30"/>
      <c r="J387" s="30">
        <f>IF(Source!BB142&lt;&gt; 0, Source!BB142, 1)</f>
        <v>6.56</v>
      </c>
      <c r="K387" s="29">
        <f>Source!Q142</f>
        <v>0.87</v>
      </c>
      <c r="L387" s="31"/>
    </row>
    <row r="388" spans="1:26" ht="14.25" x14ac:dyDescent="0.2">
      <c r="A388" s="44"/>
      <c r="B388" s="45"/>
      <c r="C388" s="45" t="s">
        <v>1931</v>
      </c>
      <c r="D388" s="28"/>
      <c r="E388" s="11"/>
      <c r="F388" s="29">
        <f>Source!AN142</f>
        <v>0.74</v>
      </c>
      <c r="G388" s="30" t="str">
        <f>Source!DF142</f>
        <v>)*1,25</v>
      </c>
      <c r="H388" s="32">
        <f>ROUND(Source!AE142*Source!I142, 2)</f>
        <v>0.05</v>
      </c>
      <c r="I388" s="30"/>
      <c r="J388" s="30">
        <f>IF(Source!BS142&lt;&gt; 0, Source!BS142, 1)</f>
        <v>6.56</v>
      </c>
      <c r="K388" s="32">
        <f>Source!R142</f>
        <v>0.34</v>
      </c>
      <c r="L388" s="31"/>
      <c r="R388">
        <f>H388</f>
        <v>0.05</v>
      </c>
    </row>
    <row r="389" spans="1:26" ht="14.25" x14ac:dyDescent="0.2">
      <c r="A389" s="44"/>
      <c r="B389" s="45"/>
      <c r="C389" s="45" t="s">
        <v>1937</v>
      </c>
      <c r="D389" s="28"/>
      <c r="E389" s="11"/>
      <c r="F389" s="29">
        <f>Source!AL142</f>
        <v>2869.6</v>
      </c>
      <c r="G389" s="30" t="str">
        <f>Source!DD142</f>
        <v/>
      </c>
      <c r="H389" s="29">
        <f>ROUND(Source!AC142*Source!I142, 2)</f>
        <v>160.69999999999999</v>
      </c>
      <c r="I389" s="30"/>
      <c r="J389" s="30">
        <f>IF(Source!BC142&lt;&gt; 0, Source!BC142, 1)</f>
        <v>6.56</v>
      </c>
      <c r="K389" s="29">
        <f>Source!P142</f>
        <v>1054.18</v>
      </c>
      <c r="L389" s="31"/>
    </row>
    <row r="390" spans="1:26" ht="14.25" x14ac:dyDescent="0.2">
      <c r="A390" s="44"/>
      <c r="B390" s="45"/>
      <c r="C390" s="45" t="s">
        <v>1932</v>
      </c>
      <c r="D390" s="28" t="s">
        <v>1933</v>
      </c>
      <c r="E390" s="11">
        <f>Source!BZ142</f>
        <v>105</v>
      </c>
      <c r="F390" s="64" t="str">
        <f>CONCATENATE(" )", Source!DL142, Source!FT142, "=", Source!FX142)</f>
        <v xml:space="preserve"> )*0,9=94,5</v>
      </c>
      <c r="G390" s="65"/>
      <c r="H390" s="29">
        <f>SUM(S384:S392)</f>
        <v>29.77</v>
      </c>
      <c r="I390" s="33"/>
      <c r="J390" s="26">
        <f>Source!AT142</f>
        <v>95</v>
      </c>
      <c r="K390" s="29">
        <f>SUM(T384:T392)</f>
        <v>196.35</v>
      </c>
      <c r="L390" s="31"/>
    </row>
    <row r="391" spans="1:26" ht="14.25" x14ac:dyDescent="0.2">
      <c r="A391" s="44"/>
      <c r="B391" s="45"/>
      <c r="C391" s="45" t="s">
        <v>1934</v>
      </c>
      <c r="D391" s="28" t="s">
        <v>1933</v>
      </c>
      <c r="E391" s="11">
        <f>Source!CA142</f>
        <v>55</v>
      </c>
      <c r="F391" s="64" t="str">
        <f>CONCATENATE(" )", Source!DM142, Source!FU142, "=", Source!FY142)</f>
        <v xml:space="preserve"> )*0,85=46,75</v>
      </c>
      <c r="G391" s="65"/>
      <c r="H391" s="29">
        <f>SUM(U384:U392)</f>
        <v>14.73</v>
      </c>
      <c r="I391" s="33"/>
      <c r="J391" s="26">
        <f>Source!AU142</f>
        <v>47</v>
      </c>
      <c r="K391" s="29">
        <f>SUM(V384:V392)</f>
        <v>97.14</v>
      </c>
      <c r="L391" s="31"/>
    </row>
    <row r="392" spans="1:26" ht="14.25" x14ac:dyDescent="0.2">
      <c r="A392" s="46"/>
      <c r="B392" s="47"/>
      <c r="C392" s="47" t="s">
        <v>1935</v>
      </c>
      <c r="D392" s="34" t="s">
        <v>1936</v>
      </c>
      <c r="E392" s="35">
        <f>Source!AQ142</f>
        <v>57.26</v>
      </c>
      <c r="F392" s="36"/>
      <c r="G392" s="37" t="str">
        <f>Source!DI142</f>
        <v>)*1,15</v>
      </c>
      <c r="H392" s="36"/>
      <c r="I392" s="37"/>
      <c r="J392" s="37"/>
      <c r="K392" s="36"/>
      <c r="L392" s="38">
        <f>Source!U142</f>
        <v>3.6875439999999995</v>
      </c>
    </row>
    <row r="393" spans="1:26" ht="15" x14ac:dyDescent="0.25">
      <c r="G393" s="63">
        <f>H386+H387+H389+H390+H391</f>
        <v>236.77999999999997</v>
      </c>
      <c r="H393" s="63"/>
      <c r="J393" s="63">
        <f>K386+K387+K389+K390+K391</f>
        <v>1554.88</v>
      </c>
      <c r="K393" s="63"/>
      <c r="L393" s="39">
        <f>Source!U142</f>
        <v>3.6875439999999995</v>
      </c>
      <c r="O393" s="24">
        <f>G393</f>
        <v>236.77999999999997</v>
      </c>
      <c r="P393" s="24">
        <f>J393</f>
        <v>1554.88</v>
      </c>
      <c r="Q393" s="24">
        <f>L393</f>
        <v>3.6875439999999995</v>
      </c>
      <c r="W393">
        <f>IF(Source!BI142&lt;=1,H386+H387+H389+H390+H391, 0)</f>
        <v>236.77999999999997</v>
      </c>
      <c r="X393">
        <f>IF(Source!BI142=2,H386+H387+H389+H390+H391, 0)</f>
        <v>0</v>
      </c>
      <c r="Y393">
        <f>IF(Source!BI142=3,H386+H387+H389+H390+H391, 0)</f>
        <v>0</v>
      </c>
      <c r="Z393">
        <f>IF(Source!BI142=4,H386+H387+H389+H390+H391, 0)</f>
        <v>0</v>
      </c>
    </row>
    <row r="394" spans="1:26" ht="42.75" x14ac:dyDescent="0.2">
      <c r="A394" s="44" t="str">
        <f>Source!E143</f>
        <v>37</v>
      </c>
      <c r="B394" s="45" t="str">
        <f>Source!F143</f>
        <v>10-01-012-02 прим.</v>
      </c>
      <c r="C394" s="45" t="str">
        <f>Source!G143</f>
        <v>Обшивка каркасных стен плитами древесноволокнистыми твердыми 5 мм (канализационные стояки)</v>
      </c>
      <c r="D394" s="28" t="str">
        <f>Source!H143</f>
        <v>100 м2</v>
      </c>
      <c r="E394" s="11">
        <f>Source!I143</f>
        <v>5.6000000000000001E-2</v>
      </c>
      <c r="F394" s="29">
        <f>Source!AL143+Source!AM143+Source!AO143</f>
        <v>1446.32</v>
      </c>
      <c r="G394" s="30"/>
      <c r="H394" s="29"/>
      <c r="I394" s="30" t="str">
        <f>Source!BO143</f>
        <v/>
      </c>
      <c r="J394" s="30"/>
      <c r="K394" s="29"/>
      <c r="L394" s="31"/>
      <c r="S394">
        <f>ROUND((Source!FX143/100)*((ROUND(Source!AF143*Source!I143, 2)+ROUND(Source!AE143*Source!I143, 2))), 2)</f>
        <v>10.76</v>
      </c>
      <c r="T394">
        <f>Source!X143</f>
        <v>70.459999999999994</v>
      </c>
      <c r="U394">
        <f>ROUND((Source!FY143/100)*((ROUND(Source!AF143*Source!I143, 2)+ROUND(Source!AE143*Source!I143, 2))), 2)</f>
        <v>5.42</v>
      </c>
      <c r="V394">
        <f>Source!Y143</f>
        <v>35.89</v>
      </c>
    </row>
    <row r="395" spans="1:26" x14ac:dyDescent="0.2">
      <c r="C395" s="23" t="str">
        <f>"Объем: "&amp;Source!I143&amp;"=5,6/"&amp;"100"</f>
        <v>Объем: 0,056=5,6/100</v>
      </c>
    </row>
    <row r="396" spans="1:26" ht="14.25" x14ac:dyDescent="0.2">
      <c r="A396" s="44"/>
      <c r="B396" s="45"/>
      <c r="C396" s="45" t="s">
        <v>1930</v>
      </c>
      <c r="D396" s="28"/>
      <c r="E396" s="11"/>
      <c r="F396" s="29">
        <f>Source!AO143</f>
        <v>150.79</v>
      </c>
      <c r="G396" s="30" t="str">
        <f>Source!DG143</f>
        <v>)*1,15</v>
      </c>
      <c r="H396" s="29">
        <f>ROUND(Source!AF143*Source!I143, 2)</f>
        <v>9.7100000000000009</v>
      </c>
      <c r="I396" s="30"/>
      <c r="J396" s="30">
        <f>IF(Source!BA143&lt;&gt; 0, Source!BA143, 1)</f>
        <v>6.56</v>
      </c>
      <c r="K396" s="29">
        <f>Source!S143</f>
        <v>63.7</v>
      </c>
      <c r="L396" s="31"/>
      <c r="R396">
        <f>H396</f>
        <v>9.7100000000000009</v>
      </c>
    </row>
    <row r="397" spans="1:26" ht="14.25" x14ac:dyDescent="0.2">
      <c r="A397" s="44"/>
      <c r="B397" s="45"/>
      <c r="C397" s="45" t="s">
        <v>151</v>
      </c>
      <c r="D397" s="28"/>
      <c r="E397" s="11"/>
      <c r="F397" s="29">
        <f>Source!AM143</f>
        <v>34.17</v>
      </c>
      <c r="G397" s="30" t="str">
        <f>Source!DE143</f>
        <v>)*1,25</v>
      </c>
      <c r="H397" s="29">
        <f>ROUND(Source!AD143*Source!I143, 2)</f>
        <v>2.39</v>
      </c>
      <c r="I397" s="30"/>
      <c r="J397" s="30">
        <f>IF(Source!BB143&lt;&gt; 0, Source!BB143, 1)</f>
        <v>6.56</v>
      </c>
      <c r="K397" s="29">
        <f>Source!Q143</f>
        <v>15.69</v>
      </c>
      <c r="L397" s="31"/>
    </row>
    <row r="398" spans="1:26" ht="14.25" x14ac:dyDescent="0.2">
      <c r="A398" s="44"/>
      <c r="B398" s="45"/>
      <c r="C398" s="45" t="s">
        <v>1931</v>
      </c>
      <c r="D398" s="28"/>
      <c r="E398" s="11"/>
      <c r="F398" s="29">
        <f>Source!AN143</f>
        <v>6.03</v>
      </c>
      <c r="G398" s="30" t="str">
        <f>Source!DF143</f>
        <v>)*1,25</v>
      </c>
      <c r="H398" s="32">
        <f>ROUND(Source!AE143*Source!I143, 2)</f>
        <v>0.42</v>
      </c>
      <c r="I398" s="30"/>
      <c r="J398" s="30">
        <f>IF(Source!BS143&lt;&gt; 0, Source!BS143, 1)</f>
        <v>6.56</v>
      </c>
      <c r="K398" s="32">
        <f>Source!R143</f>
        <v>2.77</v>
      </c>
      <c r="L398" s="31"/>
      <c r="R398">
        <f>H398</f>
        <v>0.42</v>
      </c>
    </row>
    <row r="399" spans="1:26" ht="14.25" x14ac:dyDescent="0.2">
      <c r="A399" s="44"/>
      <c r="B399" s="45"/>
      <c r="C399" s="45" t="s">
        <v>1937</v>
      </c>
      <c r="D399" s="28"/>
      <c r="E399" s="11"/>
      <c r="F399" s="29">
        <f>Source!AL143</f>
        <v>1261.3599999999999</v>
      </c>
      <c r="G399" s="30" t="str">
        <f>Source!DD143</f>
        <v/>
      </c>
      <c r="H399" s="29">
        <f>ROUND(Source!AC143*Source!I143, 2)</f>
        <v>70.64</v>
      </c>
      <c r="I399" s="30"/>
      <c r="J399" s="30">
        <f>IF(Source!BC143&lt;&gt; 0, Source!BC143, 1)</f>
        <v>6.56</v>
      </c>
      <c r="K399" s="29">
        <f>Source!P143</f>
        <v>463.37</v>
      </c>
      <c r="L399" s="31"/>
    </row>
    <row r="400" spans="1:26" ht="14.25" x14ac:dyDescent="0.2">
      <c r="A400" s="44"/>
      <c r="B400" s="45"/>
      <c r="C400" s="45" t="s">
        <v>1932</v>
      </c>
      <c r="D400" s="28" t="s">
        <v>1933</v>
      </c>
      <c r="E400" s="11">
        <f>Source!BZ143</f>
        <v>118</v>
      </c>
      <c r="F400" s="64" t="str">
        <f>CONCATENATE(" )", Source!DL143, Source!FT143, "=", Source!FX143)</f>
        <v xml:space="preserve"> )*0,9=106,2</v>
      </c>
      <c r="G400" s="65"/>
      <c r="H400" s="29">
        <f>SUM(S394:S404)</f>
        <v>10.76</v>
      </c>
      <c r="I400" s="33"/>
      <c r="J400" s="26">
        <f>Source!AT143</f>
        <v>106</v>
      </c>
      <c r="K400" s="29">
        <f>SUM(T394:T404)</f>
        <v>70.459999999999994</v>
      </c>
      <c r="L400" s="31"/>
    </row>
    <row r="401" spans="1:26" ht="14.25" x14ac:dyDescent="0.2">
      <c r="A401" s="44"/>
      <c r="B401" s="45"/>
      <c r="C401" s="45" t="s">
        <v>1934</v>
      </c>
      <c r="D401" s="28" t="s">
        <v>1933</v>
      </c>
      <c r="E401" s="11">
        <f>Source!CA143</f>
        <v>63</v>
      </c>
      <c r="F401" s="64" t="str">
        <f>CONCATENATE(" )", Source!DM143, Source!FU143, "=", Source!FY143)</f>
        <v xml:space="preserve"> )*0,85=53,55</v>
      </c>
      <c r="G401" s="65"/>
      <c r="H401" s="29">
        <f>SUM(U394:U404)</f>
        <v>5.42</v>
      </c>
      <c r="I401" s="33"/>
      <c r="J401" s="26">
        <f>Source!AU143</f>
        <v>54</v>
      </c>
      <c r="K401" s="29">
        <f>SUM(V394:V404)</f>
        <v>35.89</v>
      </c>
      <c r="L401" s="31"/>
    </row>
    <row r="402" spans="1:26" ht="14.25" x14ac:dyDescent="0.2">
      <c r="A402" s="44"/>
      <c r="B402" s="45"/>
      <c r="C402" s="45" t="s">
        <v>1935</v>
      </c>
      <c r="D402" s="28" t="s">
        <v>1936</v>
      </c>
      <c r="E402" s="11">
        <f>Source!AQ143</f>
        <v>18.3</v>
      </c>
      <c r="F402" s="29"/>
      <c r="G402" s="30" t="str">
        <f>Source!DI143</f>
        <v>)*1,15</v>
      </c>
      <c r="H402" s="29"/>
      <c r="I402" s="30"/>
      <c r="J402" s="30"/>
      <c r="K402" s="29"/>
      <c r="L402" s="40">
        <f>Source!U143</f>
        <v>1.17852</v>
      </c>
    </row>
    <row r="403" spans="1:26" ht="28.5" x14ac:dyDescent="0.2">
      <c r="A403" s="44" t="str">
        <f>Source!E144</f>
        <v>37,1</v>
      </c>
      <c r="B403" s="45" t="str">
        <f>Source!F144</f>
        <v>01.6.01.02-0008</v>
      </c>
      <c r="C403" s="45" t="str">
        <f>Source!G144</f>
        <v>Листы гипсокартонные ГКЛВ 12,5 мм</v>
      </c>
      <c r="D403" s="28" t="str">
        <f>Source!H144</f>
        <v>м2</v>
      </c>
      <c r="E403" s="11">
        <f>Source!I144</f>
        <v>5.74</v>
      </c>
      <c r="F403" s="29">
        <f>Source!AL144+Source!AM144+Source!AO144</f>
        <v>20.47</v>
      </c>
      <c r="G403" s="41" t="s">
        <v>6</v>
      </c>
      <c r="H403" s="29">
        <f>ROUND(Source!AC144*Source!I144, 2)+ROUND(Source!AD144*Source!I144, 2)+ROUND(Source!AF144*Source!I144, 2)</f>
        <v>117.5</v>
      </c>
      <c r="I403" s="30"/>
      <c r="J403" s="30">
        <f>IF(Source!BC144&lt;&gt; 0, Source!BC144, 1)</f>
        <v>6.56</v>
      </c>
      <c r="K403" s="29">
        <f>Source!O144</f>
        <v>770.79</v>
      </c>
      <c r="L403" s="31"/>
      <c r="S403">
        <f>ROUND((Source!FX144/100)*((ROUND(Source!AF144*Source!I144, 2)+ROUND(Source!AE144*Source!I144, 2))), 2)</f>
        <v>0</v>
      </c>
      <c r="T403">
        <f>Source!X144</f>
        <v>0</v>
      </c>
      <c r="U403">
        <f>ROUND((Source!FY144/100)*((ROUND(Source!AF144*Source!I144, 2)+ROUND(Source!AE144*Source!I144, 2))), 2)</f>
        <v>0</v>
      </c>
      <c r="V403">
        <f>Source!Y144</f>
        <v>0</v>
      </c>
      <c r="W403">
        <f>IF(Source!BI144&lt;=1,H403, 0)</f>
        <v>117.5</v>
      </c>
      <c r="X403">
        <f>IF(Source!BI144=2,H403, 0)</f>
        <v>0</v>
      </c>
      <c r="Y403">
        <f>IF(Source!BI144=3,H403, 0)</f>
        <v>0</v>
      </c>
      <c r="Z403">
        <f>IF(Source!BI144=4,H403, 0)</f>
        <v>0</v>
      </c>
    </row>
    <row r="404" spans="1:26" ht="42.75" x14ac:dyDescent="0.2">
      <c r="A404" s="46" t="str">
        <f>Source!E145</f>
        <v>37,2</v>
      </c>
      <c r="B404" s="47" t="str">
        <f>Source!F145</f>
        <v>11.2.08.02-0010</v>
      </c>
      <c r="C404" s="47" t="str">
        <f>Source!G145</f>
        <v>Плиты древесноволокнистые сухого способа производства группы А, твердые марки ТС-400 толщиной 5 мм</v>
      </c>
      <c r="D404" s="34" t="str">
        <f>Source!H145</f>
        <v>1000 м2</v>
      </c>
      <c r="E404" s="35">
        <f>Source!I145</f>
        <v>-5.7400000000000003E-3</v>
      </c>
      <c r="F404" s="36">
        <f>Source!AL145+Source!AM145+Source!AO145</f>
        <v>12000</v>
      </c>
      <c r="G404" s="42" t="s">
        <v>6</v>
      </c>
      <c r="H404" s="36">
        <f>ROUND(Source!AC145*Source!I145, 2)+ROUND(Source!AD145*Source!I145, 2)+ROUND(Source!AF145*Source!I145, 2)</f>
        <v>-68.88</v>
      </c>
      <c r="I404" s="37"/>
      <c r="J404" s="37">
        <f>IF(Source!BC145&lt;&gt; 0, Source!BC145, 1)</f>
        <v>6.56</v>
      </c>
      <c r="K404" s="36">
        <f>Source!O145</f>
        <v>-451.85</v>
      </c>
      <c r="L404" s="43"/>
      <c r="S404">
        <f>ROUND((Source!FX145/100)*((ROUND(Source!AF145*Source!I145, 2)+ROUND(Source!AE145*Source!I145, 2))), 2)</f>
        <v>0</v>
      </c>
      <c r="T404">
        <f>Source!X145</f>
        <v>0</v>
      </c>
      <c r="U404">
        <f>ROUND((Source!FY145/100)*((ROUND(Source!AF145*Source!I145, 2)+ROUND(Source!AE145*Source!I145, 2))), 2)</f>
        <v>0</v>
      </c>
      <c r="V404">
        <f>Source!Y145</f>
        <v>0</v>
      </c>
      <c r="W404">
        <f>IF(Source!BI145&lt;=1,H404, 0)</f>
        <v>-68.88</v>
      </c>
      <c r="X404">
        <f>IF(Source!BI145=2,H404, 0)</f>
        <v>0</v>
      </c>
      <c r="Y404">
        <f>IF(Source!BI145=3,H404, 0)</f>
        <v>0</v>
      </c>
      <c r="Z404">
        <f>IF(Source!BI145=4,H404, 0)</f>
        <v>0</v>
      </c>
    </row>
    <row r="405" spans="1:26" ht="15" x14ac:dyDescent="0.25">
      <c r="G405" s="63">
        <f>H396+H397+H399+H400+H401+SUM(H403:H404)</f>
        <v>147.54000000000002</v>
      </c>
      <c r="H405" s="63"/>
      <c r="J405" s="63">
        <f>K396+K397+K399+K400+K401+SUM(K403:K404)</f>
        <v>968.05</v>
      </c>
      <c r="K405" s="63"/>
      <c r="L405" s="39">
        <f>Source!U143</f>
        <v>1.17852</v>
      </c>
      <c r="O405" s="24">
        <f>G405</f>
        <v>147.54000000000002</v>
      </c>
      <c r="P405" s="24">
        <f>J405</f>
        <v>968.05</v>
      </c>
      <c r="Q405" s="24">
        <f>L405</f>
        <v>1.17852</v>
      </c>
      <c r="W405">
        <f>IF(Source!BI143&lt;=1,H396+H397+H399+H400+H401, 0)</f>
        <v>98.920000000000016</v>
      </c>
      <c r="X405">
        <f>IF(Source!BI143=2,H396+H397+H399+H400+H401, 0)</f>
        <v>0</v>
      </c>
      <c r="Y405">
        <f>IF(Source!BI143=3,H396+H397+H399+H400+H401, 0)</f>
        <v>0</v>
      </c>
      <c r="Z405">
        <f>IF(Source!BI143=4,H396+H397+H399+H400+H401, 0)</f>
        <v>0</v>
      </c>
    </row>
    <row r="406" spans="1:26" ht="85.5" x14ac:dyDescent="0.2">
      <c r="A406" s="44" t="str">
        <f>Source!E146</f>
        <v>38</v>
      </c>
      <c r="B406" s="45" t="str">
        <f>Source!F146</f>
        <v>15-01-019-05</v>
      </c>
      <c r="C406" s="45" t="str">
        <f>Source!G146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406" s="28" t="str">
        <f>Source!H146</f>
        <v>100 м2</v>
      </c>
      <c r="E406" s="11">
        <f>Source!I146</f>
        <v>1.19</v>
      </c>
      <c r="F406" s="29">
        <f>Source!AL146+Source!AM146+Source!AO146</f>
        <v>1500.7</v>
      </c>
      <c r="G406" s="30"/>
      <c r="H406" s="29"/>
      <c r="I406" s="30" t="str">
        <f>Source!BO146</f>
        <v/>
      </c>
      <c r="J406" s="30"/>
      <c r="K406" s="29"/>
      <c r="L406" s="31"/>
      <c r="S406">
        <f>ROUND((Source!FX146/100)*((ROUND(Source!AF146*Source!I146, 2)+ROUND(Source!AE146*Source!I146, 2))), 2)</f>
        <v>1920.22</v>
      </c>
      <c r="T406">
        <f>Source!X146</f>
        <v>12663.33</v>
      </c>
      <c r="U406">
        <f>ROUND((Source!FY146/100)*((ROUND(Source!AF146*Source!I146, 2)+ROUND(Source!AE146*Source!I146, 2))), 2)</f>
        <v>949.95</v>
      </c>
      <c r="V406">
        <f>Source!Y146</f>
        <v>6265.02</v>
      </c>
    </row>
    <row r="407" spans="1:26" x14ac:dyDescent="0.2">
      <c r="C407" s="23" t="str">
        <f>"Объем: "&amp;Source!I146&amp;"=119/"&amp;"100"</f>
        <v>Объем: 1,19=119/100</v>
      </c>
    </row>
    <row r="408" spans="1:26" ht="14.25" x14ac:dyDescent="0.2">
      <c r="A408" s="44"/>
      <c r="B408" s="45"/>
      <c r="C408" s="45" t="s">
        <v>1930</v>
      </c>
      <c r="D408" s="28"/>
      <c r="E408" s="11"/>
      <c r="F408" s="29">
        <f>Source!AO146</f>
        <v>1465.77</v>
      </c>
      <c r="G408" s="30" t="str">
        <f>Source!DG146</f>
        <v>)*1,15</v>
      </c>
      <c r="H408" s="29">
        <f>ROUND(Source!AF146*Source!I146, 2)</f>
        <v>2005.91</v>
      </c>
      <c r="I408" s="30"/>
      <c r="J408" s="30">
        <f>IF(Source!BA146&lt;&gt; 0, Source!BA146, 1)</f>
        <v>6.56</v>
      </c>
      <c r="K408" s="29">
        <f>Source!S146</f>
        <v>13158.78</v>
      </c>
      <c r="L408" s="31"/>
      <c r="R408">
        <f>H408</f>
        <v>2005.91</v>
      </c>
    </row>
    <row r="409" spans="1:26" ht="14.25" x14ac:dyDescent="0.2">
      <c r="A409" s="44"/>
      <c r="B409" s="45"/>
      <c r="C409" s="45" t="s">
        <v>151</v>
      </c>
      <c r="D409" s="28"/>
      <c r="E409" s="11"/>
      <c r="F409" s="29">
        <f>Source!AM146</f>
        <v>31.75</v>
      </c>
      <c r="G409" s="30" t="str">
        <f>Source!DE146</f>
        <v>)*1,25</v>
      </c>
      <c r="H409" s="29">
        <f>ROUND(Source!AD146*Source!I146, 2)</f>
        <v>47.23</v>
      </c>
      <c r="I409" s="30"/>
      <c r="J409" s="30">
        <f>IF(Source!BB146&lt;&gt; 0, Source!BB146, 1)</f>
        <v>6.56</v>
      </c>
      <c r="K409" s="29">
        <f>Source!Q146</f>
        <v>309.83999999999997</v>
      </c>
      <c r="L409" s="31"/>
    </row>
    <row r="410" spans="1:26" ht="14.25" x14ac:dyDescent="0.2">
      <c r="A410" s="44"/>
      <c r="B410" s="45"/>
      <c r="C410" s="45" t="s">
        <v>1931</v>
      </c>
      <c r="D410" s="28"/>
      <c r="E410" s="11"/>
      <c r="F410" s="29">
        <f>Source!AN146</f>
        <v>17.53</v>
      </c>
      <c r="G410" s="30" t="str">
        <f>Source!DF146</f>
        <v>)*1,25</v>
      </c>
      <c r="H410" s="32">
        <f>ROUND(Source!AE146*Source!I146, 2)</f>
        <v>26.07</v>
      </c>
      <c r="I410" s="30"/>
      <c r="J410" s="30">
        <f>IF(Source!BS146&lt;&gt; 0, Source!BS146, 1)</f>
        <v>6.56</v>
      </c>
      <c r="K410" s="32">
        <f>Source!R146</f>
        <v>171.04</v>
      </c>
      <c r="L410" s="31"/>
      <c r="R410">
        <f>H410</f>
        <v>26.07</v>
      </c>
    </row>
    <row r="411" spans="1:26" ht="14.25" x14ac:dyDescent="0.2">
      <c r="A411" s="44"/>
      <c r="B411" s="45"/>
      <c r="C411" s="45" t="s">
        <v>1937</v>
      </c>
      <c r="D411" s="28"/>
      <c r="E411" s="11"/>
      <c r="F411" s="29">
        <f>Source!AL146</f>
        <v>3.18</v>
      </c>
      <c r="G411" s="30" t="str">
        <f>Source!DD146</f>
        <v/>
      </c>
      <c r="H411" s="29">
        <f>ROUND(Source!AC146*Source!I146, 2)</f>
        <v>3.78</v>
      </c>
      <c r="I411" s="30"/>
      <c r="J411" s="30">
        <f>IF(Source!BC146&lt;&gt; 0, Source!BC146, 1)</f>
        <v>6.56</v>
      </c>
      <c r="K411" s="29">
        <f>Source!P146</f>
        <v>24.82</v>
      </c>
      <c r="L411" s="31"/>
    </row>
    <row r="412" spans="1:26" ht="14.25" x14ac:dyDescent="0.2">
      <c r="A412" s="44"/>
      <c r="B412" s="45"/>
      <c r="C412" s="45" t="s">
        <v>1932</v>
      </c>
      <c r="D412" s="28" t="s">
        <v>1933</v>
      </c>
      <c r="E412" s="11">
        <f>Source!BZ146</f>
        <v>105</v>
      </c>
      <c r="F412" s="64" t="str">
        <f>CONCATENATE(" )", Source!DL146, Source!FT146, "=", Source!FX146)</f>
        <v xml:space="preserve"> )*0,9=94,5</v>
      </c>
      <c r="G412" s="65"/>
      <c r="H412" s="29">
        <f>SUM(S406:S420)</f>
        <v>1920.22</v>
      </c>
      <c r="I412" s="33"/>
      <c r="J412" s="26">
        <f>Source!AT146</f>
        <v>95</v>
      </c>
      <c r="K412" s="29">
        <f>SUM(T406:T420)</f>
        <v>12663.33</v>
      </c>
      <c r="L412" s="31"/>
    </row>
    <row r="413" spans="1:26" ht="14.25" x14ac:dyDescent="0.2">
      <c r="A413" s="44"/>
      <c r="B413" s="45"/>
      <c r="C413" s="45" t="s">
        <v>1934</v>
      </c>
      <c r="D413" s="28" t="s">
        <v>1933</v>
      </c>
      <c r="E413" s="11">
        <f>Source!CA146</f>
        <v>55</v>
      </c>
      <c r="F413" s="64" t="str">
        <f>CONCATENATE(" )", Source!DM146, Source!FU146, "=", Source!FY146)</f>
        <v xml:space="preserve"> )*0,85=46,75</v>
      </c>
      <c r="G413" s="65"/>
      <c r="H413" s="29">
        <f>SUM(U406:U420)</f>
        <v>949.95</v>
      </c>
      <c r="I413" s="33"/>
      <c r="J413" s="26">
        <f>Source!AU146</f>
        <v>47</v>
      </c>
      <c r="K413" s="29">
        <f>SUM(V406:V420)</f>
        <v>6265.02</v>
      </c>
      <c r="L413" s="31"/>
    </row>
    <row r="414" spans="1:26" ht="14.25" x14ac:dyDescent="0.2">
      <c r="A414" s="44"/>
      <c r="B414" s="45"/>
      <c r="C414" s="45" t="s">
        <v>1935</v>
      </c>
      <c r="D414" s="28" t="s">
        <v>1936</v>
      </c>
      <c r="E414" s="11">
        <f>Source!AQ146</f>
        <v>159.66999999999999</v>
      </c>
      <c r="F414" s="29"/>
      <c r="G414" s="30" t="str">
        <f>Source!DI146</f>
        <v>)*1,15</v>
      </c>
      <c r="H414" s="29"/>
      <c r="I414" s="30"/>
      <c r="J414" s="30"/>
      <c r="K414" s="29"/>
      <c r="L414" s="40">
        <f>Source!U146</f>
        <v>218.50839499999995</v>
      </c>
    </row>
    <row r="415" spans="1:26" ht="14.25" x14ac:dyDescent="0.2">
      <c r="A415" s="44" t="str">
        <f>Source!E147</f>
        <v>38,1</v>
      </c>
      <c r="B415" s="45" t="str">
        <f>Source!F147</f>
        <v>04.3.02.09</v>
      </c>
      <c r="C415" s="45" t="str">
        <f>Source!G147</f>
        <v>Смесь сухая для заделки швов</v>
      </c>
      <c r="D415" s="28" t="str">
        <f>Source!H147</f>
        <v>т</v>
      </c>
      <c r="E415" s="11">
        <f>Source!I147</f>
        <v>5.9499999999999997E-2</v>
      </c>
      <c r="F415" s="29">
        <f>Source!AL147+Source!AM147+Source!AO147</f>
        <v>0</v>
      </c>
      <c r="G415" s="41" t="s">
        <v>6</v>
      </c>
      <c r="H415" s="29">
        <f>ROUND(Source!AC147*Source!I147, 2)+ROUND(Source!AD147*Source!I147, 2)+ROUND(Source!AF147*Source!I147, 2)</f>
        <v>0</v>
      </c>
      <c r="I415" s="30"/>
      <c r="J415" s="30">
        <f>IF(Source!BC147&lt;&gt; 0, Source!BC147, 1)</f>
        <v>6.56</v>
      </c>
      <c r="K415" s="29">
        <f>Source!O147</f>
        <v>0</v>
      </c>
      <c r="L415" s="31"/>
      <c r="S415">
        <f>ROUND((Source!FX147/100)*((ROUND(Source!AF147*Source!I147, 2)+ROUND(Source!AE147*Source!I147, 2))), 2)</f>
        <v>0</v>
      </c>
      <c r="T415">
        <f>Source!X147</f>
        <v>0</v>
      </c>
      <c r="U415">
        <f>ROUND((Source!FY147/100)*((ROUND(Source!AF147*Source!I147, 2)+ROUND(Source!AE147*Source!I147, 2))), 2)</f>
        <v>0</v>
      </c>
      <c r="V415">
        <f>Source!Y147</f>
        <v>0</v>
      </c>
      <c r="W415">
        <f>IF(Source!BI147&lt;=1,H415, 0)</f>
        <v>0</v>
      </c>
      <c r="X415">
        <f>IF(Source!BI147=2,H415, 0)</f>
        <v>0</v>
      </c>
      <c r="Y415">
        <f>IF(Source!BI147=3,H415, 0)</f>
        <v>0</v>
      </c>
      <c r="Z415">
        <f>IF(Source!BI147=4,H415, 0)</f>
        <v>0</v>
      </c>
    </row>
    <row r="416" spans="1:26" ht="28.5" x14ac:dyDescent="0.2">
      <c r="A416" s="44" t="str">
        <f>Source!E148</f>
        <v>38,2</v>
      </c>
      <c r="B416" s="45" t="str">
        <f>Source!F148</f>
        <v>04.3.02.09-0741</v>
      </c>
      <c r="C416" s="45" t="str">
        <f>Source!G148</f>
        <v>Смесь сухая (фуга) АТЛАС разных цветов для заделки швов водостойкая</v>
      </c>
      <c r="D416" s="28" t="str">
        <f>Source!H148</f>
        <v>т</v>
      </c>
      <c r="E416" s="11">
        <f>Source!I148</f>
        <v>5.9499999999999997E-2</v>
      </c>
      <c r="F416" s="29">
        <f>Source!AL148+Source!AM148+Source!AO148</f>
        <v>9000</v>
      </c>
      <c r="G416" s="41" t="s">
        <v>6</v>
      </c>
      <c r="H416" s="29">
        <f>ROUND(Source!AC148*Source!I148, 2)+ROUND(Source!AD148*Source!I148, 2)+ROUND(Source!AF148*Source!I148, 2)</f>
        <v>535.5</v>
      </c>
      <c r="I416" s="30"/>
      <c r="J416" s="30">
        <f>IF(Source!BC148&lt;&gt; 0, Source!BC148, 1)</f>
        <v>6.56</v>
      </c>
      <c r="K416" s="29">
        <f>Source!O148</f>
        <v>3512.88</v>
      </c>
      <c r="L416" s="31"/>
      <c r="S416">
        <f>ROUND((Source!FX148/100)*((ROUND(Source!AF148*Source!I148, 2)+ROUND(Source!AE148*Source!I148, 2))), 2)</f>
        <v>0</v>
      </c>
      <c r="T416">
        <f>Source!X148</f>
        <v>0</v>
      </c>
      <c r="U416">
        <f>ROUND((Source!FY148/100)*((ROUND(Source!AF148*Source!I148, 2)+ROUND(Source!AE148*Source!I148, 2))), 2)</f>
        <v>0</v>
      </c>
      <c r="V416">
        <f>Source!Y148</f>
        <v>0</v>
      </c>
      <c r="W416">
        <f>IF(Source!BI148&lt;=1,H416, 0)</f>
        <v>535.5</v>
      </c>
      <c r="X416">
        <f>IF(Source!BI148=2,H416, 0)</f>
        <v>0</v>
      </c>
      <c r="Y416">
        <f>IF(Source!BI148=3,H416, 0)</f>
        <v>0</v>
      </c>
      <c r="Z416">
        <f>IF(Source!BI148=4,H416, 0)</f>
        <v>0</v>
      </c>
    </row>
    <row r="417" spans="1:26" ht="57" x14ac:dyDescent="0.2">
      <c r="A417" s="44" t="str">
        <f>Source!E149</f>
        <v>38,3</v>
      </c>
      <c r="B417" s="45" t="str">
        <f>Source!F149</f>
        <v>06.2.01.02-0012</v>
      </c>
      <c r="C417" s="45" t="str">
        <f>Source!G149</f>
        <v>Плитки керамические глазурованные для внутренней облицовки стен гладкие без завала цветные (однотонные)</v>
      </c>
      <c r="D417" s="28" t="str">
        <f>Source!H149</f>
        <v>м2</v>
      </c>
      <c r="E417" s="11">
        <f>Source!I149</f>
        <v>119</v>
      </c>
      <c r="F417" s="29">
        <f>Source!AL149+Source!AM149+Source!AO149</f>
        <v>108.12</v>
      </c>
      <c r="G417" s="41" t="s">
        <v>6</v>
      </c>
      <c r="H417" s="29">
        <f>ROUND(Source!AC149*Source!I149, 2)+ROUND(Source!AD149*Source!I149, 2)+ROUND(Source!AF149*Source!I149, 2)</f>
        <v>12866.28</v>
      </c>
      <c r="I417" s="30"/>
      <c r="J417" s="30">
        <f>IF(Source!BC149&lt;&gt; 0, Source!BC149, 1)</f>
        <v>6.56</v>
      </c>
      <c r="K417" s="29">
        <f>Source!O149</f>
        <v>84402.8</v>
      </c>
      <c r="L417" s="31"/>
      <c r="S417">
        <f>ROUND((Source!FX149/100)*((ROUND(Source!AF149*Source!I149, 2)+ROUND(Source!AE149*Source!I149, 2))), 2)</f>
        <v>0</v>
      </c>
      <c r="T417">
        <f>Source!X149</f>
        <v>0</v>
      </c>
      <c r="U417">
        <f>ROUND((Source!FY149/100)*((ROUND(Source!AF149*Source!I149, 2)+ROUND(Source!AE149*Source!I149, 2))), 2)</f>
        <v>0</v>
      </c>
      <c r="V417">
        <f>Source!Y149</f>
        <v>0</v>
      </c>
      <c r="W417">
        <f>IF(Source!BI149&lt;=1,H417, 0)</f>
        <v>12866.28</v>
      </c>
      <c r="X417">
        <f>IF(Source!BI149=2,H417, 0)</f>
        <v>0</v>
      </c>
      <c r="Y417">
        <f>IF(Source!BI149=3,H417, 0)</f>
        <v>0</v>
      </c>
      <c r="Z417">
        <f>IF(Source!BI149=4,H417, 0)</f>
        <v>0</v>
      </c>
    </row>
    <row r="418" spans="1:26" ht="28.5" x14ac:dyDescent="0.2">
      <c r="A418" s="44" t="str">
        <f>Source!E150</f>
        <v>38,4</v>
      </c>
      <c r="B418" s="45" t="str">
        <f>Source!F150</f>
        <v>14.1.06.02-0006</v>
      </c>
      <c r="C418" s="45" t="str">
        <f>Source!G150</f>
        <v>Клей для плитки Ветонит "Renovation FIX" (сухая смесь)</v>
      </c>
      <c r="D418" s="28" t="str">
        <f>Source!H150</f>
        <v>т</v>
      </c>
      <c r="E418" s="11">
        <f>Source!I150</f>
        <v>0.44624999999999998</v>
      </c>
      <c r="F418" s="29">
        <f>Source!AL150+Source!AM150+Source!AO150</f>
        <v>5607.68</v>
      </c>
      <c r="G418" s="41" t="s">
        <v>6</v>
      </c>
      <c r="H418" s="29">
        <f>ROUND(Source!AC150*Source!I150, 2)+ROUND(Source!AD150*Source!I150, 2)+ROUND(Source!AF150*Source!I150, 2)</f>
        <v>2502.4299999999998</v>
      </c>
      <c r="I418" s="30"/>
      <c r="J418" s="30">
        <f>IF(Source!BC150&lt;&gt; 0, Source!BC150, 1)</f>
        <v>6.56</v>
      </c>
      <c r="K418" s="29">
        <f>Source!O150</f>
        <v>16415.919999999998</v>
      </c>
      <c r="L418" s="31"/>
      <c r="S418">
        <f>ROUND((Source!FX150/100)*((ROUND(Source!AF150*Source!I150, 2)+ROUND(Source!AE150*Source!I150, 2))), 2)</f>
        <v>0</v>
      </c>
      <c r="T418">
        <f>Source!X150</f>
        <v>0</v>
      </c>
      <c r="U418">
        <f>ROUND((Source!FY150/100)*((ROUND(Source!AF150*Source!I150, 2)+ROUND(Source!AE150*Source!I150, 2))), 2)</f>
        <v>0</v>
      </c>
      <c r="V418">
        <f>Source!Y150</f>
        <v>0</v>
      </c>
      <c r="W418">
        <f>IF(Source!BI150&lt;=1,H418, 0)</f>
        <v>2502.4299999999998</v>
      </c>
      <c r="X418">
        <f>IF(Source!BI150=2,H418, 0)</f>
        <v>0</v>
      </c>
      <c r="Y418">
        <f>IF(Source!BI150=3,H418, 0)</f>
        <v>0</v>
      </c>
      <c r="Z418">
        <f>IF(Source!BI150=4,H418, 0)</f>
        <v>0</v>
      </c>
    </row>
    <row r="419" spans="1:26" ht="14.25" x14ac:dyDescent="0.2">
      <c r="A419" s="44" t="str">
        <f>Source!E151</f>
        <v>38,5</v>
      </c>
      <c r="B419" s="45" t="str">
        <f>Source!F151</f>
        <v>06.2.05.04</v>
      </c>
      <c r="C419" s="45" t="str">
        <f>Source!G151</f>
        <v>Плитки рядовые</v>
      </c>
      <c r="D419" s="28" t="str">
        <f>Source!H151</f>
        <v>м2</v>
      </c>
      <c r="E419" s="11">
        <f>Source!I151</f>
        <v>119</v>
      </c>
      <c r="F419" s="29">
        <f>Source!AL151+Source!AM151+Source!AO151</f>
        <v>0</v>
      </c>
      <c r="G419" s="41" t="s">
        <v>6</v>
      </c>
      <c r="H419" s="29">
        <f>ROUND(Source!AC151*Source!I151, 2)+ROUND(Source!AD151*Source!I151, 2)+ROUND(Source!AF151*Source!I151, 2)</f>
        <v>0</v>
      </c>
      <c r="I419" s="30"/>
      <c r="J419" s="30">
        <f>IF(Source!BC151&lt;&gt; 0, Source!BC151, 1)</f>
        <v>6.56</v>
      </c>
      <c r="K419" s="29">
        <f>Source!O151</f>
        <v>0</v>
      </c>
      <c r="L419" s="31"/>
      <c r="S419">
        <f>ROUND((Source!FX151/100)*((ROUND(Source!AF151*Source!I151, 2)+ROUND(Source!AE151*Source!I151, 2))), 2)</f>
        <v>0</v>
      </c>
      <c r="T419">
        <f>Source!X151</f>
        <v>0</v>
      </c>
      <c r="U419">
        <f>ROUND((Source!FY151/100)*((ROUND(Source!AF151*Source!I151, 2)+ROUND(Source!AE151*Source!I151, 2))), 2)</f>
        <v>0</v>
      </c>
      <c r="V419">
        <f>Source!Y151</f>
        <v>0</v>
      </c>
      <c r="W419">
        <f>IF(Source!BI151&lt;=1,H419, 0)</f>
        <v>0</v>
      </c>
      <c r="X419">
        <f>IF(Source!BI151=2,H419, 0)</f>
        <v>0</v>
      </c>
      <c r="Y419">
        <f>IF(Source!BI151=3,H419, 0)</f>
        <v>0</v>
      </c>
      <c r="Z419">
        <f>IF(Source!BI151=4,H419, 0)</f>
        <v>0</v>
      </c>
    </row>
    <row r="420" spans="1:26" ht="28.5" x14ac:dyDescent="0.2">
      <c r="A420" s="46" t="str">
        <f>Source!E152</f>
        <v>38,6</v>
      </c>
      <c r="B420" s="47" t="str">
        <f>Source!F152</f>
        <v>14.1.06.02</v>
      </c>
      <c r="C420" s="47" t="str">
        <f>Source!G152</f>
        <v>Клей для облицовочных работ (сухая смесь)</v>
      </c>
      <c r="D420" s="34" t="str">
        <f>Source!H152</f>
        <v>т</v>
      </c>
      <c r="E420" s="35">
        <f>Source!I152</f>
        <v>0.44624999999999998</v>
      </c>
      <c r="F420" s="36">
        <f>Source!AL152+Source!AM152+Source!AO152</f>
        <v>0</v>
      </c>
      <c r="G420" s="42" t="s">
        <v>6</v>
      </c>
      <c r="H420" s="36">
        <f>ROUND(Source!AC152*Source!I152, 2)+ROUND(Source!AD152*Source!I152, 2)+ROUND(Source!AF152*Source!I152, 2)</f>
        <v>0</v>
      </c>
      <c r="I420" s="37"/>
      <c r="J420" s="37">
        <f>IF(Source!BC152&lt;&gt; 0, Source!BC152, 1)</f>
        <v>6.56</v>
      </c>
      <c r="K420" s="36">
        <f>Source!O152</f>
        <v>0</v>
      </c>
      <c r="L420" s="43"/>
      <c r="S420">
        <f>ROUND((Source!FX152/100)*((ROUND(Source!AF152*Source!I152, 2)+ROUND(Source!AE152*Source!I152, 2))), 2)</f>
        <v>0</v>
      </c>
      <c r="T420">
        <f>Source!X152</f>
        <v>0</v>
      </c>
      <c r="U420">
        <f>ROUND((Source!FY152/100)*((ROUND(Source!AF152*Source!I152, 2)+ROUND(Source!AE152*Source!I152, 2))), 2)</f>
        <v>0</v>
      </c>
      <c r="V420">
        <f>Source!Y152</f>
        <v>0</v>
      </c>
      <c r="W420">
        <f>IF(Source!BI152&lt;=1,H420, 0)</f>
        <v>0</v>
      </c>
      <c r="X420">
        <f>IF(Source!BI152=2,H420, 0)</f>
        <v>0</v>
      </c>
      <c r="Y420">
        <f>IF(Source!BI152=3,H420, 0)</f>
        <v>0</v>
      </c>
      <c r="Z420">
        <f>IF(Source!BI152=4,H420, 0)</f>
        <v>0</v>
      </c>
    </row>
    <row r="421" spans="1:26" ht="15" x14ac:dyDescent="0.25">
      <c r="G421" s="63">
        <f>H408+H409+H411+H412+H413+SUM(H415:H420)</f>
        <v>20831.300000000003</v>
      </c>
      <c r="H421" s="63"/>
      <c r="J421" s="63">
        <f>K408+K409+K411+K412+K413+SUM(K415:K420)</f>
        <v>136753.39000000001</v>
      </c>
      <c r="K421" s="63"/>
      <c r="L421" s="39">
        <f>Source!U146</f>
        <v>218.50839499999995</v>
      </c>
      <c r="O421" s="24">
        <f>G421</f>
        <v>20831.300000000003</v>
      </c>
      <c r="P421" s="24">
        <f>J421</f>
        <v>136753.39000000001</v>
      </c>
      <c r="Q421" s="24">
        <f>L421</f>
        <v>218.50839499999995</v>
      </c>
      <c r="W421">
        <f>IF(Source!BI146&lt;=1,H408+H409+H411+H412+H413, 0)</f>
        <v>4927.09</v>
      </c>
      <c r="X421">
        <f>IF(Source!BI146=2,H408+H409+H411+H412+H413, 0)</f>
        <v>0</v>
      </c>
      <c r="Y421">
        <f>IF(Source!BI146=3,H408+H409+H411+H412+H413, 0)</f>
        <v>0</v>
      </c>
      <c r="Z421">
        <f>IF(Source!BI146=4,H408+H409+H411+H412+H413, 0)</f>
        <v>0</v>
      </c>
    </row>
    <row r="422" spans="1:26" ht="28.5" x14ac:dyDescent="0.2">
      <c r="A422" s="44" t="str">
        <f>Source!E153</f>
        <v>39</v>
      </c>
      <c r="B422" s="45" t="str">
        <f>Source!F153</f>
        <v>20-02-017-07 прим.</v>
      </c>
      <c r="C422" s="45" t="str">
        <f>Source!G153</f>
        <v>Установка люков герметических (лючки ревизионные)</v>
      </c>
      <c r="D422" s="28" t="str">
        <f>Source!H153</f>
        <v>ШТ</v>
      </c>
      <c r="E422" s="11">
        <f>Source!I153</f>
        <v>2</v>
      </c>
      <c r="F422" s="29">
        <f>Source!AL153+Source!AM153+Source!AO153</f>
        <v>42.370000000000005</v>
      </c>
      <c r="G422" s="30"/>
      <c r="H422" s="29"/>
      <c r="I422" s="30" t="str">
        <f>Source!BO153</f>
        <v/>
      </c>
      <c r="J422" s="30"/>
      <c r="K422" s="29"/>
      <c r="L422" s="31"/>
      <c r="S422">
        <f>ROUND((Source!FX153/100)*((ROUND(Source!AF153*Source!I153, 2)+ROUND(Source!AE153*Source!I153, 2))), 2)</f>
        <v>35.409999999999997</v>
      </c>
      <c r="T422">
        <f>Source!X153</f>
        <v>231.9</v>
      </c>
      <c r="U422">
        <f>ROUND((Source!FY153/100)*((ROUND(Source!AF153*Source!I153, 2)+ROUND(Source!AE153*Source!I153, 2))), 2)</f>
        <v>21.69</v>
      </c>
      <c r="V422">
        <f>Source!Y153</f>
        <v>143.16999999999999</v>
      </c>
    </row>
    <row r="423" spans="1:26" ht="14.25" x14ac:dyDescent="0.2">
      <c r="A423" s="44"/>
      <c r="B423" s="45"/>
      <c r="C423" s="45" t="s">
        <v>1930</v>
      </c>
      <c r="D423" s="28"/>
      <c r="E423" s="11"/>
      <c r="F423" s="29">
        <f>Source!AO153</f>
        <v>12.86</v>
      </c>
      <c r="G423" s="30" t="str">
        <f>Source!DG153</f>
        <v>)*1,15</v>
      </c>
      <c r="H423" s="29">
        <f>ROUND(Source!AF153*Source!I153, 2)</f>
        <v>29.58</v>
      </c>
      <c r="I423" s="30"/>
      <c r="J423" s="30">
        <f>IF(Source!BA153&lt;&gt; 0, Source!BA153, 1)</f>
        <v>6.56</v>
      </c>
      <c r="K423" s="29">
        <f>Source!S153</f>
        <v>194.04</v>
      </c>
      <c r="L423" s="31"/>
      <c r="R423">
        <f>H423</f>
        <v>29.58</v>
      </c>
    </row>
    <row r="424" spans="1:26" ht="14.25" x14ac:dyDescent="0.2">
      <c r="A424" s="44"/>
      <c r="B424" s="45"/>
      <c r="C424" s="45" t="s">
        <v>151</v>
      </c>
      <c r="D424" s="28"/>
      <c r="E424" s="11"/>
      <c r="F424" s="29">
        <f>Source!AM153</f>
        <v>7.25</v>
      </c>
      <c r="G424" s="30" t="str">
        <f>Source!DE153</f>
        <v>)*1,25</v>
      </c>
      <c r="H424" s="29">
        <f>ROUND(Source!AD153*Source!I153, 2)</f>
        <v>18.14</v>
      </c>
      <c r="I424" s="30"/>
      <c r="J424" s="30">
        <f>IF(Source!BB153&lt;&gt; 0, Source!BB153, 1)</f>
        <v>6.56</v>
      </c>
      <c r="K424" s="29">
        <f>Source!Q153</f>
        <v>119</v>
      </c>
      <c r="L424" s="31"/>
    </row>
    <row r="425" spans="1:26" ht="14.25" x14ac:dyDescent="0.2">
      <c r="A425" s="44"/>
      <c r="B425" s="45"/>
      <c r="C425" s="45" t="s">
        <v>1931</v>
      </c>
      <c r="D425" s="28"/>
      <c r="E425" s="11"/>
      <c r="F425" s="29">
        <f>Source!AN153</f>
        <v>0.46</v>
      </c>
      <c r="G425" s="30" t="str">
        <f>Source!DF153</f>
        <v>)*1,25</v>
      </c>
      <c r="H425" s="32">
        <f>ROUND(Source!AE153*Source!I153, 2)</f>
        <v>1.1599999999999999</v>
      </c>
      <c r="I425" s="30"/>
      <c r="J425" s="30">
        <f>IF(Source!BS153&lt;&gt; 0, Source!BS153, 1)</f>
        <v>6.56</v>
      </c>
      <c r="K425" s="32">
        <f>Source!R153</f>
        <v>7.61</v>
      </c>
      <c r="L425" s="31"/>
      <c r="R425">
        <f>H425</f>
        <v>1.1599999999999999</v>
      </c>
    </row>
    <row r="426" spans="1:26" ht="14.25" x14ac:dyDescent="0.2">
      <c r="A426" s="44"/>
      <c r="B426" s="45"/>
      <c r="C426" s="45" t="s">
        <v>1937</v>
      </c>
      <c r="D426" s="28"/>
      <c r="E426" s="11"/>
      <c r="F426" s="29">
        <f>Source!AL153</f>
        <v>22.26</v>
      </c>
      <c r="G426" s="30" t="str">
        <f>Source!DD153</f>
        <v/>
      </c>
      <c r="H426" s="29">
        <f>ROUND(Source!AC153*Source!I153, 2)</f>
        <v>44.52</v>
      </c>
      <c r="I426" s="30"/>
      <c r="J426" s="30">
        <f>IF(Source!BC153&lt;&gt; 0, Source!BC153, 1)</f>
        <v>6.56</v>
      </c>
      <c r="K426" s="29">
        <f>Source!P153</f>
        <v>292.05</v>
      </c>
      <c r="L426" s="31"/>
    </row>
    <row r="427" spans="1:26" ht="14.25" x14ac:dyDescent="0.2">
      <c r="A427" s="44"/>
      <c r="B427" s="45"/>
      <c r="C427" s="45" t="s">
        <v>1932</v>
      </c>
      <c r="D427" s="28" t="s">
        <v>1933</v>
      </c>
      <c r="E427" s="11">
        <f>Source!BZ153</f>
        <v>128</v>
      </c>
      <c r="F427" s="64" t="str">
        <f>CONCATENATE(" )", Source!DL153, Source!FT153, "=", Source!FX153)</f>
        <v xml:space="preserve"> )*0,9=115,2</v>
      </c>
      <c r="G427" s="65"/>
      <c r="H427" s="29">
        <f>SUM(S422:S431)</f>
        <v>35.409999999999997</v>
      </c>
      <c r="I427" s="33"/>
      <c r="J427" s="26">
        <f>Source!AT153</f>
        <v>115</v>
      </c>
      <c r="K427" s="29">
        <f>SUM(T422:T431)</f>
        <v>231.9</v>
      </c>
      <c r="L427" s="31"/>
    </row>
    <row r="428" spans="1:26" ht="14.25" x14ac:dyDescent="0.2">
      <c r="A428" s="44"/>
      <c r="B428" s="45"/>
      <c r="C428" s="45" t="s">
        <v>1934</v>
      </c>
      <c r="D428" s="28" t="s">
        <v>1933</v>
      </c>
      <c r="E428" s="11">
        <f>Source!CA153</f>
        <v>83</v>
      </c>
      <c r="F428" s="64" t="str">
        <f>CONCATENATE(" )", Source!DM153, Source!FU153, "=", Source!FY153)</f>
        <v xml:space="preserve"> )*0,85=70,55</v>
      </c>
      <c r="G428" s="65"/>
      <c r="H428" s="29">
        <f>SUM(U422:U431)</f>
        <v>21.69</v>
      </c>
      <c r="I428" s="33"/>
      <c r="J428" s="26">
        <f>Source!AU153</f>
        <v>71</v>
      </c>
      <c r="K428" s="29">
        <f>SUM(V422:V431)</f>
        <v>143.16999999999999</v>
      </c>
      <c r="L428" s="31"/>
    </row>
    <row r="429" spans="1:26" ht="14.25" x14ac:dyDescent="0.2">
      <c r="A429" s="44"/>
      <c r="B429" s="45"/>
      <c r="C429" s="45" t="s">
        <v>1935</v>
      </c>
      <c r="D429" s="28" t="s">
        <v>1936</v>
      </c>
      <c r="E429" s="11">
        <f>Source!AQ153</f>
        <v>1.26</v>
      </c>
      <c r="F429" s="29"/>
      <c r="G429" s="30" t="str">
        <f>Source!DI153</f>
        <v>)*1,15</v>
      </c>
      <c r="H429" s="29"/>
      <c r="I429" s="30"/>
      <c r="J429" s="30"/>
      <c r="K429" s="29"/>
      <c r="L429" s="40">
        <f>Source!U153</f>
        <v>2.8979999999999997</v>
      </c>
    </row>
    <row r="430" spans="1:26" ht="57" x14ac:dyDescent="0.2">
      <c r="A430" s="44" t="str">
        <f>Source!E154</f>
        <v>39,1</v>
      </c>
      <c r="B430" s="45" t="str">
        <f>Source!F154</f>
        <v>24.3.05.12-0002</v>
      </c>
      <c r="C430" s="45" t="str">
        <f>Source!G154</f>
        <v>Ревизия полиэтиленовая с крышкой размером 100х50 мм (Ревизионные лючки ПВХ  размером 400х300мм) прим.</v>
      </c>
      <c r="D430" s="28" t="str">
        <f>Source!H154</f>
        <v>шт.</v>
      </c>
      <c r="E430" s="11">
        <f>Source!I154</f>
        <v>2</v>
      </c>
      <c r="F430" s="29">
        <f>Source!AL154+Source!AM154+Source!AO154</f>
        <v>6.78</v>
      </c>
      <c r="G430" s="41" t="s">
        <v>6</v>
      </c>
      <c r="H430" s="29">
        <f>ROUND(Source!AC154*Source!I154, 2)+ROUND(Source!AD154*Source!I154, 2)+ROUND(Source!AF154*Source!I154, 2)</f>
        <v>13.56</v>
      </c>
      <c r="I430" s="30"/>
      <c r="J430" s="30">
        <f>IF(Source!BC154&lt;&gt; 0, Source!BC154, 1)</f>
        <v>6.56</v>
      </c>
      <c r="K430" s="29">
        <f>Source!O154</f>
        <v>88.95</v>
      </c>
      <c r="L430" s="31"/>
      <c r="S430">
        <f>ROUND((Source!FX154/100)*((ROUND(Source!AF154*Source!I154, 2)+ROUND(Source!AE154*Source!I154, 2))), 2)</f>
        <v>0</v>
      </c>
      <c r="T430">
        <f>Source!X154</f>
        <v>0</v>
      </c>
      <c r="U430">
        <f>ROUND((Source!FY154/100)*((ROUND(Source!AF154*Source!I154, 2)+ROUND(Source!AE154*Source!I154, 2))), 2)</f>
        <v>0</v>
      </c>
      <c r="V430">
        <f>Source!Y154</f>
        <v>0</v>
      </c>
      <c r="W430">
        <f>IF(Source!BI154&lt;=1,H430, 0)</f>
        <v>13.56</v>
      </c>
      <c r="X430">
        <f>IF(Source!BI154=2,H430, 0)</f>
        <v>0</v>
      </c>
      <c r="Y430">
        <f>IF(Source!BI154=3,H430, 0)</f>
        <v>0</v>
      </c>
      <c r="Z430">
        <f>IF(Source!BI154=4,H430, 0)</f>
        <v>0</v>
      </c>
    </row>
    <row r="431" spans="1:26" ht="14.25" x14ac:dyDescent="0.2">
      <c r="A431" s="46" t="str">
        <f>Source!E155</f>
        <v>39,2</v>
      </c>
      <c r="B431" s="47" t="str">
        <f>Source!F155</f>
        <v>22.2.02.10</v>
      </c>
      <c r="C431" s="47" t="str">
        <f>Source!G155</f>
        <v>Люки герметические</v>
      </c>
      <c r="D431" s="34" t="str">
        <f>Source!H155</f>
        <v>шт.</v>
      </c>
      <c r="E431" s="35">
        <f>Source!I155</f>
        <v>2</v>
      </c>
      <c r="F431" s="36">
        <f>Source!AL155+Source!AM155+Source!AO155</f>
        <v>0</v>
      </c>
      <c r="G431" s="42" t="s">
        <v>6</v>
      </c>
      <c r="H431" s="36">
        <f>ROUND(Source!AC155*Source!I155, 2)+ROUND(Source!AD155*Source!I155, 2)+ROUND(Source!AF155*Source!I155, 2)</f>
        <v>0</v>
      </c>
      <c r="I431" s="37"/>
      <c r="J431" s="37">
        <f>IF(Source!BC155&lt;&gt; 0, Source!BC155, 1)</f>
        <v>6.56</v>
      </c>
      <c r="K431" s="36">
        <f>Source!O155</f>
        <v>0</v>
      </c>
      <c r="L431" s="43"/>
      <c r="S431">
        <f>ROUND((Source!FX155/100)*((ROUND(Source!AF155*Source!I155, 2)+ROUND(Source!AE155*Source!I155, 2))), 2)</f>
        <v>0</v>
      </c>
      <c r="T431">
        <f>Source!X155</f>
        <v>0</v>
      </c>
      <c r="U431">
        <f>ROUND((Source!FY155/100)*((ROUND(Source!AF155*Source!I155, 2)+ROUND(Source!AE155*Source!I155, 2))), 2)</f>
        <v>0</v>
      </c>
      <c r="V431">
        <f>Source!Y155</f>
        <v>0</v>
      </c>
      <c r="W431">
        <f>IF(Source!BI155&lt;=1,H431, 0)</f>
        <v>0</v>
      </c>
      <c r="X431">
        <f>IF(Source!BI155=2,H431, 0)</f>
        <v>0</v>
      </c>
      <c r="Y431">
        <f>IF(Source!BI155=3,H431, 0)</f>
        <v>0</v>
      </c>
      <c r="Z431">
        <f>IF(Source!BI155=4,H431, 0)</f>
        <v>0</v>
      </c>
    </row>
    <row r="432" spans="1:26" ht="15" x14ac:dyDescent="0.25">
      <c r="G432" s="63">
        <f>H423+H424+H426+H427+H428+SUM(H430:H431)</f>
        <v>162.9</v>
      </c>
      <c r="H432" s="63"/>
      <c r="J432" s="63">
        <f>K423+K424+K426+K427+K428+SUM(K430:K431)</f>
        <v>1069.1099999999999</v>
      </c>
      <c r="K432" s="63"/>
      <c r="L432" s="39">
        <f>Source!U153</f>
        <v>2.8979999999999997</v>
      </c>
      <c r="O432" s="24">
        <f>G432</f>
        <v>162.9</v>
      </c>
      <c r="P432" s="24">
        <f>J432</f>
        <v>1069.1099999999999</v>
      </c>
      <c r="Q432" s="24">
        <f>L432</f>
        <v>2.8979999999999997</v>
      </c>
      <c r="W432">
        <f>IF(Source!BI153&lt;=1,H423+H424+H426+H427+H428, 0)</f>
        <v>149.34</v>
      </c>
      <c r="X432">
        <f>IF(Source!BI153=2,H423+H424+H426+H427+H428, 0)</f>
        <v>0</v>
      </c>
      <c r="Y432">
        <f>IF(Source!BI153=3,H423+H424+H426+H427+H428, 0)</f>
        <v>0</v>
      </c>
      <c r="Z432">
        <f>IF(Source!BI153=4,H423+H424+H426+H427+H428, 0)</f>
        <v>0</v>
      </c>
    </row>
    <row r="433" spans="1:26" ht="28.5" x14ac:dyDescent="0.2">
      <c r="A433" s="44" t="str">
        <f>Source!E156</f>
        <v>40</v>
      </c>
      <c r="B433" s="45" t="str">
        <f>Source!F156</f>
        <v>11-01-011-03</v>
      </c>
      <c r="C433" s="45" t="str">
        <f>Source!G156</f>
        <v>Устройство стяжек бетонных толщиной 20 мм</v>
      </c>
      <c r="D433" s="28" t="str">
        <f>Source!H156</f>
        <v>100 м2</v>
      </c>
      <c r="E433" s="11">
        <f>Source!I156</f>
        <v>2.2115999999999998</v>
      </c>
      <c r="F433" s="29">
        <f>Source!AL156+Source!AM156+Source!AO156</f>
        <v>367.65999999999997</v>
      </c>
      <c r="G433" s="30"/>
      <c r="H433" s="29"/>
      <c r="I433" s="30" t="str">
        <f>Source!BO156</f>
        <v/>
      </c>
      <c r="J433" s="30"/>
      <c r="K433" s="29"/>
      <c r="L433" s="31"/>
      <c r="S433">
        <f>ROUND((Source!FX156/100)*((ROUND(Source!AF156*Source!I156, 2)+ROUND(Source!AE156*Source!I156, 2))), 2)</f>
        <v>945.2</v>
      </c>
      <c r="T433">
        <f>Source!X156</f>
        <v>6217.27</v>
      </c>
      <c r="U433">
        <f>ROUND((Source!FY156/100)*((ROUND(Source!AF156*Source!I156, 2)+ROUND(Source!AE156*Source!I156, 2))), 2)</f>
        <v>544.32000000000005</v>
      </c>
      <c r="V433">
        <f>Source!Y156</f>
        <v>3584.73</v>
      </c>
    </row>
    <row r="434" spans="1:26" x14ac:dyDescent="0.2">
      <c r="C434" s="23" t="str">
        <f>"Объем: "&amp;Source!I156&amp;"=221,16/"&amp;"100"</f>
        <v>Объем: 2,2116=221,16/100</v>
      </c>
    </row>
    <row r="435" spans="1:26" ht="14.25" x14ac:dyDescent="0.2">
      <c r="A435" s="44"/>
      <c r="B435" s="45"/>
      <c r="C435" s="45" t="s">
        <v>1930</v>
      </c>
      <c r="D435" s="28"/>
      <c r="E435" s="11"/>
      <c r="F435" s="29">
        <f>Source!AO156</f>
        <v>317.07</v>
      </c>
      <c r="G435" s="30" t="str">
        <f>Source!DG156</f>
        <v>)*1,15</v>
      </c>
      <c r="H435" s="29">
        <f>ROUND(Source!AF156*Source!I156, 2)</f>
        <v>806.42</v>
      </c>
      <c r="I435" s="30"/>
      <c r="J435" s="30">
        <f>IF(Source!BA156&lt;&gt; 0, Source!BA156, 1)</f>
        <v>6.56</v>
      </c>
      <c r="K435" s="29">
        <f>Source!S156</f>
        <v>5290.09</v>
      </c>
      <c r="L435" s="31"/>
      <c r="R435">
        <f>H435</f>
        <v>806.42</v>
      </c>
    </row>
    <row r="436" spans="1:26" ht="14.25" x14ac:dyDescent="0.2">
      <c r="A436" s="44"/>
      <c r="B436" s="45"/>
      <c r="C436" s="45" t="s">
        <v>151</v>
      </c>
      <c r="D436" s="28"/>
      <c r="E436" s="11"/>
      <c r="F436" s="29">
        <f>Source!AM156</f>
        <v>42.05</v>
      </c>
      <c r="G436" s="30" t="str">
        <f>Source!DE156</f>
        <v>)*1,25</v>
      </c>
      <c r="H436" s="29">
        <f>ROUND(Source!AD156*Source!I156, 2)</f>
        <v>116.26</v>
      </c>
      <c r="I436" s="30"/>
      <c r="J436" s="30">
        <f>IF(Source!BB156&lt;&gt; 0, Source!BB156, 1)</f>
        <v>6.56</v>
      </c>
      <c r="K436" s="29">
        <f>Source!Q156</f>
        <v>762.69</v>
      </c>
      <c r="L436" s="31"/>
    </row>
    <row r="437" spans="1:26" ht="14.25" x14ac:dyDescent="0.2">
      <c r="A437" s="44"/>
      <c r="B437" s="45"/>
      <c r="C437" s="45" t="s">
        <v>1931</v>
      </c>
      <c r="D437" s="28"/>
      <c r="E437" s="11"/>
      <c r="F437" s="29">
        <f>Source!AN156</f>
        <v>17.149999999999999</v>
      </c>
      <c r="G437" s="30" t="str">
        <f>Source!DF156</f>
        <v>)*1,25</v>
      </c>
      <c r="H437" s="32">
        <f>ROUND(Source!AE156*Source!I156, 2)</f>
        <v>47.42</v>
      </c>
      <c r="I437" s="30"/>
      <c r="J437" s="30">
        <f>IF(Source!BS156&lt;&gt; 0, Source!BS156, 1)</f>
        <v>6.56</v>
      </c>
      <c r="K437" s="32">
        <f>Source!R156</f>
        <v>311.05</v>
      </c>
      <c r="L437" s="31"/>
      <c r="R437">
        <f>H437</f>
        <v>47.42</v>
      </c>
    </row>
    <row r="438" spans="1:26" ht="14.25" x14ac:dyDescent="0.2">
      <c r="A438" s="44"/>
      <c r="B438" s="45"/>
      <c r="C438" s="45" t="s">
        <v>1937</v>
      </c>
      <c r="D438" s="28"/>
      <c r="E438" s="11"/>
      <c r="F438" s="29">
        <f>Source!AL156</f>
        <v>8.5399999999999991</v>
      </c>
      <c r="G438" s="30" t="str">
        <f>Source!DD156</f>
        <v/>
      </c>
      <c r="H438" s="29">
        <f>ROUND(Source!AC156*Source!I156, 2)</f>
        <v>18.89</v>
      </c>
      <c r="I438" s="30"/>
      <c r="J438" s="30">
        <f>IF(Source!BC156&lt;&gt; 0, Source!BC156, 1)</f>
        <v>6.56</v>
      </c>
      <c r="K438" s="29">
        <f>Source!P156</f>
        <v>123.9</v>
      </c>
      <c r="L438" s="31"/>
    </row>
    <row r="439" spans="1:26" ht="14.25" x14ac:dyDescent="0.2">
      <c r="A439" s="44"/>
      <c r="B439" s="45"/>
      <c r="C439" s="45" t="s">
        <v>1932</v>
      </c>
      <c r="D439" s="28" t="s">
        <v>1933</v>
      </c>
      <c r="E439" s="11">
        <f>Source!BZ156</f>
        <v>123</v>
      </c>
      <c r="F439" s="64" t="str">
        <f>CONCATENATE(" )", Source!DL156, Source!FT156, "=", Source!FX156)</f>
        <v xml:space="preserve"> )*0,9=110,7</v>
      </c>
      <c r="G439" s="65"/>
      <c r="H439" s="29">
        <f>SUM(S433:S443)</f>
        <v>945.2</v>
      </c>
      <c r="I439" s="33"/>
      <c r="J439" s="26">
        <f>Source!AT156</f>
        <v>111</v>
      </c>
      <c r="K439" s="29">
        <f>SUM(T433:T443)</f>
        <v>6217.27</v>
      </c>
      <c r="L439" s="31"/>
    </row>
    <row r="440" spans="1:26" ht="14.25" x14ac:dyDescent="0.2">
      <c r="A440" s="44"/>
      <c r="B440" s="45"/>
      <c r="C440" s="45" t="s">
        <v>1934</v>
      </c>
      <c r="D440" s="28" t="s">
        <v>1933</v>
      </c>
      <c r="E440" s="11">
        <f>Source!CA156</f>
        <v>75</v>
      </c>
      <c r="F440" s="64" t="str">
        <f>CONCATENATE(" )", Source!DM156, Source!FU156, "=", Source!FY156)</f>
        <v xml:space="preserve"> )*0,85=63,75</v>
      </c>
      <c r="G440" s="65"/>
      <c r="H440" s="29">
        <f>SUM(U433:U443)</f>
        <v>544.32000000000005</v>
      </c>
      <c r="I440" s="33"/>
      <c r="J440" s="26">
        <f>Source!AU156</f>
        <v>64</v>
      </c>
      <c r="K440" s="29">
        <f>SUM(V433:V443)</f>
        <v>3584.73</v>
      </c>
      <c r="L440" s="31"/>
    </row>
    <row r="441" spans="1:26" ht="14.25" x14ac:dyDescent="0.2">
      <c r="A441" s="44"/>
      <c r="B441" s="45"/>
      <c r="C441" s="45" t="s">
        <v>1935</v>
      </c>
      <c r="D441" s="28" t="s">
        <v>1936</v>
      </c>
      <c r="E441" s="11">
        <f>Source!AQ156</f>
        <v>40.65</v>
      </c>
      <c r="F441" s="29"/>
      <c r="G441" s="30" t="str">
        <f>Source!DI156</f>
        <v>)*1,15</v>
      </c>
      <c r="H441" s="29"/>
      <c r="I441" s="30"/>
      <c r="J441" s="30"/>
      <c r="K441" s="29"/>
      <c r="L441" s="40">
        <f>Source!U156</f>
        <v>103.38677099999998</v>
      </c>
    </row>
    <row r="442" spans="1:26" ht="28.5" x14ac:dyDescent="0.2">
      <c r="A442" s="44" t="str">
        <f>Source!E157</f>
        <v>40,1</v>
      </c>
      <c r="B442" s="45" t="str">
        <f>Source!F157</f>
        <v>04.1.02.01-0008</v>
      </c>
      <c r="C442" s="45" t="str">
        <f>Source!G157</f>
        <v>Бетон мелкозернистый, класс В22,5 (М300)</v>
      </c>
      <c r="D442" s="28" t="str">
        <f>Source!H157</f>
        <v>м3</v>
      </c>
      <c r="E442" s="11">
        <f>Source!I157</f>
        <v>4.5116639999999997</v>
      </c>
      <c r="F442" s="29">
        <f>Source!AL157+Source!AM157+Source!AO157</f>
        <v>643.42999999999995</v>
      </c>
      <c r="G442" s="41" t="s">
        <v>6</v>
      </c>
      <c r="H442" s="29">
        <f>ROUND(Source!AC157*Source!I157, 2)+ROUND(Source!AD157*Source!I157, 2)+ROUND(Source!AF157*Source!I157, 2)</f>
        <v>2902.94</v>
      </c>
      <c r="I442" s="30"/>
      <c r="J442" s="30">
        <f>IF(Source!BC157&lt;&gt; 0, Source!BC157, 1)</f>
        <v>6.56</v>
      </c>
      <c r="K442" s="29">
        <f>Source!O157</f>
        <v>19043.29</v>
      </c>
      <c r="L442" s="31"/>
      <c r="S442">
        <f>ROUND((Source!FX157/100)*((ROUND(Source!AF157*Source!I157, 2)+ROUND(Source!AE157*Source!I157, 2))), 2)</f>
        <v>0</v>
      </c>
      <c r="T442">
        <f>Source!X157</f>
        <v>0</v>
      </c>
      <c r="U442">
        <f>ROUND((Source!FY157/100)*((ROUND(Source!AF157*Source!I157, 2)+ROUND(Source!AE157*Source!I157, 2))), 2)</f>
        <v>0</v>
      </c>
      <c r="V442">
        <f>Source!Y157</f>
        <v>0</v>
      </c>
      <c r="W442">
        <f>IF(Source!BI157&lt;=1,H442, 0)</f>
        <v>2902.94</v>
      </c>
      <c r="X442">
        <f>IF(Source!BI157=2,H442, 0)</f>
        <v>0</v>
      </c>
      <c r="Y442">
        <f>IF(Source!BI157=3,H442, 0)</f>
        <v>0</v>
      </c>
      <c r="Z442">
        <f>IF(Source!BI157=4,H442, 0)</f>
        <v>0</v>
      </c>
    </row>
    <row r="443" spans="1:26" ht="14.25" x14ac:dyDescent="0.2">
      <c r="A443" s="46" t="str">
        <f>Source!E158</f>
        <v>40,2</v>
      </c>
      <c r="B443" s="47" t="str">
        <f>Source!F158</f>
        <v>04.1.02.06</v>
      </c>
      <c r="C443" s="47" t="str">
        <f>Source!G158</f>
        <v>Бетон тяжелый</v>
      </c>
      <c r="D443" s="34" t="str">
        <f>Source!H158</f>
        <v>м3</v>
      </c>
      <c r="E443" s="35">
        <f>Source!I158</f>
        <v>4.5116639999999997</v>
      </c>
      <c r="F443" s="36">
        <f>Source!AL158+Source!AM158+Source!AO158</f>
        <v>0</v>
      </c>
      <c r="G443" s="42" t="s">
        <v>6</v>
      </c>
      <c r="H443" s="36">
        <f>ROUND(Source!AC158*Source!I158, 2)+ROUND(Source!AD158*Source!I158, 2)+ROUND(Source!AF158*Source!I158, 2)</f>
        <v>0</v>
      </c>
      <c r="I443" s="37"/>
      <c r="J443" s="37">
        <f>IF(Source!BC158&lt;&gt; 0, Source!BC158, 1)</f>
        <v>6.56</v>
      </c>
      <c r="K443" s="36">
        <f>Source!O158</f>
        <v>0</v>
      </c>
      <c r="L443" s="43"/>
      <c r="S443">
        <f>ROUND((Source!FX158/100)*((ROUND(Source!AF158*Source!I158, 2)+ROUND(Source!AE158*Source!I158, 2))), 2)</f>
        <v>0</v>
      </c>
      <c r="T443">
        <f>Source!X158</f>
        <v>0</v>
      </c>
      <c r="U443">
        <f>ROUND((Source!FY158/100)*((ROUND(Source!AF158*Source!I158, 2)+ROUND(Source!AE158*Source!I158, 2))), 2)</f>
        <v>0</v>
      </c>
      <c r="V443">
        <f>Source!Y158</f>
        <v>0</v>
      </c>
      <c r="W443">
        <f>IF(Source!BI158&lt;=1,H443, 0)</f>
        <v>0</v>
      </c>
      <c r="X443">
        <f>IF(Source!BI158=2,H443, 0)</f>
        <v>0</v>
      </c>
      <c r="Y443">
        <f>IF(Source!BI158=3,H443, 0)</f>
        <v>0</v>
      </c>
      <c r="Z443">
        <f>IF(Source!BI158=4,H443, 0)</f>
        <v>0</v>
      </c>
    </row>
    <row r="444" spans="1:26" ht="15" x14ac:dyDescent="0.25">
      <c r="G444" s="63">
        <f>H435+H436+H438+H439+H440+SUM(H442:H443)</f>
        <v>5334.0300000000007</v>
      </c>
      <c r="H444" s="63"/>
      <c r="J444" s="63">
        <f>K435+K436+K438+K439+K440+SUM(K442:K443)</f>
        <v>35021.97</v>
      </c>
      <c r="K444" s="63"/>
      <c r="L444" s="39">
        <f>Source!U156</f>
        <v>103.38677099999998</v>
      </c>
      <c r="O444" s="24">
        <f>G444</f>
        <v>5334.0300000000007</v>
      </c>
      <c r="P444" s="24">
        <f>J444</f>
        <v>35021.97</v>
      </c>
      <c r="Q444" s="24">
        <f>L444</f>
        <v>103.38677099999998</v>
      </c>
      <c r="W444">
        <f>IF(Source!BI156&lt;=1,H435+H436+H438+H439+H440, 0)</f>
        <v>2431.09</v>
      </c>
      <c r="X444">
        <f>IF(Source!BI156=2,H435+H436+H438+H439+H440, 0)</f>
        <v>0</v>
      </c>
      <c r="Y444">
        <f>IF(Source!BI156=3,H435+H436+H438+H439+H440, 0)</f>
        <v>0</v>
      </c>
      <c r="Z444">
        <f>IF(Source!BI156=4,H435+H436+H438+H439+H440, 0)</f>
        <v>0</v>
      </c>
    </row>
    <row r="445" spans="1:26" ht="57" x14ac:dyDescent="0.2">
      <c r="A445" s="44" t="str">
        <f>Source!E159</f>
        <v>41</v>
      </c>
      <c r="B445" s="45" t="str">
        <f>Source!F159</f>
        <v>11-01-011-04</v>
      </c>
      <c r="C445" s="45" t="str">
        <f>Source!G159</f>
        <v>Устройство стяжек на каждые 5 мм изменения толщины стяжки добавлять или исключать к расценке 11-01-011-03 (тол.30мм)</v>
      </c>
      <c r="D445" s="28" t="str">
        <f>Source!H159</f>
        <v>100 м2</v>
      </c>
      <c r="E445" s="11">
        <f>Source!I159</f>
        <v>2.2115999999999998</v>
      </c>
      <c r="F445" s="29">
        <f>Source!AL159+Source!AM159+Source!AO159</f>
        <v>11.62</v>
      </c>
      <c r="G445" s="30"/>
      <c r="H445" s="29"/>
      <c r="I445" s="30" t="str">
        <f>Source!BO159</f>
        <v/>
      </c>
      <c r="J445" s="30"/>
      <c r="K445" s="29"/>
      <c r="L445" s="31"/>
      <c r="S445">
        <f>ROUND((Source!FX159/100)*((ROUND(Source!AF159*Source!I159, 2)+ROUND(Source!AE159*Source!I159, 2))), 2)</f>
        <v>118.03</v>
      </c>
      <c r="T445">
        <f>Source!X159</f>
        <v>776.37</v>
      </c>
      <c r="U445">
        <f>ROUND((Source!FY159/100)*((ROUND(Source!AF159*Source!I159, 2)+ROUND(Source!AE159*Source!I159, 2))), 2)</f>
        <v>67.97</v>
      </c>
      <c r="V445">
        <f>Source!Y159</f>
        <v>447.64</v>
      </c>
    </row>
    <row r="446" spans="1:26" x14ac:dyDescent="0.2">
      <c r="C446" s="23" t="str">
        <f>"Объем: "&amp;Source!I159&amp;"=221,16/"&amp;"100"</f>
        <v>Объем: 2,2116=221,16/100</v>
      </c>
    </row>
    <row r="447" spans="1:26" ht="14.25" x14ac:dyDescent="0.2">
      <c r="A447" s="44"/>
      <c r="B447" s="45"/>
      <c r="C447" s="45" t="s">
        <v>1930</v>
      </c>
      <c r="D447" s="28"/>
      <c r="E447" s="11"/>
      <c r="F447" s="29">
        <f>Source!AO159</f>
        <v>3.9</v>
      </c>
      <c r="G447" s="30" t="str">
        <f>Source!DG159</f>
        <v>)*1,15*6</v>
      </c>
      <c r="H447" s="29">
        <f>ROUND(Source!AF159*Source!I159, 2)</f>
        <v>59.51</v>
      </c>
      <c r="I447" s="30"/>
      <c r="J447" s="30">
        <f>IF(Source!BA159&lt;&gt; 0, Source!BA159, 1)</f>
        <v>6.56</v>
      </c>
      <c r="K447" s="29">
        <f>Source!S159</f>
        <v>390.41</v>
      </c>
      <c r="L447" s="31"/>
      <c r="R447">
        <f>H447</f>
        <v>59.51</v>
      </c>
    </row>
    <row r="448" spans="1:26" ht="14.25" x14ac:dyDescent="0.2">
      <c r="A448" s="44"/>
      <c r="B448" s="45"/>
      <c r="C448" s="45" t="s">
        <v>151</v>
      </c>
      <c r="D448" s="28"/>
      <c r="E448" s="11"/>
      <c r="F448" s="29">
        <f>Source!AM159</f>
        <v>7.72</v>
      </c>
      <c r="G448" s="30" t="str">
        <f>Source!DE159</f>
        <v>)*1,25*6</v>
      </c>
      <c r="H448" s="29">
        <f>ROUND(Source!AD159*Source!I159, 2)</f>
        <v>128.05000000000001</v>
      </c>
      <c r="I448" s="30"/>
      <c r="J448" s="30">
        <f>IF(Source!BB159&lt;&gt; 0, Source!BB159, 1)</f>
        <v>6.56</v>
      </c>
      <c r="K448" s="29">
        <f>Source!Q159</f>
        <v>840.02</v>
      </c>
      <c r="L448" s="31"/>
    </row>
    <row r="449" spans="1:26" ht="14.25" x14ac:dyDescent="0.2">
      <c r="A449" s="44"/>
      <c r="B449" s="45"/>
      <c r="C449" s="45" t="s">
        <v>1931</v>
      </c>
      <c r="D449" s="28"/>
      <c r="E449" s="11"/>
      <c r="F449" s="29">
        <f>Source!AN159</f>
        <v>2.84</v>
      </c>
      <c r="G449" s="30" t="str">
        <f>Source!DF159</f>
        <v>)*1,25*6</v>
      </c>
      <c r="H449" s="32">
        <f>ROUND(Source!AE159*Source!I159, 2)</f>
        <v>47.11</v>
      </c>
      <c r="I449" s="30"/>
      <c r="J449" s="30">
        <f>IF(Source!BS159&lt;&gt; 0, Source!BS159, 1)</f>
        <v>6.56</v>
      </c>
      <c r="K449" s="32">
        <f>Source!R159</f>
        <v>309.02</v>
      </c>
      <c r="L449" s="31"/>
      <c r="R449">
        <f>H449</f>
        <v>47.11</v>
      </c>
    </row>
    <row r="450" spans="1:26" ht="14.25" x14ac:dyDescent="0.2">
      <c r="A450" s="44"/>
      <c r="B450" s="45"/>
      <c r="C450" s="45" t="s">
        <v>1932</v>
      </c>
      <c r="D450" s="28" t="s">
        <v>1933</v>
      </c>
      <c r="E450" s="11">
        <f>Source!BZ159</f>
        <v>123</v>
      </c>
      <c r="F450" s="64" t="str">
        <f>CONCATENATE(" )", Source!DL159, Source!FT159, "=", Source!FX159)</f>
        <v xml:space="preserve"> )*0,9=110,7</v>
      </c>
      <c r="G450" s="65"/>
      <c r="H450" s="29">
        <f>SUM(S445:S454)</f>
        <v>118.03</v>
      </c>
      <c r="I450" s="33"/>
      <c r="J450" s="26">
        <f>Source!AT159</f>
        <v>111</v>
      </c>
      <c r="K450" s="29">
        <f>SUM(T445:T454)</f>
        <v>776.37</v>
      </c>
      <c r="L450" s="31"/>
    </row>
    <row r="451" spans="1:26" ht="14.25" x14ac:dyDescent="0.2">
      <c r="A451" s="44"/>
      <c r="B451" s="45"/>
      <c r="C451" s="45" t="s">
        <v>1934</v>
      </c>
      <c r="D451" s="28" t="s">
        <v>1933</v>
      </c>
      <c r="E451" s="11">
        <f>Source!CA159</f>
        <v>75</v>
      </c>
      <c r="F451" s="64" t="str">
        <f>CONCATENATE(" )", Source!DM159, Source!FU159, "=", Source!FY159)</f>
        <v xml:space="preserve"> )*0,85=63,75</v>
      </c>
      <c r="G451" s="65"/>
      <c r="H451" s="29">
        <f>SUM(U445:U454)</f>
        <v>67.97</v>
      </c>
      <c r="I451" s="33"/>
      <c r="J451" s="26">
        <f>Source!AU159</f>
        <v>64</v>
      </c>
      <c r="K451" s="29">
        <f>SUM(V445:V454)</f>
        <v>447.64</v>
      </c>
      <c r="L451" s="31"/>
    </row>
    <row r="452" spans="1:26" ht="14.25" x14ac:dyDescent="0.2">
      <c r="A452" s="44"/>
      <c r="B452" s="45"/>
      <c r="C452" s="45" t="s">
        <v>1935</v>
      </c>
      <c r="D452" s="28" t="s">
        <v>1936</v>
      </c>
      <c r="E452" s="11">
        <f>Source!AQ159</f>
        <v>0.5</v>
      </c>
      <c r="F452" s="29"/>
      <c r="G452" s="30" t="str">
        <f>Source!DI159</f>
        <v>)*1,15*6</v>
      </c>
      <c r="H452" s="29"/>
      <c r="I452" s="30"/>
      <c r="J452" s="30"/>
      <c r="K452" s="29"/>
      <c r="L452" s="40">
        <f>Source!U159</f>
        <v>7.6300199999999982</v>
      </c>
    </row>
    <row r="453" spans="1:26" ht="28.5" x14ac:dyDescent="0.2">
      <c r="A453" s="44" t="str">
        <f>Source!E160</f>
        <v>41,1</v>
      </c>
      <c r="B453" s="45" t="str">
        <f>Source!F160</f>
        <v>04.1.02.01-0008</v>
      </c>
      <c r="C453" s="45" t="str">
        <f>Source!G160</f>
        <v>Бетон мелкозернистый, класс В22,5 (М300)</v>
      </c>
      <c r="D453" s="28" t="str">
        <f>Source!H160</f>
        <v>м3</v>
      </c>
      <c r="E453" s="11">
        <f>Source!I160</f>
        <v>6.7674960000000004</v>
      </c>
      <c r="F453" s="29">
        <f>Source!AL160+Source!AM160+Source!AO160</f>
        <v>643.42999999999995</v>
      </c>
      <c r="G453" s="41" t="s">
        <v>1938</v>
      </c>
      <c r="H453" s="29">
        <f>ROUND(Source!AC160*Source!I160, 2)+ROUND(Source!AD160*Source!I160, 2)+ROUND(Source!AF160*Source!I160, 2)</f>
        <v>4354.41</v>
      </c>
      <c r="I453" s="30"/>
      <c r="J453" s="30">
        <f>IF(Source!BC160&lt;&gt; 0, Source!BC160, 1)</f>
        <v>6.56</v>
      </c>
      <c r="K453" s="29">
        <f>Source!O160</f>
        <v>28564.93</v>
      </c>
      <c r="L453" s="31"/>
      <c r="S453">
        <f>ROUND((Source!FX160/100)*((ROUND(Source!AF160*Source!I160, 2)+ROUND(Source!AE160*Source!I160, 2))), 2)</f>
        <v>0</v>
      </c>
      <c r="T453">
        <f>Source!X160</f>
        <v>0</v>
      </c>
      <c r="U453">
        <f>ROUND((Source!FY160/100)*((ROUND(Source!AF160*Source!I160, 2)+ROUND(Source!AE160*Source!I160, 2))), 2)</f>
        <v>0</v>
      </c>
      <c r="V453">
        <f>Source!Y160</f>
        <v>0</v>
      </c>
      <c r="W453">
        <f>IF(Source!BI160&lt;=1,H453, 0)</f>
        <v>4354.41</v>
      </c>
      <c r="X453">
        <f>IF(Source!BI160=2,H453, 0)</f>
        <v>0</v>
      </c>
      <c r="Y453">
        <f>IF(Source!BI160=3,H453, 0)</f>
        <v>0</v>
      </c>
      <c r="Z453">
        <f>IF(Source!BI160=4,H453, 0)</f>
        <v>0</v>
      </c>
    </row>
    <row r="454" spans="1:26" ht="14.25" x14ac:dyDescent="0.2">
      <c r="A454" s="46" t="str">
        <f>Source!E161</f>
        <v>41,2</v>
      </c>
      <c r="B454" s="47" t="str">
        <f>Source!F161</f>
        <v>04.1.02.06</v>
      </c>
      <c r="C454" s="47" t="str">
        <f>Source!G161</f>
        <v>Бетон тяжелый</v>
      </c>
      <c r="D454" s="34" t="str">
        <f>Source!H161</f>
        <v>м3</v>
      </c>
      <c r="E454" s="35">
        <f>Source!I161</f>
        <v>6.7674960000000004</v>
      </c>
      <c r="F454" s="36">
        <f>Source!AL161+Source!AM161+Source!AO161</f>
        <v>0</v>
      </c>
      <c r="G454" s="42" t="s">
        <v>1938</v>
      </c>
      <c r="H454" s="36">
        <f>ROUND(Source!AC161*Source!I161, 2)+ROUND(Source!AD161*Source!I161, 2)+ROUND(Source!AF161*Source!I161, 2)</f>
        <v>0</v>
      </c>
      <c r="I454" s="37"/>
      <c r="J454" s="37">
        <f>IF(Source!BC161&lt;&gt; 0, Source!BC161, 1)</f>
        <v>6.56</v>
      </c>
      <c r="K454" s="36">
        <f>Source!O161</f>
        <v>0</v>
      </c>
      <c r="L454" s="43"/>
      <c r="S454">
        <f>ROUND((Source!FX161/100)*((ROUND(Source!AF161*Source!I161, 2)+ROUND(Source!AE161*Source!I161, 2))), 2)</f>
        <v>0</v>
      </c>
      <c r="T454">
        <f>Source!X161</f>
        <v>0</v>
      </c>
      <c r="U454">
        <f>ROUND((Source!FY161/100)*((ROUND(Source!AF161*Source!I161, 2)+ROUND(Source!AE161*Source!I161, 2))), 2)</f>
        <v>0</v>
      </c>
      <c r="V454">
        <f>Source!Y161</f>
        <v>0</v>
      </c>
      <c r="W454">
        <f>IF(Source!BI161&lt;=1,H454, 0)</f>
        <v>0</v>
      </c>
      <c r="X454">
        <f>IF(Source!BI161=2,H454, 0)</f>
        <v>0</v>
      </c>
      <c r="Y454">
        <f>IF(Source!BI161=3,H454, 0)</f>
        <v>0</v>
      </c>
      <c r="Z454">
        <f>IF(Source!BI161=4,H454, 0)</f>
        <v>0</v>
      </c>
    </row>
    <row r="455" spans="1:26" ht="15" x14ac:dyDescent="0.25">
      <c r="G455" s="63">
        <f>H447+H448+H450+H451+SUM(H453:H454)</f>
        <v>4727.97</v>
      </c>
      <c r="H455" s="63"/>
      <c r="J455" s="63">
        <f>K447+K448+K450+K451+SUM(K453:K454)</f>
        <v>31019.37</v>
      </c>
      <c r="K455" s="63"/>
      <c r="L455" s="39">
        <f>Source!U159</f>
        <v>7.6300199999999982</v>
      </c>
      <c r="O455" s="24">
        <f>G455</f>
        <v>4727.97</v>
      </c>
      <c r="P455" s="24">
        <f>J455</f>
        <v>31019.37</v>
      </c>
      <c r="Q455" s="24">
        <f>L455</f>
        <v>7.6300199999999982</v>
      </c>
      <c r="W455">
        <f>IF(Source!BI159&lt;=1,H447+H448+H450+H451, 0)</f>
        <v>373.56000000000006</v>
      </c>
      <c r="X455">
        <f>IF(Source!BI159=2,H447+H448+H450+H451, 0)</f>
        <v>0</v>
      </c>
      <c r="Y455">
        <f>IF(Source!BI159=3,H447+H448+H450+H451, 0)</f>
        <v>0</v>
      </c>
      <c r="Z455">
        <f>IF(Source!BI159=4,H447+H448+H450+H451, 0)</f>
        <v>0</v>
      </c>
    </row>
    <row r="456" spans="1:26" ht="42.75" x14ac:dyDescent="0.2">
      <c r="A456" s="44" t="str">
        <f>Source!E162</f>
        <v>42</v>
      </c>
      <c r="B456" s="45" t="str">
        <f>Source!F162</f>
        <v>11-01-011-08</v>
      </c>
      <c r="C456" s="45" t="str">
        <f>Source!G162</f>
        <v>Устройство стяжек из выравнивающей смеси типа "Ветонит" 5000, толщиной 5 мм</v>
      </c>
      <c r="D456" s="28" t="str">
        <f>Source!H162</f>
        <v>100 м2</v>
      </c>
      <c r="E456" s="11">
        <f>Source!I162</f>
        <v>2.0015999999999998</v>
      </c>
      <c r="F456" s="29">
        <f>Source!AL162+Source!AM162+Source!AO162</f>
        <v>11028.89</v>
      </c>
      <c r="G456" s="30"/>
      <c r="H456" s="29"/>
      <c r="I456" s="30" t="str">
        <f>Source!BO162</f>
        <v/>
      </c>
      <c r="J456" s="30"/>
      <c r="K456" s="29"/>
      <c r="L456" s="31"/>
      <c r="S456">
        <f>ROUND((Source!FX162/100)*((ROUND(Source!AF162*Source!I162, 2)+ROUND(Source!AE162*Source!I162, 2))), 2)</f>
        <v>824.24</v>
      </c>
      <c r="T456">
        <f>Source!X162</f>
        <v>5421.7</v>
      </c>
      <c r="U456">
        <f>ROUND((Source!FY162/100)*((ROUND(Source!AF162*Source!I162, 2)+ROUND(Source!AE162*Source!I162, 2))), 2)</f>
        <v>474.66</v>
      </c>
      <c r="V456">
        <f>Source!Y162</f>
        <v>3126.02</v>
      </c>
    </row>
    <row r="457" spans="1:26" x14ac:dyDescent="0.2">
      <c r="C457" s="23" t="str">
        <f>"Объем: "&amp;Source!I162&amp;"=200,16/"&amp;"100"</f>
        <v>Объем: 2,0016=200,16/100</v>
      </c>
    </row>
    <row r="458" spans="1:26" ht="14.25" x14ac:dyDescent="0.2">
      <c r="A458" s="44"/>
      <c r="B458" s="45"/>
      <c r="C458" s="45" t="s">
        <v>1930</v>
      </c>
      <c r="D458" s="28"/>
      <c r="E458" s="11"/>
      <c r="F458" s="29">
        <f>Source!AO162</f>
        <v>321.33</v>
      </c>
      <c r="G458" s="30" t="str">
        <f>Source!DG162</f>
        <v>)*1,15</v>
      </c>
      <c r="H458" s="29">
        <f>ROUND(Source!AF162*Source!I162, 2)</f>
        <v>739.65</v>
      </c>
      <c r="I458" s="30"/>
      <c r="J458" s="30">
        <f>IF(Source!BA162&lt;&gt; 0, Source!BA162, 1)</f>
        <v>6.56</v>
      </c>
      <c r="K458" s="29">
        <f>Source!S162</f>
        <v>4852.1099999999997</v>
      </c>
      <c r="L458" s="31"/>
      <c r="R458">
        <f>H458</f>
        <v>739.65</v>
      </c>
    </row>
    <row r="459" spans="1:26" ht="14.25" x14ac:dyDescent="0.2">
      <c r="A459" s="44"/>
      <c r="B459" s="45"/>
      <c r="C459" s="45" t="s">
        <v>151</v>
      </c>
      <c r="D459" s="28"/>
      <c r="E459" s="11"/>
      <c r="F459" s="29">
        <f>Source!AM162</f>
        <v>6.23</v>
      </c>
      <c r="G459" s="30" t="str">
        <f>Source!DE162</f>
        <v>)*1,25</v>
      </c>
      <c r="H459" s="29">
        <f>ROUND(Source!AD162*Source!I162, 2)</f>
        <v>15.59</v>
      </c>
      <c r="I459" s="30"/>
      <c r="J459" s="30">
        <f>IF(Source!BB162&lt;&gt; 0, Source!BB162, 1)</f>
        <v>6.56</v>
      </c>
      <c r="K459" s="29">
        <f>Source!Q162</f>
        <v>102.29</v>
      </c>
      <c r="L459" s="31"/>
    </row>
    <row r="460" spans="1:26" ht="14.25" x14ac:dyDescent="0.2">
      <c r="A460" s="44"/>
      <c r="B460" s="45"/>
      <c r="C460" s="45" t="s">
        <v>1931</v>
      </c>
      <c r="D460" s="28"/>
      <c r="E460" s="11"/>
      <c r="F460" s="29">
        <f>Source!AN162</f>
        <v>1.97</v>
      </c>
      <c r="G460" s="30" t="str">
        <f>Source!DF162</f>
        <v>)*1,25</v>
      </c>
      <c r="H460" s="32">
        <f>ROUND(Source!AE162*Source!I162, 2)</f>
        <v>4.92</v>
      </c>
      <c r="I460" s="30"/>
      <c r="J460" s="30">
        <f>IF(Source!BS162&lt;&gt; 0, Source!BS162, 1)</f>
        <v>6.56</v>
      </c>
      <c r="K460" s="32">
        <f>Source!R162</f>
        <v>32.299999999999997</v>
      </c>
      <c r="L460" s="31"/>
      <c r="R460">
        <f>H460</f>
        <v>4.92</v>
      </c>
    </row>
    <row r="461" spans="1:26" ht="14.25" x14ac:dyDescent="0.2">
      <c r="A461" s="44"/>
      <c r="B461" s="45"/>
      <c r="C461" s="45" t="s">
        <v>1937</v>
      </c>
      <c r="D461" s="28"/>
      <c r="E461" s="11"/>
      <c r="F461" s="29">
        <f>Source!AL162</f>
        <v>10701.33</v>
      </c>
      <c r="G461" s="30" t="str">
        <f>Source!DD162</f>
        <v/>
      </c>
      <c r="H461" s="29">
        <f>ROUND(Source!AC162*Source!I162, 2)</f>
        <v>21419.78</v>
      </c>
      <c r="I461" s="30"/>
      <c r="J461" s="30">
        <f>IF(Source!BC162&lt;&gt; 0, Source!BC162, 1)</f>
        <v>6.56</v>
      </c>
      <c r="K461" s="29">
        <f>Source!P162</f>
        <v>140513.76999999999</v>
      </c>
      <c r="L461" s="31"/>
    </row>
    <row r="462" spans="1:26" ht="14.25" x14ac:dyDescent="0.2">
      <c r="A462" s="44"/>
      <c r="B462" s="45"/>
      <c r="C462" s="45" t="s">
        <v>1932</v>
      </c>
      <c r="D462" s="28" t="s">
        <v>1933</v>
      </c>
      <c r="E462" s="11">
        <f>Source!BZ162</f>
        <v>123</v>
      </c>
      <c r="F462" s="64" t="str">
        <f>CONCATENATE(" )", Source!DL162, Source!FT162, "=", Source!FX162)</f>
        <v xml:space="preserve"> )*0,9=110,7</v>
      </c>
      <c r="G462" s="65"/>
      <c r="H462" s="29">
        <f>SUM(S456:S464)</f>
        <v>824.24</v>
      </c>
      <c r="I462" s="33"/>
      <c r="J462" s="26">
        <f>Source!AT162</f>
        <v>111</v>
      </c>
      <c r="K462" s="29">
        <f>SUM(T456:T464)</f>
        <v>5421.7</v>
      </c>
      <c r="L462" s="31"/>
    </row>
    <row r="463" spans="1:26" ht="14.25" x14ac:dyDescent="0.2">
      <c r="A463" s="44"/>
      <c r="B463" s="45"/>
      <c r="C463" s="45" t="s">
        <v>1934</v>
      </c>
      <c r="D463" s="28" t="s">
        <v>1933</v>
      </c>
      <c r="E463" s="11">
        <f>Source!CA162</f>
        <v>75</v>
      </c>
      <c r="F463" s="64" t="str">
        <f>CONCATENATE(" )", Source!DM162, Source!FU162, "=", Source!FY162)</f>
        <v xml:space="preserve"> )*0,85=63,75</v>
      </c>
      <c r="G463" s="65"/>
      <c r="H463" s="29">
        <f>SUM(U456:U464)</f>
        <v>474.66</v>
      </c>
      <c r="I463" s="33"/>
      <c r="J463" s="26">
        <f>Source!AU162</f>
        <v>64</v>
      </c>
      <c r="K463" s="29">
        <f>SUM(V456:V464)</f>
        <v>3126.02</v>
      </c>
      <c r="L463" s="31"/>
    </row>
    <row r="464" spans="1:26" ht="14.25" x14ac:dyDescent="0.2">
      <c r="A464" s="46"/>
      <c r="B464" s="47"/>
      <c r="C464" s="47" t="s">
        <v>1935</v>
      </c>
      <c r="D464" s="34" t="s">
        <v>1936</v>
      </c>
      <c r="E464" s="35">
        <f>Source!AQ162</f>
        <v>37.67</v>
      </c>
      <c r="F464" s="36"/>
      <c r="G464" s="37" t="str">
        <f>Source!DI162</f>
        <v>)*1,15</v>
      </c>
      <c r="H464" s="36"/>
      <c r="I464" s="37"/>
      <c r="J464" s="37"/>
      <c r="K464" s="36"/>
      <c r="L464" s="38">
        <f>Source!U162</f>
        <v>86.710312799999983</v>
      </c>
    </row>
    <row r="465" spans="1:26" ht="15" x14ac:dyDescent="0.25">
      <c r="G465" s="63">
        <f>H458+H459+H461+H462+H463</f>
        <v>23473.920000000002</v>
      </c>
      <c r="H465" s="63"/>
      <c r="J465" s="63">
        <f>K458+K459+K461+K462+K463</f>
        <v>154015.88999999998</v>
      </c>
      <c r="K465" s="63"/>
      <c r="L465" s="39">
        <f>Source!U162</f>
        <v>86.710312799999983</v>
      </c>
      <c r="O465" s="24">
        <f>G465</f>
        <v>23473.920000000002</v>
      </c>
      <c r="P465" s="24">
        <f>J465</f>
        <v>154015.88999999998</v>
      </c>
      <c r="Q465" s="24">
        <f>L465</f>
        <v>86.710312799999983</v>
      </c>
      <c r="W465">
        <f>IF(Source!BI162&lt;=1,H458+H459+H461+H462+H463, 0)</f>
        <v>23473.920000000002</v>
      </c>
      <c r="X465">
        <f>IF(Source!BI162=2,H458+H459+H461+H462+H463, 0)</f>
        <v>0</v>
      </c>
      <c r="Y465">
        <f>IF(Source!BI162=3,H458+H459+H461+H462+H463, 0)</f>
        <v>0</v>
      </c>
      <c r="Z465">
        <f>IF(Source!BI162=4,H458+H459+H461+H462+H463, 0)</f>
        <v>0</v>
      </c>
    </row>
    <row r="466" spans="1:26" ht="57" x14ac:dyDescent="0.2">
      <c r="A466" s="44" t="str">
        <f>Source!E163</f>
        <v>43</v>
      </c>
      <c r="B466" s="45" t="str">
        <f>Source!F163</f>
        <v>11-01-011-10</v>
      </c>
      <c r="C466" s="45" t="str">
        <f>Source!G163</f>
        <v>Устройство стяжек на каждый последующий слой толщиной 1 мм добавлять к расценке 11-01-011-08 (тол.5мм)</v>
      </c>
      <c r="D466" s="28" t="str">
        <f>Source!H163</f>
        <v>100 м2</v>
      </c>
      <c r="E466" s="11">
        <f>Source!I163</f>
        <v>2.0015999999999998</v>
      </c>
      <c r="F466" s="29">
        <f>Source!AL163+Source!AM163+Source!AO163</f>
        <v>2070.6</v>
      </c>
      <c r="G466" s="30"/>
      <c r="H466" s="29"/>
      <c r="I466" s="30" t="str">
        <f>Source!BO163</f>
        <v/>
      </c>
      <c r="J466" s="30"/>
      <c r="K466" s="29"/>
      <c r="L466" s="31"/>
      <c r="S466">
        <f>ROUND((Source!FX163/100)*((ROUND(Source!AF163*Source!I163, 2)+ROUND(Source!AE163*Source!I163, 2))), 2)</f>
        <v>267.82</v>
      </c>
      <c r="T466">
        <f>Source!X163</f>
        <v>1761.67</v>
      </c>
      <c r="U466">
        <f>ROUND((Source!FY163/100)*((ROUND(Source!AF163*Source!I163, 2)+ROUND(Source!AE163*Source!I163, 2))), 2)</f>
        <v>154.22999999999999</v>
      </c>
      <c r="V466">
        <f>Source!Y163</f>
        <v>1015.74</v>
      </c>
    </row>
    <row r="467" spans="1:26" x14ac:dyDescent="0.2">
      <c r="C467" s="23" t="str">
        <f>"Объем: "&amp;Source!I163&amp;"=200,16/"&amp;"100"</f>
        <v>Объем: 2,0016=200,16/100</v>
      </c>
    </row>
    <row r="468" spans="1:26" ht="14.25" x14ac:dyDescent="0.2">
      <c r="A468" s="44"/>
      <c r="B468" s="45"/>
      <c r="C468" s="45" t="s">
        <v>1930</v>
      </c>
      <c r="D468" s="28"/>
      <c r="E468" s="11"/>
      <c r="F468" s="29">
        <f>Source!AO163</f>
        <v>20.64</v>
      </c>
      <c r="G468" s="30" t="str">
        <f>Source!DG163</f>
        <v>)*1,15*5</v>
      </c>
      <c r="H468" s="29">
        <f>ROUND(Source!AF163*Source!I163, 2)</f>
        <v>237.55</v>
      </c>
      <c r="I468" s="30"/>
      <c r="J468" s="30">
        <f>IF(Source!BA163&lt;&gt; 0, Source!BA163, 1)</f>
        <v>6.56</v>
      </c>
      <c r="K468" s="29">
        <f>Source!S163</f>
        <v>1558.33</v>
      </c>
      <c r="L468" s="31"/>
      <c r="R468">
        <f>H468</f>
        <v>237.55</v>
      </c>
    </row>
    <row r="469" spans="1:26" ht="14.25" x14ac:dyDescent="0.2">
      <c r="A469" s="44"/>
      <c r="B469" s="45"/>
      <c r="C469" s="45" t="s">
        <v>151</v>
      </c>
      <c r="D469" s="28"/>
      <c r="E469" s="11"/>
      <c r="F469" s="29">
        <f>Source!AM163</f>
        <v>1.21</v>
      </c>
      <c r="G469" s="30" t="str">
        <f>Source!DE163</f>
        <v>)*1,25*5</v>
      </c>
      <c r="H469" s="29">
        <f>ROUND(Source!AD163*Source!I163, 2)</f>
        <v>15.15</v>
      </c>
      <c r="I469" s="30"/>
      <c r="J469" s="30">
        <f>IF(Source!BB163&lt;&gt; 0, Source!BB163, 1)</f>
        <v>6.56</v>
      </c>
      <c r="K469" s="29">
        <f>Source!Q163</f>
        <v>99.4</v>
      </c>
      <c r="L469" s="31"/>
    </row>
    <row r="470" spans="1:26" ht="14.25" x14ac:dyDescent="0.2">
      <c r="A470" s="44"/>
      <c r="B470" s="45"/>
      <c r="C470" s="45" t="s">
        <v>1931</v>
      </c>
      <c r="D470" s="28"/>
      <c r="E470" s="11"/>
      <c r="F470" s="29">
        <f>Source!AN163</f>
        <v>0.35</v>
      </c>
      <c r="G470" s="30" t="str">
        <f>Source!DF163</f>
        <v>)*1,25*5</v>
      </c>
      <c r="H470" s="32">
        <f>ROUND(Source!AE163*Source!I163, 2)</f>
        <v>4.38</v>
      </c>
      <c r="I470" s="30"/>
      <c r="J470" s="30">
        <f>IF(Source!BS163&lt;&gt; 0, Source!BS163, 1)</f>
        <v>6.56</v>
      </c>
      <c r="K470" s="32">
        <f>Source!R163</f>
        <v>28.76</v>
      </c>
      <c r="L470" s="31"/>
      <c r="R470">
        <f>H470</f>
        <v>4.38</v>
      </c>
    </row>
    <row r="471" spans="1:26" ht="14.25" x14ac:dyDescent="0.2">
      <c r="A471" s="44"/>
      <c r="B471" s="45"/>
      <c r="C471" s="45" t="s">
        <v>1937</v>
      </c>
      <c r="D471" s="28"/>
      <c r="E471" s="11"/>
      <c r="F471" s="29">
        <f>Source!AL163</f>
        <v>2048.75</v>
      </c>
      <c r="G471" s="30" t="str">
        <f>Source!DD163</f>
        <v>*5</v>
      </c>
      <c r="H471" s="29">
        <f>ROUND(Source!AC163*Source!I163, 2)</f>
        <v>20503.89</v>
      </c>
      <c r="I471" s="30"/>
      <c r="J471" s="30">
        <f>IF(Source!BC163&lt;&gt; 0, Source!BC163, 1)</f>
        <v>6.56</v>
      </c>
      <c r="K471" s="29">
        <f>Source!P163</f>
        <v>134505.51999999999</v>
      </c>
      <c r="L471" s="31"/>
    </row>
    <row r="472" spans="1:26" ht="14.25" x14ac:dyDescent="0.2">
      <c r="A472" s="44"/>
      <c r="B472" s="45"/>
      <c r="C472" s="45" t="s">
        <v>1932</v>
      </c>
      <c r="D472" s="28" t="s">
        <v>1933</v>
      </c>
      <c r="E472" s="11">
        <f>Source!BZ163</f>
        <v>123</v>
      </c>
      <c r="F472" s="64" t="str">
        <f>CONCATENATE(" )", Source!DL163, Source!FT163, "=", Source!FX163)</f>
        <v xml:space="preserve"> )*0,9=110,7</v>
      </c>
      <c r="G472" s="65"/>
      <c r="H472" s="29">
        <f>SUM(S466:S474)</f>
        <v>267.82</v>
      </c>
      <c r="I472" s="33"/>
      <c r="J472" s="26">
        <f>Source!AT163</f>
        <v>111</v>
      </c>
      <c r="K472" s="29">
        <f>SUM(T466:T474)</f>
        <v>1761.67</v>
      </c>
      <c r="L472" s="31"/>
    </row>
    <row r="473" spans="1:26" ht="14.25" x14ac:dyDescent="0.2">
      <c r="A473" s="44"/>
      <c r="B473" s="45"/>
      <c r="C473" s="45" t="s">
        <v>1934</v>
      </c>
      <c r="D473" s="28" t="s">
        <v>1933</v>
      </c>
      <c r="E473" s="11">
        <f>Source!CA163</f>
        <v>75</v>
      </c>
      <c r="F473" s="64" t="str">
        <f>CONCATENATE(" )", Source!DM163, Source!FU163, "=", Source!FY163)</f>
        <v xml:space="preserve"> )*0,85=63,75</v>
      </c>
      <c r="G473" s="65"/>
      <c r="H473" s="29">
        <f>SUM(U466:U474)</f>
        <v>154.22999999999999</v>
      </c>
      <c r="I473" s="33"/>
      <c r="J473" s="26">
        <f>Source!AU163</f>
        <v>64</v>
      </c>
      <c r="K473" s="29">
        <f>SUM(V466:V474)</f>
        <v>1015.74</v>
      </c>
      <c r="L473" s="31"/>
    </row>
    <row r="474" spans="1:26" ht="14.25" x14ac:dyDescent="0.2">
      <c r="A474" s="46"/>
      <c r="B474" s="47"/>
      <c r="C474" s="47" t="s">
        <v>1935</v>
      </c>
      <c r="D474" s="34" t="s">
        <v>1936</v>
      </c>
      <c r="E474" s="35">
        <f>Source!AQ163</f>
        <v>2.42</v>
      </c>
      <c r="F474" s="36"/>
      <c r="G474" s="37" t="str">
        <f>Source!DI163</f>
        <v>)*1,15*5</v>
      </c>
      <c r="H474" s="36"/>
      <c r="I474" s="37"/>
      <c r="J474" s="37"/>
      <c r="K474" s="36"/>
      <c r="L474" s="38">
        <f>Source!U163</f>
        <v>27.852263999999995</v>
      </c>
    </row>
    <row r="475" spans="1:26" ht="15" x14ac:dyDescent="0.25">
      <c r="G475" s="63">
        <f>H468+H469+H471+H472+H473</f>
        <v>21178.639999999999</v>
      </c>
      <c r="H475" s="63"/>
      <c r="J475" s="63">
        <f>K468+K469+K471+K472+K473</f>
        <v>138940.66</v>
      </c>
      <c r="K475" s="63"/>
      <c r="L475" s="39">
        <f>Source!U163</f>
        <v>27.852263999999995</v>
      </c>
      <c r="O475" s="24">
        <f>G475</f>
        <v>21178.639999999999</v>
      </c>
      <c r="P475" s="24">
        <f>J475</f>
        <v>138940.66</v>
      </c>
      <c r="Q475" s="24">
        <f>L475</f>
        <v>27.852263999999995</v>
      </c>
      <c r="W475">
        <f>IF(Source!BI163&lt;=1,H468+H469+H471+H472+H473, 0)</f>
        <v>21178.639999999999</v>
      </c>
      <c r="X475">
        <f>IF(Source!BI163=2,H468+H469+H471+H472+H473, 0)</f>
        <v>0</v>
      </c>
      <c r="Y475">
        <f>IF(Source!BI163=3,H468+H469+H471+H472+H473, 0)</f>
        <v>0</v>
      </c>
      <c r="Z475">
        <f>IF(Source!BI163=4,H468+H469+H471+H472+H473, 0)</f>
        <v>0</v>
      </c>
    </row>
    <row r="476" spans="1:26" ht="28.5" x14ac:dyDescent="0.2">
      <c r="A476" s="44" t="str">
        <f>Source!E164</f>
        <v>44</v>
      </c>
      <c r="B476" s="45" t="str">
        <f>Source!F164</f>
        <v>57-10-6</v>
      </c>
      <c r="C476" s="45" t="str">
        <f>Source!G164</f>
        <v>Заделка выбоин в полах мозаичных площадью до 1,0 м2</v>
      </c>
      <c r="D476" s="28" t="str">
        <f>Source!H164</f>
        <v>100 мест</v>
      </c>
      <c r="E476" s="11">
        <f>Source!I164</f>
        <v>0.02</v>
      </c>
      <c r="F476" s="29">
        <f>Source!AL164+Source!AM164+Source!AO164</f>
        <v>3261.04</v>
      </c>
      <c r="G476" s="30"/>
      <c r="H476" s="29"/>
      <c r="I476" s="30" t="str">
        <f>Source!BO164</f>
        <v/>
      </c>
      <c r="J476" s="30"/>
      <c r="K476" s="29"/>
      <c r="L476" s="31"/>
      <c r="S476">
        <f>ROUND((Source!FX164/100)*((ROUND(Source!AF164*Source!I164, 2)+ROUND(Source!AE164*Source!I164, 2))), 2)</f>
        <v>50.79</v>
      </c>
      <c r="T476">
        <f>Source!X164</f>
        <v>333.22</v>
      </c>
      <c r="U476">
        <f>ROUND((Source!FY164/100)*((ROUND(Source!AF164*Source!I164, 2)+ROUND(Source!AE164*Source!I164, 2))), 2)</f>
        <v>43.17</v>
      </c>
      <c r="V476">
        <f>Source!Y164</f>
        <v>283.23</v>
      </c>
    </row>
    <row r="477" spans="1:26" x14ac:dyDescent="0.2">
      <c r="C477" s="23" t="str">
        <f>"Объем: "&amp;Source!I164&amp;"=2/"&amp;"100"</f>
        <v>Объем: 0,02=2/100</v>
      </c>
    </row>
    <row r="478" spans="1:26" ht="14.25" x14ac:dyDescent="0.2">
      <c r="A478" s="44"/>
      <c r="B478" s="45"/>
      <c r="C478" s="45" t="s">
        <v>1930</v>
      </c>
      <c r="D478" s="28"/>
      <c r="E478" s="11"/>
      <c r="F478" s="29">
        <f>Source!AO164</f>
        <v>3174.7</v>
      </c>
      <c r="G478" s="30" t="str">
        <f>Source!DG164</f>
        <v/>
      </c>
      <c r="H478" s="29">
        <f>ROUND(Source!AF164*Source!I164, 2)</f>
        <v>63.49</v>
      </c>
      <c r="I478" s="30"/>
      <c r="J478" s="30">
        <f>IF(Source!BA164&lt;&gt; 0, Source!BA164, 1)</f>
        <v>6.56</v>
      </c>
      <c r="K478" s="29">
        <f>Source!S164</f>
        <v>416.52</v>
      </c>
      <c r="L478" s="31"/>
      <c r="R478">
        <f>H478</f>
        <v>63.49</v>
      </c>
    </row>
    <row r="479" spans="1:26" ht="14.25" x14ac:dyDescent="0.2">
      <c r="A479" s="44"/>
      <c r="B479" s="45"/>
      <c r="C479" s="45" t="s">
        <v>151</v>
      </c>
      <c r="D479" s="28"/>
      <c r="E479" s="11"/>
      <c r="F479" s="29">
        <f>Source!AM164</f>
        <v>86.1</v>
      </c>
      <c r="G479" s="30" t="str">
        <f>Source!DE164</f>
        <v/>
      </c>
      <c r="H479" s="29">
        <f>ROUND(Source!AD164*Source!I164, 2)</f>
        <v>1.72</v>
      </c>
      <c r="I479" s="30"/>
      <c r="J479" s="30">
        <f>IF(Source!BB164&lt;&gt; 0, Source!BB164, 1)</f>
        <v>6.56</v>
      </c>
      <c r="K479" s="29">
        <f>Source!Q164</f>
        <v>11.3</v>
      </c>
      <c r="L479" s="31"/>
    </row>
    <row r="480" spans="1:26" ht="14.25" x14ac:dyDescent="0.2">
      <c r="A480" s="44"/>
      <c r="B480" s="45"/>
      <c r="C480" s="45" t="s">
        <v>1937</v>
      </c>
      <c r="D480" s="28"/>
      <c r="E480" s="11"/>
      <c r="F480" s="29">
        <f>Source!AL164</f>
        <v>0.24</v>
      </c>
      <c r="G480" s="30" t="str">
        <f>Source!DD164</f>
        <v/>
      </c>
      <c r="H480" s="29">
        <f>ROUND(Source!AC164*Source!I164, 2)</f>
        <v>0</v>
      </c>
      <c r="I480" s="30"/>
      <c r="J480" s="30">
        <f>IF(Source!BC164&lt;&gt; 0, Source!BC164, 1)</f>
        <v>6.56</v>
      </c>
      <c r="K480" s="29">
        <f>Source!P164</f>
        <v>0.03</v>
      </c>
      <c r="L480" s="31"/>
    </row>
    <row r="481" spans="1:26" ht="14.25" x14ac:dyDescent="0.2">
      <c r="A481" s="44"/>
      <c r="B481" s="45"/>
      <c r="C481" s="45" t="s">
        <v>1932</v>
      </c>
      <c r="D481" s="28" t="s">
        <v>1933</v>
      </c>
      <c r="E481" s="11">
        <f>Source!BZ164</f>
        <v>80</v>
      </c>
      <c r="F481" s="48"/>
      <c r="G481" s="30"/>
      <c r="H481" s="29">
        <f>SUM(S476:S488)</f>
        <v>50.79</v>
      </c>
      <c r="I481" s="33"/>
      <c r="J481" s="26">
        <f>Source!AT164</f>
        <v>80</v>
      </c>
      <c r="K481" s="29">
        <f>SUM(T476:T488)</f>
        <v>333.22</v>
      </c>
      <c r="L481" s="31"/>
    </row>
    <row r="482" spans="1:26" ht="14.25" x14ac:dyDescent="0.2">
      <c r="A482" s="44"/>
      <c r="B482" s="45"/>
      <c r="C482" s="45" t="s">
        <v>1934</v>
      </c>
      <c r="D482" s="28" t="s">
        <v>1933</v>
      </c>
      <c r="E482" s="11">
        <f>Source!CA164</f>
        <v>68</v>
      </c>
      <c r="F482" s="48"/>
      <c r="G482" s="30"/>
      <c r="H482" s="29">
        <f>SUM(U476:U488)</f>
        <v>43.17</v>
      </c>
      <c r="I482" s="33"/>
      <c r="J482" s="26">
        <f>Source!AU164</f>
        <v>68</v>
      </c>
      <c r="K482" s="29">
        <f>SUM(V476:V488)</f>
        <v>283.23</v>
      </c>
      <c r="L482" s="31"/>
    </row>
    <row r="483" spans="1:26" ht="14.25" x14ac:dyDescent="0.2">
      <c r="A483" s="44"/>
      <c r="B483" s="45"/>
      <c r="C483" s="45" t="s">
        <v>1935</v>
      </c>
      <c r="D483" s="28" t="s">
        <v>1936</v>
      </c>
      <c r="E483" s="11">
        <f>Source!AQ164</f>
        <v>372.18</v>
      </c>
      <c r="F483" s="29"/>
      <c r="G483" s="30" t="str">
        <f>Source!DI164</f>
        <v/>
      </c>
      <c r="H483" s="29"/>
      <c r="I483" s="30"/>
      <c r="J483" s="30"/>
      <c r="K483" s="29"/>
      <c r="L483" s="40">
        <f>Source!U164</f>
        <v>7.4436</v>
      </c>
    </row>
    <row r="484" spans="1:26" ht="28.5" x14ac:dyDescent="0.2">
      <c r="A484" s="44" t="str">
        <f>Source!E165</f>
        <v>44,1</v>
      </c>
      <c r="B484" s="45" t="str">
        <f>Source!F165</f>
        <v>04.3.01.06-0001</v>
      </c>
      <c r="C484" s="45" t="str">
        <f>Source!G165</f>
        <v>Раствор декоративный (с каменной крошкой)</v>
      </c>
      <c r="D484" s="28" t="str">
        <f>Source!H165</f>
        <v>м3</v>
      </c>
      <c r="E484" s="11">
        <f>Source!I165</f>
        <v>4.2799999999999998E-2</v>
      </c>
      <c r="F484" s="29">
        <f>Source!AL165+Source!AM165+Source!AO165</f>
        <v>572</v>
      </c>
      <c r="G484" s="41" t="s">
        <v>6</v>
      </c>
      <c r="H484" s="29">
        <f>ROUND(Source!AC165*Source!I165, 2)+ROUND(Source!AD165*Source!I165, 2)+ROUND(Source!AF165*Source!I165, 2)</f>
        <v>24.48</v>
      </c>
      <c r="I484" s="30"/>
      <c r="J484" s="30">
        <f>IF(Source!BC165&lt;&gt; 0, Source!BC165, 1)</f>
        <v>6.56</v>
      </c>
      <c r="K484" s="29">
        <f>Source!O165</f>
        <v>160.6</v>
      </c>
      <c r="L484" s="31"/>
      <c r="S484">
        <f>ROUND((Source!FX165/100)*((ROUND(Source!AF165*Source!I165, 2)+ROUND(Source!AE165*Source!I165, 2))), 2)</f>
        <v>0</v>
      </c>
      <c r="T484">
        <f>Source!X165</f>
        <v>0</v>
      </c>
      <c r="U484">
        <f>ROUND((Source!FY165/100)*((ROUND(Source!AF165*Source!I165, 2)+ROUND(Source!AE165*Source!I165, 2))), 2)</f>
        <v>0</v>
      </c>
      <c r="V484">
        <f>Source!Y165</f>
        <v>0</v>
      </c>
      <c r="W484">
        <f>IF(Source!BI165&lt;=1,H484, 0)</f>
        <v>24.48</v>
      </c>
      <c r="X484">
        <f>IF(Source!BI165=2,H484, 0)</f>
        <v>0</v>
      </c>
      <c r="Y484">
        <f>IF(Source!BI165=3,H484, 0)</f>
        <v>0</v>
      </c>
      <c r="Z484">
        <f>IF(Source!BI165=4,H484, 0)</f>
        <v>0</v>
      </c>
    </row>
    <row r="485" spans="1:26" ht="28.5" x14ac:dyDescent="0.2">
      <c r="A485" s="44" t="str">
        <f>Source!E166</f>
        <v>44,2</v>
      </c>
      <c r="B485" s="45" t="str">
        <f>Source!F166</f>
        <v>04.3.01.09-0015</v>
      </c>
      <c r="C485" s="45" t="str">
        <f>Source!G166</f>
        <v>Раствор готовый кладочный цементный марки 150</v>
      </c>
      <c r="D485" s="28" t="str">
        <f>Source!H166</f>
        <v>м3</v>
      </c>
      <c r="E485" s="11">
        <f>Source!I166</f>
        <v>3.0599999999999995E-2</v>
      </c>
      <c r="F485" s="29">
        <f>Source!AL166+Source!AM166+Source!AO166</f>
        <v>548.29999999999995</v>
      </c>
      <c r="G485" s="41" t="s">
        <v>6</v>
      </c>
      <c r="H485" s="29">
        <f>ROUND(Source!AC166*Source!I166, 2)+ROUND(Source!AD166*Source!I166, 2)+ROUND(Source!AF166*Source!I166, 2)</f>
        <v>16.78</v>
      </c>
      <c r="I485" s="30"/>
      <c r="J485" s="30">
        <f>IF(Source!BC166&lt;&gt; 0, Source!BC166, 1)</f>
        <v>6.56</v>
      </c>
      <c r="K485" s="29">
        <f>Source!O166</f>
        <v>110.06</v>
      </c>
      <c r="L485" s="31"/>
      <c r="S485">
        <f>ROUND((Source!FX166/100)*((ROUND(Source!AF166*Source!I166, 2)+ROUND(Source!AE166*Source!I166, 2))), 2)</f>
        <v>0</v>
      </c>
      <c r="T485">
        <f>Source!X166</f>
        <v>0</v>
      </c>
      <c r="U485">
        <f>ROUND((Source!FY166/100)*((ROUND(Source!AF166*Source!I166, 2)+ROUND(Source!AE166*Source!I166, 2))), 2)</f>
        <v>0</v>
      </c>
      <c r="V485">
        <f>Source!Y166</f>
        <v>0</v>
      </c>
      <c r="W485">
        <f>IF(Source!BI166&lt;=1,H485, 0)</f>
        <v>16.78</v>
      </c>
      <c r="X485">
        <f>IF(Source!BI166=2,H485, 0)</f>
        <v>0</v>
      </c>
      <c r="Y485">
        <f>IF(Source!BI166=3,H485, 0)</f>
        <v>0</v>
      </c>
      <c r="Z485">
        <f>IF(Source!BI166=4,H485, 0)</f>
        <v>0</v>
      </c>
    </row>
    <row r="486" spans="1:26" ht="14.25" x14ac:dyDescent="0.2">
      <c r="A486" s="44" t="str">
        <f>Source!E167</f>
        <v>44,3</v>
      </c>
      <c r="B486" s="45" t="str">
        <f>Source!F167</f>
        <v>01.7.07.07</v>
      </c>
      <c r="C486" s="45" t="str">
        <f>Source!G167</f>
        <v>Строительный мусор</v>
      </c>
      <c r="D486" s="28" t="str">
        <f>Source!H167</f>
        <v>т</v>
      </c>
      <c r="E486" s="11">
        <f>Source!I167</f>
        <v>5.0800000000000005E-2</v>
      </c>
      <c r="F486" s="29">
        <f>Source!AL167+Source!AM167+Source!AO167</f>
        <v>0</v>
      </c>
      <c r="G486" s="41" t="s">
        <v>6</v>
      </c>
      <c r="H486" s="29">
        <f>ROUND(Source!AC167*Source!I167, 2)+ROUND(Source!AD167*Source!I167, 2)+ROUND(Source!AF167*Source!I167, 2)</f>
        <v>0</v>
      </c>
      <c r="I486" s="30"/>
      <c r="J486" s="30">
        <f>IF(Source!BC167&lt;&gt; 0, Source!BC167, 1)</f>
        <v>6.56</v>
      </c>
      <c r="K486" s="29">
        <f>Source!O167</f>
        <v>0</v>
      </c>
      <c r="L486" s="31"/>
      <c r="S486">
        <f>ROUND((Source!FX167/100)*((ROUND(Source!AF167*Source!I167, 2)+ROUND(Source!AE167*Source!I167, 2))), 2)</f>
        <v>0</v>
      </c>
      <c r="T486">
        <f>Source!X167</f>
        <v>0</v>
      </c>
      <c r="U486">
        <f>ROUND((Source!FY167/100)*((ROUND(Source!AF167*Source!I167, 2)+ROUND(Source!AE167*Source!I167, 2))), 2)</f>
        <v>0</v>
      </c>
      <c r="V486">
        <f>Source!Y167</f>
        <v>0</v>
      </c>
      <c r="W486">
        <f>IF(Source!BI167&lt;=1,H486, 0)</f>
        <v>0</v>
      </c>
      <c r="X486">
        <f>IF(Source!BI167=2,H486, 0)</f>
        <v>0</v>
      </c>
      <c r="Y486">
        <f>IF(Source!BI167=3,H486, 0)</f>
        <v>0</v>
      </c>
      <c r="Z486">
        <f>IF(Source!BI167=4,H486, 0)</f>
        <v>0</v>
      </c>
    </row>
    <row r="487" spans="1:26" ht="28.5" x14ac:dyDescent="0.2">
      <c r="A487" s="44" t="str">
        <f>Source!E168</f>
        <v>44,4</v>
      </c>
      <c r="B487" s="45" t="str">
        <f>Source!F168</f>
        <v>04.3.01.06</v>
      </c>
      <c r="C487" s="45" t="str">
        <f>Source!G168</f>
        <v>Раствор декоративный (с каменной крошкой)</v>
      </c>
      <c r="D487" s="28" t="str">
        <f>Source!H168</f>
        <v>м3</v>
      </c>
      <c r="E487" s="11">
        <f>Source!I168</f>
        <v>4.2799999999999998E-2</v>
      </c>
      <c r="F487" s="29">
        <f>Source!AL168+Source!AM168+Source!AO168</f>
        <v>0</v>
      </c>
      <c r="G487" s="41" t="s">
        <v>6</v>
      </c>
      <c r="H487" s="29">
        <f>ROUND(Source!AC168*Source!I168, 2)+ROUND(Source!AD168*Source!I168, 2)+ROUND(Source!AF168*Source!I168, 2)</f>
        <v>0</v>
      </c>
      <c r="I487" s="30"/>
      <c r="J487" s="30">
        <f>IF(Source!BC168&lt;&gt; 0, Source!BC168, 1)</f>
        <v>6.56</v>
      </c>
      <c r="K487" s="29">
        <f>Source!O168</f>
        <v>0</v>
      </c>
      <c r="L487" s="31"/>
      <c r="S487">
        <f>ROUND((Source!FX168/100)*((ROUND(Source!AF168*Source!I168, 2)+ROUND(Source!AE168*Source!I168, 2))), 2)</f>
        <v>0</v>
      </c>
      <c r="T487">
        <f>Source!X168</f>
        <v>0</v>
      </c>
      <c r="U487">
        <f>ROUND((Source!FY168/100)*((ROUND(Source!AF168*Source!I168, 2)+ROUND(Source!AE168*Source!I168, 2))), 2)</f>
        <v>0</v>
      </c>
      <c r="V487">
        <f>Source!Y168</f>
        <v>0</v>
      </c>
      <c r="W487">
        <f>IF(Source!BI168&lt;=1,H487, 0)</f>
        <v>0</v>
      </c>
      <c r="X487">
        <f>IF(Source!BI168=2,H487, 0)</f>
        <v>0</v>
      </c>
      <c r="Y487">
        <f>IF(Source!BI168=3,H487, 0)</f>
        <v>0</v>
      </c>
      <c r="Z487">
        <f>IF(Source!BI168=4,H487, 0)</f>
        <v>0</v>
      </c>
    </row>
    <row r="488" spans="1:26" ht="28.5" x14ac:dyDescent="0.2">
      <c r="A488" s="46" t="str">
        <f>Source!E169</f>
        <v>44,5</v>
      </c>
      <c r="B488" s="47" t="str">
        <f>Source!F169</f>
        <v>04.3.01.09</v>
      </c>
      <c r="C488" s="47" t="str">
        <f>Source!G169</f>
        <v>Раствор готовый кладочный тяжелый цементный</v>
      </c>
      <c r="D488" s="34" t="str">
        <f>Source!H169</f>
        <v>м3</v>
      </c>
      <c r="E488" s="35">
        <f>Source!I169</f>
        <v>3.0599999999999995E-2</v>
      </c>
      <c r="F488" s="36">
        <f>Source!AL169+Source!AM169+Source!AO169</f>
        <v>0</v>
      </c>
      <c r="G488" s="42" t="s">
        <v>6</v>
      </c>
      <c r="H488" s="36">
        <f>ROUND(Source!AC169*Source!I169, 2)+ROUND(Source!AD169*Source!I169, 2)+ROUND(Source!AF169*Source!I169, 2)</f>
        <v>0</v>
      </c>
      <c r="I488" s="37"/>
      <c r="J488" s="37">
        <f>IF(Source!BC169&lt;&gt; 0, Source!BC169, 1)</f>
        <v>6.56</v>
      </c>
      <c r="K488" s="36">
        <f>Source!O169</f>
        <v>0</v>
      </c>
      <c r="L488" s="43"/>
      <c r="S488">
        <f>ROUND((Source!FX169/100)*((ROUND(Source!AF169*Source!I169, 2)+ROUND(Source!AE169*Source!I169, 2))), 2)</f>
        <v>0</v>
      </c>
      <c r="T488">
        <f>Source!X169</f>
        <v>0</v>
      </c>
      <c r="U488">
        <f>ROUND((Source!FY169/100)*((ROUND(Source!AF169*Source!I169, 2)+ROUND(Source!AE169*Source!I169, 2))), 2)</f>
        <v>0</v>
      </c>
      <c r="V488">
        <f>Source!Y169</f>
        <v>0</v>
      </c>
      <c r="W488">
        <f>IF(Source!BI169&lt;=1,H488, 0)</f>
        <v>0</v>
      </c>
      <c r="X488">
        <f>IF(Source!BI169=2,H488, 0)</f>
        <v>0</v>
      </c>
      <c r="Y488">
        <f>IF(Source!BI169=3,H488, 0)</f>
        <v>0</v>
      </c>
      <c r="Z488">
        <f>IF(Source!BI169=4,H488, 0)</f>
        <v>0</v>
      </c>
    </row>
    <row r="489" spans="1:26" ht="15" x14ac:dyDescent="0.25">
      <c r="G489" s="63">
        <f>H478+H479+H480+H481+H482+SUM(H484:H488)</f>
        <v>200.43</v>
      </c>
      <c r="H489" s="63"/>
      <c r="J489" s="63">
        <f>K478+K479+K480+K481+K482+SUM(K484:K488)</f>
        <v>1314.96</v>
      </c>
      <c r="K489" s="63"/>
      <c r="L489" s="39">
        <f>Source!U164</f>
        <v>7.4436</v>
      </c>
      <c r="O489" s="24">
        <f>G489</f>
        <v>200.43</v>
      </c>
      <c r="P489" s="24">
        <f>J489</f>
        <v>1314.96</v>
      </c>
      <c r="Q489" s="24">
        <f>L489</f>
        <v>7.4436</v>
      </c>
      <c r="W489">
        <f>IF(Source!BI164&lt;=1,H478+H479+H480+H481+H482, 0)</f>
        <v>159.17000000000002</v>
      </c>
      <c r="X489">
        <f>IF(Source!BI164=2,H478+H479+H480+H481+H482, 0)</f>
        <v>0</v>
      </c>
      <c r="Y489">
        <f>IF(Source!BI164=3,H478+H479+H480+H481+H482, 0)</f>
        <v>0</v>
      </c>
      <c r="Z489">
        <f>IF(Source!BI164=4,H478+H479+H480+H481+H482, 0)</f>
        <v>0</v>
      </c>
    </row>
    <row r="490" spans="1:26" ht="42.75" x14ac:dyDescent="0.2">
      <c r="A490" s="44" t="str">
        <f>Source!E170</f>
        <v>45</v>
      </c>
      <c r="B490" s="45" t="str">
        <f>Source!F170</f>
        <v>11-01-015-07</v>
      </c>
      <c r="C490" s="45" t="str">
        <f>Source!G170</f>
        <v>Шлифовка бетонных или металлоцементных покрытий (мраморных плит) прим.</v>
      </c>
      <c r="D490" s="28" t="str">
        <f>Source!H170</f>
        <v>100 м2</v>
      </c>
      <c r="E490" s="11">
        <f>Source!I170</f>
        <v>0.86299999999999999</v>
      </c>
      <c r="F490" s="29">
        <f>Source!AL170+Source!AM170+Source!AO170</f>
        <v>978.36</v>
      </c>
      <c r="G490" s="30"/>
      <c r="H490" s="29"/>
      <c r="I490" s="30" t="str">
        <f>Source!BO170</f>
        <v/>
      </c>
      <c r="J490" s="30"/>
      <c r="K490" s="29"/>
      <c r="L490" s="31"/>
      <c r="S490">
        <f>ROUND((Source!FX170/100)*((ROUND(Source!AF170*Source!I170, 2)+ROUND(Source!AE170*Source!I170, 2))), 2)</f>
        <v>822.69</v>
      </c>
      <c r="T490">
        <f>Source!X170</f>
        <v>5411.43</v>
      </c>
      <c r="U490">
        <f>ROUND((Source!FY170/100)*((ROUND(Source!AF170*Source!I170, 2)+ROUND(Source!AE170*Source!I170, 2))), 2)</f>
        <v>473.77</v>
      </c>
      <c r="V490">
        <f>Source!Y170</f>
        <v>3120.1</v>
      </c>
    </row>
    <row r="491" spans="1:26" x14ac:dyDescent="0.2">
      <c r="C491" s="23" t="str">
        <f>"Объем: "&amp;Source!I170&amp;"=86,3/"&amp;"100"</f>
        <v>Объем: 0,863=86,3/100</v>
      </c>
    </row>
    <row r="492" spans="1:26" ht="14.25" x14ac:dyDescent="0.2">
      <c r="A492" s="44"/>
      <c r="B492" s="45"/>
      <c r="C492" s="45" t="s">
        <v>1930</v>
      </c>
      <c r="D492" s="28"/>
      <c r="E492" s="11"/>
      <c r="F492" s="29">
        <f>Source!AO170</f>
        <v>725.96</v>
      </c>
      <c r="G492" s="30" t="str">
        <f>Source!DG170</f>
        <v>)*1,15</v>
      </c>
      <c r="H492" s="29">
        <f>ROUND(Source!AF170*Source!I170, 2)</f>
        <v>720.48</v>
      </c>
      <c r="I492" s="30"/>
      <c r="J492" s="30">
        <f>IF(Source!BA170&lt;&gt; 0, Source!BA170, 1)</f>
        <v>6.56</v>
      </c>
      <c r="K492" s="29">
        <f>Source!S170</f>
        <v>4726.32</v>
      </c>
      <c r="L492" s="31"/>
      <c r="R492">
        <f>H492</f>
        <v>720.48</v>
      </c>
    </row>
    <row r="493" spans="1:26" ht="14.25" x14ac:dyDescent="0.2">
      <c r="A493" s="44"/>
      <c r="B493" s="45"/>
      <c r="C493" s="45" t="s">
        <v>151</v>
      </c>
      <c r="D493" s="28"/>
      <c r="E493" s="11"/>
      <c r="F493" s="29">
        <f>Source!AM170</f>
        <v>236.1</v>
      </c>
      <c r="G493" s="30" t="str">
        <f>Source!DE170</f>
        <v>)*1,25</v>
      </c>
      <c r="H493" s="29">
        <f>ROUND(Source!AD170*Source!I170, 2)</f>
        <v>254.7</v>
      </c>
      <c r="I493" s="30"/>
      <c r="J493" s="30">
        <f>IF(Source!BB170&lt;&gt; 0, Source!BB170, 1)</f>
        <v>6.56</v>
      </c>
      <c r="K493" s="29">
        <f>Source!Q170</f>
        <v>1670.81</v>
      </c>
      <c r="L493" s="31"/>
    </row>
    <row r="494" spans="1:26" ht="14.25" x14ac:dyDescent="0.2">
      <c r="A494" s="44"/>
      <c r="B494" s="45"/>
      <c r="C494" s="45" t="s">
        <v>1931</v>
      </c>
      <c r="D494" s="28"/>
      <c r="E494" s="11"/>
      <c r="F494" s="29">
        <f>Source!AN170</f>
        <v>21.03</v>
      </c>
      <c r="G494" s="30" t="str">
        <f>Source!DF170</f>
        <v>)*1,25</v>
      </c>
      <c r="H494" s="32">
        <f>ROUND(Source!AE170*Source!I170, 2)</f>
        <v>22.69</v>
      </c>
      <c r="I494" s="30"/>
      <c r="J494" s="30">
        <f>IF(Source!BS170&lt;&gt; 0, Source!BS170, 1)</f>
        <v>6.56</v>
      </c>
      <c r="K494" s="32">
        <f>Source!R170</f>
        <v>148.84</v>
      </c>
      <c r="L494" s="31"/>
      <c r="R494">
        <f>H494</f>
        <v>22.69</v>
      </c>
    </row>
    <row r="495" spans="1:26" ht="14.25" x14ac:dyDescent="0.2">
      <c r="A495" s="44"/>
      <c r="B495" s="45"/>
      <c r="C495" s="45" t="s">
        <v>1937</v>
      </c>
      <c r="D495" s="28"/>
      <c r="E495" s="11"/>
      <c r="F495" s="29">
        <f>Source!AL170</f>
        <v>16.3</v>
      </c>
      <c r="G495" s="30" t="str">
        <f>Source!DD170</f>
        <v/>
      </c>
      <c r="H495" s="29">
        <f>ROUND(Source!AC170*Source!I170, 2)</f>
        <v>14.07</v>
      </c>
      <c r="I495" s="30"/>
      <c r="J495" s="30">
        <f>IF(Source!BC170&lt;&gt; 0, Source!BC170, 1)</f>
        <v>6.56</v>
      </c>
      <c r="K495" s="29">
        <f>Source!P170</f>
        <v>92.28</v>
      </c>
      <c r="L495" s="31"/>
    </row>
    <row r="496" spans="1:26" ht="14.25" x14ac:dyDescent="0.2">
      <c r="A496" s="44"/>
      <c r="B496" s="45"/>
      <c r="C496" s="45" t="s">
        <v>1932</v>
      </c>
      <c r="D496" s="28" t="s">
        <v>1933</v>
      </c>
      <c r="E496" s="11">
        <f>Source!BZ170</f>
        <v>123</v>
      </c>
      <c r="F496" s="64" t="str">
        <f>CONCATENATE(" )", Source!DL170, Source!FT170, "=", Source!FX170)</f>
        <v xml:space="preserve"> )*0,9=110,7</v>
      </c>
      <c r="G496" s="65"/>
      <c r="H496" s="29">
        <f>SUM(S490:S498)</f>
        <v>822.69</v>
      </c>
      <c r="I496" s="33"/>
      <c r="J496" s="26">
        <f>Source!AT170</f>
        <v>111</v>
      </c>
      <c r="K496" s="29">
        <f>SUM(T490:T498)</f>
        <v>5411.43</v>
      </c>
      <c r="L496" s="31"/>
    </row>
    <row r="497" spans="1:26" ht="14.25" x14ac:dyDescent="0.2">
      <c r="A497" s="44"/>
      <c r="B497" s="45"/>
      <c r="C497" s="45" t="s">
        <v>1934</v>
      </c>
      <c r="D497" s="28" t="s">
        <v>1933</v>
      </c>
      <c r="E497" s="11">
        <f>Source!CA170</f>
        <v>75</v>
      </c>
      <c r="F497" s="64" t="str">
        <f>CONCATENATE(" )", Source!DM170, Source!FU170, "=", Source!FY170)</f>
        <v xml:space="preserve"> )*0,85=63,75</v>
      </c>
      <c r="G497" s="65"/>
      <c r="H497" s="29">
        <f>SUM(U490:U498)</f>
        <v>473.77</v>
      </c>
      <c r="I497" s="33"/>
      <c r="J497" s="26">
        <f>Source!AU170</f>
        <v>64</v>
      </c>
      <c r="K497" s="29">
        <f>SUM(V490:V498)</f>
        <v>3120.1</v>
      </c>
      <c r="L497" s="31"/>
    </row>
    <row r="498" spans="1:26" ht="14.25" x14ac:dyDescent="0.2">
      <c r="A498" s="46"/>
      <c r="B498" s="47"/>
      <c r="C498" s="47" t="s">
        <v>1935</v>
      </c>
      <c r="D498" s="34" t="s">
        <v>1936</v>
      </c>
      <c r="E498" s="35">
        <f>Source!AQ170</f>
        <v>80.040000000000006</v>
      </c>
      <c r="F498" s="36"/>
      <c r="G498" s="37" t="str">
        <f>Source!DI170</f>
        <v>)*1,15</v>
      </c>
      <c r="H498" s="36"/>
      <c r="I498" s="37"/>
      <c r="J498" s="37"/>
      <c r="K498" s="36"/>
      <c r="L498" s="38">
        <f>Source!U170</f>
        <v>79.435698000000002</v>
      </c>
    </row>
    <row r="499" spans="1:26" ht="15" x14ac:dyDescent="0.25">
      <c r="G499" s="63">
        <f>H492+H493+H495+H496+H497</f>
        <v>2285.71</v>
      </c>
      <c r="H499" s="63"/>
      <c r="J499" s="63">
        <f>K492+K493+K495+K496+K497</f>
        <v>15020.94</v>
      </c>
      <c r="K499" s="63"/>
      <c r="L499" s="39">
        <f>Source!U170</f>
        <v>79.435698000000002</v>
      </c>
      <c r="O499" s="24">
        <f>G499</f>
        <v>2285.71</v>
      </c>
      <c r="P499" s="24">
        <f>J499</f>
        <v>15020.94</v>
      </c>
      <c r="Q499" s="24">
        <f>L499</f>
        <v>79.435698000000002</v>
      </c>
      <c r="W499">
        <f>IF(Source!BI170&lt;=1,H492+H493+H495+H496+H497, 0)</f>
        <v>2285.71</v>
      </c>
      <c r="X499">
        <f>IF(Source!BI170=2,H492+H493+H495+H496+H497, 0)</f>
        <v>0</v>
      </c>
      <c r="Y499">
        <f>IF(Source!BI170=3,H492+H493+H495+H496+H497, 0)</f>
        <v>0</v>
      </c>
      <c r="Z499">
        <f>IF(Source!BI170=4,H492+H493+H495+H496+H497, 0)</f>
        <v>0</v>
      </c>
    </row>
    <row r="500" spans="1:26" ht="28.5" x14ac:dyDescent="0.2">
      <c r="A500" s="44" t="str">
        <f>Source!E171</f>
        <v>46</v>
      </c>
      <c r="B500" s="45" t="str">
        <f>Source!F171</f>
        <v>11-01-047-01</v>
      </c>
      <c r="C500" s="45" t="str">
        <f>Source!G171</f>
        <v>Устройство покрытий из плит керамогранитных размером 40х40 см</v>
      </c>
      <c r="D500" s="28" t="str">
        <f>Source!H171</f>
        <v>100 м2</v>
      </c>
      <c r="E500" s="11">
        <f>Source!I171</f>
        <v>0.21</v>
      </c>
      <c r="F500" s="29">
        <f>Source!AL171+Source!AM171+Source!AO171</f>
        <v>21576.86</v>
      </c>
      <c r="G500" s="30"/>
      <c r="H500" s="29"/>
      <c r="I500" s="30" t="str">
        <f>Source!BO171</f>
        <v/>
      </c>
      <c r="J500" s="30"/>
      <c r="K500" s="29"/>
      <c r="L500" s="31"/>
      <c r="S500">
        <f>ROUND((Source!FX171/100)*((ROUND(Source!AF171*Source!I171, 2)+ROUND(Source!AE171*Source!I171, 2))), 2)</f>
        <v>730.41</v>
      </c>
      <c r="T500">
        <f>Source!X171</f>
        <v>4804.42</v>
      </c>
      <c r="U500">
        <f>ROUND((Source!FY171/100)*((ROUND(Source!AF171*Source!I171, 2)+ROUND(Source!AE171*Source!I171, 2))), 2)</f>
        <v>420.63</v>
      </c>
      <c r="V500">
        <f>Source!Y171</f>
        <v>2770.12</v>
      </c>
    </row>
    <row r="501" spans="1:26" x14ac:dyDescent="0.2">
      <c r="C501" s="23" t="str">
        <f>"Объем: "&amp;Source!I171&amp;"=21/"&amp;"100"</f>
        <v>Объем: 0,21=21/100</v>
      </c>
    </row>
    <row r="502" spans="1:26" ht="14.25" x14ac:dyDescent="0.2">
      <c r="A502" s="44"/>
      <c r="B502" s="45"/>
      <c r="C502" s="45" t="s">
        <v>1930</v>
      </c>
      <c r="D502" s="28"/>
      <c r="E502" s="11"/>
      <c r="F502" s="29">
        <f>Source!AO171</f>
        <v>2713.07</v>
      </c>
      <c r="G502" s="30" t="str">
        <f>Source!DG171</f>
        <v>)*1,15</v>
      </c>
      <c r="H502" s="29">
        <f>ROUND(Source!AF171*Source!I171, 2)</f>
        <v>655.21</v>
      </c>
      <c r="I502" s="30"/>
      <c r="J502" s="30">
        <f>IF(Source!BA171&lt;&gt; 0, Source!BA171, 1)</f>
        <v>6.56</v>
      </c>
      <c r="K502" s="29">
        <f>Source!S171</f>
        <v>4298.1499999999996</v>
      </c>
      <c r="L502" s="31"/>
      <c r="R502">
        <f>H502</f>
        <v>655.21</v>
      </c>
    </row>
    <row r="503" spans="1:26" ht="14.25" x14ac:dyDescent="0.2">
      <c r="A503" s="44"/>
      <c r="B503" s="45"/>
      <c r="C503" s="45" t="s">
        <v>151</v>
      </c>
      <c r="D503" s="28"/>
      <c r="E503" s="11"/>
      <c r="F503" s="29">
        <f>Source!AM171</f>
        <v>24.15</v>
      </c>
      <c r="G503" s="30" t="str">
        <f>Source!DE171</f>
        <v>)*1,25</v>
      </c>
      <c r="H503" s="29">
        <f>ROUND(Source!AD171*Source!I171, 2)</f>
        <v>6.34</v>
      </c>
      <c r="I503" s="30"/>
      <c r="J503" s="30">
        <f>IF(Source!BB171&lt;&gt; 0, Source!BB171, 1)</f>
        <v>6.56</v>
      </c>
      <c r="K503" s="29">
        <f>Source!Q171</f>
        <v>41.59</v>
      </c>
      <c r="L503" s="31"/>
    </row>
    <row r="504" spans="1:26" ht="14.25" x14ac:dyDescent="0.2">
      <c r="A504" s="44"/>
      <c r="B504" s="45"/>
      <c r="C504" s="45" t="s">
        <v>1931</v>
      </c>
      <c r="D504" s="28"/>
      <c r="E504" s="11"/>
      <c r="F504" s="29">
        <f>Source!AN171</f>
        <v>17.510000000000002</v>
      </c>
      <c r="G504" s="30" t="str">
        <f>Source!DF171</f>
        <v>)*1,25</v>
      </c>
      <c r="H504" s="32">
        <f>ROUND(Source!AE171*Source!I171, 2)</f>
        <v>4.5999999999999996</v>
      </c>
      <c r="I504" s="30"/>
      <c r="J504" s="30">
        <f>IF(Source!BS171&lt;&gt; 0, Source!BS171, 1)</f>
        <v>6.56</v>
      </c>
      <c r="K504" s="32">
        <f>Source!R171</f>
        <v>30.16</v>
      </c>
      <c r="L504" s="31"/>
      <c r="R504">
        <f>H504</f>
        <v>4.5999999999999996</v>
      </c>
    </row>
    <row r="505" spans="1:26" ht="14.25" x14ac:dyDescent="0.2">
      <c r="A505" s="44"/>
      <c r="B505" s="45"/>
      <c r="C505" s="45" t="s">
        <v>1937</v>
      </c>
      <c r="D505" s="28"/>
      <c r="E505" s="11"/>
      <c r="F505" s="29">
        <f>Source!AL171</f>
        <v>18839.64</v>
      </c>
      <c r="G505" s="30" t="str">
        <f>Source!DD171</f>
        <v/>
      </c>
      <c r="H505" s="29">
        <f>ROUND(Source!AC171*Source!I171, 2)</f>
        <v>3956.32</v>
      </c>
      <c r="I505" s="30"/>
      <c r="J505" s="30">
        <f>IF(Source!BC171&lt;&gt; 0, Source!BC171, 1)</f>
        <v>6.56</v>
      </c>
      <c r="K505" s="29">
        <f>Source!P171</f>
        <v>25953.49</v>
      </c>
      <c r="L505" s="31"/>
    </row>
    <row r="506" spans="1:26" ht="14.25" x14ac:dyDescent="0.2">
      <c r="A506" s="44"/>
      <c r="B506" s="45"/>
      <c r="C506" s="45" t="s">
        <v>1932</v>
      </c>
      <c r="D506" s="28" t="s">
        <v>1933</v>
      </c>
      <c r="E506" s="11">
        <f>Source!BZ171</f>
        <v>123</v>
      </c>
      <c r="F506" s="64" t="str">
        <f>CONCATENATE(" )", Source!DL171, Source!FT171, "=", Source!FX171)</f>
        <v xml:space="preserve"> )*0,9=110,7</v>
      </c>
      <c r="G506" s="65"/>
      <c r="H506" s="29">
        <f>SUM(S500:S510)</f>
        <v>730.41</v>
      </c>
      <c r="I506" s="33"/>
      <c r="J506" s="26">
        <f>Source!AT171</f>
        <v>111</v>
      </c>
      <c r="K506" s="29">
        <f>SUM(T500:T510)</f>
        <v>4804.42</v>
      </c>
      <c r="L506" s="31"/>
    </row>
    <row r="507" spans="1:26" ht="14.25" x14ac:dyDescent="0.2">
      <c r="A507" s="44"/>
      <c r="B507" s="45"/>
      <c r="C507" s="45" t="s">
        <v>1934</v>
      </c>
      <c r="D507" s="28" t="s">
        <v>1933</v>
      </c>
      <c r="E507" s="11">
        <f>Source!CA171</f>
        <v>75</v>
      </c>
      <c r="F507" s="64" t="str">
        <f>CONCATENATE(" )", Source!DM171, Source!FU171, "=", Source!FY171)</f>
        <v xml:space="preserve"> )*0,85=63,75</v>
      </c>
      <c r="G507" s="65"/>
      <c r="H507" s="29">
        <f>SUM(U500:U510)</f>
        <v>420.63</v>
      </c>
      <c r="I507" s="33"/>
      <c r="J507" s="26">
        <f>Source!AU171</f>
        <v>64</v>
      </c>
      <c r="K507" s="29">
        <f>SUM(V500:V510)</f>
        <v>2770.12</v>
      </c>
      <c r="L507" s="31"/>
    </row>
    <row r="508" spans="1:26" ht="14.25" x14ac:dyDescent="0.2">
      <c r="A508" s="44"/>
      <c r="B508" s="45"/>
      <c r="C508" s="45" t="s">
        <v>1935</v>
      </c>
      <c r="D508" s="28" t="s">
        <v>1936</v>
      </c>
      <c r="E508" s="11">
        <f>Source!AQ171</f>
        <v>310.42</v>
      </c>
      <c r="F508" s="29"/>
      <c r="G508" s="30" t="str">
        <f>Source!DI171</f>
        <v>)*1,15</v>
      </c>
      <c r="H508" s="29"/>
      <c r="I508" s="30"/>
      <c r="J508" s="30"/>
      <c r="K508" s="29"/>
      <c r="L508" s="40">
        <f>Source!U171</f>
        <v>74.966430000000003</v>
      </c>
    </row>
    <row r="509" spans="1:26" ht="42.75" x14ac:dyDescent="0.2">
      <c r="A509" s="44" t="str">
        <f>Source!E172</f>
        <v>46,1</v>
      </c>
      <c r="B509" s="45" t="str">
        <f>Source!F172</f>
        <v>06.2.05.03-0003</v>
      </c>
      <c r="C509" s="45" t="str">
        <f>Source!G172</f>
        <v>Гранит керамический многоцветный неполированный, размером 400х400х9 мм</v>
      </c>
      <c r="D509" s="28" t="str">
        <f>Source!H172</f>
        <v>м2</v>
      </c>
      <c r="E509" s="11">
        <f>Source!I172</f>
        <v>-21.42</v>
      </c>
      <c r="F509" s="29">
        <f>Source!AL172+Source!AM172+Source!AO172</f>
        <v>140.44999999999999</v>
      </c>
      <c r="G509" s="41" t="s">
        <v>6</v>
      </c>
      <c r="H509" s="29">
        <f>ROUND(Source!AC172*Source!I172, 2)+ROUND(Source!AD172*Source!I172, 2)+ROUND(Source!AF172*Source!I172, 2)</f>
        <v>-3008.44</v>
      </c>
      <c r="I509" s="30"/>
      <c r="J509" s="30">
        <f>IF(Source!BC172&lt;&gt; 0, Source!BC172, 1)</f>
        <v>6.56</v>
      </c>
      <c r="K509" s="29">
        <f>Source!O172</f>
        <v>-19735.36</v>
      </c>
      <c r="L509" s="31"/>
      <c r="S509">
        <f>ROUND((Source!FX172/100)*((ROUND(Source!AF172*Source!I172, 2)+ROUND(Source!AE172*Source!I172, 2))), 2)</f>
        <v>0</v>
      </c>
      <c r="T509">
        <f>Source!X172</f>
        <v>0</v>
      </c>
      <c r="U509">
        <f>ROUND((Source!FY172/100)*((ROUND(Source!AF172*Source!I172, 2)+ROUND(Source!AE172*Source!I172, 2))), 2)</f>
        <v>0</v>
      </c>
      <c r="V509">
        <f>Source!Y172</f>
        <v>0</v>
      </c>
      <c r="W509">
        <f>IF(Source!BI172&lt;=1,H509, 0)</f>
        <v>-3008.44</v>
      </c>
      <c r="X509">
        <f>IF(Source!BI172=2,H509, 0)</f>
        <v>0</v>
      </c>
      <c r="Y509">
        <f>IF(Source!BI172=3,H509, 0)</f>
        <v>0</v>
      </c>
      <c r="Z509">
        <f>IF(Source!BI172=4,H509, 0)</f>
        <v>0</v>
      </c>
    </row>
    <row r="510" spans="1:26" ht="42.75" x14ac:dyDescent="0.2">
      <c r="A510" s="46" t="str">
        <f>Source!E173</f>
        <v>46,2</v>
      </c>
      <c r="B510" s="47" t="str">
        <f>Source!F173</f>
        <v>06.2.05.03-0021</v>
      </c>
      <c r="C510" s="47" t="str">
        <f>Source!G173</f>
        <v>Плитка керамогранитная неполированная Керабуд размером 300х300 мм</v>
      </c>
      <c r="D510" s="34" t="str">
        <f>Source!H173</f>
        <v>м2</v>
      </c>
      <c r="E510" s="35">
        <f>Source!I173</f>
        <v>21.42</v>
      </c>
      <c r="F510" s="36">
        <f>Source!AL173+Source!AM173+Source!AO173</f>
        <v>56.77</v>
      </c>
      <c r="G510" s="42" t="s">
        <v>6</v>
      </c>
      <c r="H510" s="36">
        <f>ROUND(Source!AC173*Source!I173, 2)+ROUND(Source!AD173*Source!I173, 2)+ROUND(Source!AF173*Source!I173, 2)</f>
        <v>1216.01</v>
      </c>
      <c r="I510" s="37"/>
      <c r="J510" s="37">
        <f>IF(Source!BC173&lt;&gt; 0, Source!BC173, 1)</f>
        <v>6.56</v>
      </c>
      <c r="K510" s="36">
        <f>Source!O173</f>
        <v>7977.05</v>
      </c>
      <c r="L510" s="43"/>
      <c r="S510">
        <f>ROUND((Source!FX173/100)*((ROUND(Source!AF173*Source!I173, 2)+ROUND(Source!AE173*Source!I173, 2))), 2)</f>
        <v>0</v>
      </c>
      <c r="T510">
        <f>Source!X173</f>
        <v>0</v>
      </c>
      <c r="U510">
        <f>ROUND((Source!FY173/100)*((ROUND(Source!AF173*Source!I173, 2)+ROUND(Source!AE173*Source!I173, 2))), 2)</f>
        <v>0</v>
      </c>
      <c r="V510">
        <f>Source!Y173</f>
        <v>0</v>
      </c>
      <c r="W510">
        <f>IF(Source!BI173&lt;=1,H510, 0)</f>
        <v>1216.01</v>
      </c>
      <c r="X510">
        <f>IF(Source!BI173=2,H510, 0)</f>
        <v>0</v>
      </c>
      <c r="Y510">
        <f>IF(Source!BI173=3,H510, 0)</f>
        <v>0</v>
      </c>
      <c r="Z510">
        <f>IF(Source!BI173=4,H510, 0)</f>
        <v>0</v>
      </c>
    </row>
    <row r="511" spans="1:26" ht="15" x14ac:dyDescent="0.25">
      <c r="G511" s="63">
        <f>H502+H503+H505+H506+H507+SUM(H509:H510)</f>
        <v>3976.4799999999996</v>
      </c>
      <c r="H511" s="63"/>
      <c r="J511" s="63">
        <f>K502+K503+K505+K506+K507+SUM(K509:K510)</f>
        <v>26109.460000000003</v>
      </c>
      <c r="K511" s="63"/>
      <c r="L511" s="39">
        <f>Source!U171</f>
        <v>74.966430000000003</v>
      </c>
      <c r="O511" s="24">
        <f>G511</f>
        <v>3976.4799999999996</v>
      </c>
      <c r="P511" s="24">
        <f>J511</f>
        <v>26109.460000000003</v>
      </c>
      <c r="Q511" s="24">
        <f>L511</f>
        <v>74.966430000000003</v>
      </c>
      <c r="W511">
        <f>IF(Source!BI171&lt;=1,H502+H503+H505+H506+H507, 0)</f>
        <v>5768.91</v>
      </c>
      <c r="X511">
        <f>IF(Source!BI171=2,H502+H503+H505+H506+H507, 0)</f>
        <v>0</v>
      </c>
      <c r="Y511">
        <f>IF(Source!BI171=3,H502+H503+H505+H506+H507, 0)</f>
        <v>0</v>
      </c>
      <c r="Z511">
        <f>IF(Source!BI171=4,H502+H503+H505+H506+H507, 0)</f>
        <v>0</v>
      </c>
    </row>
    <row r="512" spans="1:26" ht="42.75" x14ac:dyDescent="0.2">
      <c r="A512" s="44" t="str">
        <f>Source!E174</f>
        <v>47</v>
      </c>
      <c r="B512" s="45" t="str">
        <f>Source!F174</f>
        <v>11-01-004-05</v>
      </c>
      <c r="C512" s="45" t="str">
        <f>Source!G174</f>
        <v>Устройство гидроизоляции обмазочной в один слой толщиной 2 мм</v>
      </c>
      <c r="D512" s="28" t="str">
        <f>Source!H174</f>
        <v>100 м2</v>
      </c>
      <c r="E512" s="11">
        <f>Source!I174</f>
        <v>0.21</v>
      </c>
      <c r="F512" s="29">
        <f>Source!AL174+Source!AM174+Source!AO174</f>
        <v>1144.8800000000001</v>
      </c>
      <c r="G512" s="30"/>
      <c r="H512" s="29"/>
      <c r="I512" s="30" t="str">
        <f>Source!BO174</f>
        <v/>
      </c>
      <c r="J512" s="30"/>
      <c r="K512" s="29"/>
      <c r="L512" s="31"/>
      <c r="S512">
        <f>ROUND((Source!FX174/100)*((ROUND(Source!AF174*Source!I174, 2)+ROUND(Source!AE174*Source!I174, 2))), 2)</f>
        <v>80.430000000000007</v>
      </c>
      <c r="T512">
        <f>Source!X174</f>
        <v>529.03</v>
      </c>
      <c r="U512">
        <f>ROUND((Source!FY174/100)*((ROUND(Source!AF174*Source!I174, 2)+ROUND(Source!AE174*Source!I174, 2))), 2)</f>
        <v>46.32</v>
      </c>
      <c r="V512">
        <f>Source!Y174</f>
        <v>305.02</v>
      </c>
    </row>
    <row r="513" spans="1:26" x14ac:dyDescent="0.2">
      <c r="C513" s="23" t="str">
        <f>"Объем: "&amp;Source!I174&amp;"=21/"&amp;"100"</f>
        <v>Объем: 0,21=21/100</v>
      </c>
    </row>
    <row r="514" spans="1:26" ht="14.25" x14ac:dyDescent="0.2">
      <c r="A514" s="44"/>
      <c r="B514" s="45"/>
      <c r="C514" s="45" t="s">
        <v>1930</v>
      </c>
      <c r="D514" s="28"/>
      <c r="E514" s="11"/>
      <c r="F514" s="29">
        <f>Source!AO174</f>
        <v>295.05</v>
      </c>
      <c r="G514" s="30" t="str">
        <f>Source!DG174</f>
        <v>)*1,15</v>
      </c>
      <c r="H514" s="29">
        <f>ROUND(Source!AF174*Source!I174, 2)</f>
        <v>71.260000000000005</v>
      </c>
      <c r="I514" s="30"/>
      <c r="J514" s="30">
        <f>IF(Source!BA174&lt;&gt; 0, Source!BA174, 1)</f>
        <v>6.56</v>
      </c>
      <c r="K514" s="29">
        <f>Source!S174</f>
        <v>467.43</v>
      </c>
      <c r="L514" s="31"/>
      <c r="R514">
        <f>H514</f>
        <v>71.260000000000005</v>
      </c>
    </row>
    <row r="515" spans="1:26" ht="14.25" x14ac:dyDescent="0.2">
      <c r="A515" s="44"/>
      <c r="B515" s="45"/>
      <c r="C515" s="45" t="s">
        <v>151</v>
      </c>
      <c r="D515" s="28"/>
      <c r="E515" s="11"/>
      <c r="F515" s="29">
        <f>Source!AM174</f>
        <v>157.21</v>
      </c>
      <c r="G515" s="30" t="str">
        <f>Source!DE174</f>
        <v>)*1,25</v>
      </c>
      <c r="H515" s="29">
        <f>ROUND(Source!AD174*Source!I174, 2)</f>
        <v>41.27</v>
      </c>
      <c r="I515" s="30"/>
      <c r="J515" s="30">
        <f>IF(Source!BB174&lt;&gt; 0, Source!BB174, 1)</f>
        <v>6.56</v>
      </c>
      <c r="K515" s="29">
        <f>Source!Q174</f>
        <v>270.70999999999998</v>
      </c>
      <c r="L515" s="31"/>
    </row>
    <row r="516" spans="1:26" ht="14.25" x14ac:dyDescent="0.2">
      <c r="A516" s="44"/>
      <c r="B516" s="45"/>
      <c r="C516" s="45" t="s">
        <v>1931</v>
      </c>
      <c r="D516" s="28"/>
      <c r="E516" s="11"/>
      <c r="F516" s="29">
        <f>Source!AN174</f>
        <v>5.33</v>
      </c>
      <c r="G516" s="30" t="str">
        <f>Source!DF174</f>
        <v>)*1,25</v>
      </c>
      <c r="H516" s="32">
        <f>ROUND(Source!AE174*Source!I174, 2)</f>
        <v>1.4</v>
      </c>
      <c r="I516" s="30"/>
      <c r="J516" s="30">
        <f>IF(Source!BS174&lt;&gt; 0, Source!BS174, 1)</f>
        <v>6.56</v>
      </c>
      <c r="K516" s="32">
        <f>Source!R174</f>
        <v>9.17</v>
      </c>
      <c r="L516" s="31"/>
      <c r="R516">
        <f>H516</f>
        <v>1.4</v>
      </c>
    </row>
    <row r="517" spans="1:26" ht="14.25" x14ac:dyDescent="0.2">
      <c r="A517" s="44"/>
      <c r="B517" s="45"/>
      <c r="C517" s="45" t="s">
        <v>1937</v>
      </c>
      <c r="D517" s="28"/>
      <c r="E517" s="11"/>
      <c r="F517" s="29">
        <f>Source!AL174</f>
        <v>692.62</v>
      </c>
      <c r="G517" s="30" t="str">
        <f>Source!DD174</f>
        <v/>
      </c>
      <c r="H517" s="29">
        <f>ROUND(Source!AC174*Source!I174, 2)</f>
        <v>145.44999999999999</v>
      </c>
      <c r="I517" s="30"/>
      <c r="J517" s="30">
        <f>IF(Source!BC174&lt;&gt; 0, Source!BC174, 1)</f>
        <v>6.56</v>
      </c>
      <c r="K517" s="29">
        <f>Source!P174</f>
        <v>954.15</v>
      </c>
      <c r="L517" s="31"/>
    </row>
    <row r="518" spans="1:26" ht="14.25" x14ac:dyDescent="0.2">
      <c r="A518" s="44"/>
      <c r="B518" s="45"/>
      <c r="C518" s="45" t="s">
        <v>1932</v>
      </c>
      <c r="D518" s="28" t="s">
        <v>1933</v>
      </c>
      <c r="E518" s="11">
        <f>Source!BZ174</f>
        <v>123</v>
      </c>
      <c r="F518" s="64" t="str">
        <f>CONCATENATE(" )", Source!DL174, Source!FT174, "=", Source!FX174)</f>
        <v xml:space="preserve"> )*0,9=110,7</v>
      </c>
      <c r="G518" s="65"/>
      <c r="H518" s="29">
        <f>SUM(S512:S520)</f>
        <v>80.430000000000007</v>
      </c>
      <c r="I518" s="33"/>
      <c r="J518" s="26">
        <f>Source!AT174</f>
        <v>111</v>
      </c>
      <c r="K518" s="29">
        <f>SUM(T512:T520)</f>
        <v>529.03</v>
      </c>
      <c r="L518" s="31"/>
    </row>
    <row r="519" spans="1:26" ht="14.25" x14ac:dyDescent="0.2">
      <c r="A519" s="44"/>
      <c r="B519" s="45"/>
      <c r="C519" s="45" t="s">
        <v>1934</v>
      </c>
      <c r="D519" s="28" t="s">
        <v>1933</v>
      </c>
      <c r="E519" s="11">
        <f>Source!CA174</f>
        <v>75</v>
      </c>
      <c r="F519" s="64" t="str">
        <f>CONCATENATE(" )", Source!DM174, Source!FU174, "=", Source!FY174)</f>
        <v xml:space="preserve"> )*0,85=63,75</v>
      </c>
      <c r="G519" s="65"/>
      <c r="H519" s="29">
        <f>SUM(U512:U520)</f>
        <v>46.32</v>
      </c>
      <c r="I519" s="33"/>
      <c r="J519" s="26">
        <f>Source!AU174</f>
        <v>64</v>
      </c>
      <c r="K519" s="29">
        <f>SUM(V512:V520)</f>
        <v>305.02</v>
      </c>
      <c r="L519" s="31"/>
    </row>
    <row r="520" spans="1:26" ht="14.25" x14ac:dyDescent="0.2">
      <c r="A520" s="46"/>
      <c r="B520" s="47"/>
      <c r="C520" s="47" t="s">
        <v>1935</v>
      </c>
      <c r="D520" s="34" t="s">
        <v>1936</v>
      </c>
      <c r="E520" s="35">
        <f>Source!AQ174</f>
        <v>26.97</v>
      </c>
      <c r="F520" s="36"/>
      <c r="G520" s="37" t="str">
        <f>Source!DI174</f>
        <v>)*1,15</v>
      </c>
      <c r="H520" s="36"/>
      <c r="I520" s="37"/>
      <c r="J520" s="37"/>
      <c r="K520" s="36"/>
      <c r="L520" s="38">
        <f>Source!U174</f>
        <v>6.5132549999999991</v>
      </c>
    </row>
    <row r="521" spans="1:26" ht="15" x14ac:dyDescent="0.25">
      <c r="G521" s="63">
        <f>H514+H515+H517+H518+H519</f>
        <v>384.73</v>
      </c>
      <c r="H521" s="63"/>
      <c r="J521" s="63">
        <f>K514+K515+K517+K518+K519</f>
        <v>2526.3399999999997</v>
      </c>
      <c r="K521" s="63"/>
      <c r="L521" s="39">
        <f>Source!U174</f>
        <v>6.5132549999999991</v>
      </c>
      <c r="O521" s="24">
        <f>G521</f>
        <v>384.73</v>
      </c>
      <c r="P521" s="24">
        <f>J521</f>
        <v>2526.3399999999997</v>
      </c>
      <c r="Q521" s="24">
        <f>L521</f>
        <v>6.5132549999999991</v>
      </c>
      <c r="W521">
        <f>IF(Source!BI174&lt;=1,H514+H515+H517+H518+H519, 0)</f>
        <v>384.73</v>
      </c>
      <c r="X521">
        <f>IF(Source!BI174=2,H514+H515+H517+H518+H519, 0)</f>
        <v>0</v>
      </c>
      <c r="Y521">
        <f>IF(Source!BI174=3,H514+H515+H517+H518+H519, 0)</f>
        <v>0</v>
      </c>
      <c r="Z521">
        <f>IF(Source!BI174=4,H514+H515+H517+H518+H519, 0)</f>
        <v>0</v>
      </c>
    </row>
    <row r="522" spans="1:26" ht="28.5" x14ac:dyDescent="0.2">
      <c r="A522" s="44" t="str">
        <f>Source!E175</f>
        <v>48</v>
      </c>
      <c r="B522" s="45" t="str">
        <f>Source!F175</f>
        <v>11-01-036-01</v>
      </c>
      <c r="C522" s="45" t="str">
        <f>Source!G175</f>
        <v>Устройство покрытий из линолеума на клее</v>
      </c>
      <c r="D522" s="28" t="str">
        <f>Source!H175</f>
        <v>100 м2</v>
      </c>
      <c r="E522" s="11">
        <f>Source!I175</f>
        <v>0.999</v>
      </c>
      <c r="F522" s="29">
        <f>Source!AL175+Source!AM175+Source!AO175</f>
        <v>397.04999999999995</v>
      </c>
      <c r="G522" s="30"/>
      <c r="H522" s="29"/>
      <c r="I522" s="30" t="str">
        <f>Source!BO175</f>
        <v/>
      </c>
      <c r="J522" s="30"/>
      <c r="K522" s="29"/>
      <c r="L522" s="31"/>
      <c r="S522">
        <f>ROUND((Source!FX175/100)*((ROUND(Source!AF175*Source!I175, 2)+ROUND(Source!AE175*Source!I175, 2))), 2)</f>
        <v>462.65</v>
      </c>
      <c r="T522">
        <f>Source!X175</f>
        <v>3043.21</v>
      </c>
      <c r="U522">
        <f>ROUND((Source!FY175/100)*((ROUND(Source!AF175*Source!I175, 2)+ROUND(Source!AE175*Source!I175, 2))), 2)</f>
        <v>266.43</v>
      </c>
      <c r="V522">
        <f>Source!Y175</f>
        <v>1754.64</v>
      </c>
    </row>
    <row r="523" spans="1:26" x14ac:dyDescent="0.2">
      <c r="C523" s="23" t="str">
        <f>"Объем: "&amp;Source!I175&amp;"=99,9/"&amp;"100"</f>
        <v>Объем: 0,999=99,9/100</v>
      </c>
    </row>
    <row r="524" spans="1:26" ht="14.25" x14ac:dyDescent="0.2">
      <c r="A524" s="44"/>
      <c r="B524" s="45"/>
      <c r="C524" s="45" t="s">
        <v>1930</v>
      </c>
      <c r="D524" s="28"/>
      <c r="E524" s="11"/>
      <c r="F524" s="29">
        <f>Source!AO175</f>
        <v>352.34</v>
      </c>
      <c r="G524" s="30" t="str">
        <f>Source!DG175</f>
        <v>)*1,15</v>
      </c>
      <c r="H524" s="29">
        <f>ROUND(Source!AF175*Source!I175, 2)</f>
        <v>404.78</v>
      </c>
      <c r="I524" s="30"/>
      <c r="J524" s="30">
        <f>IF(Source!BA175&lt;&gt; 0, Source!BA175, 1)</f>
        <v>6.56</v>
      </c>
      <c r="K524" s="29">
        <f>Source!S175</f>
        <v>2655.39</v>
      </c>
      <c r="L524" s="31"/>
      <c r="R524">
        <f>H524</f>
        <v>404.78</v>
      </c>
    </row>
    <row r="525" spans="1:26" ht="14.25" x14ac:dyDescent="0.2">
      <c r="A525" s="44"/>
      <c r="B525" s="45"/>
      <c r="C525" s="45" t="s">
        <v>151</v>
      </c>
      <c r="D525" s="28"/>
      <c r="E525" s="11"/>
      <c r="F525" s="29">
        <f>Source!AM175</f>
        <v>43.8</v>
      </c>
      <c r="G525" s="30" t="str">
        <f>Source!DE175</f>
        <v>)*1,25</v>
      </c>
      <c r="H525" s="29">
        <f>ROUND(Source!AD175*Source!I175, 2)</f>
        <v>54.7</v>
      </c>
      <c r="I525" s="30"/>
      <c r="J525" s="30">
        <f>IF(Source!BB175&lt;&gt; 0, Source!BB175, 1)</f>
        <v>6.56</v>
      </c>
      <c r="K525" s="29">
        <f>Source!Q175</f>
        <v>358.8</v>
      </c>
      <c r="L525" s="31"/>
    </row>
    <row r="526" spans="1:26" ht="14.25" x14ac:dyDescent="0.2">
      <c r="A526" s="44"/>
      <c r="B526" s="45"/>
      <c r="C526" s="45" t="s">
        <v>1931</v>
      </c>
      <c r="D526" s="28"/>
      <c r="E526" s="11"/>
      <c r="F526" s="29">
        <f>Source!AN175</f>
        <v>10.53</v>
      </c>
      <c r="G526" s="30" t="str">
        <f>Source!DF175</f>
        <v>)*1,25</v>
      </c>
      <c r="H526" s="32">
        <f>ROUND(Source!AE175*Source!I175, 2)</f>
        <v>13.15</v>
      </c>
      <c r="I526" s="30"/>
      <c r="J526" s="30">
        <f>IF(Source!BS175&lt;&gt; 0, Source!BS175, 1)</f>
        <v>6.56</v>
      </c>
      <c r="K526" s="32">
        <f>Source!R175</f>
        <v>86.24</v>
      </c>
      <c r="L526" s="31"/>
      <c r="R526">
        <f>H526</f>
        <v>13.15</v>
      </c>
    </row>
    <row r="527" spans="1:26" ht="14.25" x14ac:dyDescent="0.2">
      <c r="A527" s="44"/>
      <c r="B527" s="45"/>
      <c r="C527" s="45" t="s">
        <v>1937</v>
      </c>
      <c r="D527" s="28"/>
      <c r="E527" s="11"/>
      <c r="F527" s="29">
        <f>Source!AL175</f>
        <v>0.91</v>
      </c>
      <c r="G527" s="30" t="str">
        <f>Source!DD175</f>
        <v/>
      </c>
      <c r="H527" s="29">
        <f>ROUND(Source!AC175*Source!I175, 2)</f>
        <v>0.91</v>
      </c>
      <c r="I527" s="30"/>
      <c r="J527" s="30">
        <f>IF(Source!BC175&lt;&gt; 0, Source!BC175, 1)</f>
        <v>6.56</v>
      </c>
      <c r="K527" s="29">
        <f>Source!P175</f>
        <v>5.96</v>
      </c>
      <c r="L527" s="31"/>
    </row>
    <row r="528" spans="1:26" ht="14.25" x14ac:dyDescent="0.2">
      <c r="A528" s="44"/>
      <c r="B528" s="45"/>
      <c r="C528" s="45" t="s">
        <v>1932</v>
      </c>
      <c r="D528" s="28" t="s">
        <v>1933</v>
      </c>
      <c r="E528" s="11">
        <f>Source!BZ175</f>
        <v>123</v>
      </c>
      <c r="F528" s="64" t="str">
        <f>CONCATENATE(" )", Source!DL175, Source!FT175, "=", Source!FX175)</f>
        <v xml:space="preserve"> )*0,9=110,7</v>
      </c>
      <c r="G528" s="65"/>
      <c r="H528" s="29">
        <f>SUM(S522:S534)</f>
        <v>462.65</v>
      </c>
      <c r="I528" s="33"/>
      <c r="J528" s="26">
        <f>Source!AT175</f>
        <v>111</v>
      </c>
      <c r="K528" s="29">
        <f>SUM(T522:T534)</f>
        <v>3043.21</v>
      </c>
      <c r="L528" s="31"/>
    </row>
    <row r="529" spans="1:26" ht="14.25" x14ac:dyDescent="0.2">
      <c r="A529" s="44"/>
      <c r="B529" s="45"/>
      <c r="C529" s="45" t="s">
        <v>1934</v>
      </c>
      <c r="D529" s="28" t="s">
        <v>1933</v>
      </c>
      <c r="E529" s="11">
        <f>Source!CA175</f>
        <v>75</v>
      </c>
      <c r="F529" s="64" t="str">
        <f>CONCATENATE(" )", Source!DM175, Source!FU175, "=", Source!FY175)</f>
        <v xml:space="preserve"> )*0,85=63,75</v>
      </c>
      <c r="G529" s="65"/>
      <c r="H529" s="29">
        <f>SUM(U522:U534)</f>
        <v>266.43</v>
      </c>
      <c r="I529" s="33"/>
      <c r="J529" s="26">
        <f>Source!AU175</f>
        <v>64</v>
      </c>
      <c r="K529" s="29">
        <f>SUM(V522:V534)</f>
        <v>1754.64</v>
      </c>
      <c r="L529" s="31"/>
    </row>
    <row r="530" spans="1:26" ht="14.25" x14ac:dyDescent="0.2">
      <c r="A530" s="44"/>
      <c r="B530" s="45"/>
      <c r="C530" s="45" t="s">
        <v>1935</v>
      </c>
      <c r="D530" s="28" t="s">
        <v>1936</v>
      </c>
      <c r="E530" s="11">
        <f>Source!AQ175</f>
        <v>42.4</v>
      </c>
      <c r="F530" s="29"/>
      <c r="G530" s="30" t="str">
        <f>Source!DI175</f>
        <v>)*1,15</v>
      </c>
      <c r="H530" s="29"/>
      <c r="I530" s="30"/>
      <c r="J530" s="30"/>
      <c r="K530" s="29"/>
      <c r="L530" s="40">
        <f>Source!U175</f>
        <v>48.711239999999997</v>
      </c>
    </row>
    <row r="531" spans="1:26" ht="57" x14ac:dyDescent="0.2">
      <c r="A531" s="44" t="str">
        <f>Source!E176</f>
        <v>48,1</v>
      </c>
      <c r="B531" s="45" t="str">
        <f>Source!F176</f>
        <v>01.6.03.04-0116</v>
      </c>
      <c r="C531" s="45" t="str">
        <f>Source!G176</f>
        <v>Линолеум коммерческий гомогенный "ТАРКЕТТ ", антискользящий (толщина 2 мм, класс 34/43, пож. безопасность Г4, В3, РП1, Д2, Т2)</v>
      </c>
      <c r="D531" s="28" t="str">
        <f>Source!H176</f>
        <v>м2</v>
      </c>
      <c r="E531" s="11">
        <f>Source!I176</f>
        <v>101.898</v>
      </c>
      <c r="F531" s="29">
        <f>Source!AL176+Source!AM176+Source!AO176</f>
        <v>181.33</v>
      </c>
      <c r="G531" s="41" t="s">
        <v>6</v>
      </c>
      <c r="H531" s="29">
        <f>ROUND(Source!AC176*Source!I176, 2)+ROUND(Source!AD176*Source!I176, 2)+ROUND(Source!AF176*Source!I176, 2)</f>
        <v>18477.16</v>
      </c>
      <c r="I531" s="30"/>
      <c r="J531" s="30">
        <f>IF(Source!BC176&lt;&gt; 0, Source!BC176, 1)</f>
        <v>6.56</v>
      </c>
      <c r="K531" s="29">
        <f>Source!O176</f>
        <v>121210.2</v>
      </c>
      <c r="L531" s="31"/>
      <c r="S531">
        <f>ROUND((Source!FX176/100)*((ROUND(Source!AF176*Source!I176, 2)+ROUND(Source!AE176*Source!I176, 2))), 2)</f>
        <v>0</v>
      </c>
      <c r="T531">
        <f>Source!X176</f>
        <v>0</v>
      </c>
      <c r="U531">
        <f>ROUND((Source!FY176/100)*((ROUND(Source!AF176*Source!I176, 2)+ROUND(Source!AE176*Source!I176, 2))), 2)</f>
        <v>0</v>
      </c>
      <c r="V531">
        <f>Source!Y176</f>
        <v>0</v>
      </c>
      <c r="W531">
        <f>IF(Source!BI176&lt;=1,H531, 0)</f>
        <v>18477.16</v>
      </c>
      <c r="X531">
        <f>IF(Source!BI176=2,H531, 0)</f>
        <v>0</v>
      </c>
      <c r="Y531">
        <f>IF(Source!BI176=3,H531, 0)</f>
        <v>0</v>
      </c>
      <c r="Z531">
        <f>IF(Source!BI176=4,H531, 0)</f>
        <v>0</v>
      </c>
    </row>
    <row r="532" spans="1:26" ht="28.5" x14ac:dyDescent="0.2">
      <c r="A532" s="44" t="str">
        <f>Source!E177</f>
        <v>48,2</v>
      </c>
      <c r="B532" s="45" t="str">
        <f>Source!F177</f>
        <v>01.6.03.04</v>
      </c>
      <c r="C532" s="45" t="str">
        <f>Source!G177</f>
        <v>Линолеум на теплозвукоизолирующей подоснове</v>
      </c>
      <c r="D532" s="28" t="str">
        <f>Source!H177</f>
        <v>м2</v>
      </c>
      <c r="E532" s="11">
        <f>Source!I177</f>
        <v>101.898</v>
      </c>
      <c r="F532" s="29">
        <f>Source!AL177+Source!AM177+Source!AO177</f>
        <v>0</v>
      </c>
      <c r="G532" s="41" t="s">
        <v>6</v>
      </c>
      <c r="H532" s="29">
        <f>ROUND(Source!AC177*Source!I177, 2)+ROUND(Source!AD177*Source!I177, 2)+ROUND(Source!AF177*Source!I177, 2)</f>
        <v>0</v>
      </c>
      <c r="I532" s="30"/>
      <c r="J532" s="30">
        <f>IF(Source!BC177&lt;&gt; 0, Source!BC177, 1)</f>
        <v>6.56</v>
      </c>
      <c r="K532" s="29">
        <f>Source!O177</f>
        <v>0</v>
      </c>
      <c r="L532" s="31"/>
      <c r="S532">
        <f>ROUND((Source!FX177/100)*((ROUND(Source!AF177*Source!I177, 2)+ROUND(Source!AE177*Source!I177, 2))), 2)</f>
        <v>0</v>
      </c>
      <c r="T532">
        <f>Source!X177</f>
        <v>0</v>
      </c>
      <c r="U532">
        <f>ROUND((Source!FY177/100)*((ROUND(Source!AF177*Source!I177, 2)+ROUND(Source!AE177*Source!I177, 2))), 2)</f>
        <v>0</v>
      </c>
      <c r="V532">
        <f>Source!Y177</f>
        <v>0</v>
      </c>
      <c r="W532">
        <f>IF(Source!BI177&lt;=1,H532, 0)</f>
        <v>0</v>
      </c>
      <c r="X532">
        <f>IF(Source!BI177=2,H532, 0)</f>
        <v>0</v>
      </c>
      <c r="Y532">
        <f>IF(Source!BI177=3,H532, 0)</f>
        <v>0</v>
      </c>
      <c r="Z532">
        <f>IF(Source!BI177=4,H532, 0)</f>
        <v>0</v>
      </c>
    </row>
    <row r="533" spans="1:26" ht="28.5" x14ac:dyDescent="0.2">
      <c r="A533" s="44" t="str">
        <f>Source!E178</f>
        <v>48,3</v>
      </c>
      <c r="B533" s="45" t="str">
        <f>Source!F178</f>
        <v>14.1.02.04-0102</v>
      </c>
      <c r="C533" s="45" t="str">
        <f>Source!G178</f>
        <v>Клей Forbo 522, для укладки ПВХ-покрытий</v>
      </c>
      <c r="D533" s="28" t="str">
        <f>Source!H178</f>
        <v>кг</v>
      </c>
      <c r="E533" s="11">
        <f>Source!I178</f>
        <v>49.95</v>
      </c>
      <c r="F533" s="29">
        <f>Source!AL178+Source!AM178+Source!AO178</f>
        <v>25.56</v>
      </c>
      <c r="G533" s="41" t="s">
        <v>6</v>
      </c>
      <c r="H533" s="29">
        <f>ROUND(Source!AC178*Source!I178, 2)+ROUND(Source!AD178*Source!I178, 2)+ROUND(Source!AF178*Source!I178, 2)</f>
        <v>1276.72</v>
      </c>
      <c r="I533" s="30"/>
      <c r="J533" s="30">
        <f>IF(Source!BC178&lt;&gt; 0, Source!BC178, 1)</f>
        <v>6.56</v>
      </c>
      <c r="K533" s="29">
        <f>Source!O178</f>
        <v>8375.2999999999993</v>
      </c>
      <c r="L533" s="31"/>
      <c r="S533">
        <f>ROUND((Source!FX178/100)*((ROUND(Source!AF178*Source!I178, 2)+ROUND(Source!AE178*Source!I178, 2))), 2)</f>
        <v>0</v>
      </c>
      <c r="T533">
        <f>Source!X178</f>
        <v>0</v>
      </c>
      <c r="U533">
        <f>ROUND((Source!FY178/100)*((ROUND(Source!AF178*Source!I178, 2)+ROUND(Source!AE178*Source!I178, 2))), 2)</f>
        <v>0</v>
      </c>
      <c r="V533">
        <f>Source!Y178</f>
        <v>0</v>
      </c>
      <c r="W533">
        <f>IF(Source!BI178&lt;=1,H533, 0)</f>
        <v>1276.72</v>
      </c>
      <c r="X533">
        <f>IF(Source!BI178=2,H533, 0)</f>
        <v>0</v>
      </c>
      <c r="Y533">
        <f>IF(Source!BI178=3,H533, 0)</f>
        <v>0</v>
      </c>
      <c r="Z533">
        <f>IF(Source!BI178=4,H533, 0)</f>
        <v>0</v>
      </c>
    </row>
    <row r="534" spans="1:26" ht="14.25" x14ac:dyDescent="0.2">
      <c r="A534" s="46" t="str">
        <f>Source!E179</f>
        <v>48,4</v>
      </c>
      <c r="B534" s="47" t="str">
        <f>Source!F179</f>
        <v>14.1.06.05</v>
      </c>
      <c r="C534" s="47" t="str">
        <f>Source!G179</f>
        <v>Состав клеящий</v>
      </c>
      <c r="D534" s="34" t="str">
        <f>Source!H179</f>
        <v>кг</v>
      </c>
      <c r="E534" s="35">
        <f>Source!I179</f>
        <v>49.95</v>
      </c>
      <c r="F534" s="36">
        <f>Source!AL179+Source!AM179+Source!AO179</f>
        <v>0</v>
      </c>
      <c r="G534" s="42" t="s">
        <v>6</v>
      </c>
      <c r="H534" s="36">
        <f>ROUND(Source!AC179*Source!I179, 2)+ROUND(Source!AD179*Source!I179, 2)+ROUND(Source!AF179*Source!I179, 2)</f>
        <v>0</v>
      </c>
      <c r="I534" s="37"/>
      <c r="J534" s="37">
        <f>IF(Source!BC179&lt;&gt; 0, Source!BC179, 1)</f>
        <v>6.56</v>
      </c>
      <c r="K534" s="36">
        <f>Source!O179</f>
        <v>0</v>
      </c>
      <c r="L534" s="43"/>
      <c r="S534">
        <f>ROUND((Source!FX179/100)*((ROUND(Source!AF179*Source!I179, 2)+ROUND(Source!AE179*Source!I179, 2))), 2)</f>
        <v>0</v>
      </c>
      <c r="T534">
        <f>Source!X179</f>
        <v>0</v>
      </c>
      <c r="U534">
        <f>ROUND((Source!FY179/100)*((ROUND(Source!AF179*Source!I179, 2)+ROUND(Source!AE179*Source!I179, 2))), 2)</f>
        <v>0</v>
      </c>
      <c r="V534">
        <f>Source!Y179</f>
        <v>0</v>
      </c>
      <c r="W534">
        <f>IF(Source!BI179&lt;=1,H534, 0)</f>
        <v>0</v>
      </c>
      <c r="X534">
        <f>IF(Source!BI179=2,H534, 0)</f>
        <v>0</v>
      </c>
      <c r="Y534">
        <f>IF(Source!BI179=3,H534, 0)</f>
        <v>0</v>
      </c>
      <c r="Z534">
        <f>IF(Source!BI179=4,H534, 0)</f>
        <v>0</v>
      </c>
    </row>
    <row r="535" spans="1:26" ht="15" x14ac:dyDescent="0.25">
      <c r="G535" s="63">
        <f>H524+H525+H527+H528+H529+SUM(H531:H534)</f>
        <v>20943.350000000002</v>
      </c>
      <c r="H535" s="63"/>
      <c r="J535" s="63">
        <f>K524+K525+K527+K528+K529+SUM(K531:K534)</f>
        <v>137403.5</v>
      </c>
      <c r="K535" s="63"/>
      <c r="L535" s="39">
        <f>Source!U175</f>
        <v>48.711239999999997</v>
      </c>
      <c r="O535" s="24">
        <f>G535</f>
        <v>20943.350000000002</v>
      </c>
      <c r="P535" s="24">
        <f>J535</f>
        <v>137403.5</v>
      </c>
      <c r="Q535" s="24">
        <f>L535</f>
        <v>48.711239999999997</v>
      </c>
      <c r="W535">
        <f>IF(Source!BI175&lt;=1,H524+H525+H527+H528+H529, 0)</f>
        <v>1189.47</v>
      </c>
      <c r="X535">
        <f>IF(Source!BI175=2,H524+H525+H527+H528+H529, 0)</f>
        <v>0</v>
      </c>
      <c r="Y535">
        <f>IF(Source!BI175=3,H524+H525+H527+H528+H529, 0)</f>
        <v>0</v>
      </c>
      <c r="Z535">
        <f>IF(Source!BI175=4,H524+H525+H527+H528+H529, 0)</f>
        <v>0</v>
      </c>
    </row>
    <row r="536" spans="1:26" ht="28.5" x14ac:dyDescent="0.2">
      <c r="A536" s="44" t="str">
        <f>Source!E180</f>
        <v>49</v>
      </c>
      <c r="B536" s="45" t="str">
        <f>Source!F180</f>
        <v>11-01-034-04</v>
      </c>
      <c r="C536" s="45" t="str">
        <f>Source!G180</f>
        <v>Устройство покрытий из досок ламинированных замковым способом</v>
      </c>
      <c r="D536" s="28" t="str">
        <f>Source!H180</f>
        <v>100 м2</v>
      </c>
      <c r="E536" s="11">
        <f>Source!I180</f>
        <v>1.0025999999999999</v>
      </c>
      <c r="F536" s="29">
        <f>Source!AL180+Source!AM180+Source!AO180</f>
        <v>613.75</v>
      </c>
      <c r="G536" s="30"/>
      <c r="H536" s="29"/>
      <c r="I536" s="30" t="str">
        <f>Source!BO180</f>
        <v/>
      </c>
      <c r="J536" s="30"/>
      <c r="K536" s="29"/>
      <c r="L536" s="31"/>
      <c r="S536">
        <f>ROUND((Source!FX180/100)*((ROUND(Source!AF180*Source!I180, 2)+ROUND(Source!AE180*Source!I180, 2))), 2)</f>
        <v>308.86</v>
      </c>
      <c r="T536">
        <f>Source!X180</f>
        <v>2031.67</v>
      </c>
      <c r="U536">
        <f>ROUND((Source!FY180/100)*((ROUND(Source!AF180*Source!I180, 2)+ROUND(Source!AE180*Source!I180, 2))), 2)</f>
        <v>177.87</v>
      </c>
      <c r="V536">
        <f>Source!Y180</f>
        <v>1171.4100000000001</v>
      </c>
    </row>
    <row r="537" spans="1:26" x14ac:dyDescent="0.2">
      <c r="C537" s="23" t="str">
        <f>"Объем: "&amp;Source!I180&amp;"=100,26/"&amp;"100"</f>
        <v>Объем: 1,0026=100,26/100</v>
      </c>
    </row>
    <row r="538" spans="1:26" ht="14.25" x14ac:dyDescent="0.2">
      <c r="A538" s="44"/>
      <c r="B538" s="45"/>
      <c r="C538" s="45" t="s">
        <v>1930</v>
      </c>
      <c r="D538" s="28"/>
      <c r="E538" s="11"/>
      <c r="F538" s="29">
        <f>Source!AO180</f>
        <v>240.73</v>
      </c>
      <c r="G538" s="30" t="str">
        <f>Source!DG180</f>
        <v>)*1,15</v>
      </c>
      <c r="H538" s="29">
        <f>ROUND(Source!AF180*Source!I180, 2)</f>
        <v>277.56</v>
      </c>
      <c r="I538" s="30"/>
      <c r="J538" s="30">
        <f>IF(Source!BA180&lt;&gt; 0, Source!BA180, 1)</f>
        <v>6.56</v>
      </c>
      <c r="K538" s="29">
        <f>Source!S180</f>
        <v>1820.79</v>
      </c>
      <c r="L538" s="31"/>
      <c r="R538">
        <f>H538</f>
        <v>277.56</v>
      </c>
    </row>
    <row r="539" spans="1:26" ht="14.25" x14ac:dyDescent="0.2">
      <c r="A539" s="44"/>
      <c r="B539" s="45"/>
      <c r="C539" s="45" t="s">
        <v>151</v>
      </c>
      <c r="D539" s="28"/>
      <c r="E539" s="11"/>
      <c r="F539" s="29">
        <f>Source!AM180</f>
        <v>6.57</v>
      </c>
      <c r="G539" s="30" t="str">
        <f>Source!DE180</f>
        <v>)*1,25</v>
      </c>
      <c r="H539" s="29">
        <f>ROUND(Source!AD180*Source!I180, 2)</f>
        <v>8.23</v>
      </c>
      <c r="I539" s="30"/>
      <c r="J539" s="30">
        <f>IF(Source!BB180&lt;&gt; 0, Source!BB180, 1)</f>
        <v>6.56</v>
      </c>
      <c r="K539" s="29">
        <f>Source!Q180</f>
        <v>54</v>
      </c>
      <c r="L539" s="31"/>
    </row>
    <row r="540" spans="1:26" ht="14.25" x14ac:dyDescent="0.2">
      <c r="A540" s="44"/>
      <c r="B540" s="45"/>
      <c r="C540" s="45" t="s">
        <v>1931</v>
      </c>
      <c r="D540" s="28"/>
      <c r="E540" s="11"/>
      <c r="F540" s="29">
        <f>Source!AN180</f>
        <v>1.1599999999999999</v>
      </c>
      <c r="G540" s="30" t="str">
        <f>Source!DF180</f>
        <v>)*1,25</v>
      </c>
      <c r="H540" s="32">
        <f>ROUND(Source!AE180*Source!I180, 2)</f>
        <v>1.45</v>
      </c>
      <c r="I540" s="30"/>
      <c r="J540" s="30">
        <f>IF(Source!BS180&lt;&gt; 0, Source!BS180, 1)</f>
        <v>6.56</v>
      </c>
      <c r="K540" s="32">
        <f>Source!R180</f>
        <v>9.5399999999999991</v>
      </c>
      <c r="L540" s="31"/>
      <c r="R540">
        <f>H540</f>
        <v>1.45</v>
      </c>
    </row>
    <row r="541" spans="1:26" ht="14.25" x14ac:dyDescent="0.2">
      <c r="A541" s="44"/>
      <c r="B541" s="45"/>
      <c r="C541" s="45" t="s">
        <v>1937</v>
      </c>
      <c r="D541" s="28"/>
      <c r="E541" s="11"/>
      <c r="F541" s="29">
        <f>Source!AL180</f>
        <v>366.45</v>
      </c>
      <c r="G541" s="30" t="str">
        <f>Source!DD180</f>
        <v/>
      </c>
      <c r="H541" s="29">
        <f>ROUND(Source!AC180*Source!I180, 2)</f>
        <v>367.4</v>
      </c>
      <c r="I541" s="30"/>
      <c r="J541" s="30">
        <f>IF(Source!BC180&lt;&gt; 0, Source!BC180, 1)</f>
        <v>6.56</v>
      </c>
      <c r="K541" s="29">
        <f>Source!P180</f>
        <v>2410.16</v>
      </c>
      <c r="L541" s="31"/>
    </row>
    <row r="542" spans="1:26" ht="14.25" x14ac:dyDescent="0.2">
      <c r="A542" s="44"/>
      <c r="B542" s="45"/>
      <c r="C542" s="45" t="s">
        <v>1932</v>
      </c>
      <c r="D542" s="28" t="s">
        <v>1933</v>
      </c>
      <c r="E542" s="11">
        <f>Source!BZ180</f>
        <v>123</v>
      </c>
      <c r="F542" s="64" t="str">
        <f>CONCATENATE(" )", Source!DL180, Source!FT180, "=", Source!FX180)</f>
        <v xml:space="preserve"> )*0,9=110,7</v>
      </c>
      <c r="G542" s="65"/>
      <c r="H542" s="29">
        <f>SUM(S536:S546)</f>
        <v>308.86</v>
      </c>
      <c r="I542" s="33"/>
      <c r="J542" s="26">
        <f>Source!AT180</f>
        <v>111</v>
      </c>
      <c r="K542" s="29">
        <f>SUM(T536:T546)</f>
        <v>2031.67</v>
      </c>
      <c r="L542" s="31"/>
    </row>
    <row r="543" spans="1:26" ht="14.25" x14ac:dyDescent="0.2">
      <c r="A543" s="44"/>
      <c r="B543" s="45"/>
      <c r="C543" s="45" t="s">
        <v>1934</v>
      </c>
      <c r="D543" s="28" t="s">
        <v>1933</v>
      </c>
      <c r="E543" s="11">
        <f>Source!CA180</f>
        <v>75</v>
      </c>
      <c r="F543" s="64" t="str">
        <f>CONCATENATE(" )", Source!DM180, Source!FU180, "=", Source!FY180)</f>
        <v xml:space="preserve"> )*0,85=63,75</v>
      </c>
      <c r="G543" s="65"/>
      <c r="H543" s="29">
        <f>SUM(U536:U546)</f>
        <v>177.87</v>
      </c>
      <c r="I543" s="33"/>
      <c r="J543" s="26">
        <f>Source!AU180</f>
        <v>64</v>
      </c>
      <c r="K543" s="29">
        <f>SUM(V536:V546)</f>
        <v>1171.4100000000001</v>
      </c>
      <c r="L543" s="31"/>
    </row>
    <row r="544" spans="1:26" ht="14.25" x14ac:dyDescent="0.2">
      <c r="A544" s="44"/>
      <c r="B544" s="45"/>
      <c r="C544" s="45" t="s">
        <v>1935</v>
      </c>
      <c r="D544" s="28" t="s">
        <v>1936</v>
      </c>
      <c r="E544" s="11">
        <f>Source!AQ180</f>
        <v>25.61</v>
      </c>
      <c r="F544" s="29"/>
      <c r="G544" s="30" t="str">
        <f>Source!DI180</f>
        <v>)*1,15</v>
      </c>
      <c r="H544" s="29"/>
      <c r="I544" s="30"/>
      <c r="J544" s="30"/>
      <c r="K544" s="29"/>
      <c r="L544" s="40">
        <f>Source!U180</f>
        <v>29.528073899999995</v>
      </c>
    </row>
    <row r="545" spans="1:26" ht="28.5" x14ac:dyDescent="0.2">
      <c r="A545" s="44" t="str">
        <f>Source!E181</f>
        <v>49,1</v>
      </c>
      <c r="B545" s="45" t="str">
        <f>Source!F181</f>
        <v>11.2.03.02-0008</v>
      </c>
      <c r="C545" s="45" t="str">
        <f>Source!G181</f>
        <v>Ламинат "TARKETT  (33 класс, размер 1292х194 мм, толщина 8 мм) прим.</v>
      </c>
      <c r="D545" s="28" t="str">
        <f>Source!H181</f>
        <v>м2</v>
      </c>
      <c r="E545" s="11">
        <f>Source!I181</f>
        <v>102.76649999999999</v>
      </c>
      <c r="F545" s="29">
        <f>Source!AL181+Source!AM181+Source!AO181</f>
        <v>120.14</v>
      </c>
      <c r="G545" s="41" t="s">
        <v>6</v>
      </c>
      <c r="H545" s="29">
        <f>ROUND(Source!AC181*Source!I181, 2)+ROUND(Source!AD181*Source!I181, 2)+ROUND(Source!AF181*Source!I181, 2)</f>
        <v>12346.37</v>
      </c>
      <c r="I545" s="30"/>
      <c r="J545" s="30">
        <f>IF(Source!BC181&lt;&gt; 0, Source!BC181, 1)</f>
        <v>6.56</v>
      </c>
      <c r="K545" s="29">
        <f>Source!O181</f>
        <v>80992.17</v>
      </c>
      <c r="L545" s="31"/>
      <c r="S545">
        <f>ROUND((Source!FX181/100)*((ROUND(Source!AF181*Source!I181, 2)+ROUND(Source!AE181*Source!I181, 2))), 2)</f>
        <v>0</v>
      </c>
      <c r="T545">
        <f>Source!X181</f>
        <v>0</v>
      </c>
      <c r="U545">
        <f>ROUND((Source!FY181/100)*((ROUND(Source!AF181*Source!I181, 2)+ROUND(Source!AE181*Source!I181, 2))), 2)</f>
        <v>0</v>
      </c>
      <c r="V545">
        <f>Source!Y181</f>
        <v>0</v>
      </c>
      <c r="W545">
        <f>IF(Source!BI181&lt;=1,H545, 0)</f>
        <v>12346.37</v>
      </c>
      <c r="X545">
        <f>IF(Source!BI181=2,H545, 0)</f>
        <v>0</v>
      </c>
      <c r="Y545">
        <f>IF(Source!BI181=3,H545, 0)</f>
        <v>0</v>
      </c>
      <c r="Z545">
        <f>IF(Source!BI181=4,H545, 0)</f>
        <v>0</v>
      </c>
    </row>
    <row r="546" spans="1:26" ht="28.5" x14ac:dyDescent="0.2">
      <c r="A546" s="46" t="str">
        <f>Source!E182</f>
        <v>49,2</v>
      </c>
      <c r="B546" s="47" t="str">
        <f>Source!F182</f>
        <v>11.2.03.02</v>
      </c>
      <c r="C546" s="47" t="str">
        <f>Source!G182</f>
        <v>Покрытие напольное ламинированное (ламинат)</v>
      </c>
      <c r="D546" s="34" t="str">
        <f>Source!H182</f>
        <v>м2</v>
      </c>
      <c r="E546" s="35">
        <f>Source!I182</f>
        <v>102.76649999999999</v>
      </c>
      <c r="F546" s="36">
        <f>Source!AL182+Source!AM182+Source!AO182</f>
        <v>0</v>
      </c>
      <c r="G546" s="42" t="s">
        <v>6</v>
      </c>
      <c r="H546" s="36">
        <f>ROUND(Source!AC182*Source!I182, 2)+ROUND(Source!AD182*Source!I182, 2)+ROUND(Source!AF182*Source!I182, 2)</f>
        <v>0</v>
      </c>
      <c r="I546" s="37"/>
      <c r="J546" s="37">
        <f>IF(Source!BC182&lt;&gt; 0, Source!BC182, 1)</f>
        <v>6.56</v>
      </c>
      <c r="K546" s="36">
        <f>Source!O182</f>
        <v>0</v>
      </c>
      <c r="L546" s="43"/>
      <c r="S546">
        <f>ROUND((Source!FX182/100)*((ROUND(Source!AF182*Source!I182, 2)+ROUND(Source!AE182*Source!I182, 2))), 2)</f>
        <v>0</v>
      </c>
      <c r="T546">
        <f>Source!X182</f>
        <v>0</v>
      </c>
      <c r="U546">
        <f>ROUND((Source!FY182/100)*((ROUND(Source!AF182*Source!I182, 2)+ROUND(Source!AE182*Source!I182, 2))), 2)</f>
        <v>0</v>
      </c>
      <c r="V546">
        <f>Source!Y182</f>
        <v>0</v>
      </c>
      <c r="W546">
        <f>IF(Source!BI182&lt;=1,H546, 0)</f>
        <v>0</v>
      </c>
      <c r="X546">
        <f>IF(Source!BI182=2,H546, 0)</f>
        <v>0</v>
      </c>
      <c r="Y546">
        <f>IF(Source!BI182=3,H546, 0)</f>
        <v>0</v>
      </c>
      <c r="Z546">
        <f>IF(Source!BI182=4,H546, 0)</f>
        <v>0</v>
      </c>
    </row>
    <row r="547" spans="1:26" ht="15" x14ac:dyDescent="0.25">
      <c r="G547" s="63">
        <f>H538+H539+H541+H542+H543+SUM(H545:H546)</f>
        <v>13486.29</v>
      </c>
      <c r="H547" s="63"/>
      <c r="J547" s="63">
        <f>K538+K539+K541+K542+K543+SUM(K545:K546)</f>
        <v>88480.2</v>
      </c>
      <c r="K547" s="63"/>
      <c r="L547" s="39">
        <f>Source!U180</f>
        <v>29.528073899999995</v>
      </c>
      <c r="O547" s="24">
        <f>G547</f>
        <v>13486.29</v>
      </c>
      <c r="P547" s="24">
        <f>J547</f>
        <v>88480.2</v>
      </c>
      <c r="Q547" s="24">
        <f>L547</f>
        <v>29.528073899999995</v>
      </c>
      <c r="W547">
        <f>IF(Source!BI180&lt;=1,H538+H539+H541+H542+H543, 0)</f>
        <v>1139.92</v>
      </c>
      <c r="X547">
        <f>IF(Source!BI180=2,H538+H539+H541+H542+H543, 0)</f>
        <v>0</v>
      </c>
      <c r="Y547">
        <f>IF(Source!BI180=3,H538+H539+H541+H542+H543, 0)</f>
        <v>0</v>
      </c>
      <c r="Z547">
        <f>IF(Source!BI180=4,H538+H539+H541+H542+H543, 0)</f>
        <v>0</v>
      </c>
    </row>
    <row r="548" spans="1:26" ht="28.5" x14ac:dyDescent="0.2">
      <c r="A548" s="44" t="str">
        <f>Source!E183</f>
        <v>50</v>
      </c>
      <c r="B548" s="45" t="str">
        <f>Source!F183</f>
        <v>11-01-040-01</v>
      </c>
      <c r="C548" s="45" t="str">
        <f>Source!G183</f>
        <v>Устройство плинтусов поливинилхлоридных на клее КН-2</v>
      </c>
      <c r="D548" s="28" t="str">
        <f>Source!H183</f>
        <v>100 м</v>
      </c>
      <c r="E548" s="11">
        <f>Source!I183</f>
        <v>1.1996</v>
      </c>
      <c r="F548" s="29">
        <f>Source!AL183+Source!AM183+Source!AO183</f>
        <v>133.12</v>
      </c>
      <c r="G548" s="30"/>
      <c r="H548" s="29"/>
      <c r="I548" s="30" t="str">
        <f>Source!BO183</f>
        <v/>
      </c>
      <c r="J548" s="30"/>
      <c r="K548" s="29"/>
      <c r="L548" s="31"/>
      <c r="S548">
        <f>ROUND((Source!FX183/100)*((ROUND(Source!AF183*Source!I183, 2)+ROUND(Source!AE183*Source!I183, 2))), 2)</f>
        <v>135.01</v>
      </c>
      <c r="T548">
        <f>Source!X183</f>
        <v>888</v>
      </c>
      <c r="U548">
        <f>ROUND((Source!FY183/100)*((ROUND(Source!AF183*Source!I183, 2)+ROUND(Source!AE183*Source!I183, 2))), 2)</f>
        <v>77.75</v>
      </c>
      <c r="V548">
        <f>Source!Y183</f>
        <v>512</v>
      </c>
    </row>
    <row r="549" spans="1:26" x14ac:dyDescent="0.2">
      <c r="C549" s="23" t="str">
        <f>"Объем: "&amp;Source!I183&amp;"=119,96/"&amp;"100"</f>
        <v>Объем: 1,1996=119,96/100</v>
      </c>
    </row>
    <row r="550" spans="1:26" ht="14.25" x14ac:dyDescent="0.2">
      <c r="A550" s="44"/>
      <c r="B550" s="45"/>
      <c r="C550" s="45" t="s">
        <v>1930</v>
      </c>
      <c r="D550" s="28"/>
      <c r="E550" s="11"/>
      <c r="F550" s="29">
        <f>Source!AO183</f>
        <v>87.94</v>
      </c>
      <c r="G550" s="30" t="str">
        <f>Source!DG183</f>
        <v>)*1,15</v>
      </c>
      <c r="H550" s="29">
        <f>ROUND(Source!AF183*Source!I183, 2)</f>
        <v>121.32</v>
      </c>
      <c r="I550" s="30"/>
      <c r="J550" s="30">
        <f>IF(Source!BA183&lt;&gt; 0, Source!BA183, 1)</f>
        <v>6.56</v>
      </c>
      <c r="K550" s="29">
        <f>Source!S183</f>
        <v>795.83</v>
      </c>
      <c r="L550" s="31"/>
      <c r="R550">
        <f>H550</f>
        <v>121.32</v>
      </c>
    </row>
    <row r="551" spans="1:26" ht="14.25" x14ac:dyDescent="0.2">
      <c r="A551" s="44"/>
      <c r="B551" s="45"/>
      <c r="C551" s="45" t="s">
        <v>151</v>
      </c>
      <c r="D551" s="28"/>
      <c r="E551" s="11"/>
      <c r="F551" s="29">
        <f>Source!AM183</f>
        <v>2.13</v>
      </c>
      <c r="G551" s="30" t="str">
        <f>Source!DE183</f>
        <v>)*1,25</v>
      </c>
      <c r="H551" s="29">
        <f>ROUND(Source!AD183*Source!I183, 2)</f>
        <v>3.2</v>
      </c>
      <c r="I551" s="30"/>
      <c r="J551" s="30">
        <f>IF(Source!BB183&lt;&gt; 0, Source!BB183, 1)</f>
        <v>6.56</v>
      </c>
      <c r="K551" s="29">
        <f>Source!Q183</f>
        <v>21.01</v>
      </c>
      <c r="L551" s="31"/>
    </row>
    <row r="552" spans="1:26" ht="14.25" x14ac:dyDescent="0.2">
      <c r="A552" s="44"/>
      <c r="B552" s="45"/>
      <c r="C552" s="45" t="s">
        <v>1931</v>
      </c>
      <c r="D552" s="28"/>
      <c r="E552" s="11"/>
      <c r="F552" s="29">
        <f>Source!AN183</f>
        <v>0.42</v>
      </c>
      <c r="G552" s="30" t="str">
        <f>Source!DF183</f>
        <v>)*1,25</v>
      </c>
      <c r="H552" s="32">
        <f>ROUND(Source!AE183*Source!I183, 2)</f>
        <v>0.64</v>
      </c>
      <c r="I552" s="30"/>
      <c r="J552" s="30">
        <f>IF(Source!BS183&lt;&gt; 0, Source!BS183, 1)</f>
        <v>6.56</v>
      </c>
      <c r="K552" s="32">
        <f>Source!R183</f>
        <v>4.17</v>
      </c>
      <c r="L552" s="31"/>
      <c r="R552">
        <f>H552</f>
        <v>0.64</v>
      </c>
    </row>
    <row r="553" spans="1:26" ht="14.25" x14ac:dyDescent="0.2">
      <c r="A553" s="44"/>
      <c r="B553" s="45"/>
      <c r="C553" s="45" t="s">
        <v>1937</v>
      </c>
      <c r="D553" s="28"/>
      <c r="E553" s="11"/>
      <c r="F553" s="29">
        <f>Source!AL183</f>
        <v>43.05</v>
      </c>
      <c r="G553" s="30" t="str">
        <f>Source!DD183</f>
        <v/>
      </c>
      <c r="H553" s="29">
        <f>ROUND(Source!AC183*Source!I183, 2)</f>
        <v>51.64</v>
      </c>
      <c r="I553" s="30"/>
      <c r="J553" s="30">
        <f>IF(Source!BC183&lt;&gt; 0, Source!BC183, 1)</f>
        <v>6.56</v>
      </c>
      <c r="K553" s="29">
        <f>Source!P183</f>
        <v>338.78</v>
      </c>
      <c r="L553" s="31"/>
    </row>
    <row r="554" spans="1:26" ht="14.25" x14ac:dyDescent="0.2">
      <c r="A554" s="44"/>
      <c r="B554" s="45"/>
      <c r="C554" s="45" t="s">
        <v>1932</v>
      </c>
      <c r="D554" s="28" t="s">
        <v>1933</v>
      </c>
      <c r="E554" s="11">
        <f>Source!BZ183</f>
        <v>123</v>
      </c>
      <c r="F554" s="64" t="str">
        <f>CONCATENATE(" )", Source!DL183, Source!FT183, "=", Source!FX183)</f>
        <v xml:space="preserve"> )*0,9=110,7</v>
      </c>
      <c r="G554" s="65"/>
      <c r="H554" s="29">
        <f>SUM(S548:S558)</f>
        <v>135.01</v>
      </c>
      <c r="I554" s="33"/>
      <c r="J554" s="26">
        <f>Source!AT183</f>
        <v>111</v>
      </c>
      <c r="K554" s="29">
        <f>SUM(T548:T558)</f>
        <v>888</v>
      </c>
      <c r="L554" s="31"/>
    </row>
    <row r="555" spans="1:26" ht="14.25" x14ac:dyDescent="0.2">
      <c r="A555" s="44"/>
      <c r="B555" s="45"/>
      <c r="C555" s="45" t="s">
        <v>1934</v>
      </c>
      <c r="D555" s="28" t="s">
        <v>1933</v>
      </c>
      <c r="E555" s="11">
        <f>Source!CA183</f>
        <v>75</v>
      </c>
      <c r="F555" s="64" t="str">
        <f>CONCATENATE(" )", Source!DM183, Source!FU183, "=", Source!FY183)</f>
        <v xml:space="preserve"> )*0,85=63,75</v>
      </c>
      <c r="G555" s="65"/>
      <c r="H555" s="29">
        <f>SUM(U548:U558)</f>
        <v>77.75</v>
      </c>
      <c r="I555" s="33"/>
      <c r="J555" s="26">
        <f>Source!AU183</f>
        <v>64</v>
      </c>
      <c r="K555" s="29">
        <f>SUM(V548:V558)</f>
        <v>512</v>
      </c>
      <c r="L555" s="31"/>
    </row>
    <row r="556" spans="1:26" ht="14.25" x14ac:dyDescent="0.2">
      <c r="A556" s="44"/>
      <c r="B556" s="45"/>
      <c r="C556" s="45" t="s">
        <v>1935</v>
      </c>
      <c r="D556" s="28" t="s">
        <v>1936</v>
      </c>
      <c r="E556" s="11">
        <f>Source!AQ183</f>
        <v>9.01</v>
      </c>
      <c r="F556" s="29"/>
      <c r="G556" s="30" t="str">
        <f>Source!DI183</f>
        <v>)*1,15</v>
      </c>
      <c r="H556" s="29"/>
      <c r="I556" s="30"/>
      <c r="J556" s="30"/>
      <c r="K556" s="29"/>
      <c r="L556" s="40">
        <f>Source!U183</f>
        <v>12.4296554</v>
      </c>
    </row>
    <row r="557" spans="1:26" ht="28.5" x14ac:dyDescent="0.2">
      <c r="A557" s="44" t="str">
        <f>Source!E184</f>
        <v>50,1</v>
      </c>
      <c r="B557" s="45" t="str">
        <f>Source!F184</f>
        <v>11.3.03.06-0002</v>
      </c>
      <c r="C557" s="45" t="str">
        <f>Source!G184</f>
        <v>Плинтуса для полов с кабель-каналом пластиковые, 22х49 мм</v>
      </c>
      <c r="D557" s="28" t="str">
        <f>Source!H184</f>
        <v>м</v>
      </c>
      <c r="E557" s="11">
        <f>Source!I184</f>
        <v>121.1596</v>
      </c>
      <c r="F557" s="29">
        <f>Source!AL184+Source!AM184+Source!AO184</f>
        <v>20.5</v>
      </c>
      <c r="G557" s="41" t="s">
        <v>6</v>
      </c>
      <c r="H557" s="29">
        <f>ROUND(Source!AC184*Source!I184, 2)+ROUND(Source!AD184*Source!I184, 2)+ROUND(Source!AF184*Source!I184, 2)</f>
        <v>2483.77</v>
      </c>
      <c r="I557" s="30"/>
      <c r="J557" s="30">
        <f>IF(Source!BC184&lt;&gt; 0, Source!BC184, 1)</f>
        <v>6.56</v>
      </c>
      <c r="K557" s="29">
        <f>Source!O184</f>
        <v>16293.54</v>
      </c>
      <c r="L557" s="31"/>
      <c r="S557">
        <f>ROUND((Source!FX184/100)*((ROUND(Source!AF184*Source!I184, 2)+ROUND(Source!AE184*Source!I184, 2))), 2)</f>
        <v>0</v>
      </c>
      <c r="T557">
        <f>Source!X184</f>
        <v>0</v>
      </c>
      <c r="U557">
        <f>ROUND((Source!FY184/100)*((ROUND(Source!AF184*Source!I184, 2)+ROUND(Source!AE184*Source!I184, 2))), 2)</f>
        <v>0</v>
      </c>
      <c r="V557">
        <f>Source!Y184</f>
        <v>0</v>
      </c>
      <c r="W557">
        <f>IF(Source!BI184&lt;=1,H557, 0)</f>
        <v>2483.77</v>
      </c>
      <c r="X557">
        <f>IF(Source!BI184=2,H557, 0)</f>
        <v>0</v>
      </c>
      <c r="Y557">
        <f>IF(Source!BI184=3,H557, 0)</f>
        <v>0</v>
      </c>
      <c r="Z557">
        <f>IF(Source!BI184=4,H557, 0)</f>
        <v>0</v>
      </c>
    </row>
    <row r="558" spans="1:26" ht="14.25" x14ac:dyDescent="0.2">
      <c r="A558" s="46" t="str">
        <f>Source!E185</f>
        <v>50,2</v>
      </c>
      <c r="B558" s="47" t="str">
        <f>Source!F185</f>
        <v>11.3.03.06</v>
      </c>
      <c r="C558" s="47" t="str">
        <f>Source!G185</f>
        <v>Плинтуса для полов пластиковые</v>
      </c>
      <c r="D558" s="34" t="str">
        <f>Source!H185</f>
        <v>м</v>
      </c>
      <c r="E558" s="35">
        <f>Source!I185</f>
        <v>121.1596</v>
      </c>
      <c r="F558" s="36">
        <f>Source!AL185+Source!AM185+Source!AO185</f>
        <v>0</v>
      </c>
      <c r="G558" s="42" t="s">
        <v>6</v>
      </c>
      <c r="H558" s="36">
        <f>ROUND(Source!AC185*Source!I185, 2)+ROUND(Source!AD185*Source!I185, 2)+ROUND(Source!AF185*Source!I185, 2)</f>
        <v>0</v>
      </c>
      <c r="I558" s="37"/>
      <c r="J558" s="37">
        <f>IF(Source!BC185&lt;&gt; 0, Source!BC185, 1)</f>
        <v>6.56</v>
      </c>
      <c r="K558" s="36">
        <f>Source!O185</f>
        <v>0</v>
      </c>
      <c r="L558" s="43"/>
      <c r="S558">
        <f>ROUND((Source!FX185/100)*((ROUND(Source!AF185*Source!I185, 2)+ROUND(Source!AE185*Source!I185, 2))), 2)</f>
        <v>0</v>
      </c>
      <c r="T558">
        <f>Source!X185</f>
        <v>0</v>
      </c>
      <c r="U558">
        <f>ROUND((Source!FY185/100)*((ROUND(Source!AF185*Source!I185, 2)+ROUND(Source!AE185*Source!I185, 2))), 2)</f>
        <v>0</v>
      </c>
      <c r="V558">
        <f>Source!Y185</f>
        <v>0</v>
      </c>
      <c r="W558">
        <f>IF(Source!BI185&lt;=1,H558, 0)</f>
        <v>0</v>
      </c>
      <c r="X558">
        <f>IF(Source!BI185=2,H558, 0)</f>
        <v>0</v>
      </c>
      <c r="Y558">
        <f>IF(Source!BI185=3,H558, 0)</f>
        <v>0</v>
      </c>
      <c r="Z558">
        <f>IF(Source!BI185=4,H558, 0)</f>
        <v>0</v>
      </c>
    </row>
    <row r="559" spans="1:26" ht="15" x14ac:dyDescent="0.25">
      <c r="G559" s="63">
        <f>H550+H551+H553+H554+H555+SUM(H557:H558)</f>
        <v>2872.69</v>
      </c>
      <c r="H559" s="63"/>
      <c r="J559" s="63">
        <f>K550+K551+K553+K554+K555+SUM(K557:K558)</f>
        <v>18849.16</v>
      </c>
      <c r="K559" s="63"/>
      <c r="L559" s="39">
        <f>Source!U183</f>
        <v>12.4296554</v>
      </c>
      <c r="O559" s="24">
        <f>G559</f>
        <v>2872.69</v>
      </c>
      <c r="P559" s="24">
        <f>J559</f>
        <v>18849.16</v>
      </c>
      <c r="Q559" s="24">
        <f>L559</f>
        <v>12.4296554</v>
      </c>
      <c r="W559">
        <f>IF(Source!BI183&lt;=1,H550+H551+H553+H554+H555, 0)</f>
        <v>388.91999999999996</v>
      </c>
      <c r="X559">
        <f>IF(Source!BI183=2,H550+H551+H553+H554+H555, 0)</f>
        <v>0</v>
      </c>
      <c r="Y559">
        <f>IF(Source!BI183=3,H550+H551+H553+H554+H555, 0)</f>
        <v>0</v>
      </c>
      <c r="Z559">
        <f>IF(Source!BI183=4,H550+H551+H553+H554+H555, 0)</f>
        <v>0</v>
      </c>
    </row>
    <row r="560" spans="1:26" ht="28.5" x14ac:dyDescent="0.2">
      <c r="A560" s="44" t="str">
        <f>Source!E186</f>
        <v>51</v>
      </c>
      <c r="B560" s="45" t="str">
        <f>Source!F186</f>
        <v>11-01-039-04</v>
      </c>
      <c r="C560" s="45" t="str">
        <f>Source!G186</f>
        <v>Устройство плинтусов из плиток керамических</v>
      </c>
      <c r="D560" s="28" t="str">
        <f>Source!H186</f>
        <v>100 м</v>
      </c>
      <c r="E560" s="11">
        <f>Source!I186</f>
        <v>0.70799999999999996</v>
      </c>
      <c r="F560" s="29">
        <f>Source!AL186+Source!AM186+Source!AO186</f>
        <v>232.03</v>
      </c>
      <c r="G560" s="30"/>
      <c r="H560" s="29"/>
      <c r="I560" s="30" t="str">
        <f>Source!BO186</f>
        <v/>
      </c>
      <c r="J560" s="30"/>
      <c r="K560" s="29"/>
      <c r="L560" s="31"/>
      <c r="S560">
        <f>ROUND((Source!FX186/100)*((ROUND(Source!AF186*Source!I186, 2)+ROUND(Source!AE186*Source!I186, 2))), 2)</f>
        <v>205.53</v>
      </c>
      <c r="T560">
        <f>Source!X186</f>
        <v>1351.94</v>
      </c>
      <c r="U560">
        <f>ROUND((Source!FY186/100)*((ROUND(Source!AF186*Source!I186, 2)+ROUND(Source!AE186*Source!I186, 2))), 2)</f>
        <v>118.36</v>
      </c>
      <c r="V560">
        <f>Source!Y186</f>
        <v>779.49</v>
      </c>
    </row>
    <row r="561" spans="1:26" x14ac:dyDescent="0.2">
      <c r="C561" s="23" t="str">
        <f>"Объем: "&amp;Source!I186&amp;"=70,8/"&amp;"100"</f>
        <v>Объем: 0,708=70,8/100</v>
      </c>
    </row>
    <row r="562" spans="1:26" ht="14.25" x14ac:dyDescent="0.2">
      <c r="A562" s="44"/>
      <c r="B562" s="45"/>
      <c r="C562" s="45" t="s">
        <v>1930</v>
      </c>
      <c r="D562" s="28"/>
      <c r="E562" s="11"/>
      <c r="F562" s="29">
        <f>Source!AO186</f>
        <v>226.53</v>
      </c>
      <c r="G562" s="30" t="str">
        <f>Source!DG186</f>
        <v>)*1,15</v>
      </c>
      <c r="H562" s="29">
        <f>ROUND(Source!AF186*Source!I186, 2)</f>
        <v>184.44</v>
      </c>
      <c r="I562" s="30"/>
      <c r="J562" s="30">
        <f>IF(Source!BA186&lt;&gt; 0, Source!BA186, 1)</f>
        <v>6.56</v>
      </c>
      <c r="K562" s="29">
        <f>Source!S186</f>
        <v>1209.93</v>
      </c>
      <c r="L562" s="31"/>
      <c r="R562">
        <f>H562</f>
        <v>184.44</v>
      </c>
    </row>
    <row r="563" spans="1:26" ht="14.25" x14ac:dyDescent="0.2">
      <c r="A563" s="44"/>
      <c r="B563" s="45"/>
      <c r="C563" s="45" t="s">
        <v>151</v>
      </c>
      <c r="D563" s="28"/>
      <c r="E563" s="11"/>
      <c r="F563" s="29">
        <f>Source!AM186</f>
        <v>5.5</v>
      </c>
      <c r="G563" s="30" t="str">
        <f>Source!DE186</f>
        <v>)*1,25</v>
      </c>
      <c r="H563" s="29">
        <f>ROUND(Source!AD186*Source!I186, 2)</f>
        <v>4.87</v>
      </c>
      <c r="I563" s="30"/>
      <c r="J563" s="30">
        <f>IF(Source!BB186&lt;&gt; 0, Source!BB186, 1)</f>
        <v>6.56</v>
      </c>
      <c r="K563" s="29">
        <f>Source!Q186</f>
        <v>31.95</v>
      </c>
      <c r="L563" s="31"/>
    </row>
    <row r="564" spans="1:26" ht="14.25" x14ac:dyDescent="0.2">
      <c r="A564" s="44"/>
      <c r="B564" s="45"/>
      <c r="C564" s="45" t="s">
        <v>1931</v>
      </c>
      <c r="D564" s="28"/>
      <c r="E564" s="11"/>
      <c r="F564" s="29">
        <f>Source!AN186</f>
        <v>1.38</v>
      </c>
      <c r="G564" s="30" t="str">
        <f>Source!DF186</f>
        <v>)*1,25</v>
      </c>
      <c r="H564" s="32">
        <f>ROUND(Source!AE186*Source!I186, 2)</f>
        <v>1.22</v>
      </c>
      <c r="I564" s="30"/>
      <c r="J564" s="30">
        <f>IF(Source!BS186&lt;&gt; 0, Source!BS186, 1)</f>
        <v>6.56</v>
      </c>
      <c r="K564" s="32">
        <f>Source!R186</f>
        <v>8.0299999999999994</v>
      </c>
      <c r="L564" s="31"/>
      <c r="R564">
        <f>H564</f>
        <v>1.22</v>
      </c>
    </row>
    <row r="565" spans="1:26" ht="14.25" x14ac:dyDescent="0.2">
      <c r="A565" s="44"/>
      <c r="B565" s="45"/>
      <c r="C565" s="45" t="s">
        <v>1932</v>
      </c>
      <c r="D565" s="28" t="s">
        <v>1933</v>
      </c>
      <c r="E565" s="11">
        <f>Source!BZ186</f>
        <v>123</v>
      </c>
      <c r="F565" s="64" t="str">
        <f>CONCATENATE(" )", Source!DL186, Source!FT186, "=", Source!FX186)</f>
        <v xml:space="preserve"> )*0,9=110,7</v>
      </c>
      <c r="G565" s="65"/>
      <c r="H565" s="29">
        <f>SUM(S560:S569)</f>
        <v>205.53</v>
      </c>
      <c r="I565" s="33"/>
      <c r="J565" s="26">
        <f>Source!AT186</f>
        <v>111</v>
      </c>
      <c r="K565" s="29">
        <f>SUM(T560:T569)</f>
        <v>1351.94</v>
      </c>
      <c r="L565" s="31"/>
    </row>
    <row r="566" spans="1:26" ht="14.25" x14ac:dyDescent="0.2">
      <c r="A566" s="44"/>
      <c r="B566" s="45"/>
      <c r="C566" s="45" t="s">
        <v>1934</v>
      </c>
      <c r="D566" s="28" t="s">
        <v>1933</v>
      </c>
      <c r="E566" s="11">
        <f>Source!CA186</f>
        <v>75</v>
      </c>
      <c r="F566" s="64" t="str">
        <f>CONCATENATE(" )", Source!DM186, Source!FU186, "=", Source!FY186)</f>
        <v xml:space="preserve"> )*0,85=63,75</v>
      </c>
      <c r="G566" s="65"/>
      <c r="H566" s="29">
        <f>SUM(U560:U569)</f>
        <v>118.36</v>
      </c>
      <c r="I566" s="33"/>
      <c r="J566" s="26">
        <f>Source!AU186</f>
        <v>64</v>
      </c>
      <c r="K566" s="29">
        <f>SUM(V560:V569)</f>
        <v>779.49</v>
      </c>
      <c r="L566" s="31"/>
    </row>
    <row r="567" spans="1:26" ht="14.25" x14ac:dyDescent="0.2">
      <c r="A567" s="44"/>
      <c r="B567" s="45"/>
      <c r="C567" s="45" t="s">
        <v>1935</v>
      </c>
      <c r="D567" s="28" t="s">
        <v>1936</v>
      </c>
      <c r="E567" s="11">
        <f>Source!AQ186</f>
        <v>23.82</v>
      </c>
      <c r="F567" s="29"/>
      <c r="G567" s="30" t="str">
        <f>Source!DI186</f>
        <v>)*1,15</v>
      </c>
      <c r="H567" s="29"/>
      <c r="I567" s="30"/>
      <c r="J567" s="30"/>
      <c r="K567" s="29"/>
      <c r="L567" s="40">
        <f>Source!U186</f>
        <v>19.394243999999997</v>
      </c>
    </row>
    <row r="568" spans="1:26" ht="28.5" x14ac:dyDescent="0.2">
      <c r="A568" s="44" t="str">
        <f>Source!E187</f>
        <v>51,1</v>
      </c>
      <c r="B568" s="45" t="str">
        <f>Source!F187</f>
        <v>06.2.05.03-0031</v>
      </c>
      <c r="C568" s="45" t="str">
        <f>Source!G187</f>
        <v>Плитки керамические плинтусные прямые</v>
      </c>
      <c r="D568" s="28" t="str">
        <f>Source!H187</f>
        <v>м</v>
      </c>
      <c r="E568" s="11">
        <f>Source!I187</f>
        <v>71.507999999999996</v>
      </c>
      <c r="F568" s="29">
        <f>Source!AL187+Source!AM187+Source!AO187</f>
        <v>23.73</v>
      </c>
      <c r="G568" s="41" t="s">
        <v>6</v>
      </c>
      <c r="H568" s="29">
        <f>ROUND(Source!AC187*Source!I187, 2)+ROUND(Source!AD187*Source!I187, 2)+ROUND(Source!AF187*Source!I187, 2)</f>
        <v>1696.88</v>
      </c>
      <c r="I568" s="30"/>
      <c r="J568" s="30">
        <f>IF(Source!BC187&lt;&gt; 0, Source!BC187, 1)</f>
        <v>6.56</v>
      </c>
      <c r="K568" s="29">
        <f>Source!O187</f>
        <v>11131.56</v>
      </c>
      <c r="L568" s="31"/>
      <c r="S568">
        <f>ROUND((Source!FX187/100)*((ROUND(Source!AF187*Source!I187, 2)+ROUND(Source!AE187*Source!I187, 2))), 2)</f>
        <v>0</v>
      </c>
      <c r="T568">
        <f>Source!X187</f>
        <v>0</v>
      </c>
      <c r="U568">
        <f>ROUND((Source!FY187/100)*((ROUND(Source!AF187*Source!I187, 2)+ROUND(Source!AE187*Source!I187, 2))), 2)</f>
        <v>0</v>
      </c>
      <c r="V568">
        <f>Source!Y187</f>
        <v>0</v>
      </c>
      <c r="W568">
        <f>IF(Source!BI187&lt;=1,H568, 0)</f>
        <v>1696.88</v>
      </c>
      <c r="X568">
        <f>IF(Source!BI187=2,H568, 0)</f>
        <v>0</v>
      </c>
      <c r="Y568">
        <f>IF(Source!BI187=3,H568, 0)</f>
        <v>0</v>
      </c>
      <c r="Z568">
        <f>IF(Source!BI187=4,H568, 0)</f>
        <v>0</v>
      </c>
    </row>
    <row r="569" spans="1:26" ht="14.25" x14ac:dyDescent="0.2">
      <c r="A569" s="46" t="str">
        <f>Source!E188</f>
        <v>51,2</v>
      </c>
      <c r="B569" s="47" t="str">
        <f>Source!F188</f>
        <v>06.2.05.03</v>
      </c>
      <c r="C569" s="47" t="str">
        <f>Source!G188</f>
        <v>Плитки керамические плинтусные</v>
      </c>
      <c r="D569" s="34" t="str">
        <f>Source!H188</f>
        <v>м</v>
      </c>
      <c r="E569" s="35">
        <f>Source!I188</f>
        <v>71.507999999999996</v>
      </c>
      <c r="F569" s="36">
        <f>Source!AL188+Source!AM188+Source!AO188</f>
        <v>0</v>
      </c>
      <c r="G569" s="42" t="s">
        <v>6</v>
      </c>
      <c r="H569" s="36">
        <f>ROUND(Source!AC188*Source!I188, 2)+ROUND(Source!AD188*Source!I188, 2)+ROUND(Source!AF188*Source!I188, 2)</f>
        <v>0</v>
      </c>
      <c r="I569" s="37"/>
      <c r="J569" s="37">
        <f>IF(Source!BC188&lt;&gt; 0, Source!BC188, 1)</f>
        <v>6.56</v>
      </c>
      <c r="K569" s="36">
        <f>Source!O188</f>
        <v>0</v>
      </c>
      <c r="L569" s="43"/>
      <c r="S569">
        <f>ROUND((Source!FX188/100)*((ROUND(Source!AF188*Source!I188, 2)+ROUND(Source!AE188*Source!I188, 2))), 2)</f>
        <v>0</v>
      </c>
      <c r="T569">
        <f>Source!X188</f>
        <v>0</v>
      </c>
      <c r="U569">
        <f>ROUND((Source!FY188/100)*((ROUND(Source!AF188*Source!I188, 2)+ROUND(Source!AE188*Source!I188, 2))), 2)</f>
        <v>0</v>
      </c>
      <c r="V569">
        <f>Source!Y188</f>
        <v>0</v>
      </c>
      <c r="W569">
        <f>IF(Source!BI188&lt;=1,H569, 0)</f>
        <v>0</v>
      </c>
      <c r="X569">
        <f>IF(Source!BI188=2,H569, 0)</f>
        <v>0</v>
      </c>
      <c r="Y569">
        <f>IF(Source!BI188=3,H569, 0)</f>
        <v>0</v>
      </c>
      <c r="Z569">
        <f>IF(Source!BI188=4,H569, 0)</f>
        <v>0</v>
      </c>
    </row>
    <row r="570" spans="1:26" ht="15" x14ac:dyDescent="0.25">
      <c r="G570" s="63">
        <f>H562+H563+H565+H566+SUM(H568:H569)</f>
        <v>2210.08</v>
      </c>
      <c r="H570" s="63"/>
      <c r="J570" s="63">
        <f>K562+K563+K565+K566+SUM(K568:K569)</f>
        <v>14504.869999999999</v>
      </c>
      <c r="K570" s="63"/>
      <c r="L570" s="39">
        <f>Source!U186</f>
        <v>19.394243999999997</v>
      </c>
      <c r="O570" s="24">
        <f>G570</f>
        <v>2210.08</v>
      </c>
      <c r="P570" s="24">
        <f>J570</f>
        <v>14504.869999999999</v>
      </c>
      <c r="Q570" s="24">
        <f>L570</f>
        <v>19.394243999999997</v>
      </c>
      <c r="W570">
        <f>IF(Source!BI186&lt;=1,H562+H563+H565+H566, 0)</f>
        <v>513.20000000000005</v>
      </c>
      <c r="X570">
        <f>IF(Source!BI186=2,H562+H563+H565+H566, 0)</f>
        <v>0</v>
      </c>
      <c r="Y570">
        <f>IF(Source!BI186=3,H562+H563+H565+H566, 0)</f>
        <v>0</v>
      </c>
      <c r="Z570">
        <f>IF(Source!BI186=4,H562+H563+H565+H566, 0)</f>
        <v>0</v>
      </c>
    </row>
    <row r="571" spans="1:26" ht="28.5" x14ac:dyDescent="0.2">
      <c r="A571" s="44" t="str">
        <f>Source!E189</f>
        <v>52</v>
      </c>
      <c r="B571" s="45" t="str">
        <f>Source!F189</f>
        <v>11-01-049-01</v>
      </c>
      <c r="C571" s="45" t="str">
        <f>Source!G189</f>
        <v>Укладка металлического накладного профиля (порога)</v>
      </c>
      <c r="D571" s="28" t="str">
        <f>Source!H189</f>
        <v>100 м</v>
      </c>
      <c r="E571" s="11">
        <f>Source!I189</f>
        <v>0.09</v>
      </c>
      <c r="F571" s="29">
        <f>Source!AL189+Source!AM189+Source!AO189</f>
        <v>225.83</v>
      </c>
      <c r="G571" s="30"/>
      <c r="H571" s="29"/>
      <c r="I571" s="30" t="str">
        <f>Source!BO189</f>
        <v/>
      </c>
      <c r="J571" s="30"/>
      <c r="K571" s="29"/>
      <c r="L571" s="31"/>
      <c r="S571">
        <f>ROUND((Source!FX189/100)*((ROUND(Source!AF189*Source!I189, 2)+ROUND(Source!AE189*Source!I189, 2))), 2)</f>
        <v>16.66</v>
      </c>
      <c r="T571">
        <f>Source!X189</f>
        <v>109.6</v>
      </c>
      <c r="U571">
        <f>ROUND((Source!FY189/100)*((ROUND(Source!AF189*Source!I189, 2)+ROUND(Source!AE189*Source!I189, 2))), 2)</f>
        <v>9.59</v>
      </c>
      <c r="V571">
        <f>Source!Y189</f>
        <v>63.19</v>
      </c>
    </row>
    <row r="572" spans="1:26" x14ac:dyDescent="0.2">
      <c r="C572" s="23" t="str">
        <f>"Объем: "&amp;Source!I189&amp;"=9/"&amp;"100"</f>
        <v>Объем: 0,09=9/100</v>
      </c>
    </row>
    <row r="573" spans="1:26" ht="14.25" x14ac:dyDescent="0.2">
      <c r="A573" s="44"/>
      <c r="B573" s="45"/>
      <c r="C573" s="45" t="s">
        <v>1930</v>
      </c>
      <c r="D573" s="28"/>
      <c r="E573" s="11"/>
      <c r="F573" s="29">
        <f>Source!AO189</f>
        <v>145.43</v>
      </c>
      <c r="G573" s="30" t="str">
        <f>Source!DG189</f>
        <v>)*1,15</v>
      </c>
      <c r="H573" s="29">
        <f>ROUND(Source!AF189*Source!I189, 2)</f>
        <v>15.05</v>
      </c>
      <c r="I573" s="30"/>
      <c r="J573" s="30">
        <f>IF(Source!BA189&lt;&gt; 0, Source!BA189, 1)</f>
        <v>6.56</v>
      </c>
      <c r="K573" s="29">
        <f>Source!S189</f>
        <v>98.74</v>
      </c>
      <c r="L573" s="31"/>
      <c r="R573">
        <f>H573</f>
        <v>15.05</v>
      </c>
    </row>
    <row r="574" spans="1:26" ht="14.25" x14ac:dyDescent="0.2">
      <c r="A574" s="44"/>
      <c r="B574" s="45"/>
      <c r="C574" s="45" t="s">
        <v>1937</v>
      </c>
      <c r="D574" s="28"/>
      <c r="E574" s="11"/>
      <c r="F574" s="29">
        <f>Source!AL189</f>
        <v>80.400000000000006</v>
      </c>
      <c r="G574" s="30" t="str">
        <f>Source!DD189</f>
        <v/>
      </c>
      <c r="H574" s="29">
        <f>ROUND(Source!AC189*Source!I189, 2)</f>
        <v>7.24</v>
      </c>
      <c r="I574" s="30"/>
      <c r="J574" s="30">
        <f>IF(Source!BC189&lt;&gt; 0, Source!BC189, 1)</f>
        <v>6.56</v>
      </c>
      <c r="K574" s="29">
        <f>Source!P189</f>
        <v>47.47</v>
      </c>
      <c r="L574" s="31"/>
    </row>
    <row r="575" spans="1:26" ht="14.25" x14ac:dyDescent="0.2">
      <c r="A575" s="44"/>
      <c r="B575" s="45"/>
      <c r="C575" s="45" t="s">
        <v>1932</v>
      </c>
      <c r="D575" s="28" t="s">
        <v>1933</v>
      </c>
      <c r="E575" s="11">
        <f>Source!BZ189</f>
        <v>123</v>
      </c>
      <c r="F575" s="64" t="str">
        <f>CONCATENATE(" )", Source!DL189, Source!FT189, "=", Source!FX189)</f>
        <v xml:space="preserve"> )*0,9=110,7</v>
      </c>
      <c r="G575" s="65"/>
      <c r="H575" s="29">
        <f>SUM(S571:S580)</f>
        <v>16.66</v>
      </c>
      <c r="I575" s="33"/>
      <c r="J575" s="26">
        <f>Source!AT189</f>
        <v>111</v>
      </c>
      <c r="K575" s="29">
        <f>SUM(T571:T580)</f>
        <v>109.6</v>
      </c>
      <c r="L575" s="31"/>
    </row>
    <row r="576" spans="1:26" ht="14.25" x14ac:dyDescent="0.2">
      <c r="A576" s="44"/>
      <c r="B576" s="45"/>
      <c r="C576" s="45" t="s">
        <v>1934</v>
      </c>
      <c r="D576" s="28" t="s">
        <v>1933</v>
      </c>
      <c r="E576" s="11">
        <f>Source!CA189</f>
        <v>75</v>
      </c>
      <c r="F576" s="64" t="str">
        <f>CONCATENATE(" )", Source!DM189, Source!FU189, "=", Source!FY189)</f>
        <v xml:space="preserve"> )*0,85=63,75</v>
      </c>
      <c r="G576" s="65"/>
      <c r="H576" s="29">
        <f>SUM(U571:U580)</f>
        <v>9.59</v>
      </c>
      <c r="I576" s="33"/>
      <c r="J576" s="26">
        <f>Source!AU189</f>
        <v>64</v>
      </c>
      <c r="K576" s="29">
        <f>SUM(V571:V580)</f>
        <v>63.19</v>
      </c>
      <c r="L576" s="31"/>
    </row>
    <row r="577" spans="1:26" ht="14.25" x14ac:dyDescent="0.2">
      <c r="A577" s="44"/>
      <c r="B577" s="45"/>
      <c r="C577" s="45" t="s">
        <v>1935</v>
      </c>
      <c r="D577" s="28" t="s">
        <v>1936</v>
      </c>
      <c r="E577" s="11">
        <f>Source!AQ189</f>
        <v>16.64</v>
      </c>
      <c r="F577" s="29"/>
      <c r="G577" s="30" t="str">
        <f>Source!DI189</f>
        <v>)*1,15</v>
      </c>
      <c r="H577" s="29"/>
      <c r="I577" s="30"/>
      <c r="J577" s="30"/>
      <c r="K577" s="29"/>
      <c r="L577" s="40">
        <f>Source!U189</f>
        <v>1.7222399999999998</v>
      </c>
    </row>
    <row r="578" spans="1:26" ht="57" x14ac:dyDescent="0.2">
      <c r="A578" s="44" t="str">
        <f>Source!E190</f>
        <v>52,1</v>
      </c>
      <c r="B578" s="45" t="str">
        <f>Source!F190</f>
        <v>09.2.03.02-0001</v>
      </c>
      <c r="C578" s="45" t="str">
        <f>Source!G190</f>
        <v>Профили стыкоперекрывающие из алюминиевых сплавов (порожки) с покрытием и антискользящей вставкой, шириной 39 мм, длиной 0,9 м</v>
      </c>
      <c r="D578" s="28" t="str">
        <f>Source!H190</f>
        <v>шт.</v>
      </c>
      <c r="E578" s="11">
        <f>Source!I190</f>
        <v>1.9999999999999998</v>
      </c>
      <c r="F578" s="29">
        <f>Source!AL190+Source!AM190+Source!AO190</f>
        <v>15.07</v>
      </c>
      <c r="G578" s="41" t="s">
        <v>6</v>
      </c>
      <c r="H578" s="29">
        <f>ROUND(Source!AC190*Source!I190, 2)+ROUND(Source!AD190*Source!I190, 2)+ROUND(Source!AF190*Source!I190, 2)</f>
        <v>30.14</v>
      </c>
      <c r="I578" s="30"/>
      <c r="J578" s="30">
        <f>IF(Source!BC190&lt;&gt; 0, Source!BC190, 1)</f>
        <v>6.56</v>
      </c>
      <c r="K578" s="29">
        <f>Source!O190</f>
        <v>197.72</v>
      </c>
      <c r="L578" s="31"/>
      <c r="S578">
        <f>ROUND((Source!FX190/100)*((ROUND(Source!AF190*Source!I190, 2)+ROUND(Source!AE190*Source!I190, 2))), 2)</f>
        <v>0</v>
      </c>
      <c r="T578">
        <f>Source!X190</f>
        <v>0</v>
      </c>
      <c r="U578">
        <f>ROUND((Source!FY190/100)*((ROUND(Source!AF190*Source!I190, 2)+ROUND(Source!AE190*Source!I190, 2))), 2)</f>
        <v>0</v>
      </c>
      <c r="V578">
        <f>Source!Y190</f>
        <v>0</v>
      </c>
      <c r="W578">
        <f>IF(Source!BI190&lt;=1,H578, 0)</f>
        <v>30.14</v>
      </c>
      <c r="X578">
        <f>IF(Source!BI190=2,H578, 0)</f>
        <v>0</v>
      </c>
      <c r="Y578">
        <f>IF(Source!BI190=3,H578, 0)</f>
        <v>0</v>
      </c>
      <c r="Z578">
        <f>IF(Source!BI190=4,H578, 0)</f>
        <v>0</v>
      </c>
    </row>
    <row r="579" spans="1:26" ht="57" x14ac:dyDescent="0.2">
      <c r="A579" s="44" t="str">
        <f>Source!E191</f>
        <v>52,2</v>
      </c>
      <c r="B579" s="45" t="str">
        <f>Source!F191</f>
        <v>09.2.03.02-0002</v>
      </c>
      <c r="C579" s="45" t="str">
        <f>Source!G191</f>
        <v>Профили стыкоперекрывающие из алюминиевых сплавов (порожки) с покрытием и антискользящей вставкой, шириной 39 мм, длиной 1,8 м</v>
      </c>
      <c r="D579" s="28" t="str">
        <f>Source!H191</f>
        <v>шт.</v>
      </c>
      <c r="E579" s="11">
        <f>Source!I191</f>
        <v>3.9999999999999996</v>
      </c>
      <c r="F579" s="29">
        <f>Source!AL191+Source!AM191+Source!AO191</f>
        <v>31.28</v>
      </c>
      <c r="G579" s="41" t="s">
        <v>6</v>
      </c>
      <c r="H579" s="29">
        <f>ROUND(Source!AC191*Source!I191, 2)+ROUND(Source!AD191*Source!I191, 2)+ROUND(Source!AF191*Source!I191, 2)</f>
        <v>125.12</v>
      </c>
      <c r="I579" s="30"/>
      <c r="J579" s="30">
        <f>IF(Source!BC191&lt;&gt; 0, Source!BC191, 1)</f>
        <v>6.56</v>
      </c>
      <c r="K579" s="29">
        <f>Source!O191</f>
        <v>820.79</v>
      </c>
      <c r="L579" s="31"/>
      <c r="S579">
        <f>ROUND((Source!FX191/100)*((ROUND(Source!AF191*Source!I191, 2)+ROUND(Source!AE191*Source!I191, 2))), 2)</f>
        <v>0</v>
      </c>
      <c r="T579">
        <f>Source!X191</f>
        <v>0</v>
      </c>
      <c r="U579">
        <f>ROUND((Source!FY191/100)*((ROUND(Source!AF191*Source!I191, 2)+ROUND(Source!AE191*Source!I191, 2))), 2)</f>
        <v>0</v>
      </c>
      <c r="V579">
        <f>Source!Y191</f>
        <v>0</v>
      </c>
      <c r="W579">
        <f>IF(Source!BI191&lt;=1,H579, 0)</f>
        <v>125.12</v>
      </c>
      <c r="X579">
        <f>IF(Source!BI191=2,H579, 0)</f>
        <v>0</v>
      </c>
      <c r="Y579">
        <f>IF(Source!BI191=3,H579, 0)</f>
        <v>0</v>
      </c>
      <c r="Z579">
        <f>IF(Source!BI191=4,H579, 0)</f>
        <v>0</v>
      </c>
    </row>
    <row r="580" spans="1:26" ht="42.75" x14ac:dyDescent="0.2">
      <c r="A580" s="46" t="str">
        <f>Source!E192</f>
        <v>52,3</v>
      </c>
      <c r="B580" s="47" t="str">
        <f>Source!F192</f>
        <v>09.2.03.02</v>
      </c>
      <c r="C580" s="47" t="str">
        <f>Source!G192</f>
        <v>Профили стыкоперекрывающие из алюминиевых сплавов (порожки) с покрытием</v>
      </c>
      <c r="D580" s="34" t="str">
        <f>Source!H192</f>
        <v>м</v>
      </c>
      <c r="E580" s="35">
        <f>Source!I192</f>
        <v>9.4499999999999993</v>
      </c>
      <c r="F580" s="36">
        <f>Source!AL192+Source!AM192+Source!AO192</f>
        <v>0</v>
      </c>
      <c r="G580" s="42" t="s">
        <v>6</v>
      </c>
      <c r="H580" s="36">
        <f>ROUND(Source!AC192*Source!I192, 2)+ROUND(Source!AD192*Source!I192, 2)+ROUND(Source!AF192*Source!I192, 2)</f>
        <v>0</v>
      </c>
      <c r="I580" s="37"/>
      <c r="J580" s="37">
        <f>IF(Source!BC192&lt;&gt; 0, Source!BC192, 1)</f>
        <v>6.56</v>
      </c>
      <c r="K580" s="36">
        <f>Source!O192</f>
        <v>0</v>
      </c>
      <c r="L580" s="43"/>
      <c r="S580">
        <f>ROUND((Source!FX192/100)*((ROUND(Source!AF192*Source!I192, 2)+ROUND(Source!AE192*Source!I192, 2))), 2)</f>
        <v>0</v>
      </c>
      <c r="T580">
        <f>Source!X192</f>
        <v>0</v>
      </c>
      <c r="U580">
        <f>ROUND((Source!FY192/100)*((ROUND(Source!AF192*Source!I192, 2)+ROUND(Source!AE192*Source!I192, 2))), 2)</f>
        <v>0</v>
      </c>
      <c r="V580">
        <f>Source!Y192</f>
        <v>0</v>
      </c>
      <c r="W580">
        <f>IF(Source!BI192&lt;=1,H580, 0)</f>
        <v>0</v>
      </c>
      <c r="X580">
        <f>IF(Source!BI192=2,H580, 0)</f>
        <v>0</v>
      </c>
      <c r="Y580">
        <f>IF(Source!BI192=3,H580, 0)</f>
        <v>0</v>
      </c>
      <c r="Z580">
        <f>IF(Source!BI192=4,H580, 0)</f>
        <v>0</v>
      </c>
    </row>
    <row r="581" spans="1:26" ht="15" x14ac:dyDescent="0.25">
      <c r="G581" s="63">
        <f>H573+H574+H575+H576+SUM(H578:H580)</f>
        <v>203.8</v>
      </c>
      <c r="H581" s="63"/>
      <c r="J581" s="63">
        <f>K573+K574+K575+K576+SUM(K578:K580)</f>
        <v>1337.51</v>
      </c>
      <c r="K581" s="63"/>
      <c r="L581" s="39">
        <f>Source!U189</f>
        <v>1.7222399999999998</v>
      </c>
      <c r="O581" s="24">
        <f>G581</f>
        <v>203.8</v>
      </c>
      <c r="P581" s="24">
        <f>J581</f>
        <v>1337.51</v>
      </c>
      <c r="Q581" s="24">
        <f>L581</f>
        <v>1.7222399999999998</v>
      </c>
      <c r="W581">
        <f>IF(Source!BI189&lt;=1,H573+H574+H575+H576, 0)</f>
        <v>48.540000000000006</v>
      </c>
      <c r="X581">
        <f>IF(Source!BI189=2,H573+H574+H575+H576, 0)</f>
        <v>0</v>
      </c>
      <c r="Y581">
        <f>IF(Source!BI189=3,H573+H574+H575+H576, 0)</f>
        <v>0</v>
      </c>
      <c r="Z581">
        <f>IF(Source!BI189=4,H573+H574+H575+H576, 0)</f>
        <v>0</v>
      </c>
    </row>
    <row r="582" spans="1:26" ht="42.75" x14ac:dyDescent="0.2">
      <c r="A582" s="44" t="str">
        <f>Source!E193</f>
        <v>53</v>
      </c>
      <c r="B582" s="45" t="str">
        <f>Source!F193</f>
        <v>15-01-047-15</v>
      </c>
      <c r="C582" s="45" t="str">
        <f>Source!G193</f>
        <v>Устройство подвесных потолков типа &lt;Армстронг&gt; по каркасу из оцинкованного профиля</v>
      </c>
      <c r="D582" s="28" t="str">
        <f>Source!H193</f>
        <v>100 м2</v>
      </c>
      <c r="E582" s="11">
        <f>Source!I193</f>
        <v>2.2385999999999999</v>
      </c>
      <c r="F582" s="29">
        <f>Source!AL193+Source!AM193+Source!AO193</f>
        <v>6623.23</v>
      </c>
      <c r="G582" s="30"/>
      <c r="H582" s="29"/>
      <c r="I582" s="30" t="str">
        <f>Source!BO193</f>
        <v/>
      </c>
      <c r="J582" s="30"/>
      <c r="K582" s="29"/>
      <c r="L582" s="31"/>
      <c r="S582">
        <f>ROUND((Source!FX193/100)*((ROUND(Source!AF193*Source!I193, 2)+ROUND(Source!AE193*Source!I193, 2))), 2)</f>
        <v>2510.71</v>
      </c>
      <c r="T582">
        <f>Source!X193</f>
        <v>16557.419999999998</v>
      </c>
      <c r="U582">
        <f>ROUND((Source!FY193/100)*((ROUND(Source!AF193*Source!I193, 2)+ROUND(Source!AE193*Source!I193, 2))), 2)</f>
        <v>1242.07</v>
      </c>
      <c r="V582">
        <f>Source!Y193</f>
        <v>8191.56</v>
      </c>
    </row>
    <row r="583" spans="1:26" x14ac:dyDescent="0.2">
      <c r="C583" s="23" t="str">
        <f>"Объем: "&amp;Source!I193&amp;"=223,86/"&amp;"100"</f>
        <v>Объем: 2,2386=223,86/100</v>
      </c>
    </row>
    <row r="584" spans="1:26" ht="14.25" x14ac:dyDescent="0.2">
      <c r="A584" s="44"/>
      <c r="B584" s="45"/>
      <c r="C584" s="45" t="s">
        <v>1930</v>
      </c>
      <c r="D584" s="28"/>
      <c r="E584" s="11"/>
      <c r="F584" s="29">
        <f>Source!AO193</f>
        <v>963.12</v>
      </c>
      <c r="G584" s="30" t="str">
        <f>Source!DG193</f>
        <v>)*1,15</v>
      </c>
      <c r="H584" s="29">
        <f>ROUND(Source!AF193*Source!I193, 2)</f>
        <v>2479.4499999999998</v>
      </c>
      <c r="I584" s="30"/>
      <c r="J584" s="30">
        <f>IF(Source!BA193&lt;&gt; 0, Source!BA193, 1)</f>
        <v>6.56</v>
      </c>
      <c r="K584" s="29">
        <f>Source!S193</f>
        <v>16265.2</v>
      </c>
      <c r="L584" s="31"/>
      <c r="R584">
        <f>H584</f>
        <v>2479.4499999999998</v>
      </c>
    </row>
    <row r="585" spans="1:26" ht="14.25" x14ac:dyDescent="0.2">
      <c r="A585" s="44"/>
      <c r="B585" s="45"/>
      <c r="C585" s="45" t="s">
        <v>151</v>
      </c>
      <c r="D585" s="28"/>
      <c r="E585" s="11"/>
      <c r="F585" s="29">
        <f>Source!AM193</f>
        <v>324.70999999999998</v>
      </c>
      <c r="G585" s="30" t="str">
        <f>Source!DE193</f>
        <v>)*1,25</v>
      </c>
      <c r="H585" s="29">
        <f>ROUND(Source!AD193*Source!I193, 2)</f>
        <v>908.63</v>
      </c>
      <c r="I585" s="30"/>
      <c r="J585" s="30">
        <f>IF(Source!BB193&lt;&gt; 0, Source!BB193, 1)</f>
        <v>6.56</v>
      </c>
      <c r="K585" s="29">
        <f>Source!Q193</f>
        <v>5960.58</v>
      </c>
      <c r="L585" s="31"/>
    </row>
    <row r="586" spans="1:26" ht="14.25" x14ac:dyDescent="0.2">
      <c r="A586" s="44"/>
      <c r="B586" s="45"/>
      <c r="C586" s="45" t="s">
        <v>1931</v>
      </c>
      <c r="D586" s="28"/>
      <c r="E586" s="11"/>
      <c r="F586" s="29">
        <f>Source!AN193</f>
        <v>63.39</v>
      </c>
      <c r="G586" s="30" t="str">
        <f>Source!DF193</f>
        <v>)*1,25</v>
      </c>
      <c r="H586" s="32">
        <f>ROUND(Source!AE193*Source!I193, 2)</f>
        <v>177.39</v>
      </c>
      <c r="I586" s="30"/>
      <c r="J586" s="30">
        <f>IF(Source!BS193&lt;&gt; 0, Source!BS193, 1)</f>
        <v>6.56</v>
      </c>
      <c r="K586" s="32">
        <f>Source!R193</f>
        <v>1163.6600000000001</v>
      </c>
      <c r="L586" s="31"/>
      <c r="R586">
        <f>H586</f>
        <v>177.39</v>
      </c>
    </row>
    <row r="587" spans="1:26" ht="14.25" x14ac:dyDescent="0.2">
      <c r="A587" s="44"/>
      <c r="B587" s="45"/>
      <c r="C587" s="45" t="s">
        <v>1937</v>
      </c>
      <c r="D587" s="28"/>
      <c r="E587" s="11"/>
      <c r="F587" s="29">
        <f>Source!AL193</f>
        <v>5335.4</v>
      </c>
      <c r="G587" s="30" t="str">
        <f>Source!DD193</f>
        <v/>
      </c>
      <c r="H587" s="29">
        <f>ROUND(Source!AC193*Source!I193, 2)</f>
        <v>11943.83</v>
      </c>
      <c r="I587" s="30"/>
      <c r="J587" s="30">
        <f>IF(Source!BC193&lt;&gt; 0, Source!BC193, 1)</f>
        <v>6.56</v>
      </c>
      <c r="K587" s="29">
        <f>Source!P193</f>
        <v>78351.5</v>
      </c>
      <c r="L587" s="31"/>
    </row>
    <row r="588" spans="1:26" ht="14.25" x14ac:dyDescent="0.2">
      <c r="A588" s="44"/>
      <c r="B588" s="45"/>
      <c r="C588" s="45" t="s">
        <v>1932</v>
      </c>
      <c r="D588" s="28" t="s">
        <v>1933</v>
      </c>
      <c r="E588" s="11">
        <f>Source!BZ193</f>
        <v>105</v>
      </c>
      <c r="F588" s="64" t="str">
        <f>CONCATENATE(" )", Source!DL193, Source!FT193, "=", Source!FX193)</f>
        <v xml:space="preserve"> )*0,9=94,5</v>
      </c>
      <c r="G588" s="65"/>
      <c r="H588" s="29">
        <f>SUM(S582:S590)</f>
        <v>2510.71</v>
      </c>
      <c r="I588" s="33"/>
      <c r="J588" s="26">
        <f>Source!AT193</f>
        <v>95</v>
      </c>
      <c r="K588" s="29">
        <f>SUM(T582:T590)</f>
        <v>16557.419999999998</v>
      </c>
      <c r="L588" s="31"/>
    </row>
    <row r="589" spans="1:26" ht="14.25" x14ac:dyDescent="0.2">
      <c r="A589" s="44"/>
      <c r="B589" s="45"/>
      <c r="C589" s="45" t="s">
        <v>1934</v>
      </c>
      <c r="D589" s="28" t="s">
        <v>1933</v>
      </c>
      <c r="E589" s="11">
        <f>Source!CA193</f>
        <v>55</v>
      </c>
      <c r="F589" s="64" t="str">
        <f>CONCATENATE(" )", Source!DM193, Source!FU193, "=", Source!FY193)</f>
        <v xml:space="preserve"> )*0,85=46,75</v>
      </c>
      <c r="G589" s="65"/>
      <c r="H589" s="29">
        <f>SUM(U582:U590)</f>
        <v>1242.07</v>
      </c>
      <c r="I589" s="33"/>
      <c r="J589" s="26">
        <f>Source!AU193</f>
        <v>47</v>
      </c>
      <c r="K589" s="29">
        <f>SUM(V582:V590)</f>
        <v>8191.56</v>
      </c>
      <c r="L589" s="31"/>
    </row>
    <row r="590" spans="1:26" ht="14.25" x14ac:dyDescent="0.2">
      <c r="A590" s="46"/>
      <c r="B590" s="47"/>
      <c r="C590" s="47" t="s">
        <v>1935</v>
      </c>
      <c r="D590" s="34" t="s">
        <v>1936</v>
      </c>
      <c r="E590" s="35">
        <f>Source!AQ193</f>
        <v>102.46</v>
      </c>
      <c r="F590" s="36"/>
      <c r="G590" s="37" t="str">
        <f>Source!DI193</f>
        <v>)*1,15</v>
      </c>
      <c r="H590" s="36"/>
      <c r="I590" s="37"/>
      <c r="J590" s="37"/>
      <c r="K590" s="36"/>
      <c r="L590" s="38">
        <f>Source!U193</f>
        <v>263.77199939999997</v>
      </c>
    </row>
    <row r="591" spans="1:26" ht="15" x14ac:dyDescent="0.25">
      <c r="G591" s="63">
        <f>H584+H585+H587+H588+H589</f>
        <v>19084.689999999999</v>
      </c>
      <c r="H591" s="63"/>
      <c r="J591" s="63">
        <f>K584+K585+K587+K588+K589</f>
        <v>125326.26</v>
      </c>
      <c r="K591" s="63"/>
      <c r="L591" s="39">
        <f>Source!U193</f>
        <v>263.77199939999997</v>
      </c>
      <c r="O591" s="24">
        <f>G591</f>
        <v>19084.689999999999</v>
      </c>
      <c r="P591" s="24">
        <f>J591</f>
        <v>125326.26</v>
      </c>
      <c r="Q591" s="24">
        <f>L591</f>
        <v>263.77199939999997</v>
      </c>
      <c r="W591">
        <f>IF(Source!BI193&lt;=1,H584+H585+H587+H588+H589, 0)</f>
        <v>19084.689999999999</v>
      </c>
      <c r="X591">
        <f>IF(Source!BI193=2,H584+H585+H587+H588+H589, 0)</f>
        <v>0</v>
      </c>
      <c r="Y591">
        <f>IF(Source!BI193=3,H584+H585+H587+H588+H589, 0)</f>
        <v>0</v>
      </c>
      <c r="Z591">
        <f>IF(Source!BI193=4,H584+H585+H587+H588+H589, 0)</f>
        <v>0</v>
      </c>
    </row>
    <row r="592" spans="1:26" ht="28.5" x14ac:dyDescent="0.2">
      <c r="A592" s="44" t="str">
        <f>Source!E194</f>
        <v>54</v>
      </c>
      <c r="B592" s="45" t="str">
        <f>Source!F194</f>
        <v>15-01-047-16</v>
      </c>
      <c r="C592" s="45" t="str">
        <f>Source!G194</f>
        <v>Устройство потолков реечных алюминиевых прим.</v>
      </c>
      <c r="D592" s="28" t="str">
        <f>Source!H194</f>
        <v>100 м2</v>
      </c>
      <c r="E592" s="11">
        <f>Source!I194</f>
        <v>0.21</v>
      </c>
      <c r="F592" s="29">
        <f>Source!AL194+Source!AM194+Source!AO194</f>
        <v>29416.260000000002</v>
      </c>
      <c r="G592" s="30"/>
      <c r="H592" s="29"/>
      <c r="I592" s="30" t="str">
        <f>Source!BO194</f>
        <v/>
      </c>
      <c r="J592" s="30"/>
      <c r="K592" s="29"/>
      <c r="L592" s="31"/>
      <c r="S592">
        <f>ROUND((Source!FX194/100)*((ROUND(Source!AF194*Source!I194, 2)+ROUND(Source!AE194*Source!I194, 2))), 2)</f>
        <v>233.7</v>
      </c>
      <c r="T592">
        <f>Source!X194</f>
        <v>1541.18</v>
      </c>
      <c r="U592">
        <f>ROUND((Source!FY194/100)*((ROUND(Source!AF194*Source!I194, 2)+ROUND(Source!AE194*Source!I194, 2))), 2)</f>
        <v>115.61</v>
      </c>
      <c r="V592">
        <f>Source!Y194</f>
        <v>762.48</v>
      </c>
    </row>
    <row r="593" spans="1:26" x14ac:dyDescent="0.2">
      <c r="C593" s="23" t="str">
        <f>"Объем: "&amp;Source!I194&amp;"=21/"&amp;"100"</f>
        <v>Объем: 0,21=21/100</v>
      </c>
    </row>
    <row r="594" spans="1:26" ht="14.25" x14ac:dyDescent="0.2">
      <c r="A594" s="44"/>
      <c r="B594" s="45"/>
      <c r="C594" s="45" t="s">
        <v>1930</v>
      </c>
      <c r="D594" s="28"/>
      <c r="E594" s="11"/>
      <c r="F594" s="29">
        <f>Source!AO194</f>
        <v>1018.58</v>
      </c>
      <c r="G594" s="30" t="str">
        <f>Source!DG194</f>
        <v>)*1,15</v>
      </c>
      <c r="H594" s="29">
        <f>ROUND(Source!AF194*Source!I194, 2)</f>
        <v>245.99</v>
      </c>
      <c r="I594" s="30"/>
      <c r="J594" s="30">
        <f>IF(Source!BA194&lt;&gt; 0, Source!BA194, 1)</f>
        <v>6.56</v>
      </c>
      <c r="K594" s="29">
        <f>Source!S194</f>
        <v>1613.68</v>
      </c>
      <c r="L594" s="31"/>
      <c r="R594">
        <f>H594</f>
        <v>245.99</v>
      </c>
    </row>
    <row r="595" spans="1:26" ht="14.25" x14ac:dyDescent="0.2">
      <c r="A595" s="44"/>
      <c r="B595" s="45"/>
      <c r="C595" s="45" t="s">
        <v>151</v>
      </c>
      <c r="D595" s="28"/>
      <c r="E595" s="11"/>
      <c r="F595" s="29">
        <f>Source!AM194</f>
        <v>148.97999999999999</v>
      </c>
      <c r="G595" s="30" t="str">
        <f>Source!DE194</f>
        <v>)*1,25</v>
      </c>
      <c r="H595" s="29">
        <f>ROUND(Source!AD194*Source!I194, 2)</f>
        <v>39.11</v>
      </c>
      <c r="I595" s="30"/>
      <c r="J595" s="30">
        <f>IF(Source!BB194&lt;&gt; 0, Source!BB194, 1)</f>
        <v>6.56</v>
      </c>
      <c r="K595" s="29">
        <f>Source!Q194</f>
        <v>256.55</v>
      </c>
      <c r="L595" s="31"/>
    </row>
    <row r="596" spans="1:26" ht="14.25" x14ac:dyDescent="0.2">
      <c r="A596" s="44"/>
      <c r="B596" s="45"/>
      <c r="C596" s="45" t="s">
        <v>1931</v>
      </c>
      <c r="D596" s="28"/>
      <c r="E596" s="11"/>
      <c r="F596" s="29">
        <f>Source!AN194</f>
        <v>5</v>
      </c>
      <c r="G596" s="30" t="str">
        <f>Source!DF194</f>
        <v>)*1,25</v>
      </c>
      <c r="H596" s="32">
        <f>ROUND(Source!AE194*Source!I194, 2)</f>
        <v>1.31</v>
      </c>
      <c r="I596" s="30"/>
      <c r="J596" s="30">
        <f>IF(Source!BS194&lt;&gt; 0, Source!BS194, 1)</f>
        <v>6.56</v>
      </c>
      <c r="K596" s="32">
        <f>Source!R194</f>
        <v>8.61</v>
      </c>
      <c r="L596" s="31"/>
      <c r="R596">
        <f>H596</f>
        <v>1.31</v>
      </c>
    </row>
    <row r="597" spans="1:26" ht="14.25" x14ac:dyDescent="0.2">
      <c r="A597" s="44"/>
      <c r="B597" s="45"/>
      <c r="C597" s="45" t="s">
        <v>1937</v>
      </c>
      <c r="D597" s="28"/>
      <c r="E597" s="11"/>
      <c r="F597" s="29">
        <f>Source!AL194</f>
        <v>28248.7</v>
      </c>
      <c r="G597" s="30" t="str">
        <f>Source!DD194</f>
        <v/>
      </c>
      <c r="H597" s="29">
        <f>ROUND(Source!AC194*Source!I194, 2)</f>
        <v>5932.23</v>
      </c>
      <c r="I597" s="30"/>
      <c r="J597" s="30">
        <f>IF(Source!BC194&lt;&gt; 0, Source!BC194, 1)</f>
        <v>6.56</v>
      </c>
      <c r="K597" s="29">
        <f>Source!P194</f>
        <v>38915.410000000003</v>
      </c>
      <c r="L597" s="31"/>
    </row>
    <row r="598" spans="1:26" ht="14.25" x14ac:dyDescent="0.2">
      <c r="A598" s="44"/>
      <c r="B598" s="45"/>
      <c r="C598" s="45" t="s">
        <v>1932</v>
      </c>
      <c r="D598" s="28" t="s">
        <v>1933</v>
      </c>
      <c r="E598" s="11">
        <f>Source!BZ194</f>
        <v>105</v>
      </c>
      <c r="F598" s="64" t="str">
        <f>CONCATENATE(" )", Source!DL194, Source!FT194, "=", Source!FX194)</f>
        <v xml:space="preserve"> )*0,9=94,5</v>
      </c>
      <c r="G598" s="65"/>
      <c r="H598" s="29">
        <f>SUM(S592:S603)</f>
        <v>233.7</v>
      </c>
      <c r="I598" s="33"/>
      <c r="J598" s="26">
        <f>Source!AT194</f>
        <v>95</v>
      </c>
      <c r="K598" s="29">
        <f>SUM(T592:T603)</f>
        <v>1541.18</v>
      </c>
      <c r="L598" s="31"/>
    </row>
    <row r="599" spans="1:26" ht="14.25" x14ac:dyDescent="0.2">
      <c r="A599" s="44"/>
      <c r="B599" s="45"/>
      <c r="C599" s="45" t="s">
        <v>1934</v>
      </c>
      <c r="D599" s="28" t="s">
        <v>1933</v>
      </c>
      <c r="E599" s="11">
        <f>Source!CA194</f>
        <v>55</v>
      </c>
      <c r="F599" s="64" t="str">
        <f>CONCATENATE(" )", Source!DM194, Source!FU194, "=", Source!FY194)</f>
        <v xml:space="preserve"> )*0,85=46,75</v>
      </c>
      <c r="G599" s="65"/>
      <c r="H599" s="29">
        <f>SUM(U592:U603)</f>
        <v>115.61</v>
      </c>
      <c r="I599" s="33"/>
      <c r="J599" s="26">
        <f>Source!AU194</f>
        <v>47</v>
      </c>
      <c r="K599" s="29">
        <f>SUM(V592:V603)</f>
        <v>762.48</v>
      </c>
      <c r="L599" s="31"/>
    </row>
    <row r="600" spans="1:26" ht="14.25" x14ac:dyDescent="0.2">
      <c r="A600" s="44"/>
      <c r="B600" s="45"/>
      <c r="C600" s="45" t="s">
        <v>1935</v>
      </c>
      <c r="D600" s="28" t="s">
        <v>1936</v>
      </c>
      <c r="E600" s="11">
        <f>Source!AQ194</f>
        <v>108.36</v>
      </c>
      <c r="F600" s="29"/>
      <c r="G600" s="30" t="str">
        <f>Source!DI194</f>
        <v>)*1,15</v>
      </c>
      <c r="H600" s="29"/>
      <c r="I600" s="30"/>
      <c r="J600" s="30"/>
      <c r="K600" s="29"/>
      <c r="L600" s="40">
        <f>Source!U194</f>
        <v>26.168939999999996</v>
      </c>
    </row>
    <row r="601" spans="1:26" ht="28.5" x14ac:dyDescent="0.2">
      <c r="A601" s="44" t="str">
        <f>Source!E195</f>
        <v>54,1</v>
      </c>
      <c r="B601" s="45" t="str">
        <f>Source!F195</f>
        <v>09.2.01.05-0091</v>
      </c>
      <c r="C601" s="45" t="str">
        <f>Source!G195</f>
        <v>Уголок декоративный (пристенный)</v>
      </c>
      <c r="D601" s="28" t="str">
        <f>Source!H195</f>
        <v>м</v>
      </c>
      <c r="E601" s="11">
        <f>Source!I195</f>
        <v>11.986300999999999</v>
      </c>
      <c r="F601" s="29">
        <f>Source!AL195+Source!AM195+Source!AO195</f>
        <v>6.28</v>
      </c>
      <c r="G601" s="41" t="s">
        <v>6</v>
      </c>
      <c r="H601" s="29">
        <f>ROUND(Source!AC195*Source!I195, 2)+ROUND(Source!AD195*Source!I195, 2)+ROUND(Source!AF195*Source!I195, 2)</f>
        <v>75.27</v>
      </c>
      <c r="I601" s="30"/>
      <c r="J601" s="30">
        <f>IF(Source!BC195&lt;&gt; 0, Source!BC195, 1)</f>
        <v>6.56</v>
      </c>
      <c r="K601" s="29">
        <f>Source!O195</f>
        <v>493.8</v>
      </c>
      <c r="L601" s="31"/>
      <c r="S601">
        <f>ROUND((Source!FX195/100)*((ROUND(Source!AF195*Source!I195, 2)+ROUND(Source!AE195*Source!I195, 2))), 2)</f>
        <v>0</v>
      </c>
      <c r="T601">
        <f>Source!X195</f>
        <v>0</v>
      </c>
      <c r="U601">
        <f>ROUND((Source!FY195/100)*((ROUND(Source!AF195*Source!I195, 2)+ROUND(Source!AE195*Source!I195, 2))), 2)</f>
        <v>0</v>
      </c>
      <c r="V601">
        <f>Source!Y195</f>
        <v>0</v>
      </c>
      <c r="W601">
        <f>IF(Source!BI195&lt;=1,H601, 0)</f>
        <v>75.27</v>
      </c>
      <c r="X601">
        <f>IF(Source!BI195=2,H601, 0)</f>
        <v>0</v>
      </c>
      <c r="Y601">
        <f>IF(Source!BI195=3,H601, 0)</f>
        <v>0</v>
      </c>
      <c r="Z601">
        <f>IF(Source!BI195=4,H601, 0)</f>
        <v>0</v>
      </c>
    </row>
    <row r="602" spans="1:26" ht="28.5" x14ac:dyDescent="0.2">
      <c r="A602" s="44" t="str">
        <f>Source!E196</f>
        <v>54,2</v>
      </c>
      <c r="B602" s="45" t="str">
        <f>Source!F196</f>
        <v>09.2.02.02-0011</v>
      </c>
      <c r="C602" s="45" t="str">
        <f>Source!G196</f>
        <v>Рейка алюминиевая потолочная 100 мм</v>
      </c>
      <c r="D602" s="28" t="str">
        <f>Source!H196</f>
        <v>м</v>
      </c>
      <c r="E602" s="11">
        <f>Source!I196</f>
        <v>-220.5</v>
      </c>
      <c r="F602" s="29">
        <f>Source!AL196+Source!AM196+Source!AO196</f>
        <v>24.71</v>
      </c>
      <c r="G602" s="41" t="s">
        <v>6</v>
      </c>
      <c r="H602" s="29">
        <f>ROUND(Source!AC196*Source!I196, 2)+ROUND(Source!AD196*Source!I196, 2)+ROUND(Source!AF196*Source!I196, 2)</f>
        <v>-5448.56</v>
      </c>
      <c r="I602" s="30"/>
      <c r="J602" s="30">
        <f>IF(Source!BC196&lt;&gt; 0, Source!BC196, 1)</f>
        <v>6.56</v>
      </c>
      <c r="K602" s="29">
        <f>Source!O196</f>
        <v>-35742.519999999997</v>
      </c>
      <c r="L602" s="31"/>
      <c r="S602">
        <f>ROUND((Source!FX196/100)*((ROUND(Source!AF196*Source!I196, 2)+ROUND(Source!AE196*Source!I196, 2))), 2)</f>
        <v>0</v>
      </c>
      <c r="T602">
        <f>Source!X196</f>
        <v>0</v>
      </c>
      <c r="U602">
        <f>ROUND((Source!FY196/100)*((ROUND(Source!AF196*Source!I196, 2)+ROUND(Source!AE196*Source!I196, 2))), 2)</f>
        <v>0</v>
      </c>
      <c r="V602">
        <f>Source!Y196</f>
        <v>0</v>
      </c>
      <c r="W602">
        <f>IF(Source!BI196&lt;=1,H602, 0)</f>
        <v>-5448.56</v>
      </c>
      <c r="X602">
        <f>IF(Source!BI196=2,H602, 0)</f>
        <v>0</v>
      </c>
      <c r="Y602">
        <f>IF(Source!BI196=3,H602, 0)</f>
        <v>0</v>
      </c>
      <c r="Z602">
        <f>IF(Source!BI196=4,H602, 0)</f>
        <v>0</v>
      </c>
    </row>
    <row r="603" spans="1:26" ht="42.75" x14ac:dyDescent="0.2">
      <c r="A603" s="46" t="str">
        <f>Source!E197</f>
        <v>54,3</v>
      </c>
      <c r="B603" s="47" t="str">
        <f>Source!F197</f>
        <v>09.2.02.02-0010</v>
      </c>
      <c r="C603" s="47" t="str">
        <f>Source!G197</f>
        <v>Комплекты элементов потолков реечных с перфорацией ЛАК-03,5-60П (Касетный потолок "Албес") прим.</v>
      </c>
      <c r="D603" s="34" t="str">
        <f>Source!H197</f>
        <v>100 м2</v>
      </c>
      <c r="E603" s="35">
        <f>Source!I197</f>
        <v>0.21</v>
      </c>
      <c r="F603" s="36">
        <f>Source!AL197+Source!AM197+Source!AO197</f>
        <v>16943</v>
      </c>
      <c r="G603" s="42" t="s">
        <v>6</v>
      </c>
      <c r="H603" s="36">
        <f>ROUND(Source!AC197*Source!I197, 2)+ROUND(Source!AD197*Source!I197, 2)+ROUND(Source!AF197*Source!I197, 2)</f>
        <v>3558.03</v>
      </c>
      <c r="I603" s="37"/>
      <c r="J603" s="37">
        <f>IF(Source!BC197&lt;&gt; 0, Source!BC197, 1)</f>
        <v>6.56</v>
      </c>
      <c r="K603" s="36">
        <f>Source!O197</f>
        <v>23340.68</v>
      </c>
      <c r="L603" s="43"/>
      <c r="S603">
        <f>ROUND((Source!FX197/100)*((ROUND(Source!AF197*Source!I197, 2)+ROUND(Source!AE197*Source!I197, 2))), 2)</f>
        <v>0</v>
      </c>
      <c r="T603">
        <f>Source!X197</f>
        <v>0</v>
      </c>
      <c r="U603">
        <f>ROUND((Source!FY197/100)*((ROUND(Source!AF197*Source!I197, 2)+ROUND(Source!AE197*Source!I197, 2))), 2)</f>
        <v>0</v>
      </c>
      <c r="V603">
        <f>Source!Y197</f>
        <v>0</v>
      </c>
      <c r="W603">
        <f>IF(Source!BI197&lt;=1,H603, 0)</f>
        <v>3558.03</v>
      </c>
      <c r="X603">
        <f>IF(Source!BI197=2,H603, 0)</f>
        <v>0</v>
      </c>
      <c r="Y603">
        <f>IF(Source!BI197=3,H603, 0)</f>
        <v>0</v>
      </c>
      <c r="Z603">
        <f>IF(Source!BI197=4,H603, 0)</f>
        <v>0</v>
      </c>
    </row>
    <row r="604" spans="1:26" ht="15" x14ac:dyDescent="0.25">
      <c r="G604" s="63">
        <f>H594+H595+H597+H598+H599+SUM(H601:H603)</f>
        <v>4751.3799999999992</v>
      </c>
      <c r="H604" s="63"/>
      <c r="J604" s="63">
        <f>K594+K595+K597+K598+K599+SUM(K601:K603)</f>
        <v>31181.260000000017</v>
      </c>
      <c r="K604" s="63"/>
      <c r="L604" s="39">
        <f>Source!U194</f>
        <v>26.168939999999996</v>
      </c>
      <c r="O604" s="24">
        <f>G604</f>
        <v>4751.3799999999992</v>
      </c>
      <c r="P604" s="24">
        <f>J604</f>
        <v>31181.260000000017</v>
      </c>
      <c r="Q604" s="24">
        <f>L604</f>
        <v>26.168939999999996</v>
      </c>
      <c r="W604">
        <f>IF(Source!BI194&lt;=1,H594+H595+H597+H598+H599, 0)</f>
        <v>6566.6399999999994</v>
      </c>
      <c r="X604">
        <f>IF(Source!BI194=2,H594+H595+H597+H598+H599, 0)</f>
        <v>0</v>
      </c>
      <c r="Y604">
        <f>IF(Source!BI194=3,H594+H595+H597+H598+H599, 0)</f>
        <v>0</v>
      </c>
      <c r="Z604">
        <f>IF(Source!BI194=4,H594+H595+H597+H598+H599, 0)</f>
        <v>0</v>
      </c>
    </row>
    <row r="605" spans="1:26" ht="85.5" x14ac:dyDescent="0.2">
      <c r="A605" s="44" t="str">
        <f>Source!E198</f>
        <v>55</v>
      </c>
      <c r="B605" s="45" t="str">
        <f>Source!F198</f>
        <v>61-1-10</v>
      </c>
      <c r="C605" s="45" t="str">
        <f>Source!G198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потолков</v>
      </c>
      <c r="D605" s="28" t="str">
        <f>Source!H198</f>
        <v>100 м2</v>
      </c>
      <c r="E605" s="11">
        <f>Source!I198</f>
        <v>1.585</v>
      </c>
      <c r="F605" s="29">
        <f>Source!AL198+Source!AM198+Source!AO198</f>
        <v>374.69</v>
      </c>
      <c r="G605" s="30"/>
      <c r="H605" s="29"/>
      <c r="I605" s="30" t="str">
        <f>Source!BO198</f>
        <v/>
      </c>
      <c r="J605" s="30"/>
      <c r="K605" s="29"/>
      <c r="L605" s="31"/>
      <c r="S605">
        <f>ROUND((Source!FX198/100)*((ROUND(Source!AF198*Source!I198, 2)+ROUND(Source!AE198*Source!I198, 2))), 2)</f>
        <v>525.19000000000005</v>
      </c>
      <c r="T605">
        <f>Source!X198</f>
        <v>3445.24</v>
      </c>
      <c r="U605">
        <f>ROUND((Source!FY198/100)*((ROUND(Source!AF198*Source!I198, 2)+ROUND(Source!AE198*Source!I198, 2))), 2)</f>
        <v>332.4</v>
      </c>
      <c r="V605">
        <f>Source!Y198</f>
        <v>2180.5300000000002</v>
      </c>
    </row>
    <row r="606" spans="1:26" x14ac:dyDescent="0.2">
      <c r="C606" s="23" t="str">
        <f>"Объем: "&amp;Source!I198&amp;"=158,5/"&amp;"100"</f>
        <v>Объем: 1,585=158,5/100</v>
      </c>
    </row>
    <row r="607" spans="1:26" ht="14.25" x14ac:dyDescent="0.2">
      <c r="A607" s="44"/>
      <c r="B607" s="45"/>
      <c r="C607" s="45" t="s">
        <v>1930</v>
      </c>
      <c r="D607" s="28"/>
      <c r="E607" s="11"/>
      <c r="F607" s="29">
        <f>Source!AO198</f>
        <v>355.4</v>
      </c>
      <c r="G607" s="30" t="str">
        <f>Source!DG198</f>
        <v>)*1,15</v>
      </c>
      <c r="H607" s="29">
        <f>ROUND(Source!AF198*Source!I198, 2)</f>
        <v>647.80999999999995</v>
      </c>
      <c r="I607" s="30"/>
      <c r="J607" s="30">
        <f>IF(Source!BA198&lt;&gt; 0, Source!BA198, 1)</f>
        <v>6.56</v>
      </c>
      <c r="K607" s="29">
        <f>Source!S198</f>
        <v>4249.6000000000004</v>
      </c>
      <c r="L607" s="31"/>
      <c r="R607">
        <f>H607</f>
        <v>647.80999999999995</v>
      </c>
    </row>
    <row r="608" spans="1:26" ht="14.25" x14ac:dyDescent="0.2">
      <c r="A608" s="44"/>
      <c r="B608" s="45"/>
      <c r="C608" s="45" t="s">
        <v>151</v>
      </c>
      <c r="D608" s="28"/>
      <c r="E608" s="11"/>
      <c r="F608" s="29">
        <f>Source!AM198</f>
        <v>17.97</v>
      </c>
      <c r="G608" s="30" t="str">
        <f>Source!DE198</f>
        <v/>
      </c>
      <c r="H608" s="29">
        <f>ROUND(Source!AD198*Source!I198, 2)</f>
        <v>28.48</v>
      </c>
      <c r="I608" s="30"/>
      <c r="J608" s="30">
        <f>IF(Source!BB198&lt;&gt; 0, Source!BB198, 1)</f>
        <v>6.56</v>
      </c>
      <c r="K608" s="29">
        <f>Source!Q198</f>
        <v>186.84</v>
      </c>
      <c r="L608" s="31"/>
    </row>
    <row r="609" spans="1:26" ht="14.25" x14ac:dyDescent="0.2">
      <c r="A609" s="44"/>
      <c r="B609" s="45"/>
      <c r="C609" s="45" t="s">
        <v>1931</v>
      </c>
      <c r="D609" s="28"/>
      <c r="E609" s="11"/>
      <c r="F609" s="29">
        <f>Source!AN198</f>
        <v>10.72</v>
      </c>
      <c r="G609" s="30" t="str">
        <f>Source!DF198</f>
        <v/>
      </c>
      <c r="H609" s="32">
        <f>ROUND(Source!AE198*Source!I198, 2)</f>
        <v>16.989999999999998</v>
      </c>
      <c r="I609" s="30"/>
      <c r="J609" s="30">
        <f>IF(Source!BS198&lt;&gt; 0, Source!BS198, 1)</f>
        <v>6.56</v>
      </c>
      <c r="K609" s="32">
        <f>Source!R198</f>
        <v>111.46</v>
      </c>
      <c r="L609" s="31"/>
      <c r="R609">
        <f>H609</f>
        <v>16.989999999999998</v>
      </c>
    </row>
    <row r="610" spans="1:26" ht="14.25" x14ac:dyDescent="0.2">
      <c r="A610" s="44"/>
      <c r="B610" s="45"/>
      <c r="C610" s="45" t="s">
        <v>1937</v>
      </c>
      <c r="D610" s="28"/>
      <c r="E610" s="11"/>
      <c r="F610" s="29">
        <f>Source!AL198</f>
        <v>1.32</v>
      </c>
      <c r="G610" s="30" t="str">
        <f>Source!DD198</f>
        <v/>
      </c>
      <c r="H610" s="29">
        <f>ROUND(Source!AC198*Source!I198, 2)</f>
        <v>2.09</v>
      </c>
      <c r="I610" s="30"/>
      <c r="J610" s="30">
        <f>IF(Source!BC198&lt;&gt; 0, Source!BC198, 1)</f>
        <v>6.56</v>
      </c>
      <c r="K610" s="29">
        <f>Source!P198</f>
        <v>13.72</v>
      </c>
      <c r="L610" s="31"/>
    </row>
    <row r="611" spans="1:26" ht="14.25" x14ac:dyDescent="0.2">
      <c r="A611" s="44"/>
      <c r="B611" s="45"/>
      <c r="C611" s="45" t="s">
        <v>1932</v>
      </c>
      <c r="D611" s="28" t="s">
        <v>1933</v>
      </c>
      <c r="E611" s="11">
        <f>Source!BZ198</f>
        <v>79</v>
      </c>
      <c r="F611" s="48"/>
      <c r="G611" s="30"/>
      <c r="H611" s="29">
        <f>SUM(S605:S615)</f>
        <v>525.19000000000005</v>
      </c>
      <c r="I611" s="33"/>
      <c r="J611" s="26">
        <f>Source!AT198</f>
        <v>79</v>
      </c>
      <c r="K611" s="29">
        <f>SUM(T605:T615)</f>
        <v>3445.24</v>
      </c>
      <c r="L611" s="31"/>
    </row>
    <row r="612" spans="1:26" ht="14.25" x14ac:dyDescent="0.2">
      <c r="A612" s="44"/>
      <c r="B612" s="45"/>
      <c r="C612" s="45" t="s">
        <v>1934</v>
      </c>
      <c r="D612" s="28" t="s">
        <v>1933</v>
      </c>
      <c r="E612" s="11">
        <f>Source!CA198</f>
        <v>50</v>
      </c>
      <c r="F612" s="48"/>
      <c r="G612" s="30"/>
      <c r="H612" s="29">
        <f>SUM(U605:U615)</f>
        <v>332.4</v>
      </c>
      <c r="I612" s="33"/>
      <c r="J612" s="26">
        <f>Source!AU198</f>
        <v>50</v>
      </c>
      <c r="K612" s="29">
        <f>SUM(V605:V615)</f>
        <v>2180.5300000000002</v>
      </c>
      <c r="L612" s="31"/>
    </row>
    <row r="613" spans="1:26" ht="14.25" x14ac:dyDescent="0.2">
      <c r="A613" s="44"/>
      <c r="B613" s="45"/>
      <c r="C613" s="45" t="s">
        <v>1935</v>
      </c>
      <c r="D613" s="28" t="s">
        <v>1936</v>
      </c>
      <c r="E613" s="11">
        <f>Source!AQ198</f>
        <v>42.01</v>
      </c>
      <c r="F613" s="29"/>
      <c r="G613" s="30" t="str">
        <f>Source!DI198</f>
        <v>)*1,15</v>
      </c>
      <c r="H613" s="29"/>
      <c r="I613" s="30"/>
      <c r="J613" s="30"/>
      <c r="K613" s="29"/>
      <c r="L613" s="40">
        <f>Source!U198</f>
        <v>76.57372749999999</v>
      </c>
    </row>
    <row r="614" spans="1:26" ht="14.25" x14ac:dyDescent="0.2">
      <c r="A614" s="44" t="str">
        <f>Source!E199</f>
        <v>55,1</v>
      </c>
      <c r="B614" s="45" t="str">
        <f>Source!F199</f>
        <v>04.3.02.09</v>
      </c>
      <c r="C614" s="45" t="str">
        <f>Source!G199</f>
        <v>Смеси на цементной основе</v>
      </c>
      <c r="D614" s="28" t="str">
        <f>Source!H199</f>
        <v>т</v>
      </c>
      <c r="E614" s="11">
        <f>Source!I199</f>
        <v>1.437595</v>
      </c>
      <c r="F614" s="29">
        <f>Source!AL199+Source!AM199+Source!AO199</f>
        <v>0</v>
      </c>
      <c r="G614" s="41" t="s">
        <v>6</v>
      </c>
      <c r="H614" s="29">
        <f>ROUND(Source!AC199*Source!I199, 2)+ROUND(Source!AD199*Source!I199, 2)+ROUND(Source!AF199*Source!I199, 2)</f>
        <v>0</v>
      </c>
      <c r="I614" s="30"/>
      <c r="J614" s="30">
        <f>IF(Source!BC199&lt;&gt; 0, Source!BC199, 1)</f>
        <v>6.56</v>
      </c>
      <c r="K614" s="29">
        <f>Source!O199</f>
        <v>0</v>
      </c>
      <c r="L614" s="31"/>
      <c r="S614">
        <f>ROUND((Source!FX199/100)*((ROUND(Source!AF199*Source!I199, 2)+ROUND(Source!AE199*Source!I199, 2))), 2)</f>
        <v>0</v>
      </c>
      <c r="T614">
        <f>Source!X199</f>
        <v>0</v>
      </c>
      <c r="U614">
        <f>ROUND((Source!FY199/100)*((ROUND(Source!AF199*Source!I199, 2)+ROUND(Source!AE199*Source!I199, 2))), 2)</f>
        <v>0</v>
      </c>
      <c r="V614">
        <f>Source!Y199</f>
        <v>0</v>
      </c>
      <c r="W614">
        <f>IF(Source!BI199&lt;=1,H614, 0)</f>
        <v>0</v>
      </c>
      <c r="X614">
        <f>IF(Source!BI199=2,H614, 0)</f>
        <v>0</v>
      </c>
      <c r="Y614">
        <f>IF(Source!BI199=3,H614, 0)</f>
        <v>0</v>
      </c>
      <c r="Z614">
        <f>IF(Source!BI199=4,H614, 0)</f>
        <v>0</v>
      </c>
    </row>
    <row r="615" spans="1:26" ht="71.25" x14ac:dyDescent="0.2">
      <c r="A615" s="46" t="str">
        <f>Source!E200</f>
        <v>55,2</v>
      </c>
      <c r="B615" s="47" t="str">
        <f>Source!F200</f>
        <v>04.3.02.05-0004</v>
      </c>
      <c r="C615" s="47" t="str">
        <f>Source!G200</f>
        <v>Смесь штукатурная на основе гипса быстротвердеющая, безусадочная, звукоизолирующая, теплосберегающая "БИРСС 60" (марка М50), для ручного нанесения</v>
      </c>
      <c r="D615" s="34" t="str">
        <f>Source!H200</f>
        <v>т</v>
      </c>
      <c r="E615" s="35">
        <f>Source!I200</f>
        <v>1.437595</v>
      </c>
      <c r="F615" s="36">
        <f>Source!AL200+Source!AM200+Source!AO200</f>
        <v>2362.5100000000002</v>
      </c>
      <c r="G615" s="42" t="s">
        <v>6</v>
      </c>
      <c r="H615" s="36">
        <f>ROUND(Source!AC200*Source!I200, 2)+ROUND(Source!AD200*Source!I200, 2)+ROUND(Source!AF200*Source!I200, 2)</f>
        <v>3396.33</v>
      </c>
      <c r="I615" s="37"/>
      <c r="J615" s="37">
        <f>IF(Source!BC200&lt;&gt; 0, Source!BC200, 1)</f>
        <v>6.56</v>
      </c>
      <c r="K615" s="36">
        <f>Source!O200</f>
        <v>22279.94</v>
      </c>
      <c r="L615" s="43"/>
      <c r="S615">
        <f>ROUND((Source!FX200/100)*((ROUND(Source!AF200*Source!I200, 2)+ROUND(Source!AE200*Source!I200, 2))), 2)</f>
        <v>0</v>
      </c>
      <c r="T615">
        <f>Source!X200</f>
        <v>0</v>
      </c>
      <c r="U615">
        <f>ROUND((Source!FY200/100)*((ROUND(Source!AF200*Source!I200, 2)+ROUND(Source!AE200*Source!I200, 2))), 2)</f>
        <v>0</v>
      </c>
      <c r="V615">
        <f>Source!Y200</f>
        <v>0</v>
      </c>
      <c r="W615">
        <f>IF(Source!BI200&lt;=1,H615, 0)</f>
        <v>3396.33</v>
      </c>
      <c r="X615">
        <f>IF(Source!BI200=2,H615, 0)</f>
        <v>0</v>
      </c>
      <c r="Y615">
        <f>IF(Source!BI200=3,H615, 0)</f>
        <v>0</v>
      </c>
      <c r="Z615">
        <f>IF(Source!BI200=4,H615, 0)</f>
        <v>0</v>
      </c>
    </row>
    <row r="616" spans="1:26" ht="15" x14ac:dyDescent="0.25">
      <c r="G616" s="63">
        <f>H607+H608+H610+H611+H612+SUM(H614:H615)</f>
        <v>4932.3</v>
      </c>
      <c r="H616" s="63"/>
      <c r="J616" s="63">
        <f>K607+K608+K610+K611+K612+SUM(K614:K615)</f>
        <v>32355.87</v>
      </c>
      <c r="K616" s="63"/>
      <c r="L616" s="39">
        <f>Source!U198</f>
        <v>76.57372749999999</v>
      </c>
      <c r="O616" s="24">
        <f>G616</f>
        <v>4932.3</v>
      </c>
      <c r="P616" s="24">
        <f>J616</f>
        <v>32355.87</v>
      </c>
      <c r="Q616" s="24">
        <f>L616</f>
        <v>76.57372749999999</v>
      </c>
      <c r="W616">
        <f>IF(Source!BI198&lt;=1,H607+H608+H610+H611+H612, 0)</f>
        <v>1535.9700000000003</v>
      </c>
      <c r="X616">
        <f>IF(Source!BI198=2,H607+H608+H610+H611+H612, 0)</f>
        <v>0</v>
      </c>
      <c r="Y616">
        <f>IF(Source!BI198=3,H607+H608+H610+H611+H612, 0)</f>
        <v>0</v>
      </c>
      <c r="Z616">
        <f>IF(Source!BI198=4,H607+H608+H610+H611+H612, 0)</f>
        <v>0</v>
      </c>
    </row>
    <row r="617" spans="1:26" ht="71.25" x14ac:dyDescent="0.2">
      <c r="A617" s="44" t="str">
        <f>Source!E201</f>
        <v>56</v>
      </c>
      <c r="B617" s="45" t="str">
        <f>Source!F201</f>
        <v>62-17-3</v>
      </c>
      <c r="C617" s="45" t="str">
        <f>Source!G201</f>
        <v>Окрашивание водоэмульсионными составами поверхностей потолков, ранее окрашенных водоэмульсионной краской, с расчисткой старой краски до 35%</v>
      </c>
      <c r="D617" s="28" t="str">
        <f>Source!H201</f>
        <v>100 м2</v>
      </c>
      <c r="E617" s="11">
        <f>Source!I201</f>
        <v>1.585</v>
      </c>
      <c r="F617" s="29">
        <f>Source!AL201+Source!AM201+Source!AO201</f>
        <v>769.99</v>
      </c>
      <c r="G617" s="30"/>
      <c r="H617" s="29"/>
      <c r="I617" s="30" t="str">
        <f>Source!BO201</f>
        <v/>
      </c>
      <c r="J617" s="30"/>
      <c r="K617" s="29"/>
      <c r="L617" s="31"/>
      <c r="S617">
        <f>ROUND((Source!FX201/100)*((ROUND(Source!AF201*Source!I201, 2)+ROUND(Source!AE201*Source!I201, 2))), 2)</f>
        <v>399.74</v>
      </c>
      <c r="T617">
        <f>Source!X201</f>
        <v>2622.28</v>
      </c>
      <c r="U617">
        <f>ROUND((Source!FY201/100)*((ROUND(Source!AF201*Source!I201, 2)+ROUND(Source!AE201*Source!I201, 2))), 2)</f>
        <v>249.84</v>
      </c>
      <c r="V617">
        <f>Source!Y201</f>
        <v>1638.93</v>
      </c>
    </row>
    <row r="618" spans="1:26" x14ac:dyDescent="0.2">
      <c r="C618" s="23" t="str">
        <f>"Объем: "&amp;Source!I201&amp;"=158,5/"&amp;"100"</f>
        <v>Объем: 1,585=158,5/100</v>
      </c>
    </row>
    <row r="619" spans="1:26" ht="14.25" x14ac:dyDescent="0.2">
      <c r="A619" s="44"/>
      <c r="B619" s="45"/>
      <c r="C619" s="45" t="s">
        <v>1930</v>
      </c>
      <c r="D619" s="28"/>
      <c r="E619" s="11"/>
      <c r="F619" s="29">
        <f>Source!AO201</f>
        <v>313.2</v>
      </c>
      <c r="G619" s="30" t="str">
        <f>Source!DG201</f>
        <v/>
      </c>
      <c r="H619" s="29">
        <f>ROUND(Source!AF201*Source!I201, 2)</f>
        <v>496.42</v>
      </c>
      <c r="I619" s="30"/>
      <c r="J619" s="30">
        <f>IF(Source!BA201&lt;&gt; 0, Source!BA201, 1)</f>
        <v>6.56</v>
      </c>
      <c r="K619" s="29">
        <f>Source!S201</f>
        <v>3256.53</v>
      </c>
      <c r="L619" s="31"/>
      <c r="R619">
        <f>H619</f>
        <v>496.42</v>
      </c>
    </row>
    <row r="620" spans="1:26" ht="14.25" x14ac:dyDescent="0.2">
      <c r="A620" s="44"/>
      <c r="B620" s="45"/>
      <c r="C620" s="45" t="s">
        <v>151</v>
      </c>
      <c r="D620" s="28"/>
      <c r="E620" s="11"/>
      <c r="F620" s="29">
        <f>Source!AM201</f>
        <v>7.07</v>
      </c>
      <c r="G620" s="30" t="str">
        <f>Source!DE201</f>
        <v/>
      </c>
      <c r="H620" s="29">
        <f>ROUND(Source!AD201*Source!I201, 2)</f>
        <v>11.21</v>
      </c>
      <c r="I620" s="30"/>
      <c r="J620" s="30">
        <f>IF(Source!BB201&lt;&gt; 0, Source!BB201, 1)</f>
        <v>6.56</v>
      </c>
      <c r="K620" s="29">
        <f>Source!Q201</f>
        <v>73.510000000000005</v>
      </c>
      <c r="L620" s="31"/>
    </row>
    <row r="621" spans="1:26" ht="14.25" x14ac:dyDescent="0.2">
      <c r="A621" s="44"/>
      <c r="B621" s="45"/>
      <c r="C621" s="45" t="s">
        <v>1931</v>
      </c>
      <c r="D621" s="28"/>
      <c r="E621" s="11"/>
      <c r="F621" s="29">
        <f>Source!AN201</f>
        <v>2.0499999999999998</v>
      </c>
      <c r="G621" s="30" t="str">
        <f>Source!DF201</f>
        <v/>
      </c>
      <c r="H621" s="32">
        <f>ROUND(Source!AE201*Source!I201, 2)</f>
        <v>3.25</v>
      </c>
      <c r="I621" s="30"/>
      <c r="J621" s="30">
        <f>IF(Source!BS201&lt;&gt; 0, Source!BS201, 1)</f>
        <v>6.56</v>
      </c>
      <c r="K621" s="32">
        <f>Source!R201</f>
        <v>21.32</v>
      </c>
      <c r="L621" s="31"/>
      <c r="R621">
        <f>H621</f>
        <v>3.25</v>
      </c>
    </row>
    <row r="622" spans="1:26" ht="14.25" x14ac:dyDescent="0.2">
      <c r="A622" s="44"/>
      <c r="B622" s="45"/>
      <c r="C622" s="45" t="s">
        <v>1937</v>
      </c>
      <c r="D622" s="28"/>
      <c r="E622" s="11"/>
      <c r="F622" s="29">
        <f>Source!AL201</f>
        <v>449.72</v>
      </c>
      <c r="G622" s="30" t="str">
        <f>Source!DD201</f>
        <v/>
      </c>
      <c r="H622" s="29">
        <f>ROUND(Source!AC201*Source!I201, 2)</f>
        <v>712.81</v>
      </c>
      <c r="I622" s="30"/>
      <c r="J622" s="30">
        <f>IF(Source!BC201&lt;&gt; 0, Source!BC201, 1)</f>
        <v>6.56</v>
      </c>
      <c r="K622" s="29">
        <f>Source!P201</f>
        <v>4676.01</v>
      </c>
      <c r="L622" s="31"/>
    </row>
    <row r="623" spans="1:26" ht="14.25" x14ac:dyDescent="0.2">
      <c r="A623" s="44"/>
      <c r="B623" s="45"/>
      <c r="C623" s="45" t="s">
        <v>1932</v>
      </c>
      <c r="D623" s="28" t="s">
        <v>1933</v>
      </c>
      <c r="E623" s="11">
        <f>Source!BZ201</f>
        <v>80</v>
      </c>
      <c r="F623" s="48"/>
      <c r="G623" s="30"/>
      <c r="H623" s="29">
        <f>SUM(S617:S627)</f>
        <v>399.74</v>
      </c>
      <c r="I623" s="33"/>
      <c r="J623" s="26">
        <f>Source!AT201</f>
        <v>80</v>
      </c>
      <c r="K623" s="29">
        <f>SUM(T617:T627)</f>
        <v>2622.28</v>
      </c>
      <c r="L623" s="31"/>
    </row>
    <row r="624" spans="1:26" ht="14.25" x14ac:dyDescent="0.2">
      <c r="A624" s="44"/>
      <c r="B624" s="45"/>
      <c r="C624" s="45" t="s">
        <v>1934</v>
      </c>
      <c r="D624" s="28" t="s">
        <v>1933</v>
      </c>
      <c r="E624" s="11">
        <f>Source!CA201</f>
        <v>50</v>
      </c>
      <c r="F624" s="48"/>
      <c r="G624" s="30"/>
      <c r="H624" s="29">
        <f>SUM(U617:U627)</f>
        <v>249.84</v>
      </c>
      <c r="I624" s="33"/>
      <c r="J624" s="26">
        <f>Source!AU201</f>
        <v>50</v>
      </c>
      <c r="K624" s="29">
        <f>SUM(V617:V627)</f>
        <v>1638.93</v>
      </c>
      <c r="L624" s="31"/>
    </row>
    <row r="625" spans="1:26" ht="14.25" x14ac:dyDescent="0.2">
      <c r="A625" s="44"/>
      <c r="B625" s="45"/>
      <c r="C625" s="45" t="s">
        <v>1935</v>
      </c>
      <c r="D625" s="28" t="s">
        <v>1936</v>
      </c>
      <c r="E625" s="11">
        <f>Source!AQ201</f>
        <v>36.25</v>
      </c>
      <c r="F625" s="29"/>
      <c r="G625" s="30" t="str">
        <f>Source!DI201</f>
        <v/>
      </c>
      <c r="H625" s="29"/>
      <c r="I625" s="30"/>
      <c r="J625" s="30"/>
      <c r="K625" s="29"/>
      <c r="L625" s="40">
        <f>Source!U201</f>
        <v>57.456249999999997</v>
      </c>
    </row>
    <row r="626" spans="1:26" ht="28.5" x14ac:dyDescent="0.2">
      <c r="A626" s="44" t="str">
        <f>Source!E202</f>
        <v>56,1</v>
      </c>
      <c r="B626" s="45" t="str">
        <f>Source!F202</f>
        <v>14.3.02.01-0026</v>
      </c>
      <c r="C626" s="45" t="str">
        <f>Source!G202</f>
        <v>Краска акриловая АКВА ВД-АК-11</v>
      </c>
      <c r="D626" s="28" t="str">
        <f>Source!H202</f>
        <v>т</v>
      </c>
      <c r="E626" s="11">
        <f>Source!I202</f>
        <v>0.106195</v>
      </c>
      <c r="F626" s="29">
        <f>Source!AL202+Source!AM202+Source!AO202</f>
        <v>8505</v>
      </c>
      <c r="G626" s="41" t="s">
        <v>6</v>
      </c>
      <c r="H626" s="29">
        <f>ROUND(Source!AC202*Source!I202, 2)+ROUND(Source!AD202*Source!I202, 2)+ROUND(Source!AF202*Source!I202, 2)</f>
        <v>903.19</v>
      </c>
      <c r="I626" s="30"/>
      <c r="J626" s="30">
        <f>IF(Source!BC202&lt;&gt; 0, Source!BC202, 1)</f>
        <v>6.56</v>
      </c>
      <c r="K626" s="29">
        <f>Source!O202</f>
        <v>5924.92</v>
      </c>
      <c r="L626" s="31"/>
      <c r="S626">
        <f>ROUND((Source!FX202/100)*((ROUND(Source!AF202*Source!I202, 2)+ROUND(Source!AE202*Source!I202, 2))), 2)</f>
        <v>0</v>
      </c>
      <c r="T626">
        <f>Source!X202</f>
        <v>0</v>
      </c>
      <c r="U626">
        <f>ROUND((Source!FY202/100)*((ROUND(Source!AF202*Source!I202, 2)+ROUND(Source!AE202*Source!I202, 2))), 2)</f>
        <v>0</v>
      </c>
      <c r="V626">
        <f>Source!Y202</f>
        <v>0</v>
      </c>
      <c r="W626">
        <f>IF(Source!BI202&lt;=1,H626, 0)</f>
        <v>903.19</v>
      </c>
      <c r="X626">
        <f>IF(Source!BI202=2,H626, 0)</f>
        <v>0</v>
      </c>
      <c r="Y626">
        <f>IF(Source!BI202=3,H626, 0)</f>
        <v>0</v>
      </c>
      <c r="Z626">
        <f>IF(Source!BI202=4,H626, 0)</f>
        <v>0</v>
      </c>
    </row>
    <row r="627" spans="1:26" ht="14.25" x14ac:dyDescent="0.2">
      <c r="A627" s="46" t="str">
        <f>Source!E203</f>
        <v>56,2</v>
      </c>
      <c r="B627" s="47" t="str">
        <f>Source!F203</f>
        <v>14.3.02.01</v>
      </c>
      <c r="C627" s="47" t="str">
        <f>Source!G203</f>
        <v>Краска водоэмульсионная</v>
      </c>
      <c r="D627" s="34" t="str">
        <f>Source!H203</f>
        <v>т</v>
      </c>
      <c r="E627" s="35">
        <f>Source!I203</f>
        <v>0.106195</v>
      </c>
      <c r="F627" s="36">
        <f>Source!AL203+Source!AM203+Source!AO203</f>
        <v>0</v>
      </c>
      <c r="G627" s="42" t="s">
        <v>6</v>
      </c>
      <c r="H627" s="36">
        <f>ROUND(Source!AC203*Source!I203, 2)+ROUND(Source!AD203*Source!I203, 2)+ROUND(Source!AF203*Source!I203, 2)</f>
        <v>0</v>
      </c>
      <c r="I627" s="37"/>
      <c r="J627" s="37">
        <f>IF(Source!BC203&lt;&gt; 0, Source!BC203, 1)</f>
        <v>6.56</v>
      </c>
      <c r="K627" s="36">
        <f>Source!O203</f>
        <v>0</v>
      </c>
      <c r="L627" s="43"/>
      <c r="S627">
        <f>ROUND((Source!FX203/100)*((ROUND(Source!AF203*Source!I203, 2)+ROUND(Source!AE203*Source!I203, 2))), 2)</f>
        <v>0</v>
      </c>
      <c r="T627">
        <f>Source!X203</f>
        <v>0</v>
      </c>
      <c r="U627">
        <f>ROUND((Source!FY203/100)*((ROUND(Source!AF203*Source!I203, 2)+ROUND(Source!AE203*Source!I203, 2))), 2)</f>
        <v>0</v>
      </c>
      <c r="V627">
        <f>Source!Y203</f>
        <v>0</v>
      </c>
      <c r="W627">
        <f>IF(Source!BI203&lt;=1,H627, 0)</f>
        <v>0</v>
      </c>
      <c r="X627">
        <f>IF(Source!BI203=2,H627, 0)</f>
        <v>0</v>
      </c>
      <c r="Y627">
        <f>IF(Source!BI203=3,H627, 0)</f>
        <v>0</v>
      </c>
      <c r="Z627">
        <f>IF(Source!BI203=4,H627, 0)</f>
        <v>0</v>
      </c>
    </row>
    <row r="628" spans="1:26" ht="15" x14ac:dyDescent="0.25">
      <c r="G628" s="63">
        <f>H619+H620+H622+H623+H624+SUM(H626:H627)</f>
        <v>2773.21</v>
      </c>
      <c r="H628" s="63"/>
      <c r="J628" s="63">
        <f>K619+K620+K622+K623+K624+SUM(K626:K627)</f>
        <v>18192.18</v>
      </c>
      <c r="K628" s="63"/>
      <c r="L628" s="39">
        <f>Source!U201</f>
        <v>57.456249999999997</v>
      </c>
      <c r="O628" s="24">
        <f>G628</f>
        <v>2773.21</v>
      </c>
      <c r="P628" s="24">
        <f>J628</f>
        <v>18192.18</v>
      </c>
      <c r="Q628" s="24">
        <f>L628</f>
        <v>57.456249999999997</v>
      </c>
      <c r="W628">
        <f>IF(Source!BI201&lt;=1,H619+H620+H622+H623+H624, 0)</f>
        <v>1870.02</v>
      </c>
      <c r="X628">
        <f>IF(Source!BI201=2,H619+H620+H622+H623+H624, 0)</f>
        <v>0</v>
      </c>
      <c r="Y628">
        <f>IF(Source!BI201=3,H619+H620+H622+H623+H624, 0)</f>
        <v>0</v>
      </c>
      <c r="Z628">
        <f>IF(Source!BI201=4,H619+H620+H622+H623+H624, 0)</f>
        <v>0</v>
      </c>
    </row>
    <row r="629" spans="1:26" ht="42.75" x14ac:dyDescent="0.2">
      <c r="A629" s="44" t="str">
        <f>Source!E204</f>
        <v>57</v>
      </c>
      <c r="B629" s="45" t="str">
        <f>Source!F204</f>
        <v>10-02-041-01</v>
      </c>
      <c r="C629" s="45" t="str">
        <f>Source!G204</f>
        <v>Ограждение лестничных площадок перилами (установка поручня) деревянного)</v>
      </c>
      <c r="D629" s="28" t="str">
        <f>Source!H204</f>
        <v>100 м</v>
      </c>
      <c r="E629" s="11">
        <f>Source!I204</f>
        <v>0.4</v>
      </c>
      <c r="F629" s="29">
        <f>Source!AL204+Source!AM204+Source!AO204</f>
        <v>444.9</v>
      </c>
      <c r="G629" s="30"/>
      <c r="H629" s="29"/>
      <c r="I629" s="30" t="str">
        <f>Source!BO204</f>
        <v/>
      </c>
      <c r="J629" s="30"/>
      <c r="K629" s="29"/>
      <c r="L629" s="31"/>
      <c r="S629">
        <f>ROUND((Source!FX204/100)*((ROUND(Source!AF204*Source!I204, 2)+ROUND(Source!AE204*Source!I204, 2))), 2)</f>
        <v>132.26</v>
      </c>
      <c r="T629">
        <f>Source!X204</f>
        <v>865.95</v>
      </c>
      <c r="U629">
        <f>ROUND((Source!FY204/100)*((ROUND(Source!AF204*Source!I204, 2)+ROUND(Source!AE204*Source!I204, 2))), 2)</f>
        <v>66.69</v>
      </c>
      <c r="V629">
        <f>Source!Y204</f>
        <v>441.14</v>
      </c>
    </row>
    <row r="630" spans="1:26" x14ac:dyDescent="0.2">
      <c r="C630" s="23" t="str">
        <f>"Объем: "&amp;Source!I204&amp;"=40/"&amp;"100"</f>
        <v>Объем: 0,4=40/100</v>
      </c>
    </row>
    <row r="631" spans="1:26" ht="14.25" x14ac:dyDescent="0.2">
      <c r="A631" s="44"/>
      <c r="B631" s="45"/>
      <c r="C631" s="45" t="s">
        <v>1930</v>
      </c>
      <c r="D631" s="28"/>
      <c r="E631" s="11"/>
      <c r="F631" s="29">
        <f>Source!AO204</f>
        <v>254.99</v>
      </c>
      <c r="G631" s="30" t="str">
        <f>Source!DG204</f>
        <v>)*1,15</v>
      </c>
      <c r="H631" s="29">
        <f>ROUND(Source!AF204*Source!I204, 2)</f>
        <v>117.3</v>
      </c>
      <c r="I631" s="30"/>
      <c r="J631" s="30">
        <f>IF(Source!BA204&lt;&gt; 0, Source!BA204, 1)</f>
        <v>6.56</v>
      </c>
      <c r="K631" s="29">
        <f>Source!S204</f>
        <v>769.46</v>
      </c>
      <c r="L631" s="31"/>
      <c r="R631">
        <f>H631</f>
        <v>117.3</v>
      </c>
    </row>
    <row r="632" spans="1:26" ht="14.25" x14ac:dyDescent="0.2">
      <c r="A632" s="44"/>
      <c r="B632" s="45"/>
      <c r="C632" s="45" t="s">
        <v>151</v>
      </c>
      <c r="D632" s="28"/>
      <c r="E632" s="11"/>
      <c r="F632" s="29">
        <f>Source!AM204</f>
        <v>98.64</v>
      </c>
      <c r="G632" s="30" t="str">
        <f>Source!DE204</f>
        <v>)*1,25</v>
      </c>
      <c r="H632" s="29">
        <f>ROUND(Source!AD204*Source!I204, 2)</f>
        <v>49.32</v>
      </c>
      <c r="I632" s="30"/>
      <c r="J632" s="30">
        <f>IF(Source!BB204&lt;&gt; 0, Source!BB204, 1)</f>
        <v>6.56</v>
      </c>
      <c r="K632" s="29">
        <f>Source!Q204</f>
        <v>323.54000000000002</v>
      </c>
      <c r="L632" s="31"/>
    </row>
    <row r="633" spans="1:26" ht="14.25" x14ac:dyDescent="0.2">
      <c r="A633" s="44"/>
      <c r="B633" s="45"/>
      <c r="C633" s="45" t="s">
        <v>1931</v>
      </c>
      <c r="D633" s="28"/>
      <c r="E633" s="11"/>
      <c r="F633" s="29">
        <f>Source!AN204</f>
        <v>14.47</v>
      </c>
      <c r="G633" s="30" t="str">
        <f>Source!DF204</f>
        <v>)*1,25</v>
      </c>
      <c r="H633" s="32">
        <f>ROUND(Source!AE204*Source!I204, 2)</f>
        <v>7.24</v>
      </c>
      <c r="I633" s="30"/>
      <c r="J633" s="30">
        <f>IF(Source!BS204&lt;&gt; 0, Source!BS204, 1)</f>
        <v>6.56</v>
      </c>
      <c r="K633" s="32">
        <f>Source!R204</f>
        <v>47.47</v>
      </c>
      <c r="L633" s="31"/>
      <c r="R633">
        <f>H633</f>
        <v>7.24</v>
      </c>
    </row>
    <row r="634" spans="1:26" ht="14.25" x14ac:dyDescent="0.2">
      <c r="A634" s="44"/>
      <c r="B634" s="45"/>
      <c r="C634" s="45" t="s">
        <v>1937</v>
      </c>
      <c r="D634" s="28"/>
      <c r="E634" s="11"/>
      <c r="F634" s="29">
        <f>Source!AL204</f>
        <v>91.27</v>
      </c>
      <c r="G634" s="30" t="str">
        <f>Source!DD204</f>
        <v/>
      </c>
      <c r="H634" s="29">
        <f>ROUND(Source!AC204*Source!I204, 2)</f>
        <v>36.51</v>
      </c>
      <c r="I634" s="30"/>
      <c r="J634" s="30">
        <f>IF(Source!BC204&lt;&gt; 0, Source!BC204, 1)</f>
        <v>6.56</v>
      </c>
      <c r="K634" s="29">
        <f>Source!P204</f>
        <v>239.49</v>
      </c>
      <c r="L634" s="31"/>
    </row>
    <row r="635" spans="1:26" ht="14.25" x14ac:dyDescent="0.2">
      <c r="A635" s="44"/>
      <c r="B635" s="45"/>
      <c r="C635" s="45" t="s">
        <v>1932</v>
      </c>
      <c r="D635" s="28" t="s">
        <v>1933</v>
      </c>
      <c r="E635" s="11">
        <f>Source!BZ204</f>
        <v>118</v>
      </c>
      <c r="F635" s="64" t="str">
        <f>CONCATENATE(" )", Source!DL204, Source!FT204, "=", Source!FX204)</f>
        <v xml:space="preserve"> )*0,9=106,2</v>
      </c>
      <c r="G635" s="65"/>
      <c r="H635" s="29">
        <f>SUM(S629:S637)</f>
        <v>132.26</v>
      </c>
      <c r="I635" s="33"/>
      <c r="J635" s="26">
        <f>Source!AT204</f>
        <v>106</v>
      </c>
      <c r="K635" s="29">
        <f>SUM(T629:T637)</f>
        <v>865.95</v>
      </c>
      <c r="L635" s="31"/>
    </row>
    <row r="636" spans="1:26" ht="14.25" x14ac:dyDescent="0.2">
      <c r="A636" s="44"/>
      <c r="B636" s="45"/>
      <c r="C636" s="45" t="s">
        <v>1934</v>
      </c>
      <c r="D636" s="28" t="s">
        <v>1933</v>
      </c>
      <c r="E636" s="11">
        <f>Source!CA204</f>
        <v>63</v>
      </c>
      <c r="F636" s="64" t="str">
        <f>CONCATENATE(" )", Source!DM204, Source!FU204, "=", Source!FY204)</f>
        <v xml:space="preserve"> )*0,85=53,55</v>
      </c>
      <c r="G636" s="65"/>
      <c r="H636" s="29">
        <f>SUM(U629:U637)</f>
        <v>66.69</v>
      </c>
      <c r="I636" s="33"/>
      <c r="J636" s="26">
        <f>Source!AU204</f>
        <v>54</v>
      </c>
      <c r="K636" s="29">
        <f>SUM(V629:V637)</f>
        <v>441.14</v>
      </c>
      <c r="L636" s="31"/>
    </row>
    <row r="637" spans="1:26" ht="14.25" x14ac:dyDescent="0.2">
      <c r="A637" s="46"/>
      <c r="B637" s="47"/>
      <c r="C637" s="47" t="s">
        <v>1935</v>
      </c>
      <c r="D637" s="34" t="s">
        <v>1936</v>
      </c>
      <c r="E637" s="35">
        <f>Source!AQ204</f>
        <v>28.78</v>
      </c>
      <c r="F637" s="36"/>
      <c r="G637" s="37" t="str">
        <f>Source!DI204</f>
        <v>)*1,15</v>
      </c>
      <c r="H637" s="36"/>
      <c r="I637" s="37"/>
      <c r="J637" s="37"/>
      <c r="K637" s="36"/>
      <c r="L637" s="38">
        <f>Source!U204</f>
        <v>13.238800000000001</v>
      </c>
    </row>
    <row r="638" spans="1:26" ht="15" x14ac:dyDescent="0.25">
      <c r="G638" s="63">
        <f>H631+H632+H634+H635+H636</f>
        <v>402.08</v>
      </c>
      <c r="H638" s="63"/>
      <c r="J638" s="63">
        <f>K631+K632+K634+K635+K636</f>
        <v>2639.58</v>
      </c>
      <c r="K638" s="63"/>
      <c r="L638" s="39">
        <f>Source!U204</f>
        <v>13.238800000000001</v>
      </c>
      <c r="O638" s="24">
        <f>G638</f>
        <v>402.08</v>
      </c>
      <c r="P638" s="24">
        <f>J638</f>
        <v>2639.58</v>
      </c>
      <c r="Q638" s="24">
        <f>L638</f>
        <v>13.238800000000001</v>
      </c>
      <c r="W638">
        <f>IF(Source!BI204&lt;=1,H631+H632+H634+H635+H636, 0)</f>
        <v>402.08</v>
      </c>
      <c r="X638">
        <f>IF(Source!BI204=2,H631+H632+H634+H635+H636, 0)</f>
        <v>0</v>
      </c>
      <c r="Y638">
        <f>IF(Source!BI204=3,H631+H632+H634+H635+H636, 0)</f>
        <v>0</v>
      </c>
      <c r="Z638">
        <f>IF(Source!BI204=4,H631+H632+H634+H635+H636, 0)</f>
        <v>0</v>
      </c>
    </row>
    <row r="639" spans="1:26" ht="42.75" x14ac:dyDescent="0.2">
      <c r="A639" s="44" t="str">
        <f>Source!E205</f>
        <v>58</v>
      </c>
      <c r="B639" s="45" t="str">
        <f>Source!F205</f>
        <v>62-35-2</v>
      </c>
      <c r="C639" s="45" t="str">
        <f>Source!G205</f>
        <v>Окраска масляными составами ранее окрашенных металлических решеток и оград без рельефа за 2 раза</v>
      </c>
      <c r="D639" s="28" t="str">
        <f>Source!H205</f>
        <v>100 м2</v>
      </c>
      <c r="E639" s="11">
        <f>Source!I205</f>
        <v>0.2</v>
      </c>
      <c r="F639" s="29">
        <f>Source!AL205+Source!AM205+Source!AO205</f>
        <v>817</v>
      </c>
      <c r="G639" s="30"/>
      <c r="H639" s="29"/>
      <c r="I639" s="30" t="str">
        <f>Source!BO205</f>
        <v/>
      </c>
      <c r="J639" s="30"/>
      <c r="K639" s="29"/>
      <c r="L639" s="31"/>
      <c r="S639">
        <f>ROUND((Source!FX205/100)*((ROUND(Source!AF205*Source!I205, 2)+ROUND(Source!AE205*Source!I205, 2))), 2)</f>
        <v>128.37</v>
      </c>
      <c r="T639">
        <f>Source!X205</f>
        <v>842.09</v>
      </c>
      <c r="U639">
        <f>ROUND((Source!FY205/100)*((ROUND(Source!AF205*Source!I205, 2)+ROUND(Source!AE205*Source!I205, 2))), 2)</f>
        <v>80.23</v>
      </c>
      <c r="V639">
        <f>Source!Y205</f>
        <v>526.30999999999995</v>
      </c>
    </row>
    <row r="640" spans="1:26" x14ac:dyDescent="0.2">
      <c r="C640" s="23" t="str">
        <f>"Объем: "&amp;Source!I205&amp;"=20/"&amp;"100"</f>
        <v>Объем: 0,2=20/100</v>
      </c>
    </row>
    <row r="641" spans="1:26" ht="14.25" x14ac:dyDescent="0.2">
      <c r="A641" s="44"/>
      <c r="B641" s="45"/>
      <c r="C641" s="45" t="s">
        <v>1930</v>
      </c>
      <c r="D641" s="28"/>
      <c r="E641" s="11"/>
      <c r="F641" s="29">
        <f>Source!AO205</f>
        <v>697.51</v>
      </c>
      <c r="G641" s="30" t="str">
        <f>Source!DG205</f>
        <v>)*1,15</v>
      </c>
      <c r="H641" s="29">
        <f>ROUND(Source!AF205*Source!I205, 2)</f>
        <v>160.43</v>
      </c>
      <c r="I641" s="30"/>
      <c r="J641" s="30">
        <f>IF(Source!BA205&lt;&gt; 0, Source!BA205, 1)</f>
        <v>6.56</v>
      </c>
      <c r="K641" s="29">
        <f>Source!S205</f>
        <v>1052.4100000000001</v>
      </c>
      <c r="L641" s="31"/>
      <c r="R641">
        <f>H641</f>
        <v>160.43</v>
      </c>
    </row>
    <row r="642" spans="1:26" ht="14.25" x14ac:dyDescent="0.2">
      <c r="A642" s="44"/>
      <c r="B642" s="45"/>
      <c r="C642" s="45" t="s">
        <v>151</v>
      </c>
      <c r="D642" s="28"/>
      <c r="E642" s="11"/>
      <c r="F642" s="29">
        <f>Source!AM205</f>
        <v>0.66</v>
      </c>
      <c r="G642" s="30" t="str">
        <f>Source!DE205</f>
        <v>)*1,25</v>
      </c>
      <c r="H642" s="29">
        <f>ROUND(Source!AD205*Source!I205, 2)</f>
        <v>0.17</v>
      </c>
      <c r="I642" s="30"/>
      <c r="J642" s="30">
        <f>IF(Source!BB205&lt;&gt; 0, Source!BB205, 1)</f>
        <v>6.56</v>
      </c>
      <c r="K642" s="29">
        <f>Source!Q205</f>
        <v>1.0900000000000001</v>
      </c>
      <c r="L642" s="31"/>
    </row>
    <row r="643" spans="1:26" ht="14.25" x14ac:dyDescent="0.2">
      <c r="A643" s="44"/>
      <c r="B643" s="45"/>
      <c r="C643" s="45" t="s">
        <v>1931</v>
      </c>
      <c r="D643" s="28"/>
      <c r="E643" s="11"/>
      <c r="F643" s="29">
        <f>Source!AN205</f>
        <v>0.12</v>
      </c>
      <c r="G643" s="30" t="str">
        <f>Source!DF205</f>
        <v>)*1,25</v>
      </c>
      <c r="H643" s="32">
        <f>ROUND(Source!AE205*Source!I205, 2)</f>
        <v>0.03</v>
      </c>
      <c r="I643" s="30"/>
      <c r="J643" s="30">
        <f>IF(Source!BS205&lt;&gt; 0, Source!BS205, 1)</f>
        <v>6.56</v>
      </c>
      <c r="K643" s="32">
        <f>Source!R205</f>
        <v>0.2</v>
      </c>
      <c r="L643" s="31"/>
      <c r="R643">
        <f>H643</f>
        <v>0.03</v>
      </c>
    </row>
    <row r="644" spans="1:26" ht="14.25" x14ac:dyDescent="0.2">
      <c r="A644" s="44"/>
      <c r="B644" s="45"/>
      <c r="C644" s="45" t="s">
        <v>1937</v>
      </c>
      <c r="D644" s="28"/>
      <c r="E644" s="11"/>
      <c r="F644" s="29">
        <f>Source!AL205</f>
        <v>118.83</v>
      </c>
      <c r="G644" s="30" t="str">
        <f>Source!DD205</f>
        <v/>
      </c>
      <c r="H644" s="29">
        <f>ROUND(Source!AC205*Source!I205, 2)</f>
        <v>23.77</v>
      </c>
      <c r="I644" s="30"/>
      <c r="J644" s="30">
        <f>IF(Source!BC205&lt;&gt; 0, Source!BC205, 1)</f>
        <v>6.56</v>
      </c>
      <c r="K644" s="29">
        <f>Source!P205</f>
        <v>155.9</v>
      </c>
      <c r="L644" s="31"/>
    </row>
    <row r="645" spans="1:26" ht="14.25" x14ac:dyDescent="0.2">
      <c r="A645" s="44"/>
      <c r="B645" s="45"/>
      <c r="C645" s="45" t="s">
        <v>1932</v>
      </c>
      <c r="D645" s="28" t="s">
        <v>1933</v>
      </c>
      <c r="E645" s="11">
        <f>Source!BZ205</f>
        <v>80</v>
      </c>
      <c r="F645" s="48"/>
      <c r="G645" s="30"/>
      <c r="H645" s="29">
        <f>SUM(S639:S649)</f>
        <v>128.37</v>
      </c>
      <c r="I645" s="33"/>
      <c r="J645" s="26">
        <f>Source!AT205</f>
        <v>80</v>
      </c>
      <c r="K645" s="29">
        <f>SUM(T639:T649)</f>
        <v>842.09</v>
      </c>
      <c r="L645" s="31"/>
    </row>
    <row r="646" spans="1:26" ht="14.25" x14ac:dyDescent="0.2">
      <c r="A646" s="44"/>
      <c r="B646" s="45"/>
      <c r="C646" s="45" t="s">
        <v>1934</v>
      </c>
      <c r="D646" s="28" t="s">
        <v>1933</v>
      </c>
      <c r="E646" s="11">
        <f>Source!CA205</f>
        <v>50</v>
      </c>
      <c r="F646" s="48"/>
      <c r="G646" s="30"/>
      <c r="H646" s="29">
        <f>SUM(U639:U649)</f>
        <v>80.23</v>
      </c>
      <c r="I646" s="33"/>
      <c r="J646" s="26">
        <f>Source!AU205</f>
        <v>50</v>
      </c>
      <c r="K646" s="29">
        <f>SUM(V639:V649)</f>
        <v>526.30999999999995</v>
      </c>
      <c r="L646" s="31"/>
    </row>
    <row r="647" spans="1:26" ht="14.25" x14ac:dyDescent="0.2">
      <c r="A647" s="44"/>
      <c r="B647" s="45"/>
      <c r="C647" s="45" t="s">
        <v>1935</v>
      </c>
      <c r="D647" s="28" t="s">
        <v>1936</v>
      </c>
      <c r="E647" s="11">
        <f>Source!AQ205</f>
        <v>80.73</v>
      </c>
      <c r="F647" s="29"/>
      <c r="G647" s="30" t="str">
        <f>Source!DI205</f>
        <v>)*1,15</v>
      </c>
      <c r="H647" s="29"/>
      <c r="I647" s="30"/>
      <c r="J647" s="30"/>
      <c r="K647" s="29"/>
      <c r="L647" s="40">
        <f>Source!U205</f>
        <v>18.567900000000002</v>
      </c>
    </row>
    <row r="648" spans="1:26" ht="42.75" x14ac:dyDescent="0.2">
      <c r="A648" s="44" t="str">
        <f>Source!E206</f>
        <v>58,1</v>
      </c>
      <c r="B648" s="45" t="str">
        <f>Source!F206</f>
        <v>14.4.02.04-0101</v>
      </c>
      <c r="C648" s="45" t="str">
        <f>Source!G206</f>
        <v>Краски для внутренних работ масляные готовые к применению МА-15 БИО</v>
      </c>
      <c r="D648" s="28" t="str">
        <f>Source!H206</f>
        <v>т</v>
      </c>
      <c r="E648" s="11">
        <f>Source!I206</f>
        <v>2.7200000000000002E-3</v>
      </c>
      <c r="F648" s="29">
        <f>Source!AL206+Source!AM206+Source!AO206</f>
        <v>42508.19</v>
      </c>
      <c r="G648" s="41" t="s">
        <v>6</v>
      </c>
      <c r="H648" s="29">
        <f>ROUND(Source!AC206*Source!I206, 2)+ROUND(Source!AD206*Source!I206, 2)+ROUND(Source!AF206*Source!I206, 2)</f>
        <v>115.62</v>
      </c>
      <c r="I648" s="30"/>
      <c r="J648" s="30">
        <f>IF(Source!BC206&lt;&gt; 0, Source!BC206, 1)</f>
        <v>6.56</v>
      </c>
      <c r="K648" s="29">
        <f>Source!O206</f>
        <v>758.48</v>
      </c>
      <c r="L648" s="31"/>
      <c r="S648">
        <f>ROUND((Source!FX206/100)*((ROUND(Source!AF206*Source!I206, 2)+ROUND(Source!AE206*Source!I206, 2))), 2)</f>
        <v>0</v>
      </c>
      <c r="T648">
        <f>Source!X206</f>
        <v>0</v>
      </c>
      <c r="U648">
        <f>ROUND((Source!FY206/100)*((ROUND(Source!AF206*Source!I206, 2)+ROUND(Source!AE206*Source!I206, 2))), 2)</f>
        <v>0</v>
      </c>
      <c r="V648">
        <f>Source!Y206</f>
        <v>0</v>
      </c>
      <c r="W648">
        <f>IF(Source!BI206&lt;=1,H648, 0)</f>
        <v>115.62</v>
      </c>
      <c r="X648">
        <f>IF(Source!BI206=2,H648, 0)</f>
        <v>0</v>
      </c>
      <c r="Y648">
        <f>IF(Source!BI206=3,H648, 0)</f>
        <v>0</v>
      </c>
      <c r="Z648">
        <f>IF(Source!BI206=4,H648, 0)</f>
        <v>0</v>
      </c>
    </row>
    <row r="649" spans="1:26" ht="28.5" x14ac:dyDescent="0.2">
      <c r="A649" s="46" t="str">
        <f>Source!E207</f>
        <v>58,2</v>
      </c>
      <c r="B649" s="47" t="str">
        <f>Source!F207</f>
        <v>14.4.02.04</v>
      </c>
      <c r="C649" s="47" t="str">
        <f>Source!G207</f>
        <v>Краски масляные готовые к применению для наружных работ</v>
      </c>
      <c r="D649" s="34" t="str">
        <f>Source!H207</f>
        <v>т</v>
      </c>
      <c r="E649" s="35">
        <f>Source!I207</f>
        <v>2.7200000000000002E-3</v>
      </c>
      <c r="F649" s="36">
        <f>Source!AL207+Source!AM207+Source!AO207</f>
        <v>0</v>
      </c>
      <c r="G649" s="42" t="s">
        <v>6</v>
      </c>
      <c r="H649" s="36">
        <f>ROUND(Source!AC207*Source!I207, 2)+ROUND(Source!AD207*Source!I207, 2)+ROUND(Source!AF207*Source!I207, 2)</f>
        <v>0</v>
      </c>
      <c r="I649" s="37"/>
      <c r="J649" s="37">
        <f>IF(Source!BC207&lt;&gt; 0, Source!BC207, 1)</f>
        <v>6.56</v>
      </c>
      <c r="K649" s="36">
        <f>Source!O207</f>
        <v>0</v>
      </c>
      <c r="L649" s="43"/>
      <c r="S649">
        <f>ROUND((Source!FX207/100)*((ROUND(Source!AF207*Source!I207, 2)+ROUND(Source!AE207*Source!I207, 2))), 2)</f>
        <v>0</v>
      </c>
      <c r="T649">
        <f>Source!X207</f>
        <v>0</v>
      </c>
      <c r="U649">
        <f>ROUND((Source!FY207/100)*((ROUND(Source!AF207*Source!I207, 2)+ROUND(Source!AE207*Source!I207, 2))), 2)</f>
        <v>0</v>
      </c>
      <c r="V649">
        <f>Source!Y207</f>
        <v>0</v>
      </c>
      <c r="W649">
        <f>IF(Source!BI207&lt;=1,H649, 0)</f>
        <v>0</v>
      </c>
      <c r="X649">
        <f>IF(Source!BI207=2,H649, 0)</f>
        <v>0</v>
      </c>
      <c r="Y649">
        <f>IF(Source!BI207=3,H649, 0)</f>
        <v>0</v>
      </c>
      <c r="Z649">
        <f>IF(Source!BI207=4,H649, 0)</f>
        <v>0</v>
      </c>
    </row>
    <row r="650" spans="1:26" ht="15" x14ac:dyDescent="0.25">
      <c r="G650" s="63">
        <f>H641+H642+H644+H645+H646+SUM(H648:H649)</f>
        <v>508.59000000000003</v>
      </c>
      <c r="H650" s="63"/>
      <c r="J650" s="63">
        <f>K641+K642+K644+K645+K646+SUM(K648:K649)</f>
        <v>3336.28</v>
      </c>
      <c r="K650" s="63"/>
      <c r="L650" s="39">
        <f>Source!U205</f>
        <v>18.567900000000002</v>
      </c>
      <c r="O650" s="24">
        <f>G650</f>
        <v>508.59000000000003</v>
      </c>
      <c r="P650" s="24">
        <f>J650</f>
        <v>3336.28</v>
      </c>
      <c r="Q650" s="24">
        <f>L650</f>
        <v>18.567900000000002</v>
      </c>
      <c r="W650">
        <f>IF(Source!BI205&lt;=1,H641+H642+H644+H645+H646, 0)</f>
        <v>392.97</v>
      </c>
      <c r="X650">
        <f>IF(Source!BI205=2,H641+H642+H644+H645+H646, 0)</f>
        <v>0</v>
      </c>
      <c r="Y650">
        <f>IF(Source!BI205=3,H641+H642+H644+H645+H646, 0)</f>
        <v>0</v>
      </c>
      <c r="Z650">
        <f>IF(Source!BI205=4,H641+H642+H644+H645+H646, 0)</f>
        <v>0</v>
      </c>
    </row>
    <row r="651" spans="1:26" ht="42.75" x14ac:dyDescent="0.2">
      <c r="A651" s="44" t="str">
        <f>Source!E208</f>
        <v>59</v>
      </c>
      <c r="B651" s="45" t="str">
        <f>Source!F208</f>
        <v>62-7-5</v>
      </c>
      <c r="C651" s="45" t="str">
        <f>Source!G208</f>
        <v>Улучшенная масляная окраска ранее окрашенных стен за два раза с расчисткой старой краски до 35%</v>
      </c>
      <c r="D651" s="28" t="str">
        <f>Source!H208</f>
        <v>100 м2</v>
      </c>
      <c r="E651" s="11">
        <f>Source!I208</f>
        <v>0.08</v>
      </c>
      <c r="F651" s="29">
        <f>Source!AL208+Source!AM208+Source!AO208</f>
        <v>801.65</v>
      </c>
      <c r="G651" s="30"/>
      <c r="H651" s="29"/>
      <c r="I651" s="30" t="str">
        <f>Source!BO208</f>
        <v/>
      </c>
      <c r="J651" s="30"/>
      <c r="K651" s="29"/>
      <c r="L651" s="31"/>
      <c r="S651">
        <f>ROUND((Source!FX208/100)*((ROUND(Source!AF208*Source!I208, 2)+ROUND(Source!AE208*Source!I208, 2))), 2)</f>
        <v>32.71</v>
      </c>
      <c r="T651">
        <f>Source!X208</f>
        <v>214.61</v>
      </c>
      <c r="U651">
        <f>ROUND((Source!FY208/100)*((ROUND(Source!AF208*Source!I208, 2)+ROUND(Source!AE208*Source!I208, 2))), 2)</f>
        <v>20.45</v>
      </c>
      <c r="V651">
        <f>Source!Y208</f>
        <v>134.13</v>
      </c>
    </row>
    <row r="652" spans="1:26" x14ac:dyDescent="0.2">
      <c r="C652" s="23" t="str">
        <f>"Объем: "&amp;Source!I208&amp;"=8/"&amp;"100"</f>
        <v>Объем: 0,08=8/100</v>
      </c>
    </row>
    <row r="653" spans="1:26" ht="14.25" x14ac:dyDescent="0.2">
      <c r="A653" s="44"/>
      <c r="B653" s="45"/>
      <c r="C653" s="45" t="s">
        <v>1930</v>
      </c>
      <c r="D653" s="28"/>
      <c r="E653" s="11"/>
      <c r="F653" s="29">
        <f>Source!AO208</f>
        <v>442.28</v>
      </c>
      <c r="G653" s="30" t="str">
        <f>Source!DG208</f>
        <v>)*1,15</v>
      </c>
      <c r="H653" s="29">
        <f>ROUND(Source!AF208*Source!I208, 2)</f>
        <v>40.69</v>
      </c>
      <c r="I653" s="30"/>
      <c r="J653" s="30">
        <f>IF(Source!BA208&lt;&gt; 0, Source!BA208, 1)</f>
        <v>6.56</v>
      </c>
      <c r="K653" s="29">
        <f>Source!S208</f>
        <v>266.92</v>
      </c>
      <c r="L653" s="31"/>
      <c r="R653">
        <f>H653</f>
        <v>40.69</v>
      </c>
    </row>
    <row r="654" spans="1:26" ht="14.25" x14ac:dyDescent="0.2">
      <c r="A654" s="44"/>
      <c r="B654" s="45"/>
      <c r="C654" s="45" t="s">
        <v>151</v>
      </c>
      <c r="D654" s="28"/>
      <c r="E654" s="11"/>
      <c r="F654" s="29">
        <f>Source!AM208</f>
        <v>7.07</v>
      </c>
      <c r="G654" s="30" t="str">
        <f>Source!DE208</f>
        <v>)*1,25</v>
      </c>
      <c r="H654" s="29">
        <f>ROUND(Source!AD208*Source!I208, 2)</f>
        <v>0.71</v>
      </c>
      <c r="I654" s="30"/>
      <c r="J654" s="30">
        <f>IF(Source!BB208&lt;&gt; 0, Source!BB208, 1)</f>
        <v>6.56</v>
      </c>
      <c r="K654" s="29">
        <f>Source!Q208</f>
        <v>4.6399999999999997</v>
      </c>
      <c r="L654" s="31"/>
    </row>
    <row r="655" spans="1:26" ht="14.25" x14ac:dyDescent="0.2">
      <c r="A655" s="44"/>
      <c r="B655" s="45"/>
      <c r="C655" s="45" t="s">
        <v>1931</v>
      </c>
      <c r="D655" s="28"/>
      <c r="E655" s="11"/>
      <c r="F655" s="29">
        <f>Source!AN208</f>
        <v>2.0499999999999998</v>
      </c>
      <c r="G655" s="30" t="str">
        <f>Source!DF208</f>
        <v>)*1,25</v>
      </c>
      <c r="H655" s="32">
        <f>ROUND(Source!AE208*Source!I208, 2)</f>
        <v>0.2</v>
      </c>
      <c r="I655" s="30"/>
      <c r="J655" s="30">
        <f>IF(Source!BS208&lt;&gt; 0, Source!BS208, 1)</f>
        <v>6.56</v>
      </c>
      <c r="K655" s="32">
        <f>Source!R208</f>
        <v>1.34</v>
      </c>
      <c r="L655" s="31"/>
      <c r="R655">
        <f>H655</f>
        <v>0.2</v>
      </c>
    </row>
    <row r="656" spans="1:26" ht="14.25" x14ac:dyDescent="0.2">
      <c r="A656" s="44"/>
      <c r="B656" s="45"/>
      <c r="C656" s="45" t="s">
        <v>1937</v>
      </c>
      <c r="D656" s="28"/>
      <c r="E656" s="11"/>
      <c r="F656" s="29">
        <f>Source!AL208</f>
        <v>352.3</v>
      </c>
      <c r="G656" s="30" t="str">
        <f>Source!DD208</f>
        <v/>
      </c>
      <c r="H656" s="29">
        <f>ROUND(Source!AC208*Source!I208, 2)</f>
        <v>28.18</v>
      </c>
      <c r="I656" s="30"/>
      <c r="J656" s="30">
        <f>IF(Source!BC208&lt;&gt; 0, Source!BC208, 1)</f>
        <v>6.56</v>
      </c>
      <c r="K656" s="29">
        <f>Source!P208</f>
        <v>184.89</v>
      </c>
      <c r="L656" s="31"/>
    </row>
    <row r="657" spans="1:26" ht="14.25" x14ac:dyDescent="0.2">
      <c r="A657" s="44"/>
      <c r="B657" s="45"/>
      <c r="C657" s="45" t="s">
        <v>1932</v>
      </c>
      <c r="D657" s="28" t="s">
        <v>1933</v>
      </c>
      <c r="E657" s="11">
        <f>Source!BZ208</f>
        <v>80</v>
      </c>
      <c r="F657" s="48"/>
      <c r="G657" s="30"/>
      <c r="H657" s="29">
        <f>SUM(S651:S661)</f>
        <v>32.71</v>
      </c>
      <c r="I657" s="33"/>
      <c r="J657" s="26">
        <f>Source!AT208</f>
        <v>80</v>
      </c>
      <c r="K657" s="29">
        <f>SUM(T651:T661)</f>
        <v>214.61</v>
      </c>
      <c r="L657" s="31"/>
    </row>
    <row r="658" spans="1:26" ht="14.25" x14ac:dyDescent="0.2">
      <c r="A658" s="44"/>
      <c r="B658" s="45"/>
      <c r="C658" s="45" t="s">
        <v>1934</v>
      </c>
      <c r="D658" s="28" t="s">
        <v>1933</v>
      </c>
      <c r="E658" s="11">
        <f>Source!CA208</f>
        <v>50</v>
      </c>
      <c r="F658" s="48"/>
      <c r="G658" s="30"/>
      <c r="H658" s="29">
        <f>SUM(U651:U661)</f>
        <v>20.45</v>
      </c>
      <c r="I658" s="33"/>
      <c r="J658" s="26">
        <f>Source!AU208</f>
        <v>50</v>
      </c>
      <c r="K658" s="29">
        <f>SUM(V651:V661)</f>
        <v>134.13</v>
      </c>
      <c r="L658" s="31"/>
    </row>
    <row r="659" spans="1:26" ht="14.25" x14ac:dyDescent="0.2">
      <c r="A659" s="44"/>
      <c r="B659" s="45"/>
      <c r="C659" s="45" t="s">
        <v>1935</v>
      </c>
      <c r="D659" s="28" t="s">
        <v>1936</v>
      </c>
      <c r="E659" s="11">
        <f>Source!AQ208</f>
        <v>51.19</v>
      </c>
      <c r="F659" s="29"/>
      <c r="G659" s="30" t="str">
        <f>Source!DI208</f>
        <v>)*1,15</v>
      </c>
      <c r="H659" s="29"/>
      <c r="I659" s="30"/>
      <c r="J659" s="30"/>
      <c r="K659" s="29"/>
      <c r="L659" s="40">
        <f>Source!U208</f>
        <v>4.7094799999999992</v>
      </c>
    </row>
    <row r="660" spans="1:26" ht="42.75" x14ac:dyDescent="0.2">
      <c r="A660" s="44" t="str">
        <f>Source!E209</f>
        <v>59,1</v>
      </c>
      <c r="B660" s="45" t="str">
        <f>Source!F209</f>
        <v>14.4.02.04-0101</v>
      </c>
      <c r="C660" s="45" t="str">
        <f>Source!G209</f>
        <v>Краски для внутренних работ масляные готовые к применению МА-15 БИО</v>
      </c>
      <c r="D660" s="28" t="str">
        <f>Source!H209</f>
        <v>т</v>
      </c>
      <c r="E660" s="11">
        <f>Source!I209</f>
        <v>1.688E-3</v>
      </c>
      <c r="F660" s="29">
        <f>Source!AL209+Source!AM209+Source!AO209</f>
        <v>42508.19</v>
      </c>
      <c r="G660" s="41" t="s">
        <v>6</v>
      </c>
      <c r="H660" s="29">
        <f>ROUND(Source!AC209*Source!I209, 2)+ROUND(Source!AD209*Source!I209, 2)+ROUND(Source!AF209*Source!I209, 2)</f>
        <v>71.75</v>
      </c>
      <c r="I660" s="30"/>
      <c r="J660" s="30">
        <f>IF(Source!BC209&lt;&gt; 0, Source!BC209, 1)</f>
        <v>6.56</v>
      </c>
      <c r="K660" s="29">
        <f>Source!O209</f>
        <v>470.71</v>
      </c>
      <c r="L660" s="31"/>
      <c r="S660">
        <f>ROUND((Source!FX209/100)*((ROUND(Source!AF209*Source!I209, 2)+ROUND(Source!AE209*Source!I209, 2))), 2)</f>
        <v>0</v>
      </c>
      <c r="T660">
        <f>Source!X209</f>
        <v>0</v>
      </c>
      <c r="U660">
        <f>ROUND((Source!FY209/100)*((ROUND(Source!AF209*Source!I209, 2)+ROUND(Source!AE209*Source!I209, 2))), 2)</f>
        <v>0</v>
      </c>
      <c r="V660">
        <f>Source!Y209</f>
        <v>0</v>
      </c>
      <c r="W660">
        <f>IF(Source!BI209&lt;=1,H660, 0)</f>
        <v>71.75</v>
      </c>
      <c r="X660">
        <f>IF(Source!BI209=2,H660, 0)</f>
        <v>0</v>
      </c>
      <c r="Y660">
        <f>IF(Source!BI209=3,H660, 0)</f>
        <v>0</v>
      </c>
      <c r="Z660">
        <f>IF(Source!BI209=4,H660, 0)</f>
        <v>0</v>
      </c>
    </row>
    <row r="661" spans="1:26" ht="28.5" x14ac:dyDescent="0.2">
      <c r="A661" s="46" t="str">
        <f>Source!E210</f>
        <v>59,2</v>
      </c>
      <c r="B661" s="47" t="str">
        <f>Source!F210</f>
        <v>14.4.02.04</v>
      </c>
      <c r="C661" s="47" t="str">
        <f>Source!G210</f>
        <v>Краски для внутренних работ масляные готовые к применению</v>
      </c>
      <c r="D661" s="34" t="str">
        <f>Source!H210</f>
        <v>т</v>
      </c>
      <c r="E661" s="35">
        <f>Source!I210</f>
        <v>1.688E-3</v>
      </c>
      <c r="F661" s="36">
        <f>Source!AL210+Source!AM210+Source!AO210</f>
        <v>0</v>
      </c>
      <c r="G661" s="42" t="s">
        <v>6</v>
      </c>
      <c r="H661" s="36">
        <f>ROUND(Source!AC210*Source!I210, 2)+ROUND(Source!AD210*Source!I210, 2)+ROUND(Source!AF210*Source!I210, 2)</f>
        <v>0</v>
      </c>
      <c r="I661" s="37"/>
      <c r="J661" s="37">
        <f>IF(Source!BC210&lt;&gt; 0, Source!BC210, 1)</f>
        <v>6.56</v>
      </c>
      <c r="K661" s="36">
        <f>Source!O210</f>
        <v>0</v>
      </c>
      <c r="L661" s="43"/>
      <c r="S661">
        <f>ROUND((Source!FX210/100)*((ROUND(Source!AF210*Source!I210, 2)+ROUND(Source!AE210*Source!I210, 2))), 2)</f>
        <v>0</v>
      </c>
      <c r="T661">
        <f>Source!X210</f>
        <v>0</v>
      </c>
      <c r="U661">
        <f>ROUND((Source!FY210/100)*((ROUND(Source!AF210*Source!I210, 2)+ROUND(Source!AE210*Source!I210, 2))), 2)</f>
        <v>0</v>
      </c>
      <c r="V661">
        <f>Source!Y210</f>
        <v>0</v>
      </c>
      <c r="W661">
        <f>IF(Source!BI210&lt;=1,H661, 0)</f>
        <v>0</v>
      </c>
      <c r="X661">
        <f>IF(Source!BI210=2,H661, 0)</f>
        <v>0</v>
      </c>
      <c r="Y661">
        <f>IF(Source!BI210=3,H661, 0)</f>
        <v>0</v>
      </c>
      <c r="Z661">
        <f>IF(Source!BI210=4,H661, 0)</f>
        <v>0</v>
      </c>
    </row>
    <row r="662" spans="1:26" ht="15" x14ac:dyDescent="0.25">
      <c r="G662" s="63">
        <f>H653+H654+H656+H657+H658+SUM(H660:H661)</f>
        <v>194.49</v>
      </c>
      <c r="H662" s="63"/>
      <c r="J662" s="63">
        <f>K653+K654+K656+K657+K658+SUM(K660:K661)</f>
        <v>1275.8999999999999</v>
      </c>
      <c r="K662" s="63"/>
      <c r="L662" s="39">
        <f>Source!U208</f>
        <v>4.7094799999999992</v>
      </c>
      <c r="O662" s="24">
        <f>G662</f>
        <v>194.49</v>
      </c>
      <c r="P662" s="24">
        <f>J662</f>
        <v>1275.8999999999999</v>
      </c>
      <c r="Q662" s="24">
        <f>L662</f>
        <v>4.7094799999999992</v>
      </c>
      <c r="W662">
        <f>IF(Source!BI208&lt;=1,H653+H654+H656+H657+H658, 0)</f>
        <v>122.74</v>
      </c>
      <c r="X662">
        <f>IF(Source!BI208=2,H653+H654+H656+H657+H658, 0)</f>
        <v>0</v>
      </c>
      <c r="Y662">
        <f>IF(Source!BI208=3,H653+H654+H656+H657+H658, 0)</f>
        <v>0</v>
      </c>
      <c r="Z662">
        <f>IF(Source!BI208=4,H653+H654+H656+H657+H658, 0)</f>
        <v>0</v>
      </c>
    </row>
    <row r="663" spans="1:26" ht="28.5" x14ac:dyDescent="0.2">
      <c r="A663" s="44" t="str">
        <f>Source!E211</f>
        <v>60</v>
      </c>
      <c r="B663" s="45" t="str">
        <f>Source!F211</f>
        <v>09-06-001-02</v>
      </c>
      <c r="C663" s="45" t="str">
        <f>Source!G211</f>
        <v>Монтаж лотков, решеток, затворов из полосовой и тонколистовой стали</v>
      </c>
      <c r="D663" s="28" t="str">
        <f>Source!H211</f>
        <v>т</v>
      </c>
      <c r="E663" s="11">
        <f>Source!I211</f>
        <v>0.4</v>
      </c>
      <c r="F663" s="29">
        <f>Source!AL211+Source!AM211+Source!AO211</f>
        <v>641</v>
      </c>
      <c r="G663" s="30"/>
      <c r="H663" s="29"/>
      <c r="I663" s="30" t="str">
        <f>Source!BO211</f>
        <v/>
      </c>
      <c r="J663" s="30"/>
      <c r="K663" s="29"/>
      <c r="L663" s="31"/>
      <c r="S663">
        <f>ROUND((Source!FX211/100)*((ROUND(Source!AF211*Source!I211, 2)+ROUND(Source!AE211*Source!I211, 2))), 2)</f>
        <v>162.97</v>
      </c>
      <c r="T663">
        <f>Source!X211</f>
        <v>1069.1199999999999</v>
      </c>
      <c r="U663">
        <f>ROUND((Source!FY211/100)*((ROUND(Source!AF211*Source!I211, 2)+ROUND(Source!AE211*Source!I211, 2))), 2)</f>
        <v>145.37</v>
      </c>
      <c r="V663">
        <f>Source!Y211</f>
        <v>950.33</v>
      </c>
    </row>
    <row r="664" spans="1:26" ht="14.25" x14ac:dyDescent="0.2">
      <c r="A664" s="44"/>
      <c r="B664" s="45"/>
      <c r="C664" s="45" t="s">
        <v>1930</v>
      </c>
      <c r="D664" s="28"/>
      <c r="E664" s="11"/>
      <c r="F664" s="29">
        <f>Source!AO211</f>
        <v>433.24</v>
      </c>
      <c r="G664" s="30" t="str">
        <f>Source!DG211</f>
        <v>)*1,15</v>
      </c>
      <c r="H664" s="29">
        <f>ROUND(Source!AF211*Source!I211, 2)</f>
        <v>199.29</v>
      </c>
      <c r="I664" s="30"/>
      <c r="J664" s="30">
        <f>IF(Source!BA211&lt;&gt; 0, Source!BA211, 1)</f>
        <v>6.56</v>
      </c>
      <c r="K664" s="29">
        <f>Source!S211</f>
        <v>1307.3599999999999</v>
      </c>
      <c r="L664" s="31"/>
      <c r="R664">
        <f>H664</f>
        <v>199.29</v>
      </c>
    </row>
    <row r="665" spans="1:26" ht="14.25" x14ac:dyDescent="0.2">
      <c r="A665" s="44"/>
      <c r="B665" s="45"/>
      <c r="C665" s="45" t="s">
        <v>151</v>
      </c>
      <c r="D665" s="28"/>
      <c r="E665" s="11"/>
      <c r="F665" s="29">
        <f>Source!AM211</f>
        <v>125.8</v>
      </c>
      <c r="G665" s="30" t="str">
        <f>Source!DE211</f>
        <v>)*1,25</v>
      </c>
      <c r="H665" s="29">
        <f>ROUND(Source!AD211*Source!I211, 2)</f>
        <v>62.9</v>
      </c>
      <c r="I665" s="30"/>
      <c r="J665" s="30">
        <f>IF(Source!BB211&lt;&gt; 0, Source!BB211, 1)</f>
        <v>6.56</v>
      </c>
      <c r="K665" s="29">
        <f>Source!Q211</f>
        <v>412.65</v>
      </c>
      <c r="L665" s="31"/>
    </row>
    <row r="666" spans="1:26" ht="14.25" x14ac:dyDescent="0.2">
      <c r="A666" s="44"/>
      <c r="B666" s="45"/>
      <c r="C666" s="45" t="s">
        <v>1931</v>
      </c>
      <c r="D666" s="28"/>
      <c r="E666" s="11"/>
      <c r="F666" s="29">
        <f>Source!AN211</f>
        <v>3.82</v>
      </c>
      <c r="G666" s="30" t="str">
        <f>Source!DF211</f>
        <v>)*1,25</v>
      </c>
      <c r="H666" s="32">
        <f>ROUND(Source!AE211*Source!I211, 2)</f>
        <v>1.91</v>
      </c>
      <c r="I666" s="30"/>
      <c r="J666" s="30">
        <f>IF(Source!BS211&lt;&gt; 0, Source!BS211, 1)</f>
        <v>6.56</v>
      </c>
      <c r="K666" s="32">
        <f>Source!R211</f>
        <v>12.54</v>
      </c>
      <c r="L666" s="31"/>
      <c r="R666">
        <f>H666</f>
        <v>1.91</v>
      </c>
    </row>
    <row r="667" spans="1:26" ht="14.25" x14ac:dyDescent="0.2">
      <c r="A667" s="44"/>
      <c r="B667" s="45"/>
      <c r="C667" s="45" t="s">
        <v>1937</v>
      </c>
      <c r="D667" s="28"/>
      <c r="E667" s="11"/>
      <c r="F667" s="29">
        <f>Source!AL211</f>
        <v>81.96</v>
      </c>
      <c r="G667" s="30" t="str">
        <f>Source!DD211</f>
        <v/>
      </c>
      <c r="H667" s="29">
        <f>ROUND(Source!AC211*Source!I211, 2)</f>
        <v>32.78</v>
      </c>
      <c r="I667" s="30"/>
      <c r="J667" s="30">
        <f>IF(Source!BC211&lt;&gt; 0, Source!BC211, 1)</f>
        <v>6.56</v>
      </c>
      <c r="K667" s="29">
        <f>Source!P211</f>
        <v>215.06</v>
      </c>
      <c r="L667" s="31"/>
    </row>
    <row r="668" spans="1:26" ht="14.25" x14ac:dyDescent="0.2">
      <c r="A668" s="44"/>
      <c r="B668" s="45"/>
      <c r="C668" s="45" t="s">
        <v>1932</v>
      </c>
      <c r="D668" s="28" t="s">
        <v>1933</v>
      </c>
      <c r="E668" s="11">
        <f>Source!BZ211</f>
        <v>90</v>
      </c>
      <c r="F668" s="64" t="str">
        <f>CONCATENATE(" )", Source!DL211, Source!FT211, "=", Source!FX211)</f>
        <v xml:space="preserve"> )*0,9=81</v>
      </c>
      <c r="G668" s="65"/>
      <c r="H668" s="29">
        <f>SUM(S663:S672)</f>
        <v>162.97</v>
      </c>
      <c r="I668" s="33"/>
      <c r="J668" s="26">
        <f>Source!AT211</f>
        <v>81</v>
      </c>
      <c r="K668" s="29">
        <f>SUM(T663:T672)</f>
        <v>1069.1199999999999</v>
      </c>
      <c r="L668" s="31"/>
    </row>
    <row r="669" spans="1:26" ht="14.25" x14ac:dyDescent="0.2">
      <c r="A669" s="44"/>
      <c r="B669" s="45"/>
      <c r="C669" s="45" t="s">
        <v>1934</v>
      </c>
      <c r="D669" s="28" t="s">
        <v>1933</v>
      </c>
      <c r="E669" s="11">
        <f>Source!CA211</f>
        <v>85</v>
      </c>
      <c r="F669" s="64" t="str">
        <f>CONCATENATE(" )", Source!DM211, Source!FU211, "=", Source!FY211)</f>
        <v xml:space="preserve"> )*0,85=72,25</v>
      </c>
      <c r="G669" s="65"/>
      <c r="H669" s="29">
        <f>SUM(U663:U672)</f>
        <v>145.37</v>
      </c>
      <c r="I669" s="33"/>
      <c r="J669" s="26">
        <f>Source!AU211</f>
        <v>72</v>
      </c>
      <c r="K669" s="29">
        <f>SUM(V663:V672)</f>
        <v>950.33</v>
      </c>
      <c r="L669" s="31"/>
    </row>
    <row r="670" spans="1:26" ht="14.25" x14ac:dyDescent="0.2">
      <c r="A670" s="44"/>
      <c r="B670" s="45"/>
      <c r="C670" s="45" t="s">
        <v>1935</v>
      </c>
      <c r="D670" s="28" t="s">
        <v>1936</v>
      </c>
      <c r="E670" s="11">
        <f>Source!AQ211</f>
        <v>50.79</v>
      </c>
      <c r="F670" s="29"/>
      <c r="G670" s="30" t="str">
        <f>Source!DI211</f>
        <v>)*1,15</v>
      </c>
      <c r="H670" s="29"/>
      <c r="I670" s="30"/>
      <c r="J670" s="30"/>
      <c r="K670" s="29"/>
      <c r="L670" s="40">
        <f>Source!U211</f>
        <v>23.363399999999999</v>
      </c>
    </row>
    <row r="671" spans="1:26" ht="14.25" x14ac:dyDescent="0.2">
      <c r="A671" s="44" t="str">
        <f>Source!E212</f>
        <v>60,1</v>
      </c>
      <c r="B671" s="45" t="str">
        <f>Source!F212</f>
        <v>07.2.07.13</v>
      </c>
      <c r="C671" s="45" t="str">
        <f>Source!G212</f>
        <v>Конструкции стальные</v>
      </c>
      <c r="D671" s="28" t="str">
        <f>Source!H212</f>
        <v>т</v>
      </c>
      <c r="E671" s="11">
        <f>Source!I212</f>
        <v>0.4</v>
      </c>
      <c r="F671" s="29">
        <f>Source!AL212+Source!AM212+Source!AO212</f>
        <v>0</v>
      </c>
      <c r="G671" s="41" t="s">
        <v>6</v>
      </c>
      <c r="H671" s="29">
        <f>ROUND(Source!AC212*Source!I212, 2)+ROUND(Source!AD212*Source!I212, 2)+ROUND(Source!AF212*Source!I212, 2)</f>
        <v>0</v>
      </c>
      <c r="I671" s="30"/>
      <c r="J671" s="30">
        <f>IF(Source!BC212&lt;&gt; 0, Source!BC212, 1)</f>
        <v>6.56</v>
      </c>
      <c r="K671" s="29">
        <f>Source!O212</f>
        <v>0</v>
      </c>
      <c r="L671" s="31"/>
      <c r="S671">
        <f>ROUND((Source!FX212/100)*((ROUND(Source!AF212*Source!I212, 2)+ROUND(Source!AE212*Source!I212, 2))), 2)</f>
        <v>0</v>
      </c>
      <c r="T671">
        <f>Source!X212</f>
        <v>0</v>
      </c>
      <c r="U671">
        <f>ROUND((Source!FY212/100)*((ROUND(Source!AF212*Source!I212, 2)+ROUND(Source!AE212*Source!I212, 2))), 2)</f>
        <v>0</v>
      </c>
      <c r="V671">
        <f>Source!Y212</f>
        <v>0</v>
      </c>
      <c r="W671">
        <f>IF(Source!BI212&lt;=1,H671, 0)</f>
        <v>0</v>
      </c>
      <c r="X671">
        <f>IF(Source!BI212=2,H671, 0)</f>
        <v>0</v>
      </c>
      <c r="Y671">
        <f>IF(Source!BI212=3,H671, 0)</f>
        <v>0</v>
      </c>
      <c r="Z671">
        <f>IF(Source!BI212=4,H671, 0)</f>
        <v>0</v>
      </c>
    </row>
    <row r="672" spans="1:26" ht="28.5" x14ac:dyDescent="0.2">
      <c r="A672" s="46" t="str">
        <f>Source!E213</f>
        <v>60,2</v>
      </c>
      <c r="B672" s="47" t="str">
        <f>Source!F213</f>
        <v>08.4.03.02-0002</v>
      </c>
      <c r="C672" s="47" t="str">
        <f>Source!G213</f>
        <v>Горячекатаная арматурная сталь гладкая класса А-I, диаметром 8 мм</v>
      </c>
      <c r="D672" s="34" t="str">
        <f>Source!H213</f>
        <v>т</v>
      </c>
      <c r="E672" s="35">
        <f>Source!I213</f>
        <v>0.4</v>
      </c>
      <c r="F672" s="36">
        <f>Source!AL213+Source!AM213+Source!AO213</f>
        <v>6780</v>
      </c>
      <c r="G672" s="42" t="s">
        <v>6</v>
      </c>
      <c r="H672" s="36">
        <f>ROUND(Source!AC213*Source!I213, 2)+ROUND(Source!AD213*Source!I213, 2)+ROUND(Source!AF213*Source!I213, 2)</f>
        <v>2712</v>
      </c>
      <c r="I672" s="37"/>
      <c r="J672" s="37">
        <f>IF(Source!BC213&lt;&gt; 0, Source!BC213, 1)</f>
        <v>6.56</v>
      </c>
      <c r="K672" s="36">
        <f>Source!O213</f>
        <v>17790.72</v>
      </c>
      <c r="L672" s="43"/>
      <c r="S672">
        <f>ROUND((Source!FX213/100)*((ROUND(Source!AF213*Source!I213, 2)+ROUND(Source!AE213*Source!I213, 2))), 2)</f>
        <v>0</v>
      </c>
      <c r="T672">
        <f>Source!X213</f>
        <v>0</v>
      </c>
      <c r="U672">
        <f>ROUND((Source!FY213/100)*((ROUND(Source!AF213*Source!I213, 2)+ROUND(Source!AE213*Source!I213, 2))), 2)</f>
        <v>0</v>
      </c>
      <c r="V672">
        <f>Source!Y213</f>
        <v>0</v>
      </c>
      <c r="W672">
        <f>IF(Source!BI213&lt;=1,H672, 0)</f>
        <v>2712</v>
      </c>
      <c r="X672">
        <f>IF(Source!BI213=2,H672, 0)</f>
        <v>0</v>
      </c>
      <c r="Y672">
        <f>IF(Source!BI213=3,H672, 0)</f>
        <v>0</v>
      </c>
      <c r="Z672">
        <f>IF(Source!BI213=4,H672, 0)</f>
        <v>0</v>
      </c>
    </row>
    <row r="673" spans="1:26" ht="15" x14ac:dyDescent="0.25">
      <c r="G673" s="63">
        <f>H664+H665+H667+H668+H669+SUM(H671:H672)</f>
        <v>3315.31</v>
      </c>
      <c r="H673" s="63"/>
      <c r="J673" s="63">
        <f>K664+K665+K667+K668+K669+SUM(K671:K672)</f>
        <v>21745.24</v>
      </c>
      <c r="K673" s="63"/>
      <c r="L673" s="39">
        <f>Source!U211</f>
        <v>23.363399999999999</v>
      </c>
      <c r="O673" s="24">
        <f>G673</f>
        <v>3315.31</v>
      </c>
      <c r="P673" s="24">
        <f>J673</f>
        <v>21745.24</v>
      </c>
      <c r="Q673" s="24">
        <f>L673</f>
        <v>23.363399999999999</v>
      </c>
      <c r="W673">
        <f>IF(Source!BI211&lt;=1,H664+H665+H667+H668+H669, 0)</f>
        <v>603.31000000000006</v>
      </c>
      <c r="X673">
        <f>IF(Source!BI211=2,H664+H665+H667+H668+H669, 0)</f>
        <v>0</v>
      </c>
      <c r="Y673">
        <f>IF(Source!BI211=3,H664+H665+H667+H668+H669, 0)</f>
        <v>0</v>
      </c>
      <c r="Z673">
        <f>IF(Source!BI211=4,H664+H665+H667+H668+H669, 0)</f>
        <v>0</v>
      </c>
    </row>
    <row r="674" spans="1:26" ht="28.5" x14ac:dyDescent="0.2">
      <c r="A674" s="44" t="str">
        <f>Source!E214</f>
        <v>61</v>
      </c>
      <c r="B674" s="45" t="str">
        <f>Source!F214</f>
        <v>69-15-1</v>
      </c>
      <c r="C674" s="45" t="str">
        <f>Source!G214</f>
        <v>Затаривание строительного мусора в мешки</v>
      </c>
      <c r="D674" s="28" t="str">
        <f>Source!H214</f>
        <v>т</v>
      </c>
      <c r="E674" s="11">
        <f>Source!I214</f>
        <v>31</v>
      </c>
      <c r="F674" s="29">
        <f>Source!AL214+Source!AM214+Source!AO214</f>
        <v>23.81</v>
      </c>
      <c r="G674" s="30"/>
      <c r="H674" s="29"/>
      <c r="I674" s="30" t="str">
        <f>Source!BO214</f>
        <v/>
      </c>
      <c r="J674" s="30"/>
      <c r="K674" s="29"/>
      <c r="L674" s="31"/>
      <c r="S674">
        <f>ROUND((Source!FX214/100)*((ROUND(Source!AF214*Source!I214, 2)+ROUND(Source!AE214*Source!I214, 2))), 2)</f>
        <v>179.17</v>
      </c>
      <c r="T674">
        <f>Source!X214</f>
        <v>1175.3800000000001</v>
      </c>
      <c r="U674">
        <f>ROUND((Source!FY214/100)*((ROUND(Source!AF214*Source!I214, 2)+ROUND(Source!AE214*Source!I214, 2))), 2)</f>
        <v>114.86</v>
      </c>
      <c r="V674">
        <f>Source!Y214</f>
        <v>753.45</v>
      </c>
    </row>
    <row r="675" spans="1:26" ht="14.25" x14ac:dyDescent="0.2">
      <c r="A675" s="44"/>
      <c r="B675" s="45"/>
      <c r="C675" s="45" t="s">
        <v>1930</v>
      </c>
      <c r="D675" s="28"/>
      <c r="E675" s="11"/>
      <c r="F675" s="29">
        <f>Source!AO214</f>
        <v>7.41</v>
      </c>
      <c r="G675" s="30" t="str">
        <f>Source!DG214</f>
        <v/>
      </c>
      <c r="H675" s="29">
        <f>ROUND(Source!AF214*Source!I214, 2)</f>
        <v>229.71</v>
      </c>
      <c r="I675" s="30"/>
      <c r="J675" s="30">
        <f>IF(Source!BA214&lt;&gt; 0, Source!BA214, 1)</f>
        <v>6.56</v>
      </c>
      <c r="K675" s="29">
        <f>Source!S214</f>
        <v>1506.9</v>
      </c>
      <c r="L675" s="31"/>
      <c r="R675">
        <f>H675</f>
        <v>229.71</v>
      </c>
    </row>
    <row r="676" spans="1:26" ht="14.25" x14ac:dyDescent="0.2">
      <c r="A676" s="44"/>
      <c r="B676" s="45"/>
      <c r="C676" s="45" t="s">
        <v>1937</v>
      </c>
      <c r="D676" s="28"/>
      <c r="E676" s="11"/>
      <c r="F676" s="29">
        <f>Source!AL214</f>
        <v>16.399999999999999</v>
      </c>
      <c r="G676" s="30" t="str">
        <f>Source!DD214</f>
        <v/>
      </c>
      <c r="H676" s="29">
        <f>ROUND(Source!AC214*Source!I214, 2)</f>
        <v>508.4</v>
      </c>
      <c r="I676" s="30"/>
      <c r="J676" s="30">
        <f>IF(Source!BC214&lt;&gt; 0, Source!BC214, 1)</f>
        <v>6.56</v>
      </c>
      <c r="K676" s="29">
        <f>Source!P214</f>
        <v>3335.1</v>
      </c>
      <c r="L676" s="31"/>
    </row>
    <row r="677" spans="1:26" ht="14.25" x14ac:dyDescent="0.2">
      <c r="A677" s="44"/>
      <c r="B677" s="45"/>
      <c r="C677" s="45" t="s">
        <v>1932</v>
      </c>
      <c r="D677" s="28" t="s">
        <v>1933</v>
      </c>
      <c r="E677" s="11">
        <f>Source!BZ214</f>
        <v>78</v>
      </c>
      <c r="F677" s="48"/>
      <c r="G677" s="30"/>
      <c r="H677" s="29">
        <f>SUM(S674:S679)</f>
        <v>179.17</v>
      </c>
      <c r="I677" s="33"/>
      <c r="J677" s="26">
        <f>Source!AT214</f>
        <v>78</v>
      </c>
      <c r="K677" s="29">
        <f>SUM(T674:T679)</f>
        <v>1175.3800000000001</v>
      </c>
      <c r="L677" s="31"/>
    </row>
    <row r="678" spans="1:26" ht="14.25" x14ac:dyDescent="0.2">
      <c r="A678" s="44"/>
      <c r="B678" s="45"/>
      <c r="C678" s="45" t="s">
        <v>1934</v>
      </c>
      <c r="D678" s="28" t="s">
        <v>1933</v>
      </c>
      <c r="E678" s="11">
        <f>Source!CA214</f>
        <v>50</v>
      </c>
      <c r="F678" s="48"/>
      <c r="G678" s="30"/>
      <c r="H678" s="29">
        <f>SUM(U674:U679)</f>
        <v>114.86</v>
      </c>
      <c r="I678" s="33"/>
      <c r="J678" s="26">
        <f>Source!AU214</f>
        <v>50</v>
      </c>
      <c r="K678" s="29">
        <f>SUM(V674:V679)</f>
        <v>753.45</v>
      </c>
      <c r="L678" s="31"/>
    </row>
    <row r="679" spans="1:26" ht="14.25" x14ac:dyDescent="0.2">
      <c r="A679" s="46"/>
      <c r="B679" s="47"/>
      <c r="C679" s="47" t="s">
        <v>1935</v>
      </c>
      <c r="D679" s="34" t="s">
        <v>1936</v>
      </c>
      <c r="E679" s="35">
        <f>Source!AQ214</f>
        <v>1.03</v>
      </c>
      <c r="F679" s="36"/>
      <c r="G679" s="37" t="str">
        <f>Source!DI214</f>
        <v/>
      </c>
      <c r="H679" s="36"/>
      <c r="I679" s="37"/>
      <c r="J679" s="37"/>
      <c r="K679" s="36"/>
      <c r="L679" s="38">
        <f>Source!U214</f>
        <v>31.93</v>
      </c>
    </row>
    <row r="680" spans="1:26" ht="15" x14ac:dyDescent="0.25">
      <c r="G680" s="63">
        <f>H675+H676+H677+H678</f>
        <v>1032.1399999999999</v>
      </c>
      <c r="H680" s="63"/>
      <c r="J680" s="63">
        <f>K675+K676+K677+K678</f>
        <v>6770.83</v>
      </c>
      <c r="K680" s="63"/>
      <c r="L680" s="39">
        <f>Source!U214</f>
        <v>31.93</v>
      </c>
      <c r="O680" s="24">
        <f>G680</f>
        <v>1032.1399999999999</v>
      </c>
      <c r="P680" s="24">
        <f>J680</f>
        <v>6770.83</v>
      </c>
      <c r="Q680" s="24">
        <f>L680</f>
        <v>31.93</v>
      </c>
      <c r="W680">
        <f>IF(Source!BI214&lt;=1,H675+H676+H677+H678, 0)</f>
        <v>1032.1399999999999</v>
      </c>
      <c r="X680">
        <f>IF(Source!BI214=2,H675+H676+H677+H678, 0)</f>
        <v>0</v>
      </c>
      <c r="Y680">
        <f>IF(Source!BI214=3,H675+H676+H677+H678, 0)</f>
        <v>0</v>
      </c>
      <c r="Z680">
        <f>IF(Source!BI214=4,H675+H676+H677+H678, 0)</f>
        <v>0</v>
      </c>
    </row>
    <row r="681" spans="1:26" ht="42.75" x14ac:dyDescent="0.2">
      <c r="A681" s="46" t="str">
        <f>Source!E215</f>
        <v>62</v>
      </c>
      <c r="B681" s="47" t="str">
        <f>Source!F215</f>
        <v>т01-01-01-041</v>
      </c>
      <c r="C681" s="47" t="str">
        <f>Source!G215</f>
        <v>Погрузочные работы при автомобильных перевозках мусора строительного с погрузкой вручную</v>
      </c>
      <c r="D681" s="34" t="str">
        <f>Source!H215</f>
        <v>1 Т ГРУЗА</v>
      </c>
      <c r="E681" s="35">
        <f>Source!I215</f>
        <v>31</v>
      </c>
      <c r="F681" s="36">
        <f>Source!AK215</f>
        <v>42.98</v>
      </c>
      <c r="G681" s="37" t="str">
        <f>Source!DC215</f>
        <v/>
      </c>
      <c r="H681" s="36">
        <f>ROUND(Source!AB215*Source!I215, 2)</f>
        <v>1332.38</v>
      </c>
      <c r="I681" s="37" t="str">
        <f>Source!BO215</f>
        <v/>
      </c>
      <c r="J681" s="37">
        <f>Source!AZ215</f>
        <v>6.56</v>
      </c>
      <c r="K681" s="36">
        <f>Source!GM215</f>
        <v>8740.41</v>
      </c>
      <c r="L681" s="43"/>
      <c r="S681">
        <f>ROUND((Source!FX215/100)*((ROUND(0*Source!I215, 2)+ROUND(0*Source!I215, 2))), 2)</f>
        <v>0</v>
      </c>
      <c r="T681">
        <f>Source!X215</f>
        <v>0</v>
      </c>
      <c r="U681">
        <f>ROUND((Source!FY215/100)*((ROUND(0*Source!I215, 2)+ROUND(0*Source!I215, 2))), 2)</f>
        <v>0</v>
      </c>
      <c r="V681">
        <f>Source!Y215</f>
        <v>0</v>
      </c>
    </row>
    <row r="682" spans="1:26" ht="15" x14ac:dyDescent="0.25">
      <c r="G682" s="63">
        <f>H681</f>
        <v>1332.38</v>
      </c>
      <c r="H682" s="63"/>
      <c r="J682" s="63">
        <f>K681</f>
        <v>8740.41</v>
      </c>
      <c r="K682" s="63"/>
      <c r="L682" s="39">
        <f>Source!U215</f>
        <v>0</v>
      </c>
      <c r="O682" s="24">
        <f>G682</f>
        <v>1332.38</v>
      </c>
      <c r="P682" s="24">
        <f>J682</f>
        <v>8740.41</v>
      </c>
      <c r="Q682" s="24">
        <f>L682</f>
        <v>0</v>
      </c>
      <c r="W682">
        <f>IF(Source!BI215&lt;=1,H681, 0)</f>
        <v>1332.38</v>
      </c>
      <c r="X682">
        <f>IF(Source!BI215=2,H681, 0)</f>
        <v>0</v>
      </c>
      <c r="Y682">
        <f>IF(Source!BI215=3,H681, 0)</f>
        <v>0</v>
      </c>
      <c r="Z682">
        <f>IF(Source!BI215=4,H681, 0)</f>
        <v>0</v>
      </c>
    </row>
    <row r="683" spans="1:26" ht="57" x14ac:dyDescent="0.2">
      <c r="A683" s="46" t="str">
        <f>Source!E216</f>
        <v>63</v>
      </c>
      <c r="B683" s="47" t="str">
        <f>Source!F216</f>
        <v>т03-01-01-035</v>
      </c>
      <c r="C683" s="47" t="str">
        <f>Source!G216</f>
        <v>Перевозка грузов I класса автомобилями бортовыми грузоподъемностью до 15 т на расстояние до 35 км</v>
      </c>
      <c r="D683" s="34" t="str">
        <f>Source!H216</f>
        <v>1 Т ГРУЗА</v>
      </c>
      <c r="E683" s="35">
        <f>Source!I216</f>
        <v>31</v>
      </c>
      <c r="F683" s="36">
        <f>Source!AK216</f>
        <v>19.54</v>
      </c>
      <c r="G683" s="37" t="str">
        <f>Source!DC216</f>
        <v/>
      </c>
      <c r="H683" s="36">
        <f>ROUND(Source!AB216*Source!I216, 2)</f>
        <v>605.74</v>
      </c>
      <c r="I683" s="37" t="str">
        <f>Source!BO216</f>
        <v/>
      </c>
      <c r="J683" s="37">
        <f>Source!AZ216</f>
        <v>6.56</v>
      </c>
      <c r="K683" s="36">
        <f>Source!GM216</f>
        <v>3973.65</v>
      </c>
      <c r="L683" s="43"/>
      <c r="S683">
        <f>ROUND((Source!FX216/100)*((ROUND(0*Source!I216, 2)+ROUND(0*Source!I216, 2))), 2)</f>
        <v>0</v>
      </c>
      <c r="T683">
        <f>Source!X216</f>
        <v>0</v>
      </c>
      <c r="U683">
        <f>ROUND((Source!FY216/100)*((ROUND(0*Source!I216, 2)+ROUND(0*Source!I216, 2))), 2)</f>
        <v>0</v>
      </c>
      <c r="V683">
        <f>Source!Y216</f>
        <v>0</v>
      </c>
    </row>
    <row r="684" spans="1:26" ht="15" x14ac:dyDescent="0.25">
      <c r="G684" s="63">
        <f>H683</f>
        <v>605.74</v>
      </c>
      <c r="H684" s="63"/>
      <c r="J684" s="63">
        <f>K683</f>
        <v>3973.65</v>
      </c>
      <c r="K684" s="63"/>
      <c r="L684" s="39">
        <f>Source!U216</f>
        <v>0</v>
      </c>
      <c r="O684" s="24">
        <f>G684</f>
        <v>605.74</v>
      </c>
      <c r="P684" s="24">
        <f>J684</f>
        <v>3973.65</v>
      </c>
      <c r="Q684" s="24">
        <f>L684</f>
        <v>0</v>
      </c>
      <c r="W684">
        <f>IF(Source!BI216&lt;=1,H683, 0)</f>
        <v>605.74</v>
      </c>
      <c r="X684">
        <f>IF(Source!BI216=2,H683, 0)</f>
        <v>0</v>
      </c>
      <c r="Y684">
        <f>IF(Source!BI216=3,H683, 0)</f>
        <v>0</v>
      </c>
      <c r="Z684">
        <f>IF(Source!BI216=4,H683, 0)</f>
        <v>0</v>
      </c>
    </row>
    <row r="686" spans="1:26" ht="15" x14ac:dyDescent="0.25">
      <c r="A686" s="66" t="str">
        <f>CONCATENATE("Итого по подразделу: ",IF(Source!G218&lt;&gt;"Новый подраздел", Source!G218, ""))</f>
        <v>Итого по подразделу: 2 Монтаж</v>
      </c>
      <c r="B686" s="66"/>
      <c r="C686" s="66"/>
      <c r="D686" s="66"/>
      <c r="E686" s="66"/>
      <c r="F686" s="66"/>
      <c r="G686" s="67">
        <f>SUM(O157:O685)</f>
        <v>368100.20000000007</v>
      </c>
      <c r="H686" s="67"/>
      <c r="I686" s="25"/>
      <c r="J686" s="67">
        <f>SUM(P157:P685)</f>
        <v>2415298.63</v>
      </c>
      <c r="K686" s="67"/>
      <c r="L686" s="39">
        <f>SUM(Q157:Q685)</f>
        <v>2197.9298084500001</v>
      </c>
    </row>
    <row r="687" spans="1:26" ht="15" x14ac:dyDescent="0.25">
      <c r="A687" s="66" t="str">
        <f>CONCATENATE("Итого по разделу: ",IF(Source!G247&lt;&gt;"Новый раздел", Source!G247, ""))</f>
        <v>Итого по разделу: 1 Общестроительные работы</v>
      </c>
      <c r="B687" s="66"/>
      <c r="C687" s="66"/>
      <c r="D687" s="66"/>
      <c r="E687" s="66"/>
      <c r="F687" s="66"/>
      <c r="G687" s="67">
        <f>SUM(O25:O686)</f>
        <v>374317.01</v>
      </c>
      <c r="H687" s="67"/>
      <c r="I687" s="25"/>
      <c r="J687" s="67">
        <f>SUM(P25:P686)</f>
        <v>2456105.9500000002</v>
      </c>
      <c r="K687" s="67"/>
      <c r="L687" s="39">
        <f>SUM(Q25:Q686)</f>
        <v>2477.42078765</v>
      </c>
    </row>
    <row r="688" spans="1:26" ht="16.5" x14ac:dyDescent="0.25">
      <c r="A688" s="68" t="str">
        <f>CONCATENATE("Раздел: ",IF(Source!G276&lt;&gt;"Новый раздел", Source!G276, ""))</f>
        <v>Раздел: 2 Электромонтажные работы</v>
      </c>
      <c r="B688" s="68"/>
      <c r="C688" s="68"/>
      <c r="D688" s="68"/>
      <c r="E688" s="68"/>
      <c r="F688" s="68"/>
      <c r="G688" s="68"/>
      <c r="H688" s="68"/>
      <c r="I688" s="68"/>
      <c r="J688" s="68"/>
      <c r="K688" s="68"/>
      <c r="L688" s="68"/>
    </row>
    <row r="690" spans="1:26" ht="16.5" x14ac:dyDescent="0.25">
      <c r="A690" s="68" t="str">
        <f>CONCATENATE("Подраздел: ",IF(Source!G280&lt;&gt;"Новый подраздел", Source!G280, ""))</f>
        <v>Подраздел: 1Демонтаж</v>
      </c>
      <c r="B690" s="68"/>
      <c r="C690" s="68"/>
      <c r="D690" s="68"/>
      <c r="E690" s="68"/>
      <c r="F690" s="68"/>
      <c r="G690" s="68"/>
      <c r="H690" s="68"/>
      <c r="I690" s="68"/>
      <c r="J690" s="68"/>
      <c r="K690" s="68"/>
      <c r="L690" s="68"/>
    </row>
    <row r="691" spans="1:26" ht="28.5" x14ac:dyDescent="0.2">
      <c r="A691" s="44" t="str">
        <f>Source!E284</f>
        <v>64</v>
      </c>
      <c r="B691" s="45" t="str">
        <f>Source!F284</f>
        <v>67-4-5</v>
      </c>
      <c r="C691" s="45" t="str">
        <f>Source!G284</f>
        <v>Демонтаж светильников для люминесцентных ламп</v>
      </c>
      <c r="D691" s="28" t="str">
        <f>Source!H284</f>
        <v>100 ШТ</v>
      </c>
      <c r="E691" s="11">
        <f>Source!I284</f>
        <v>0.72</v>
      </c>
      <c r="F691" s="29">
        <f>Source!AL284+Source!AM284+Source!AO284</f>
        <v>145.97999999999999</v>
      </c>
      <c r="G691" s="30"/>
      <c r="H691" s="29"/>
      <c r="I691" s="30" t="str">
        <f>Source!BO284</f>
        <v/>
      </c>
      <c r="J691" s="30"/>
      <c r="K691" s="29"/>
      <c r="L691" s="31"/>
      <c r="S691">
        <f>ROUND((Source!FX284/100)*((ROUND(Source!AF284*Source!I284, 2)+ROUND(Source!AE284*Source!I284, 2))), 2)</f>
        <v>88.48</v>
      </c>
      <c r="T691">
        <f>Source!X284</f>
        <v>580.36</v>
      </c>
      <c r="U691">
        <f>ROUND((Source!FY284/100)*((ROUND(Source!AF284*Source!I284, 2)+ROUND(Source!AE284*Source!I284, 2))), 2)</f>
        <v>67.66</v>
      </c>
      <c r="V691">
        <f>Source!Y284</f>
        <v>443.81</v>
      </c>
    </row>
    <row r="692" spans="1:26" x14ac:dyDescent="0.2">
      <c r="C692" s="23" t="str">
        <f>"Объем: "&amp;Source!I284&amp;"=72/"&amp;"100"</f>
        <v>Объем: 0,72=72/100</v>
      </c>
    </row>
    <row r="693" spans="1:26" ht="14.25" x14ac:dyDescent="0.2">
      <c r="A693" s="44"/>
      <c r="B693" s="45"/>
      <c r="C693" s="45" t="s">
        <v>1930</v>
      </c>
      <c r="D693" s="28"/>
      <c r="E693" s="11"/>
      <c r="F693" s="29">
        <f>Source!AO284</f>
        <v>143.47999999999999</v>
      </c>
      <c r="G693" s="30" t="str">
        <f>Source!DG284</f>
        <v/>
      </c>
      <c r="H693" s="29">
        <f>ROUND(Source!AF284*Source!I284, 2)</f>
        <v>103.31</v>
      </c>
      <c r="I693" s="30"/>
      <c r="J693" s="30">
        <f>IF(Source!BA284&lt;&gt; 0, Source!BA284, 1)</f>
        <v>6.56</v>
      </c>
      <c r="K693" s="29">
        <f>Source!S284</f>
        <v>677.68</v>
      </c>
      <c r="L693" s="31"/>
      <c r="R693">
        <f>H693</f>
        <v>103.31</v>
      </c>
    </row>
    <row r="694" spans="1:26" ht="14.25" x14ac:dyDescent="0.2">
      <c r="A694" s="44"/>
      <c r="B694" s="45"/>
      <c r="C694" s="45" t="s">
        <v>151</v>
      </c>
      <c r="D694" s="28"/>
      <c r="E694" s="11"/>
      <c r="F694" s="29">
        <f>Source!AM284</f>
        <v>2.5</v>
      </c>
      <c r="G694" s="30" t="str">
        <f>Source!DE284</f>
        <v/>
      </c>
      <c r="H694" s="29">
        <f>ROUND(Source!AD284*Source!I284, 2)</f>
        <v>1.8</v>
      </c>
      <c r="I694" s="30"/>
      <c r="J694" s="30">
        <f>IF(Source!BB284&lt;&gt; 0, Source!BB284, 1)</f>
        <v>6.56</v>
      </c>
      <c r="K694" s="29">
        <f>Source!Q284</f>
        <v>11.81</v>
      </c>
      <c r="L694" s="31"/>
    </row>
    <row r="695" spans="1:26" ht="14.25" x14ac:dyDescent="0.2">
      <c r="A695" s="44"/>
      <c r="B695" s="45"/>
      <c r="C695" s="45" t="s">
        <v>1931</v>
      </c>
      <c r="D695" s="28"/>
      <c r="E695" s="11"/>
      <c r="F695" s="29">
        <f>Source!AN284</f>
        <v>1.08</v>
      </c>
      <c r="G695" s="30" t="str">
        <f>Source!DF284</f>
        <v/>
      </c>
      <c r="H695" s="32">
        <f>ROUND(Source!AE284*Source!I284, 2)</f>
        <v>0.78</v>
      </c>
      <c r="I695" s="30"/>
      <c r="J695" s="30">
        <f>IF(Source!BS284&lt;&gt; 0, Source!BS284, 1)</f>
        <v>6.56</v>
      </c>
      <c r="K695" s="32">
        <f>Source!R284</f>
        <v>5.0999999999999996</v>
      </c>
      <c r="L695" s="31"/>
      <c r="R695">
        <f>H695</f>
        <v>0.78</v>
      </c>
    </row>
    <row r="696" spans="1:26" ht="14.25" x14ac:dyDescent="0.2">
      <c r="A696" s="44"/>
      <c r="B696" s="45"/>
      <c r="C696" s="45" t="s">
        <v>1932</v>
      </c>
      <c r="D696" s="28" t="s">
        <v>1933</v>
      </c>
      <c r="E696" s="11">
        <f>Source!BZ284</f>
        <v>85</v>
      </c>
      <c r="F696" s="48"/>
      <c r="G696" s="30"/>
      <c r="H696" s="29">
        <f>SUM(S691:S698)</f>
        <v>88.48</v>
      </c>
      <c r="I696" s="33"/>
      <c r="J696" s="26">
        <f>Source!AT284</f>
        <v>85</v>
      </c>
      <c r="K696" s="29">
        <f>SUM(T691:T698)</f>
        <v>580.36</v>
      </c>
      <c r="L696" s="31"/>
    </row>
    <row r="697" spans="1:26" ht="14.25" x14ac:dyDescent="0.2">
      <c r="A697" s="44"/>
      <c r="B697" s="45"/>
      <c r="C697" s="45" t="s">
        <v>1934</v>
      </c>
      <c r="D697" s="28" t="s">
        <v>1933</v>
      </c>
      <c r="E697" s="11">
        <f>Source!CA284</f>
        <v>65</v>
      </c>
      <c r="F697" s="48"/>
      <c r="G697" s="30"/>
      <c r="H697" s="29">
        <f>SUM(U691:U698)</f>
        <v>67.66</v>
      </c>
      <c r="I697" s="33"/>
      <c r="J697" s="26">
        <f>Source!AU284</f>
        <v>65</v>
      </c>
      <c r="K697" s="29">
        <f>SUM(V691:V698)</f>
        <v>443.81</v>
      </c>
      <c r="L697" s="31"/>
    </row>
    <row r="698" spans="1:26" ht="14.25" x14ac:dyDescent="0.2">
      <c r="A698" s="46"/>
      <c r="B698" s="47"/>
      <c r="C698" s="47" t="s">
        <v>1935</v>
      </c>
      <c r="D698" s="34" t="s">
        <v>1936</v>
      </c>
      <c r="E698" s="35">
        <f>Source!AQ284</f>
        <v>17.89</v>
      </c>
      <c r="F698" s="36"/>
      <c r="G698" s="37" t="str">
        <f>Source!DI284</f>
        <v/>
      </c>
      <c r="H698" s="36"/>
      <c r="I698" s="37"/>
      <c r="J698" s="37"/>
      <c r="K698" s="36"/>
      <c r="L698" s="38">
        <f>Source!U284</f>
        <v>12.880800000000001</v>
      </c>
    </row>
    <row r="699" spans="1:26" ht="15" x14ac:dyDescent="0.25">
      <c r="G699" s="63">
        <f>H693+H694+H696+H697</f>
        <v>261.25</v>
      </c>
      <c r="H699" s="63"/>
      <c r="J699" s="63">
        <f>K693+K694+K696+K697</f>
        <v>1713.6599999999999</v>
      </c>
      <c r="K699" s="63"/>
      <c r="L699" s="39">
        <f>Source!U284</f>
        <v>12.880800000000001</v>
      </c>
      <c r="O699" s="24">
        <f>G699</f>
        <v>261.25</v>
      </c>
      <c r="P699" s="24">
        <f>J699</f>
        <v>1713.6599999999999</v>
      </c>
      <c r="Q699" s="24">
        <f>L699</f>
        <v>12.880800000000001</v>
      </c>
      <c r="W699">
        <f>IF(Source!BI284&lt;=1,H693+H694+H696+H697, 0)</f>
        <v>261.25</v>
      </c>
      <c r="X699">
        <f>IF(Source!BI284=2,H693+H694+H696+H697, 0)</f>
        <v>0</v>
      </c>
      <c r="Y699">
        <f>IF(Source!BI284=3,H693+H694+H696+H697, 0)</f>
        <v>0</v>
      </c>
      <c r="Z699">
        <f>IF(Source!BI284=4,H693+H694+H696+H697, 0)</f>
        <v>0</v>
      </c>
    </row>
    <row r="700" spans="1:26" ht="14.25" x14ac:dyDescent="0.2">
      <c r="A700" s="44" t="str">
        <f>Source!E285</f>
        <v>65</v>
      </c>
      <c r="B700" s="45" t="str">
        <f>Source!F285</f>
        <v>67-3-1</v>
      </c>
      <c r="C700" s="45" t="str">
        <f>Source!G285</f>
        <v>Демонтаж кабеля</v>
      </c>
      <c r="D700" s="28" t="str">
        <f>Source!H285</f>
        <v>100 м</v>
      </c>
      <c r="E700" s="11">
        <f>Source!I285</f>
        <v>2.3199999999999998</v>
      </c>
      <c r="F700" s="29">
        <f>Source!AL285+Source!AM285+Source!AO285</f>
        <v>75.5</v>
      </c>
      <c r="G700" s="30"/>
      <c r="H700" s="29"/>
      <c r="I700" s="30" t="str">
        <f>Source!BO285</f>
        <v/>
      </c>
      <c r="J700" s="30"/>
      <c r="K700" s="29"/>
      <c r="L700" s="31"/>
      <c r="S700">
        <f>ROUND((Source!FX285/100)*((ROUND(Source!AF285*Source!I285, 2)+ROUND(Source!AE285*Source!I285, 2))), 2)</f>
        <v>148.55000000000001</v>
      </c>
      <c r="T700">
        <f>Source!X285</f>
        <v>974.49</v>
      </c>
      <c r="U700">
        <f>ROUND((Source!FY285/100)*((ROUND(Source!AF285*Source!I285, 2)+ROUND(Source!AE285*Source!I285, 2))), 2)</f>
        <v>113.59</v>
      </c>
      <c r="V700">
        <f>Source!Y285</f>
        <v>745.2</v>
      </c>
    </row>
    <row r="701" spans="1:26" x14ac:dyDescent="0.2">
      <c r="C701" s="23" t="str">
        <f>"Объем: "&amp;Source!I285&amp;"=232/"&amp;"100"</f>
        <v>Объем: 2,32=232/100</v>
      </c>
    </row>
    <row r="702" spans="1:26" ht="14.25" x14ac:dyDescent="0.2">
      <c r="A702" s="44"/>
      <c r="B702" s="45"/>
      <c r="C702" s="45" t="s">
        <v>1930</v>
      </c>
      <c r="D702" s="28"/>
      <c r="E702" s="11"/>
      <c r="F702" s="29">
        <f>Source!AO285</f>
        <v>75.19</v>
      </c>
      <c r="G702" s="30" t="str">
        <f>Source!DG285</f>
        <v/>
      </c>
      <c r="H702" s="29">
        <f>ROUND(Source!AF285*Source!I285, 2)</f>
        <v>174.44</v>
      </c>
      <c r="I702" s="30"/>
      <c r="J702" s="30">
        <f>IF(Source!BA285&lt;&gt; 0, Source!BA285, 1)</f>
        <v>6.56</v>
      </c>
      <c r="K702" s="29">
        <f>Source!S285</f>
        <v>1144.33</v>
      </c>
      <c r="L702" s="31"/>
      <c r="R702">
        <f>H702</f>
        <v>174.44</v>
      </c>
    </row>
    <row r="703" spans="1:26" ht="14.25" x14ac:dyDescent="0.2">
      <c r="A703" s="44"/>
      <c r="B703" s="45"/>
      <c r="C703" s="45" t="s">
        <v>151</v>
      </c>
      <c r="D703" s="28"/>
      <c r="E703" s="11"/>
      <c r="F703" s="29">
        <f>Source!AM285</f>
        <v>0.31</v>
      </c>
      <c r="G703" s="30" t="str">
        <f>Source!DE285</f>
        <v/>
      </c>
      <c r="H703" s="29">
        <f>ROUND(Source!AD285*Source!I285, 2)</f>
        <v>0.72</v>
      </c>
      <c r="I703" s="30"/>
      <c r="J703" s="30">
        <f>IF(Source!BB285&lt;&gt; 0, Source!BB285, 1)</f>
        <v>6.56</v>
      </c>
      <c r="K703" s="29">
        <f>Source!Q285</f>
        <v>4.72</v>
      </c>
      <c r="L703" s="31"/>
    </row>
    <row r="704" spans="1:26" ht="14.25" x14ac:dyDescent="0.2">
      <c r="A704" s="44"/>
      <c r="B704" s="45"/>
      <c r="C704" s="45" t="s">
        <v>1931</v>
      </c>
      <c r="D704" s="28"/>
      <c r="E704" s="11"/>
      <c r="F704" s="29">
        <f>Source!AN285</f>
        <v>0.14000000000000001</v>
      </c>
      <c r="G704" s="30" t="str">
        <f>Source!DF285</f>
        <v/>
      </c>
      <c r="H704" s="32">
        <f>ROUND(Source!AE285*Source!I285, 2)</f>
        <v>0.32</v>
      </c>
      <c r="I704" s="30"/>
      <c r="J704" s="30">
        <f>IF(Source!BS285&lt;&gt; 0, Source!BS285, 1)</f>
        <v>6.56</v>
      </c>
      <c r="K704" s="32">
        <f>Source!R285</f>
        <v>2.13</v>
      </c>
      <c r="L704" s="31"/>
      <c r="R704">
        <f>H704</f>
        <v>0.32</v>
      </c>
    </row>
    <row r="705" spans="1:26" ht="14.25" x14ac:dyDescent="0.2">
      <c r="A705" s="44"/>
      <c r="B705" s="45"/>
      <c r="C705" s="45" t="s">
        <v>1932</v>
      </c>
      <c r="D705" s="28" t="s">
        <v>1933</v>
      </c>
      <c r="E705" s="11">
        <f>Source!BZ285</f>
        <v>85</v>
      </c>
      <c r="F705" s="48"/>
      <c r="G705" s="30"/>
      <c r="H705" s="29">
        <f>SUM(S700:S707)</f>
        <v>148.55000000000001</v>
      </c>
      <c r="I705" s="33"/>
      <c r="J705" s="26">
        <f>Source!AT285</f>
        <v>85</v>
      </c>
      <c r="K705" s="29">
        <f>SUM(T700:T707)</f>
        <v>974.49</v>
      </c>
      <c r="L705" s="31"/>
    </row>
    <row r="706" spans="1:26" ht="14.25" x14ac:dyDescent="0.2">
      <c r="A706" s="44"/>
      <c r="B706" s="45"/>
      <c r="C706" s="45" t="s">
        <v>1934</v>
      </c>
      <c r="D706" s="28" t="s">
        <v>1933</v>
      </c>
      <c r="E706" s="11">
        <f>Source!CA285</f>
        <v>65</v>
      </c>
      <c r="F706" s="48"/>
      <c r="G706" s="30"/>
      <c r="H706" s="29">
        <f>SUM(U700:U707)</f>
        <v>113.59</v>
      </c>
      <c r="I706" s="33"/>
      <c r="J706" s="26">
        <f>Source!AU285</f>
        <v>65</v>
      </c>
      <c r="K706" s="29">
        <f>SUM(V700:V707)</f>
        <v>745.2</v>
      </c>
      <c r="L706" s="31"/>
    </row>
    <row r="707" spans="1:26" ht="14.25" x14ac:dyDescent="0.2">
      <c r="A707" s="46"/>
      <c r="B707" s="47"/>
      <c r="C707" s="47" t="s">
        <v>1935</v>
      </c>
      <c r="D707" s="34" t="s">
        <v>1936</v>
      </c>
      <c r="E707" s="35">
        <f>Source!AQ285</f>
        <v>9.64</v>
      </c>
      <c r="F707" s="36"/>
      <c r="G707" s="37" t="str">
        <f>Source!DI285</f>
        <v/>
      </c>
      <c r="H707" s="36"/>
      <c r="I707" s="37"/>
      <c r="J707" s="37"/>
      <c r="K707" s="36"/>
      <c r="L707" s="38">
        <f>Source!U285</f>
        <v>22.364799999999999</v>
      </c>
    </row>
    <row r="708" spans="1:26" ht="15" x14ac:dyDescent="0.25">
      <c r="G708" s="63">
        <f>H702+H703+H705+H706</f>
        <v>437.30000000000007</v>
      </c>
      <c r="H708" s="63"/>
      <c r="J708" s="63">
        <f>K702+K703+K705+K706</f>
        <v>2868.74</v>
      </c>
      <c r="K708" s="63"/>
      <c r="L708" s="39">
        <f>Source!U285</f>
        <v>22.364799999999999</v>
      </c>
      <c r="O708" s="24">
        <f>G708</f>
        <v>437.30000000000007</v>
      </c>
      <c r="P708" s="24">
        <f>J708</f>
        <v>2868.74</v>
      </c>
      <c r="Q708" s="24">
        <f>L708</f>
        <v>22.364799999999999</v>
      </c>
      <c r="W708">
        <f>IF(Source!BI285&lt;=1,H702+H703+H705+H706, 0)</f>
        <v>437.30000000000007</v>
      </c>
      <c r="X708">
        <f>IF(Source!BI285=2,H702+H703+H705+H706, 0)</f>
        <v>0</v>
      </c>
      <c r="Y708">
        <f>IF(Source!BI285=3,H702+H703+H705+H706, 0)</f>
        <v>0</v>
      </c>
      <c r="Z708">
        <f>IF(Source!BI285=4,H702+H703+H705+H706, 0)</f>
        <v>0</v>
      </c>
    </row>
    <row r="709" spans="1:26" ht="14.25" x14ac:dyDescent="0.2">
      <c r="A709" s="44" t="str">
        <f>Source!E286</f>
        <v>66</v>
      </c>
      <c r="B709" s="45" t="str">
        <f>Source!F286</f>
        <v>67-4-1</v>
      </c>
      <c r="C709" s="45" t="str">
        <f>Source!G286</f>
        <v>Демонтаж выключателей, розеток</v>
      </c>
      <c r="D709" s="28" t="str">
        <f>Source!H286</f>
        <v>100 ШТ</v>
      </c>
      <c r="E709" s="11">
        <f>Source!I286</f>
        <v>0.38</v>
      </c>
      <c r="F709" s="29">
        <f>Source!AL286+Source!AM286+Source!AO286</f>
        <v>45.55</v>
      </c>
      <c r="G709" s="30"/>
      <c r="H709" s="29"/>
      <c r="I709" s="30" t="str">
        <f>Source!BO286</f>
        <v/>
      </c>
      <c r="J709" s="30"/>
      <c r="K709" s="29"/>
      <c r="L709" s="31"/>
      <c r="S709">
        <f>ROUND((Source!FX286/100)*((ROUND(Source!AF286*Source!I286, 2)+ROUND(Source!AE286*Source!I286, 2))), 2)</f>
        <v>14.71</v>
      </c>
      <c r="T709">
        <f>Source!X286</f>
        <v>96.52</v>
      </c>
      <c r="U709">
        <f>ROUND((Source!FY286/100)*((ROUND(Source!AF286*Source!I286, 2)+ROUND(Source!AE286*Source!I286, 2))), 2)</f>
        <v>11.25</v>
      </c>
      <c r="V709">
        <f>Source!Y286</f>
        <v>73.81</v>
      </c>
    </row>
    <row r="710" spans="1:26" x14ac:dyDescent="0.2">
      <c r="C710" s="23" t="str">
        <f>"Объем: "&amp;Source!I286&amp;"=38/"&amp;"100"</f>
        <v>Объем: 0,38=38/100</v>
      </c>
    </row>
    <row r="711" spans="1:26" ht="14.25" x14ac:dyDescent="0.2">
      <c r="A711" s="44"/>
      <c r="B711" s="45"/>
      <c r="C711" s="45" t="s">
        <v>1930</v>
      </c>
      <c r="D711" s="28"/>
      <c r="E711" s="11"/>
      <c r="F711" s="29">
        <f>Source!AO286</f>
        <v>45.55</v>
      </c>
      <c r="G711" s="30" t="str">
        <f>Source!DG286</f>
        <v/>
      </c>
      <c r="H711" s="29">
        <f>ROUND(Source!AF286*Source!I286, 2)</f>
        <v>17.309999999999999</v>
      </c>
      <c r="I711" s="30"/>
      <c r="J711" s="30">
        <f>IF(Source!BA286&lt;&gt; 0, Source!BA286, 1)</f>
        <v>6.56</v>
      </c>
      <c r="K711" s="29">
        <f>Source!S286</f>
        <v>113.55</v>
      </c>
      <c r="L711" s="31"/>
      <c r="R711">
        <f>H711</f>
        <v>17.309999999999999</v>
      </c>
    </row>
    <row r="712" spans="1:26" ht="14.25" x14ac:dyDescent="0.2">
      <c r="A712" s="44"/>
      <c r="B712" s="45"/>
      <c r="C712" s="45" t="s">
        <v>1932</v>
      </c>
      <c r="D712" s="28" t="s">
        <v>1933</v>
      </c>
      <c r="E712" s="11">
        <f>Source!BZ286</f>
        <v>85</v>
      </c>
      <c r="F712" s="48"/>
      <c r="G712" s="30"/>
      <c r="H712" s="29">
        <f>SUM(S709:S714)</f>
        <v>14.71</v>
      </c>
      <c r="I712" s="33"/>
      <c r="J712" s="26">
        <f>Source!AT286</f>
        <v>85</v>
      </c>
      <c r="K712" s="29">
        <f>SUM(T709:T714)</f>
        <v>96.52</v>
      </c>
      <c r="L712" s="31"/>
    </row>
    <row r="713" spans="1:26" ht="14.25" x14ac:dyDescent="0.2">
      <c r="A713" s="44"/>
      <c r="B713" s="45"/>
      <c r="C713" s="45" t="s">
        <v>1934</v>
      </c>
      <c r="D713" s="28" t="s">
        <v>1933</v>
      </c>
      <c r="E713" s="11">
        <f>Source!CA286</f>
        <v>65</v>
      </c>
      <c r="F713" s="48"/>
      <c r="G713" s="30"/>
      <c r="H713" s="29">
        <f>SUM(U709:U714)</f>
        <v>11.25</v>
      </c>
      <c r="I713" s="33"/>
      <c r="J713" s="26">
        <f>Source!AU286</f>
        <v>65</v>
      </c>
      <c r="K713" s="29">
        <f>SUM(V709:V714)</f>
        <v>73.81</v>
      </c>
      <c r="L713" s="31"/>
    </row>
    <row r="714" spans="1:26" ht="14.25" x14ac:dyDescent="0.2">
      <c r="A714" s="46"/>
      <c r="B714" s="47"/>
      <c r="C714" s="47" t="s">
        <v>1935</v>
      </c>
      <c r="D714" s="34" t="s">
        <v>1936</v>
      </c>
      <c r="E714" s="35">
        <f>Source!AQ286</f>
        <v>5.84</v>
      </c>
      <c r="F714" s="36"/>
      <c r="G714" s="37" t="str">
        <f>Source!DI286</f>
        <v/>
      </c>
      <c r="H714" s="36"/>
      <c r="I714" s="37"/>
      <c r="J714" s="37"/>
      <c r="K714" s="36"/>
      <c r="L714" s="38">
        <f>Source!U286</f>
        <v>2.2191999999999998</v>
      </c>
    </row>
    <row r="715" spans="1:26" ht="15" x14ac:dyDescent="0.25">
      <c r="G715" s="63">
        <f>H711+H712+H713</f>
        <v>43.269999999999996</v>
      </c>
      <c r="H715" s="63"/>
      <c r="J715" s="63">
        <f>K711+K712+K713</f>
        <v>283.88</v>
      </c>
      <c r="K715" s="63"/>
      <c r="L715" s="39">
        <f>Source!U286</f>
        <v>2.2191999999999998</v>
      </c>
      <c r="O715" s="24">
        <f>G715</f>
        <v>43.269999999999996</v>
      </c>
      <c r="P715" s="24">
        <f>J715</f>
        <v>283.88</v>
      </c>
      <c r="Q715" s="24">
        <f>L715</f>
        <v>2.2191999999999998</v>
      </c>
      <c r="W715">
        <f>IF(Source!BI286&lt;=1,H711+H712+H713, 0)</f>
        <v>43.269999999999996</v>
      </c>
      <c r="X715">
        <f>IF(Source!BI286=2,H711+H712+H713, 0)</f>
        <v>0</v>
      </c>
      <c r="Y715">
        <f>IF(Source!BI286=3,H711+H712+H713, 0)</f>
        <v>0</v>
      </c>
      <c r="Z715">
        <f>IF(Source!BI286=4,H711+H712+H713, 0)</f>
        <v>0</v>
      </c>
    </row>
    <row r="716" spans="1:26" ht="28.5" x14ac:dyDescent="0.2">
      <c r="A716" s="44" t="str">
        <f>Source!E287</f>
        <v>67</v>
      </c>
      <c r="B716" s="45" t="str">
        <f>Source!F287</f>
        <v>м08-02-390-01</v>
      </c>
      <c r="C716" s="45" t="str">
        <f>Source!G287</f>
        <v>Демонтаж:Короба пластмассовые шириной до 40 мм</v>
      </c>
      <c r="D716" s="28" t="str">
        <f>Source!H287</f>
        <v>100 м</v>
      </c>
      <c r="E716" s="11">
        <f>Source!I287</f>
        <v>1.54</v>
      </c>
      <c r="F716" s="29">
        <f>Source!AL287+Source!AM287+Source!AO287</f>
        <v>206.76</v>
      </c>
      <c r="G716" s="30"/>
      <c r="H716" s="29"/>
      <c r="I716" s="30" t="str">
        <f>Source!BO287</f>
        <v/>
      </c>
      <c r="J716" s="30"/>
      <c r="K716" s="29"/>
      <c r="L716" s="31"/>
      <c r="S716">
        <f>ROUND((Source!FX287/100)*((ROUND(Source!AF287*Source!I287, 2)+ROUND(Source!AE287*Source!I287, 2))), 2)</f>
        <v>68.06</v>
      </c>
      <c r="T716">
        <f>Source!X287</f>
        <v>446.46</v>
      </c>
      <c r="U716">
        <f>ROUND((Source!FY287/100)*((ROUND(Source!AF287*Source!I287, 2)+ROUND(Source!AE287*Source!I287, 2))), 2)</f>
        <v>46.57</v>
      </c>
      <c r="V716">
        <f>Source!Y287</f>
        <v>305.47000000000003</v>
      </c>
    </row>
    <row r="717" spans="1:26" x14ac:dyDescent="0.2">
      <c r="C717" s="23" t="str">
        <f>"Объем: "&amp;Source!I287&amp;"=154/"&amp;"100"</f>
        <v>Объем: 1,54=154/100</v>
      </c>
    </row>
    <row r="718" spans="1:26" ht="14.25" x14ac:dyDescent="0.2">
      <c r="A718" s="44"/>
      <c r="B718" s="45"/>
      <c r="C718" s="45" t="s">
        <v>1930</v>
      </c>
      <c r="D718" s="28"/>
      <c r="E718" s="11"/>
      <c r="F718" s="29">
        <f>Source!AO287</f>
        <v>154.91999999999999</v>
      </c>
      <c r="G718" s="30" t="str">
        <f>Source!DG287</f>
        <v>)*0,3</v>
      </c>
      <c r="H718" s="29">
        <f>ROUND(Source!AF287*Source!I287, 2)</f>
        <v>71.58</v>
      </c>
      <c r="I718" s="30"/>
      <c r="J718" s="30">
        <f>IF(Source!BA287&lt;&gt; 0, Source!BA287, 1)</f>
        <v>6.56</v>
      </c>
      <c r="K718" s="29">
        <f>Source!S287</f>
        <v>469.56</v>
      </c>
      <c r="L718" s="31"/>
      <c r="R718">
        <f>H718</f>
        <v>71.58</v>
      </c>
    </row>
    <row r="719" spans="1:26" ht="14.25" x14ac:dyDescent="0.2">
      <c r="A719" s="44"/>
      <c r="B719" s="45"/>
      <c r="C719" s="45" t="s">
        <v>151</v>
      </c>
      <c r="D719" s="28"/>
      <c r="E719" s="11"/>
      <c r="F719" s="29">
        <f>Source!AM287</f>
        <v>0.31</v>
      </c>
      <c r="G719" s="30" t="str">
        <f>Source!DE287</f>
        <v>)*0,3</v>
      </c>
      <c r="H719" s="29">
        <f>ROUND(Source!AD287*Source!I287, 2)</f>
        <v>0.14000000000000001</v>
      </c>
      <c r="I719" s="30"/>
      <c r="J719" s="30">
        <f>IF(Source!BB287&lt;&gt; 0, Source!BB287, 1)</f>
        <v>6.56</v>
      </c>
      <c r="K719" s="29">
        <f>Source!Q287</f>
        <v>0.91</v>
      </c>
      <c r="L719" s="31"/>
    </row>
    <row r="720" spans="1:26" ht="14.25" x14ac:dyDescent="0.2">
      <c r="A720" s="44"/>
      <c r="B720" s="45"/>
      <c r="C720" s="45" t="s">
        <v>1931</v>
      </c>
      <c r="D720" s="28"/>
      <c r="E720" s="11"/>
      <c r="F720" s="29">
        <f>Source!AN287</f>
        <v>0.14000000000000001</v>
      </c>
      <c r="G720" s="30" t="str">
        <f>Source!DF287</f>
        <v>)*0,3</v>
      </c>
      <c r="H720" s="32">
        <f>ROUND(Source!AE287*Source!I287, 2)</f>
        <v>0.06</v>
      </c>
      <c r="I720" s="30"/>
      <c r="J720" s="30">
        <f>IF(Source!BS287&lt;&gt; 0, Source!BS287, 1)</f>
        <v>6.56</v>
      </c>
      <c r="K720" s="32">
        <f>Source!R287</f>
        <v>0.4</v>
      </c>
      <c r="L720" s="31"/>
      <c r="R720">
        <f>H720</f>
        <v>0.06</v>
      </c>
    </row>
    <row r="721" spans="1:26" ht="14.25" x14ac:dyDescent="0.2">
      <c r="A721" s="44"/>
      <c r="B721" s="45"/>
      <c r="C721" s="45" t="s">
        <v>1932</v>
      </c>
      <c r="D721" s="28" t="s">
        <v>1933</v>
      </c>
      <c r="E721" s="11">
        <f>Source!BZ287</f>
        <v>95</v>
      </c>
      <c r="F721" s="48"/>
      <c r="G721" s="30"/>
      <c r="H721" s="29">
        <f>SUM(S716:S723)</f>
        <v>68.06</v>
      </c>
      <c r="I721" s="33"/>
      <c r="J721" s="26">
        <f>Source!AT287</f>
        <v>95</v>
      </c>
      <c r="K721" s="29">
        <f>SUM(T716:T723)</f>
        <v>446.46</v>
      </c>
      <c r="L721" s="31"/>
    </row>
    <row r="722" spans="1:26" ht="14.25" x14ac:dyDescent="0.2">
      <c r="A722" s="44"/>
      <c r="B722" s="45"/>
      <c r="C722" s="45" t="s">
        <v>1934</v>
      </c>
      <c r="D722" s="28" t="s">
        <v>1933</v>
      </c>
      <c r="E722" s="11">
        <f>Source!CA287</f>
        <v>65</v>
      </c>
      <c r="F722" s="48"/>
      <c r="G722" s="30"/>
      <c r="H722" s="29">
        <f>SUM(U716:U723)</f>
        <v>46.57</v>
      </c>
      <c r="I722" s="33"/>
      <c r="J722" s="26">
        <f>Source!AU287</f>
        <v>65</v>
      </c>
      <c r="K722" s="29">
        <f>SUM(V716:V723)</f>
        <v>305.47000000000003</v>
      </c>
      <c r="L722" s="31"/>
    </row>
    <row r="723" spans="1:26" ht="14.25" x14ac:dyDescent="0.2">
      <c r="A723" s="46"/>
      <c r="B723" s="47"/>
      <c r="C723" s="47" t="s">
        <v>1935</v>
      </c>
      <c r="D723" s="34" t="s">
        <v>1936</v>
      </c>
      <c r="E723" s="35">
        <f>Source!AQ287</f>
        <v>16.29</v>
      </c>
      <c r="F723" s="36"/>
      <c r="G723" s="37" t="str">
        <f>Source!DI287</f>
        <v>)*0,3</v>
      </c>
      <c r="H723" s="36"/>
      <c r="I723" s="37"/>
      <c r="J723" s="37"/>
      <c r="K723" s="36"/>
      <c r="L723" s="38">
        <f>Source!U287</f>
        <v>7.5259799999999997</v>
      </c>
    </row>
    <row r="724" spans="1:26" ht="15" x14ac:dyDescent="0.25">
      <c r="G724" s="63">
        <f>H718+H719+H721+H722</f>
        <v>186.35</v>
      </c>
      <c r="H724" s="63"/>
      <c r="J724" s="63">
        <f>K718+K719+K721+K722</f>
        <v>1222.4000000000001</v>
      </c>
      <c r="K724" s="63"/>
      <c r="L724" s="39">
        <f>Source!U287</f>
        <v>7.5259799999999997</v>
      </c>
      <c r="O724" s="24">
        <f>G724</f>
        <v>186.35</v>
      </c>
      <c r="P724" s="24">
        <f>J724</f>
        <v>1222.4000000000001</v>
      </c>
      <c r="Q724" s="24">
        <f>L724</f>
        <v>7.5259799999999997</v>
      </c>
      <c r="W724">
        <f>IF(Source!BI287&lt;=1,H718+H719+H721+H722, 0)</f>
        <v>0</v>
      </c>
      <c r="X724">
        <f>IF(Source!BI287=2,H718+H719+H721+H722, 0)</f>
        <v>186.35</v>
      </c>
      <c r="Y724">
        <f>IF(Source!BI287=3,H718+H719+H721+H722, 0)</f>
        <v>0</v>
      </c>
      <c r="Z724">
        <f>IF(Source!BI287=4,H718+H719+H721+H722, 0)</f>
        <v>0</v>
      </c>
    </row>
    <row r="725" spans="1:26" ht="28.5" x14ac:dyDescent="0.2">
      <c r="A725" s="44" t="str">
        <f>Source!E288</f>
        <v>68</v>
      </c>
      <c r="B725" s="45" t="str">
        <f>Source!F288</f>
        <v>м08-02-370-02</v>
      </c>
      <c r="C725" s="45" t="str">
        <f>Source!G288</f>
        <v>Демонтаж:Щиток до трех групп, устанавливаемый в нише цоколя</v>
      </c>
      <c r="D725" s="28" t="str">
        <f>Source!H288</f>
        <v>ШТ</v>
      </c>
      <c r="E725" s="11">
        <f>Source!I288</f>
        <v>2</v>
      </c>
      <c r="F725" s="29">
        <f>Source!AL288+Source!AM288+Source!AO288</f>
        <v>33.42</v>
      </c>
      <c r="G725" s="30"/>
      <c r="H725" s="29"/>
      <c r="I725" s="30" t="str">
        <f>Source!BO288</f>
        <v/>
      </c>
      <c r="J725" s="30"/>
      <c r="K725" s="29"/>
      <c r="L725" s="31"/>
      <c r="S725">
        <f>ROUND((Source!FX288/100)*((ROUND(Source!AF288*Source!I288, 2)+ROUND(Source!AE288*Source!I288, 2))), 2)</f>
        <v>6.82</v>
      </c>
      <c r="T725">
        <f>Source!X288</f>
        <v>44.75</v>
      </c>
      <c r="U725">
        <f>ROUND((Source!FY288/100)*((ROUND(Source!AF288*Source!I288, 2)+ROUND(Source!AE288*Source!I288, 2))), 2)</f>
        <v>4.67</v>
      </c>
      <c r="V725">
        <f>Source!Y288</f>
        <v>30.62</v>
      </c>
    </row>
    <row r="726" spans="1:26" ht="14.25" x14ac:dyDescent="0.2">
      <c r="A726" s="44"/>
      <c r="B726" s="45"/>
      <c r="C726" s="45" t="s">
        <v>1930</v>
      </c>
      <c r="D726" s="28"/>
      <c r="E726" s="11"/>
      <c r="F726" s="29">
        <f>Source!AO288</f>
        <v>9.4499999999999993</v>
      </c>
      <c r="G726" s="30" t="str">
        <f>Source!DG288</f>
        <v>)*0,3</v>
      </c>
      <c r="H726" s="29">
        <f>ROUND(Source!AF288*Source!I288, 2)</f>
        <v>5.68</v>
      </c>
      <c r="I726" s="30"/>
      <c r="J726" s="30">
        <f>IF(Source!BA288&lt;&gt; 0, Source!BA288, 1)</f>
        <v>6.56</v>
      </c>
      <c r="K726" s="29">
        <f>Source!S288</f>
        <v>37.26</v>
      </c>
      <c r="L726" s="31"/>
      <c r="R726">
        <f>H726</f>
        <v>5.68</v>
      </c>
    </row>
    <row r="727" spans="1:26" ht="14.25" x14ac:dyDescent="0.2">
      <c r="A727" s="44"/>
      <c r="B727" s="45"/>
      <c r="C727" s="45" t="s">
        <v>151</v>
      </c>
      <c r="D727" s="28"/>
      <c r="E727" s="11"/>
      <c r="F727" s="29">
        <f>Source!AM288</f>
        <v>17.77</v>
      </c>
      <c r="G727" s="30" t="str">
        <f>Source!DE288</f>
        <v>)*0,3</v>
      </c>
      <c r="H727" s="29">
        <f>ROUND(Source!AD288*Source!I288, 2)</f>
        <v>10.66</v>
      </c>
      <c r="I727" s="30"/>
      <c r="J727" s="30">
        <f>IF(Source!BB288&lt;&gt; 0, Source!BB288, 1)</f>
        <v>6.56</v>
      </c>
      <c r="K727" s="29">
        <f>Source!Q288</f>
        <v>69.930000000000007</v>
      </c>
      <c r="L727" s="31"/>
    </row>
    <row r="728" spans="1:26" ht="14.25" x14ac:dyDescent="0.2">
      <c r="A728" s="44"/>
      <c r="B728" s="45"/>
      <c r="C728" s="45" t="s">
        <v>1931</v>
      </c>
      <c r="D728" s="28"/>
      <c r="E728" s="11"/>
      <c r="F728" s="29">
        <f>Source!AN288</f>
        <v>2.5099999999999998</v>
      </c>
      <c r="G728" s="30" t="str">
        <f>Source!DF288</f>
        <v>)*0,3</v>
      </c>
      <c r="H728" s="32">
        <f>ROUND(Source!AE288*Source!I288, 2)</f>
        <v>1.5</v>
      </c>
      <c r="I728" s="30"/>
      <c r="J728" s="30">
        <f>IF(Source!BS288&lt;&gt; 0, Source!BS288, 1)</f>
        <v>6.56</v>
      </c>
      <c r="K728" s="32">
        <f>Source!R288</f>
        <v>9.84</v>
      </c>
      <c r="L728" s="31"/>
      <c r="R728">
        <f>H728</f>
        <v>1.5</v>
      </c>
    </row>
    <row r="729" spans="1:26" ht="14.25" x14ac:dyDescent="0.2">
      <c r="A729" s="44"/>
      <c r="B729" s="45"/>
      <c r="C729" s="45" t="s">
        <v>1932</v>
      </c>
      <c r="D729" s="28" t="s">
        <v>1933</v>
      </c>
      <c r="E729" s="11">
        <f>Source!BZ288</f>
        <v>95</v>
      </c>
      <c r="F729" s="48"/>
      <c r="G729" s="30"/>
      <c r="H729" s="29">
        <f>SUM(S725:S731)</f>
        <v>6.82</v>
      </c>
      <c r="I729" s="33"/>
      <c r="J729" s="26">
        <f>Source!AT288</f>
        <v>95</v>
      </c>
      <c r="K729" s="29">
        <f>SUM(T725:T731)</f>
        <v>44.75</v>
      </c>
      <c r="L729" s="31"/>
    </row>
    <row r="730" spans="1:26" ht="14.25" x14ac:dyDescent="0.2">
      <c r="A730" s="44"/>
      <c r="B730" s="45"/>
      <c r="C730" s="45" t="s">
        <v>1934</v>
      </c>
      <c r="D730" s="28" t="s">
        <v>1933</v>
      </c>
      <c r="E730" s="11">
        <f>Source!CA288</f>
        <v>65</v>
      </c>
      <c r="F730" s="48"/>
      <c r="G730" s="30"/>
      <c r="H730" s="29">
        <f>SUM(U725:U731)</f>
        <v>4.67</v>
      </c>
      <c r="I730" s="33"/>
      <c r="J730" s="26">
        <f>Source!AU288</f>
        <v>65</v>
      </c>
      <c r="K730" s="29">
        <f>SUM(V725:V731)</f>
        <v>30.62</v>
      </c>
      <c r="L730" s="31"/>
    </row>
    <row r="731" spans="1:26" ht="14.25" x14ac:dyDescent="0.2">
      <c r="A731" s="46"/>
      <c r="B731" s="47"/>
      <c r="C731" s="47" t="s">
        <v>1935</v>
      </c>
      <c r="D731" s="34" t="s">
        <v>1936</v>
      </c>
      <c r="E731" s="35">
        <f>Source!AQ288</f>
        <v>0.9</v>
      </c>
      <c r="F731" s="36"/>
      <c r="G731" s="37" t="str">
        <f>Source!DI288</f>
        <v>)*0,3</v>
      </c>
      <c r="H731" s="36"/>
      <c r="I731" s="37"/>
      <c r="J731" s="37"/>
      <c r="K731" s="36"/>
      <c r="L731" s="38">
        <f>Source!U288</f>
        <v>0.54</v>
      </c>
    </row>
    <row r="732" spans="1:26" ht="15" x14ac:dyDescent="0.25">
      <c r="G732" s="63">
        <f>H726+H727+H729+H730</f>
        <v>27.83</v>
      </c>
      <c r="H732" s="63"/>
      <c r="J732" s="63">
        <f>K726+K727+K729+K730</f>
        <v>182.56</v>
      </c>
      <c r="K732" s="63"/>
      <c r="L732" s="39">
        <f>Source!U288</f>
        <v>0.54</v>
      </c>
      <c r="O732" s="24">
        <f>G732</f>
        <v>27.83</v>
      </c>
      <c r="P732" s="24">
        <f>J732</f>
        <v>182.56</v>
      </c>
      <c r="Q732" s="24">
        <f>L732</f>
        <v>0.54</v>
      </c>
      <c r="W732">
        <f>IF(Source!BI288&lt;=1,H726+H727+H729+H730, 0)</f>
        <v>0</v>
      </c>
      <c r="X732">
        <f>IF(Source!BI288=2,H726+H727+H729+H730, 0)</f>
        <v>27.83</v>
      </c>
      <c r="Y732">
        <f>IF(Source!BI288=3,H726+H727+H729+H730, 0)</f>
        <v>0</v>
      </c>
      <c r="Z732">
        <f>IF(Source!BI288=4,H726+H727+H729+H730, 0)</f>
        <v>0</v>
      </c>
    </row>
    <row r="734" spans="1:26" ht="15" x14ac:dyDescent="0.25">
      <c r="A734" s="66" t="str">
        <f>CONCATENATE("Итого по подразделу: ",IF(Source!G290&lt;&gt;"Новый подраздел", Source!G290, ""))</f>
        <v>Итого по подразделу: 1Демонтаж</v>
      </c>
      <c r="B734" s="66"/>
      <c r="C734" s="66"/>
      <c r="D734" s="66"/>
      <c r="E734" s="66"/>
      <c r="F734" s="66"/>
      <c r="G734" s="67">
        <f>SUM(O690:O733)</f>
        <v>956.00000000000011</v>
      </c>
      <c r="H734" s="67"/>
      <c r="I734" s="25"/>
      <c r="J734" s="67">
        <f>SUM(P690:P733)</f>
        <v>6271.2400000000007</v>
      </c>
      <c r="K734" s="67"/>
      <c r="L734" s="39">
        <f>SUM(Q690:Q733)</f>
        <v>45.530779999999993</v>
      </c>
    </row>
    <row r="735" spans="1:26" ht="16.5" x14ac:dyDescent="0.25">
      <c r="A735" s="68" t="str">
        <f>CONCATENATE("Подраздел: ",IF(Source!G319&lt;&gt;"Новый подраздел", Source!G319, ""))</f>
        <v>Подраздел: 2 Монтаж освещения</v>
      </c>
      <c r="B735" s="68"/>
      <c r="C735" s="68"/>
      <c r="D735" s="68"/>
      <c r="E735" s="68"/>
      <c r="F735" s="68"/>
      <c r="G735" s="68"/>
      <c r="H735" s="68"/>
      <c r="I735" s="68"/>
      <c r="J735" s="68"/>
      <c r="K735" s="68"/>
      <c r="L735" s="68"/>
    </row>
    <row r="736" spans="1:26" ht="28.5" x14ac:dyDescent="0.2">
      <c r="A736" s="44" t="str">
        <f>Source!E323</f>
        <v>69</v>
      </c>
      <c r="B736" s="45" t="str">
        <f>Source!F323</f>
        <v>м08-03-593-19</v>
      </c>
      <c r="C736" s="45" t="str">
        <f>Source!G323</f>
        <v>Светильник в подвесных потолках</v>
      </c>
      <c r="D736" s="28" t="str">
        <f>Source!H323</f>
        <v>100 ШТ</v>
      </c>
      <c r="E736" s="11">
        <f>Source!I323</f>
        <v>0.2</v>
      </c>
      <c r="F736" s="29">
        <f>Source!AL323+Source!AM323+Source!AO323</f>
        <v>1092.72</v>
      </c>
      <c r="G736" s="30"/>
      <c r="H736" s="29"/>
      <c r="I736" s="30" t="str">
        <f>Source!BO323</f>
        <v/>
      </c>
      <c r="J736" s="30"/>
      <c r="K736" s="29"/>
      <c r="L736" s="31"/>
      <c r="S736">
        <f>ROUND((Source!FX323/100)*((ROUND(Source!AF323*Source!I323, 2)+ROUND(Source!AE323*Source!I323, 2))), 2)</f>
        <v>178.88</v>
      </c>
      <c r="T736">
        <f>Source!X323</f>
        <v>1173.45</v>
      </c>
      <c r="U736">
        <f>ROUND((Source!FY323/100)*((ROUND(Source!AF323*Source!I323, 2)+ROUND(Source!AE323*Source!I323, 2))), 2)</f>
        <v>122.39</v>
      </c>
      <c r="V736">
        <f>Source!Y323</f>
        <v>802.89</v>
      </c>
    </row>
    <row r="737" spans="1:26" x14ac:dyDescent="0.2">
      <c r="C737" s="23" t="str">
        <f>"Объем: "&amp;Source!I323&amp;"=20/"&amp;"100"</f>
        <v>Объем: 0,2=20/100</v>
      </c>
    </row>
    <row r="738" spans="1:26" ht="14.25" x14ac:dyDescent="0.2">
      <c r="A738" s="44"/>
      <c r="B738" s="45"/>
      <c r="C738" s="45" t="s">
        <v>1930</v>
      </c>
      <c r="D738" s="28"/>
      <c r="E738" s="11"/>
      <c r="F738" s="29">
        <f>Source!AO323</f>
        <v>936.45</v>
      </c>
      <c r="G738" s="30" t="str">
        <f>Source!DG323</f>
        <v/>
      </c>
      <c r="H738" s="29">
        <f>ROUND(Source!AF323*Source!I323, 2)</f>
        <v>187.29</v>
      </c>
      <c r="I738" s="30"/>
      <c r="J738" s="30">
        <f>IF(Source!BA323&lt;&gt; 0, Source!BA323, 1)</f>
        <v>6.56</v>
      </c>
      <c r="K738" s="29">
        <f>Source!S323</f>
        <v>1228.6199999999999</v>
      </c>
      <c r="L738" s="31"/>
      <c r="R738">
        <f>H738</f>
        <v>187.29</v>
      </c>
    </row>
    <row r="739" spans="1:26" ht="14.25" x14ac:dyDescent="0.2">
      <c r="A739" s="44"/>
      <c r="B739" s="45"/>
      <c r="C739" s="45" t="s">
        <v>151</v>
      </c>
      <c r="D739" s="28"/>
      <c r="E739" s="11"/>
      <c r="F739" s="29">
        <f>Source!AM323</f>
        <v>35.54</v>
      </c>
      <c r="G739" s="30" t="str">
        <f>Source!DE323</f>
        <v/>
      </c>
      <c r="H739" s="29">
        <f>ROUND(Source!AD323*Source!I323, 2)</f>
        <v>7.11</v>
      </c>
      <c r="I739" s="30"/>
      <c r="J739" s="30">
        <f>IF(Source!BB323&lt;&gt; 0, Source!BB323, 1)</f>
        <v>6.56</v>
      </c>
      <c r="K739" s="29">
        <f>Source!Q323</f>
        <v>46.63</v>
      </c>
      <c r="L739" s="31"/>
    </row>
    <row r="740" spans="1:26" ht="14.25" x14ac:dyDescent="0.2">
      <c r="A740" s="44"/>
      <c r="B740" s="45"/>
      <c r="C740" s="45" t="s">
        <v>1931</v>
      </c>
      <c r="D740" s="28"/>
      <c r="E740" s="11"/>
      <c r="F740" s="29">
        <f>Source!AN323</f>
        <v>5.0199999999999996</v>
      </c>
      <c r="G740" s="30" t="str">
        <f>Source!DF323</f>
        <v/>
      </c>
      <c r="H740" s="32">
        <f>ROUND(Source!AE323*Source!I323, 2)</f>
        <v>1</v>
      </c>
      <c r="I740" s="30"/>
      <c r="J740" s="30">
        <f>IF(Source!BS323&lt;&gt; 0, Source!BS323, 1)</f>
        <v>6.56</v>
      </c>
      <c r="K740" s="32">
        <f>Source!R323</f>
        <v>6.59</v>
      </c>
      <c r="L740" s="31"/>
      <c r="R740">
        <f>H740</f>
        <v>1</v>
      </c>
    </row>
    <row r="741" spans="1:26" ht="14.25" x14ac:dyDescent="0.2">
      <c r="A741" s="44"/>
      <c r="B741" s="45"/>
      <c r="C741" s="45" t="s">
        <v>1937</v>
      </c>
      <c r="D741" s="28"/>
      <c r="E741" s="11"/>
      <c r="F741" s="29">
        <f>Source!AL323</f>
        <v>120.73</v>
      </c>
      <c r="G741" s="30" t="str">
        <f>Source!DD323</f>
        <v/>
      </c>
      <c r="H741" s="29">
        <f>ROUND(Source!AC323*Source!I323, 2)</f>
        <v>24.15</v>
      </c>
      <c r="I741" s="30"/>
      <c r="J741" s="30">
        <f>IF(Source!BC323&lt;&gt; 0, Source!BC323, 1)</f>
        <v>6.56</v>
      </c>
      <c r="K741" s="29">
        <f>Source!P323</f>
        <v>158.4</v>
      </c>
      <c r="L741" s="31"/>
    </row>
    <row r="742" spans="1:26" ht="14.25" x14ac:dyDescent="0.2">
      <c r="A742" s="44"/>
      <c r="B742" s="45"/>
      <c r="C742" s="45" t="s">
        <v>1932</v>
      </c>
      <c r="D742" s="28" t="s">
        <v>1933</v>
      </c>
      <c r="E742" s="11">
        <f>Source!BZ323</f>
        <v>95</v>
      </c>
      <c r="F742" s="48"/>
      <c r="G742" s="30"/>
      <c r="H742" s="29">
        <f>SUM(S736:S745)</f>
        <v>178.88</v>
      </c>
      <c r="I742" s="33"/>
      <c r="J742" s="26">
        <f>Source!AT323</f>
        <v>95</v>
      </c>
      <c r="K742" s="29">
        <f>SUM(T736:T745)</f>
        <v>1173.45</v>
      </c>
      <c r="L742" s="31"/>
    </row>
    <row r="743" spans="1:26" ht="14.25" x14ac:dyDescent="0.2">
      <c r="A743" s="44"/>
      <c r="B743" s="45"/>
      <c r="C743" s="45" t="s">
        <v>1934</v>
      </c>
      <c r="D743" s="28" t="s">
        <v>1933</v>
      </c>
      <c r="E743" s="11">
        <f>Source!CA323</f>
        <v>65</v>
      </c>
      <c r="F743" s="48"/>
      <c r="G743" s="30"/>
      <c r="H743" s="29">
        <f>SUM(U736:U745)</f>
        <v>122.39</v>
      </c>
      <c r="I743" s="33"/>
      <c r="J743" s="26">
        <f>Source!AU323</f>
        <v>65</v>
      </c>
      <c r="K743" s="29">
        <f>SUM(V736:V745)</f>
        <v>802.89</v>
      </c>
      <c r="L743" s="31"/>
    </row>
    <row r="744" spans="1:26" ht="14.25" x14ac:dyDescent="0.2">
      <c r="A744" s="44"/>
      <c r="B744" s="45"/>
      <c r="C744" s="45" t="s">
        <v>1935</v>
      </c>
      <c r="D744" s="28" t="s">
        <v>1936</v>
      </c>
      <c r="E744" s="11">
        <f>Source!AQ323</f>
        <v>94.4</v>
      </c>
      <c r="F744" s="29"/>
      <c r="G744" s="30" t="str">
        <f>Source!DI323</f>
        <v/>
      </c>
      <c r="H744" s="29"/>
      <c r="I744" s="30"/>
      <c r="J744" s="30"/>
      <c r="K744" s="29"/>
      <c r="L744" s="40">
        <f>Source!U323</f>
        <v>18.880000000000003</v>
      </c>
    </row>
    <row r="745" spans="1:26" ht="71.25" x14ac:dyDescent="0.2">
      <c r="A745" s="46" t="str">
        <f>Source!E324</f>
        <v>69,1</v>
      </c>
      <c r="B745" s="47" t="str">
        <f>Source!F324</f>
        <v>20.3.03.04-0044</v>
      </c>
      <c r="C745" s="47" t="str">
        <f>Source!G324</f>
        <v>Светильник светодиодный, встраиваемые, мощностью 40W,цветовой температурой К4000,размером 595х595х40мм,IP40 прим.</v>
      </c>
      <c r="D745" s="34" t="str">
        <f>Source!H324</f>
        <v>шт.</v>
      </c>
      <c r="E745" s="35">
        <f>Source!I324</f>
        <v>20</v>
      </c>
      <c r="F745" s="36">
        <f>Source!AL324+Source!AM324+Source!AO324</f>
        <v>340.37</v>
      </c>
      <c r="G745" s="42" t="s">
        <v>6</v>
      </c>
      <c r="H745" s="36">
        <f>ROUND(Source!AC324*Source!I324, 2)+ROUND(Source!AD324*Source!I324, 2)+ROUND(Source!AF324*Source!I324, 2)</f>
        <v>6807.4</v>
      </c>
      <c r="I745" s="37"/>
      <c r="J745" s="37">
        <f>IF(Source!BC324&lt;&gt; 0, Source!BC324, 1)</f>
        <v>6.56</v>
      </c>
      <c r="K745" s="36">
        <f>Source!O324</f>
        <v>44656.54</v>
      </c>
      <c r="L745" s="43"/>
      <c r="S745">
        <f>ROUND((Source!FX324/100)*((ROUND(Source!AF324*Source!I324, 2)+ROUND(Source!AE324*Source!I324, 2))), 2)</f>
        <v>0</v>
      </c>
      <c r="T745">
        <f>Source!X324</f>
        <v>0</v>
      </c>
      <c r="U745">
        <f>ROUND((Source!FY324/100)*((ROUND(Source!AF324*Source!I324, 2)+ROUND(Source!AE324*Source!I324, 2))), 2)</f>
        <v>0</v>
      </c>
      <c r="V745">
        <f>Source!Y324</f>
        <v>0</v>
      </c>
      <c r="W745">
        <f>IF(Source!BI324&lt;=1,H745, 0)</f>
        <v>0</v>
      </c>
      <c r="X745">
        <f>IF(Source!BI324=2,H745, 0)</f>
        <v>6807.4</v>
      </c>
      <c r="Y745">
        <f>IF(Source!BI324=3,H745, 0)</f>
        <v>0</v>
      </c>
      <c r="Z745">
        <f>IF(Source!BI324=4,H745, 0)</f>
        <v>0</v>
      </c>
    </row>
    <row r="746" spans="1:26" ht="15" x14ac:dyDescent="0.25">
      <c r="G746" s="63">
        <f>H738+H739+H741+H742+H743+SUM(H745:H745)</f>
        <v>7327.2199999999993</v>
      </c>
      <c r="H746" s="63"/>
      <c r="J746" s="63">
        <f>K738+K739+K741+K742+K743+SUM(K745:K745)</f>
        <v>48066.53</v>
      </c>
      <c r="K746" s="63"/>
      <c r="L746" s="39">
        <f>Source!U323</f>
        <v>18.880000000000003</v>
      </c>
      <c r="O746" s="24">
        <f>G746</f>
        <v>7327.2199999999993</v>
      </c>
      <c r="P746" s="24">
        <f>J746</f>
        <v>48066.53</v>
      </c>
      <c r="Q746" s="24">
        <f>L746</f>
        <v>18.880000000000003</v>
      </c>
      <c r="W746">
        <f>IF(Source!BI323&lt;=1,H738+H739+H741+H742+H743, 0)</f>
        <v>0</v>
      </c>
      <c r="X746">
        <f>IF(Source!BI323=2,H738+H739+H741+H742+H743, 0)</f>
        <v>519.82000000000005</v>
      </c>
      <c r="Y746">
        <f>IF(Source!BI323=3,H738+H739+H741+H742+H743, 0)</f>
        <v>0</v>
      </c>
      <c r="Z746">
        <f>IF(Source!BI323=4,H738+H739+H741+H742+H743, 0)</f>
        <v>0</v>
      </c>
    </row>
    <row r="747" spans="1:26" ht="42.75" x14ac:dyDescent="0.2">
      <c r="A747" s="44" t="str">
        <f>Source!E325</f>
        <v>70</v>
      </c>
      <c r="B747" s="45" t="str">
        <f>Source!F325</f>
        <v>м08-03-594-03</v>
      </c>
      <c r="C747" s="45" t="str">
        <f>Source!G325</f>
        <v>Светильник отдельно устанавливаемый на штырях с количеством ламп в светильнике до 4</v>
      </c>
      <c r="D747" s="28" t="str">
        <f>Source!H325</f>
        <v>100 ШТ</v>
      </c>
      <c r="E747" s="11">
        <f>Source!I325</f>
        <v>0.75</v>
      </c>
      <c r="F747" s="29">
        <f>Source!AL325+Source!AM325+Source!AO325</f>
        <v>1523.5700000000002</v>
      </c>
      <c r="G747" s="30"/>
      <c r="H747" s="29"/>
      <c r="I747" s="30" t="str">
        <f>Source!BO325</f>
        <v/>
      </c>
      <c r="J747" s="30"/>
      <c r="K747" s="29"/>
      <c r="L747" s="31"/>
      <c r="S747">
        <f>ROUND((Source!FX325/100)*((ROUND(Source!AF325*Source!I325, 2)+ROUND(Source!AE325*Source!I325, 2))), 2)</f>
        <v>960.96</v>
      </c>
      <c r="T747">
        <f>Source!X325</f>
        <v>6303.88</v>
      </c>
      <c r="U747">
        <f>ROUND((Source!FY325/100)*((ROUND(Source!AF325*Source!I325, 2)+ROUND(Source!AE325*Source!I325, 2))), 2)</f>
        <v>657.5</v>
      </c>
      <c r="V747">
        <f>Source!Y325</f>
        <v>4313.18</v>
      </c>
    </row>
    <row r="748" spans="1:26" x14ac:dyDescent="0.2">
      <c r="C748" s="23" t="str">
        <f>"Объем: "&amp;Source!I325&amp;"=75/"&amp;"100"</f>
        <v>Объем: 0,75=75/100</v>
      </c>
    </row>
    <row r="749" spans="1:26" ht="14.25" x14ac:dyDescent="0.2">
      <c r="A749" s="44"/>
      <c r="B749" s="45"/>
      <c r="C749" s="45" t="s">
        <v>1930</v>
      </c>
      <c r="D749" s="28"/>
      <c r="E749" s="11"/>
      <c r="F749" s="29">
        <f>Source!AO325</f>
        <v>1341.18</v>
      </c>
      <c r="G749" s="30" t="str">
        <f>Source!DG325</f>
        <v/>
      </c>
      <c r="H749" s="29">
        <f>ROUND(Source!AF325*Source!I325, 2)</f>
        <v>1005.89</v>
      </c>
      <c r="I749" s="30"/>
      <c r="J749" s="30">
        <f>IF(Source!BA325&lt;&gt; 0, Source!BA325, 1)</f>
        <v>6.56</v>
      </c>
      <c r="K749" s="29">
        <f>Source!S325</f>
        <v>6598.61</v>
      </c>
      <c r="L749" s="31"/>
      <c r="R749">
        <f>H749</f>
        <v>1005.89</v>
      </c>
    </row>
    <row r="750" spans="1:26" ht="14.25" x14ac:dyDescent="0.2">
      <c r="A750" s="44"/>
      <c r="B750" s="45"/>
      <c r="C750" s="45" t="s">
        <v>151</v>
      </c>
      <c r="D750" s="28"/>
      <c r="E750" s="11"/>
      <c r="F750" s="29">
        <f>Source!AM325</f>
        <v>53.31</v>
      </c>
      <c r="G750" s="30" t="str">
        <f>Source!DE325</f>
        <v/>
      </c>
      <c r="H750" s="29">
        <f>ROUND(Source!AD325*Source!I325, 2)</f>
        <v>39.979999999999997</v>
      </c>
      <c r="I750" s="30"/>
      <c r="J750" s="30">
        <f>IF(Source!BB325&lt;&gt; 0, Source!BB325, 1)</f>
        <v>6.56</v>
      </c>
      <c r="K750" s="29">
        <f>Source!Q325</f>
        <v>262.29000000000002</v>
      </c>
      <c r="L750" s="31"/>
    </row>
    <row r="751" spans="1:26" ht="14.25" x14ac:dyDescent="0.2">
      <c r="A751" s="44"/>
      <c r="B751" s="45"/>
      <c r="C751" s="45" t="s">
        <v>1931</v>
      </c>
      <c r="D751" s="28"/>
      <c r="E751" s="11"/>
      <c r="F751" s="29">
        <f>Source!AN325</f>
        <v>7.53</v>
      </c>
      <c r="G751" s="30" t="str">
        <f>Source!DF325</f>
        <v/>
      </c>
      <c r="H751" s="32">
        <f>ROUND(Source!AE325*Source!I325, 2)</f>
        <v>5.65</v>
      </c>
      <c r="I751" s="30"/>
      <c r="J751" s="30">
        <f>IF(Source!BS325&lt;&gt; 0, Source!BS325, 1)</f>
        <v>6.56</v>
      </c>
      <c r="K751" s="32">
        <f>Source!R325</f>
        <v>37.049999999999997</v>
      </c>
      <c r="L751" s="31"/>
      <c r="R751">
        <f>H751</f>
        <v>5.65</v>
      </c>
    </row>
    <row r="752" spans="1:26" ht="14.25" x14ac:dyDescent="0.2">
      <c r="A752" s="44"/>
      <c r="B752" s="45"/>
      <c r="C752" s="45" t="s">
        <v>1937</v>
      </c>
      <c r="D752" s="28"/>
      <c r="E752" s="11"/>
      <c r="F752" s="29">
        <f>Source!AL325</f>
        <v>129.08000000000001</v>
      </c>
      <c r="G752" s="30" t="str">
        <f>Source!DD325</f>
        <v/>
      </c>
      <c r="H752" s="29">
        <f>ROUND(Source!AC325*Source!I325, 2)</f>
        <v>96.81</v>
      </c>
      <c r="I752" s="30"/>
      <c r="J752" s="30">
        <f>IF(Source!BC325&lt;&gt; 0, Source!BC325, 1)</f>
        <v>6.56</v>
      </c>
      <c r="K752" s="29">
        <f>Source!P325</f>
        <v>635.07000000000005</v>
      </c>
      <c r="L752" s="31"/>
    </row>
    <row r="753" spans="1:26" ht="14.25" x14ac:dyDescent="0.2">
      <c r="A753" s="44"/>
      <c r="B753" s="45"/>
      <c r="C753" s="45" t="s">
        <v>1932</v>
      </c>
      <c r="D753" s="28" t="s">
        <v>1933</v>
      </c>
      <c r="E753" s="11">
        <f>Source!BZ325</f>
        <v>95</v>
      </c>
      <c r="F753" s="48"/>
      <c r="G753" s="30"/>
      <c r="H753" s="29">
        <f>SUM(S747:S756)</f>
        <v>960.96</v>
      </c>
      <c r="I753" s="33"/>
      <c r="J753" s="26">
        <f>Source!AT325</f>
        <v>95</v>
      </c>
      <c r="K753" s="29">
        <f>SUM(T747:T756)</f>
        <v>6303.88</v>
      </c>
      <c r="L753" s="31"/>
    </row>
    <row r="754" spans="1:26" ht="14.25" x14ac:dyDescent="0.2">
      <c r="A754" s="44"/>
      <c r="B754" s="45"/>
      <c r="C754" s="45" t="s">
        <v>1934</v>
      </c>
      <c r="D754" s="28" t="s">
        <v>1933</v>
      </c>
      <c r="E754" s="11">
        <f>Source!CA325</f>
        <v>65</v>
      </c>
      <c r="F754" s="48"/>
      <c r="G754" s="30"/>
      <c r="H754" s="29">
        <f>SUM(U747:U756)</f>
        <v>657.5</v>
      </c>
      <c r="I754" s="33"/>
      <c r="J754" s="26">
        <f>Source!AU325</f>
        <v>65</v>
      </c>
      <c r="K754" s="29">
        <f>SUM(V747:V756)</f>
        <v>4313.18</v>
      </c>
      <c r="L754" s="31"/>
    </row>
    <row r="755" spans="1:26" ht="14.25" x14ac:dyDescent="0.2">
      <c r="A755" s="44"/>
      <c r="B755" s="45"/>
      <c r="C755" s="45" t="s">
        <v>1935</v>
      </c>
      <c r="D755" s="28" t="s">
        <v>1936</v>
      </c>
      <c r="E755" s="11">
        <f>Source!AQ325</f>
        <v>135.19999999999999</v>
      </c>
      <c r="F755" s="29"/>
      <c r="G755" s="30" t="str">
        <f>Source!DI325</f>
        <v/>
      </c>
      <c r="H755" s="29"/>
      <c r="I755" s="30"/>
      <c r="J755" s="30"/>
      <c r="K755" s="29"/>
      <c r="L755" s="40">
        <f>Source!U325</f>
        <v>101.39999999999999</v>
      </c>
    </row>
    <row r="756" spans="1:26" ht="57" x14ac:dyDescent="0.2">
      <c r="A756" s="46" t="str">
        <f>Source!E326</f>
        <v>70,1</v>
      </c>
      <c r="B756" s="47" t="str">
        <f>Source!F326</f>
        <v>20.3.03.04-0044</v>
      </c>
      <c r="C756" s="47" t="str">
        <f>Source!G326</f>
        <v>Светильник светодиодный,накладной мощностью 40W,цветовой температурой К4000,размером 595х595х40мм,IP40 прим.</v>
      </c>
      <c r="D756" s="34" t="str">
        <f>Source!H326</f>
        <v>шт.</v>
      </c>
      <c r="E756" s="35">
        <f>Source!I326</f>
        <v>75</v>
      </c>
      <c r="F756" s="36">
        <f>Source!AL326+Source!AM326+Source!AO326</f>
        <v>340.37</v>
      </c>
      <c r="G756" s="42" t="s">
        <v>6</v>
      </c>
      <c r="H756" s="36">
        <f>ROUND(Source!AC326*Source!I326, 2)+ROUND(Source!AD326*Source!I326, 2)+ROUND(Source!AF326*Source!I326, 2)</f>
        <v>25527.75</v>
      </c>
      <c r="I756" s="37"/>
      <c r="J756" s="37">
        <f>IF(Source!BC326&lt;&gt; 0, Source!BC326, 1)</f>
        <v>6.56</v>
      </c>
      <c r="K756" s="36">
        <f>Source!O326</f>
        <v>167462.04</v>
      </c>
      <c r="L756" s="43"/>
      <c r="S756">
        <f>ROUND((Source!FX326/100)*((ROUND(Source!AF326*Source!I326, 2)+ROUND(Source!AE326*Source!I326, 2))), 2)</f>
        <v>0</v>
      </c>
      <c r="T756">
        <f>Source!X326</f>
        <v>0</v>
      </c>
      <c r="U756">
        <f>ROUND((Source!FY326/100)*((ROUND(Source!AF326*Source!I326, 2)+ROUND(Source!AE326*Source!I326, 2))), 2)</f>
        <v>0</v>
      </c>
      <c r="V756">
        <f>Source!Y326</f>
        <v>0</v>
      </c>
      <c r="W756">
        <f>IF(Source!BI326&lt;=1,H756, 0)</f>
        <v>0</v>
      </c>
      <c r="X756">
        <f>IF(Source!BI326=2,H756, 0)</f>
        <v>25527.75</v>
      </c>
      <c r="Y756">
        <f>IF(Source!BI326=3,H756, 0)</f>
        <v>0</v>
      </c>
      <c r="Z756">
        <f>IF(Source!BI326=4,H756, 0)</f>
        <v>0</v>
      </c>
    </row>
    <row r="757" spans="1:26" ht="15" x14ac:dyDescent="0.25">
      <c r="G757" s="63">
        <f>H749+H750+H752+H753+H754+SUM(H756:H756)</f>
        <v>28288.89</v>
      </c>
      <c r="H757" s="63"/>
      <c r="J757" s="63">
        <f>K749+K750+K752+K753+K754+SUM(K756:K756)</f>
        <v>185575.07</v>
      </c>
      <c r="K757" s="63"/>
      <c r="L757" s="39">
        <f>Source!U325</f>
        <v>101.39999999999999</v>
      </c>
      <c r="O757" s="24">
        <f>G757</f>
        <v>28288.89</v>
      </c>
      <c r="P757" s="24">
        <f>J757</f>
        <v>185575.07</v>
      </c>
      <c r="Q757" s="24">
        <f>L757</f>
        <v>101.39999999999999</v>
      </c>
      <c r="W757">
        <f>IF(Source!BI325&lt;=1,H749+H750+H752+H753+H754, 0)</f>
        <v>0</v>
      </c>
      <c r="X757">
        <f>IF(Source!BI325=2,H749+H750+H752+H753+H754, 0)</f>
        <v>2761.14</v>
      </c>
      <c r="Y757">
        <f>IF(Source!BI325=3,H749+H750+H752+H753+H754, 0)</f>
        <v>0</v>
      </c>
      <c r="Z757">
        <f>IF(Source!BI325=4,H749+H750+H752+H753+H754, 0)</f>
        <v>0</v>
      </c>
    </row>
    <row r="758" spans="1:26" ht="42.75" x14ac:dyDescent="0.2">
      <c r="A758" s="44" t="str">
        <f>Source!E327</f>
        <v>71</v>
      </c>
      <c r="B758" s="45" t="str">
        <f>Source!F327</f>
        <v>м08-03-591-04</v>
      </c>
      <c r="C758" s="45" t="str">
        <f>Source!G327</f>
        <v>Выключатель двухклавишный неутопленного типа при открытой проводке</v>
      </c>
      <c r="D758" s="28" t="str">
        <f>Source!H327</f>
        <v>100 ШТ</v>
      </c>
      <c r="E758" s="11">
        <f>Source!I327</f>
        <v>0.06</v>
      </c>
      <c r="F758" s="29">
        <f>Source!AL327+Source!AM327+Source!AO327</f>
        <v>456.35</v>
      </c>
      <c r="G758" s="30"/>
      <c r="H758" s="29"/>
      <c r="I758" s="30" t="str">
        <f>Source!BO327</f>
        <v/>
      </c>
      <c r="J758" s="30"/>
      <c r="K758" s="29"/>
      <c r="L758" s="31"/>
      <c r="S758">
        <f>ROUND((Source!FX327/100)*((ROUND(Source!AF327*Source!I327, 2)+ROUND(Source!AE327*Source!I327, 2))), 2)</f>
        <v>19.899999999999999</v>
      </c>
      <c r="T758">
        <f>Source!X327</f>
        <v>130.55000000000001</v>
      </c>
      <c r="U758">
        <f>ROUND((Source!FY327/100)*((ROUND(Source!AF327*Source!I327, 2)+ROUND(Source!AE327*Source!I327, 2))), 2)</f>
        <v>13.62</v>
      </c>
      <c r="V758">
        <f>Source!Y327</f>
        <v>89.32</v>
      </c>
    </row>
    <row r="759" spans="1:26" x14ac:dyDescent="0.2">
      <c r="C759" s="23" t="str">
        <f>"Объем: "&amp;Source!I327&amp;"=6/"&amp;"100"</f>
        <v>Объем: 0,06=6/100</v>
      </c>
    </row>
    <row r="760" spans="1:26" ht="14.25" x14ac:dyDescent="0.2">
      <c r="A760" s="44"/>
      <c r="B760" s="45"/>
      <c r="C760" s="45" t="s">
        <v>1930</v>
      </c>
      <c r="D760" s="28"/>
      <c r="E760" s="11"/>
      <c r="F760" s="29">
        <f>Source!AO327</f>
        <v>348.49</v>
      </c>
      <c r="G760" s="30" t="str">
        <f>Source!DG327</f>
        <v/>
      </c>
      <c r="H760" s="29">
        <f>ROUND(Source!AF327*Source!I327, 2)</f>
        <v>20.91</v>
      </c>
      <c r="I760" s="30"/>
      <c r="J760" s="30">
        <f>IF(Source!BA327&lt;&gt; 0, Source!BA327, 1)</f>
        <v>6.56</v>
      </c>
      <c r="K760" s="29">
        <f>Source!S327</f>
        <v>137.16999999999999</v>
      </c>
      <c r="L760" s="31"/>
      <c r="R760">
        <f>H760</f>
        <v>20.91</v>
      </c>
    </row>
    <row r="761" spans="1:26" ht="14.25" x14ac:dyDescent="0.2">
      <c r="A761" s="44"/>
      <c r="B761" s="45"/>
      <c r="C761" s="45" t="s">
        <v>151</v>
      </c>
      <c r="D761" s="28"/>
      <c r="E761" s="11"/>
      <c r="F761" s="29">
        <f>Source!AM327</f>
        <v>4.67</v>
      </c>
      <c r="G761" s="30" t="str">
        <f>Source!DE327</f>
        <v/>
      </c>
      <c r="H761" s="29">
        <f>ROUND(Source!AD327*Source!I327, 2)</f>
        <v>0.28000000000000003</v>
      </c>
      <c r="I761" s="30"/>
      <c r="J761" s="30">
        <f>IF(Source!BB327&lt;&gt; 0, Source!BB327, 1)</f>
        <v>6.56</v>
      </c>
      <c r="K761" s="29">
        <f>Source!Q327</f>
        <v>1.84</v>
      </c>
      <c r="L761" s="31"/>
    </row>
    <row r="762" spans="1:26" ht="14.25" x14ac:dyDescent="0.2">
      <c r="A762" s="44"/>
      <c r="B762" s="45"/>
      <c r="C762" s="45" t="s">
        <v>1931</v>
      </c>
      <c r="D762" s="28"/>
      <c r="E762" s="11"/>
      <c r="F762" s="29">
        <f>Source!AN327</f>
        <v>0.64</v>
      </c>
      <c r="G762" s="30" t="str">
        <f>Source!DF327</f>
        <v/>
      </c>
      <c r="H762" s="32">
        <f>ROUND(Source!AE327*Source!I327, 2)</f>
        <v>0.04</v>
      </c>
      <c r="I762" s="30"/>
      <c r="J762" s="30">
        <f>IF(Source!BS327&lt;&gt; 0, Source!BS327, 1)</f>
        <v>6.56</v>
      </c>
      <c r="K762" s="32">
        <f>Source!R327</f>
        <v>0.25</v>
      </c>
      <c r="L762" s="31"/>
      <c r="R762">
        <f>H762</f>
        <v>0.04</v>
      </c>
    </row>
    <row r="763" spans="1:26" ht="14.25" x14ac:dyDescent="0.2">
      <c r="A763" s="44"/>
      <c r="B763" s="45"/>
      <c r="C763" s="45" t="s">
        <v>1937</v>
      </c>
      <c r="D763" s="28"/>
      <c r="E763" s="11"/>
      <c r="F763" s="29">
        <f>Source!AL327</f>
        <v>103.19</v>
      </c>
      <c r="G763" s="30" t="str">
        <f>Source!DD327</f>
        <v/>
      </c>
      <c r="H763" s="29">
        <f>ROUND(Source!AC327*Source!I327, 2)</f>
        <v>6.19</v>
      </c>
      <c r="I763" s="30"/>
      <c r="J763" s="30">
        <f>IF(Source!BC327&lt;&gt; 0, Source!BC327, 1)</f>
        <v>6.56</v>
      </c>
      <c r="K763" s="29">
        <f>Source!P327</f>
        <v>40.619999999999997</v>
      </c>
      <c r="L763" s="31"/>
    </row>
    <row r="764" spans="1:26" ht="14.25" x14ac:dyDescent="0.2">
      <c r="A764" s="44"/>
      <c r="B764" s="45"/>
      <c r="C764" s="45" t="s">
        <v>1932</v>
      </c>
      <c r="D764" s="28" t="s">
        <v>1933</v>
      </c>
      <c r="E764" s="11">
        <f>Source!BZ327</f>
        <v>95</v>
      </c>
      <c r="F764" s="48"/>
      <c r="G764" s="30"/>
      <c r="H764" s="29">
        <f>SUM(S758:S767)</f>
        <v>19.899999999999999</v>
      </c>
      <c r="I764" s="33"/>
      <c r="J764" s="26">
        <f>Source!AT327</f>
        <v>95</v>
      </c>
      <c r="K764" s="29">
        <f>SUM(T758:T767)</f>
        <v>130.55000000000001</v>
      </c>
      <c r="L764" s="31"/>
    </row>
    <row r="765" spans="1:26" ht="14.25" x14ac:dyDescent="0.2">
      <c r="A765" s="44"/>
      <c r="B765" s="45"/>
      <c r="C765" s="45" t="s">
        <v>1934</v>
      </c>
      <c r="D765" s="28" t="s">
        <v>1933</v>
      </c>
      <c r="E765" s="11">
        <f>Source!CA327</f>
        <v>65</v>
      </c>
      <c r="F765" s="48"/>
      <c r="G765" s="30"/>
      <c r="H765" s="29">
        <f>SUM(U758:U767)</f>
        <v>13.62</v>
      </c>
      <c r="I765" s="33"/>
      <c r="J765" s="26">
        <f>Source!AU327</f>
        <v>65</v>
      </c>
      <c r="K765" s="29">
        <f>SUM(V758:V767)</f>
        <v>89.32</v>
      </c>
      <c r="L765" s="31"/>
    </row>
    <row r="766" spans="1:26" ht="14.25" x14ac:dyDescent="0.2">
      <c r="A766" s="44"/>
      <c r="B766" s="45"/>
      <c r="C766" s="45" t="s">
        <v>1935</v>
      </c>
      <c r="D766" s="28" t="s">
        <v>1936</v>
      </c>
      <c r="E766" s="11">
        <f>Source!AQ327</f>
        <v>35.130000000000003</v>
      </c>
      <c r="F766" s="29"/>
      <c r="G766" s="30" t="str">
        <f>Source!DI327</f>
        <v/>
      </c>
      <c r="H766" s="29"/>
      <c r="I766" s="30"/>
      <c r="J766" s="30"/>
      <c r="K766" s="29"/>
      <c r="L766" s="40">
        <f>Source!U327</f>
        <v>2.1078000000000001</v>
      </c>
    </row>
    <row r="767" spans="1:26" ht="28.5" x14ac:dyDescent="0.2">
      <c r="A767" s="46" t="str">
        <f>Source!E328</f>
        <v>71,1</v>
      </c>
      <c r="B767" s="47" t="str">
        <f>Source!F328</f>
        <v>20.4.01.01-0001</v>
      </c>
      <c r="C767" s="47" t="str">
        <f>Source!G328</f>
        <v>Выключатель двухклавишный для открытой проводки</v>
      </c>
      <c r="D767" s="34" t="str">
        <f>Source!H328</f>
        <v>10 шт.</v>
      </c>
      <c r="E767" s="35">
        <f>Source!I328</f>
        <v>0.6</v>
      </c>
      <c r="F767" s="36">
        <f>Source!AL328+Source!AM328+Source!AO328</f>
        <v>72.8</v>
      </c>
      <c r="G767" s="42" t="s">
        <v>6</v>
      </c>
      <c r="H767" s="36">
        <f>ROUND(Source!AC328*Source!I328, 2)+ROUND(Source!AD328*Source!I328, 2)+ROUND(Source!AF328*Source!I328, 2)</f>
        <v>43.68</v>
      </c>
      <c r="I767" s="37"/>
      <c r="J767" s="37">
        <f>IF(Source!BC328&lt;&gt; 0, Source!BC328, 1)</f>
        <v>6.56</v>
      </c>
      <c r="K767" s="36">
        <f>Source!O328</f>
        <v>286.54000000000002</v>
      </c>
      <c r="L767" s="43"/>
      <c r="S767">
        <f>ROUND((Source!FX328/100)*((ROUND(Source!AF328*Source!I328, 2)+ROUND(Source!AE328*Source!I328, 2))), 2)</f>
        <v>0</v>
      </c>
      <c r="T767">
        <f>Source!X328</f>
        <v>0</v>
      </c>
      <c r="U767">
        <f>ROUND((Source!FY328/100)*((ROUND(Source!AF328*Source!I328, 2)+ROUND(Source!AE328*Source!I328, 2))), 2)</f>
        <v>0</v>
      </c>
      <c r="V767">
        <f>Source!Y328</f>
        <v>0</v>
      </c>
      <c r="W767">
        <f>IF(Source!BI328&lt;=1,H767, 0)</f>
        <v>0</v>
      </c>
      <c r="X767">
        <f>IF(Source!BI328=2,H767, 0)</f>
        <v>43.68</v>
      </c>
      <c r="Y767">
        <f>IF(Source!BI328=3,H767, 0)</f>
        <v>0</v>
      </c>
      <c r="Z767">
        <f>IF(Source!BI328=4,H767, 0)</f>
        <v>0</v>
      </c>
    </row>
    <row r="768" spans="1:26" ht="15" x14ac:dyDescent="0.25">
      <c r="G768" s="63">
        <f>H760+H761+H763+H764+H765+SUM(H767:H767)</f>
        <v>104.58</v>
      </c>
      <c r="H768" s="63"/>
      <c r="J768" s="63">
        <f>K760+K761+K763+K764+K765+SUM(K767:K767)</f>
        <v>686.04</v>
      </c>
      <c r="K768" s="63"/>
      <c r="L768" s="39">
        <f>Source!U327</f>
        <v>2.1078000000000001</v>
      </c>
      <c r="O768" s="24">
        <f>G768</f>
        <v>104.58</v>
      </c>
      <c r="P768" s="24">
        <f>J768</f>
        <v>686.04</v>
      </c>
      <c r="Q768" s="24">
        <f>L768</f>
        <v>2.1078000000000001</v>
      </c>
      <c r="W768">
        <f>IF(Source!BI327&lt;=1,H760+H761+H763+H764+H765, 0)</f>
        <v>0</v>
      </c>
      <c r="X768">
        <f>IF(Source!BI327=2,H760+H761+H763+H764+H765, 0)</f>
        <v>60.9</v>
      </c>
      <c r="Y768">
        <f>IF(Source!BI327=3,H760+H761+H763+H764+H765, 0)</f>
        <v>0</v>
      </c>
      <c r="Z768">
        <f>IF(Source!BI327=4,H760+H761+H763+H764+H765, 0)</f>
        <v>0</v>
      </c>
    </row>
    <row r="769" spans="1:26" ht="42.75" x14ac:dyDescent="0.2">
      <c r="A769" s="44" t="str">
        <f>Source!E329</f>
        <v>72</v>
      </c>
      <c r="B769" s="45" t="str">
        <f>Source!F329</f>
        <v>м08-03-591-01</v>
      </c>
      <c r="C769" s="45" t="str">
        <f>Source!G329</f>
        <v>Выключатель одноклавишный неутопленного типа при открытой проводке</v>
      </c>
      <c r="D769" s="28" t="str">
        <f>Source!H329</f>
        <v>100 ШТ</v>
      </c>
      <c r="E769" s="11">
        <f>Source!I329</f>
        <v>0.03</v>
      </c>
      <c r="F769" s="29">
        <f>Source!AL329+Source!AM329+Source!AO329</f>
        <v>423.97</v>
      </c>
      <c r="G769" s="30"/>
      <c r="H769" s="29"/>
      <c r="I769" s="30" t="str">
        <f>Source!BO329</f>
        <v/>
      </c>
      <c r="J769" s="30"/>
      <c r="K769" s="29"/>
      <c r="L769" s="31"/>
      <c r="S769">
        <f>ROUND((Source!FX329/100)*((ROUND(Source!AF329*Source!I329, 2)+ROUND(Source!AE329*Source!I329, 2))), 2)</f>
        <v>8.9499999999999993</v>
      </c>
      <c r="T769">
        <f>Source!X329</f>
        <v>58.73</v>
      </c>
      <c r="U769">
        <f>ROUND((Source!FY329/100)*((ROUND(Source!AF329*Source!I329, 2)+ROUND(Source!AE329*Source!I329, 2))), 2)</f>
        <v>6.12</v>
      </c>
      <c r="V769">
        <f>Source!Y329</f>
        <v>40.18</v>
      </c>
    </row>
    <row r="770" spans="1:26" x14ac:dyDescent="0.2">
      <c r="C770" s="23" t="str">
        <f>"Объем: "&amp;Source!I329&amp;"=3/"&amp;"100"</f>
        <v>Объем: 0,03=3/100</v>
      </c>
    </row>
    <row r="771" spans="1:26" ht="14.25" x14ac:dyDescent="0.2">
      <c r="A771" s="44"/>
      <c r="B771" s="45"/>
      <c r="C771" s="45" t="s">
        <v>1930</v>
      </c>
      <c r="D771" s="28"/>
      <c r="E771" s="11"/>
      <c r="F771" s="29">
        <f>Source!AO329</f>
        <v>313.47000000000003</v>
      </c>
      <c r="G771" s="30" t="str">
        <f>Source!DG329</f>
        <v/>
      </c>
      <c r="H771" s="29">
        <f>ROUND(Source!AF329*Source!I329, 2)</f>
        <v>9.4</v>
      </c>
      <c r="I771" s="30"/>
      <c r="J771" s="30">
        <f>IF(Source!BA329&lt;&gt; 0, Source!BA329, 1)</f>
        <v>6.56</v>
      </c>
      <c r="K771" s="29">
        <f>Source!S329</f>
        <v>61.69</v>
      </c>
      <c r="L771" s="31"/>
      <c r="R771">
        <f>H771</f>
        <v>9.4</v>
      </c>
    </row>
    <row r="772" spans="1:26" ht="14.25" x14ac:dyDescent="0.2">
      <c r="A772" s="44"/>
      <c r="B772" s="45"/>
      <c r="C772" s="45" t="s">
        <v>151</v>
      </c>
      <c r="D772" s="28"/>
      <c r="E772" s="11"/>
      <c r="F772" s="29">
        <f>Source!AM329</f>
        <v>4.67</v>
      </c>
      <c r="G772" s="30" t="str">
        <f>Source!DE329</f>
        <v/>
      </c>
      <c r="H772" s="29">
        <f>ROUND(Source!AD329*Source!I329, 2)</f>
        <v>0.14000000000000001</v>
      </c>
      <c r="I772" s="30"/>
      <c r="J772" s="30">
        <f>IF(Source!BB329&lt;&gt; 0, Source!BB329, 1)</f>
        <v>6.56</v>
      </c>
      <c r="K772" s="29">
        <f>Source!Q329</f>
        <v>0.92</v>
      </c>
      <c r="L772" s="31"/>
    </row>
    <row r="773" spans="1:26" ht="14.25" x14ac:dyDescent="0.2">
      <c r="A773" s="44"/>
      <c r="B773" s="45"/>
      <c r="C773" s="45" t="s">
        <v>1931</v>
      </c>
      <c r="D773" s="28"/>
      <c r="E773" s="11"/>
      <c r="F773" s="29">
        <f>Source!AN329</f>
        <v>0.64</v>
      </c>
      <c r="G773" s="30" t="str">
        <f>Source!DF329</f>
        <v/>
      </c>
      <c r="H773" s="32">
        <f>ROUND(Source!AE329*Source!I329, 2)</f>
        <v>0.02</v>
      </c>
      <c r="I773" s="30"/>
      <c r="J773" s="30">
        <f>IF(Source!BS329&lt;&gt; 0, Source!BS329, 1)</f>
        <v>6.56</v>
      </c>
      <c r="K773" s="32">
        <f>Source!R329</f>
        <v>0.13</v>
      </c>
      <c r="L773" s="31"/>
      <c r="R773">
        <f>H773</f>
        <v>0.02</v>
      </c>
    </row>
    <row r="774" spans="1:26" ht="14.25" x14ac:dyDescent="0.2">
      <c r="A774" s="44"/>
      <c r="B774" s="45"/>
      <c r="C774" s="45" t="s">
        <v>1937</v>
      </c>
      <c r="D774" s="28"/>
      <c r="E774" s="11"/>
      <c r="F774" s="29">
        <f>Source!AL329</f>
        <v>105.83</v>
      </c>
      <c r="G774" s="30" t="str">
        <f>Source!DD329</f>
        <v/>
      </c>
      <c r="H774" s="29">
        <f>ROUND(Source!AC329*Source!I329, 2)</f>
        <v>3.17</v>
      </c>
      <c r="I774" s="30"/>
      <c r="J774" s="30">
        <f>IF(Source!BC329&lt;&gt; 0, Source!BC329, 1)</f>
        <v>6.56</v>
      </c>
      <c r="K774" s="29">
        <f>Source!P329</f>
        <v>20.83</v>
      </c>
      <c r="L774" s="31"/>
    </row>
    <row r="775" spans="1:26" ht="14.25" x14ac:dyDescent="0.2">
      <c r="A775" s="44"/>
      <c r="B775" s="45"/>
      <c r="C775" s="45" t="s">
        <v>1932</v>
      </c>
      <c r="D775" s="28" t="s">
        <v>1933</v>
      </c>
      <c r="E775" s="11">
        <f>Source!BZ329</f>
        <v>95</v>
      </c>
      <c r="F775" s="48"/>
      <c r="G775" s="30"/>
      <c r="H775" s="29">
        <f>SUM(S769:S778)</f>
        <v>8.9499999999999993</v>
      </c>
      <c r="I775" s="33"/>
      <c r="J775" s="26">
        <f>Source!AT329</f>
        <v>95</v>
      </c>
      <c r="K775" s="29">
        <f>SUM(T769:T778)</f>
        <v>58.73</v>
      </c>
      <c r="L775" s="31"/>
    </row>
    <row r="776" spans="1:26" ht="14.25" x14ac:dyDescent="0.2">
      <c r="A776" s="44"/>
      <c r="B776" s="45"/>
      <c r="C776" s="45" t="s">
        <v>1934</v>
      </c>
      <c r="D776" s="28" t="s">
        <v>1933</v>
      </c>
      <c r="E776" s="11">
        <f>Source!CA329</f>
        <v>65</v>
      </c>
      <c r="F776" s="48"/>
      <c r="G776" s="30"/>
      <c r="H776" s="29">
        <f>SUM(U769:U778)</f>
        <v>6.12</v>
      </c>
      <c r="I776" s="33"/>
      <c r="J776" s="26">
        <f>Source!AU329</f>
        <v>65</v>
      </c>
      <c r="K776" s="29">
        <f>SUM(V769:V778)</f>
        <v>40.18</v>
      </c>
      <c r="L776" s="31"/>
    </row>
    <row r="777" spans="1:26" ht="14.25" x14ac:dyDescent="0.2">
      <c r="A777" s="44"/>
      <c r="B777" s="45"/>
      <c r="C777" s="45" t="s">
        <v>1935</v>
      </c>
      <c r="D777" s="28" t="s">
        <v>1936</v>
      </c>
      <c r="E777" s="11">
        <f>Source!AQ329</f>
        <v>31.6</v>
      </c>
      <c r="F777" s="29"/>
      <c r="G777" s="30" t="str">
        <f>Source!DI329</f>
        <v/>
      </c>
      <c r="H777" s="29"/>
      <c r="I777" s="30"/>
      <c r="J777" s="30"/>
      <c r="K777" s="29"/>
      <c r="L777" s="40">
        <f>Source!U329</f>
        <v>0.94799999999999995</v>
      </c>
    </row>
    <row r="778" spans="1:26" ht="42.75" x14ac:dyDescent="0.2">
      <c r="A778" s="46" t="str">
        <f>Source!E330</f>
        <v>72,1</v>
      </c>
      <c r="B778" s="47" t="str">
        <f>Source!F330</f>
        <v>20.4.01.01-0044</v>
      </c>
      <c r="C778" s="47" t="str">
        <f>Source!G330</f>
        <v>Выключатель одноклавишный для открытой проводки серии "Прима", марка А16-051, цвет белый</v>
      </c>
      <c r="D778" s="34" t="str">
        <f>Source!H330</f>
        <v>10 шт.</v>
      </c>
      <c r="E778" s="35">
        <f>Source!I330</f>
        <v>0.3</v>
      </c>
      <c r="F778" s="36">
        <f>Source!AL330+Source!AM330+Source!AO330</f>
        <v>64.400000000000006</v>
      </c>
      <c r="G778" s="42" t="s">
        <v>6</v>
      </c>
      <c r="H778" s="36">
        <f>ROUND(Source!AC330*Source!I330, 2)+ROUND(Source!AD330*Source!I330, 2)+ROUND(Source!AF330*Source!I330, 2)</f>
        <v>19.32</v>
      </c>
      <c r="I778" s="37"/>
      <c r="J778" s="37">
        <f>IF(Source!BC330&lt;&gt; 0, Source!BC330, 1)</f>
        <v>6.56</v>
      </c>
      <c r="K778" s="36">
        <f>Source!O330</f>
        <v>126.74</v>
      </c>
      <c r="L778" s="43"/>
      <c r="S778">
        <f>ROUND((Source!FX330/100)*((ROUND(Source!AF330*Source!I330, 2)+ROUND(Source!AE330*Source!I330, 2))), 2)</f>
        <v>0</v>
      </c>
      <c r="T778">
        <f>Source!X330</f>
        <v>0</v>
      </c>
      <c r="U778">
        <f>ROUND((Source!FY330/100)*((ROUND(Source!AF330*Source!I330, 2)+ROUND(Source!AE330*Source!I330, 2))), 2)</f>
        <v>0</v>
      </c>
      <c r="V778">
        <f>Source!Y330</f>
        <v>0</v>
      </c>
      <c r="W778">
        <f>IF(Source!BI330&lt;=1,H778, 0)</f>
        <v>0</v>
      </c>
      <c r="X778">
        <f>IF(Source!BI330=2,H778, 0)</f>
        <v>19.32</v>
      </c>
      <c r="Y778">
        <f>IF(Source!BI330=3,H778, 0)</f>
        <v>0</v>
      </c>
      <c r="Z778">
        <f>IF(Source!BI330=4,H778, 0)</f>
        <v>0</v>
      </c>
    </row>
    <row r="779" spans="1:26" ht="15" x14ac:dyDescent="0.25">
      <c r="G779" s="63">
        <f>H771+H772+H774+H775+H776+SUM(H778:H778)</f>
        <v>47.1</v>
      </c>
      <c r="H779" s="63"/>
      <c r="J779" s="63">
        <f>K771+K772+K774+K775+K776+SUM(K778:K778)</f>
        <v>309.08999999999997</v>
      </c>
      <c r="K779" s="63"/>
      <c r="L779" s="39">
        <f>Source!U329</f>
        <v>0.94799999999999995</v>
      </c>
      <c r="O779" s="24">
        <f>G779</f>
        <v>47.1</v>
      </c>
      <c r="P779" s="24">
        <f>J779</f>
        <v>309.08999999999997</v>
      </c>
      <c r="Q779" s="24">
        <f>L779</f>
        <v>0.94799999999999995</v>
      </c>
      <c r="W779">
        <f>IF(Source!BI329&lt;=1,H771+H772+H774+H775+H776, 0)</f>
        <v>0</v>
      </c>
      <c r="X779">
        <f>IF(Source!BI329=2,H771+H772+H774+H775+H776, 0)</f>
        <v>27.78</v>
      </c>
      <c r="Y779">
        <f>IF(Source!BI329=3,H771+H772+H774+H775+H776, 0)</f>
        <v>0</v>
      </c>
      <c r="Z779">
        <f>IF(Source!BI329=4,H771+H772+H774+H775+H776, 0)</f>
        <v>0</v>
      </c>
    </row>
    <row r="780" spans="1:26" ht="28.5" x14ac:dyDescent="0.2">
      <c r="A780" s="44" t="str">
        <f>Source!E331</f>
        <v>73</v>
      </c>
      <c r="B780" s="45" t="str">
        <f>Source!F331</f>
        <v>м08-10-010-01</v>
      </c>
      <c r="C780" s="45" t="str">
        <f>Source!G331</f>
        <v>Прокладка труб гофрированных ПВХ для защиты проводов и кабелей</v>
      </c>
      <c r="D780" s="28" t="str">
        <f>Source!H331</f>
        <v>100 м</v>
      </c>
      <c r="E780" s="11">
        <f>Source!I331</f>
        <v>1.83</v>
      </c>
      <c r="F780" s="29">
        <f>Source!AL331+Source!AM331+Source!AO331</f>
        <v>156.32999999999998</v>
      </c>
      <c r="G780" s="30"/>
      <c r="H780" s="29"/>
      <c r="I780" s="30" t="str">
        <f>Source!BO331</f>
        <v/>
      </c>
      <c r="J780" s="30"/>
      <c r="K780" s="29"/>
      <c r="L780" s="31"/>
      <c r="S780">
        <f>ROUND((Source!FX331/100)*((ROUND(Source!AF331*Source!I331, 2)+ROUND(Source!AE331*Source!I331, 2))), 2)</f>
        <v>242.59</v>
      </c>
      <c r="T780">
        <f>Source!X331</f>
        <v>1591.39</v>
      </c>
      <c r="U780">
        <f>ROUND((Source!FY331/100)*((ROUND(Source!AF331*Source!I331, 2)+ROUND(Source!AE331*Source!I331, 2))), 2)</f>
        <v>165.98</v>
      </c>
      <c r="V780">
        <f>Source!Y331</f>
        <v>1088.8499999999999</v>
      </c>
    </row>
    <row r="781" spans="1:26" x14ac:dyDescent="0.2">
      <c r="C781" s="23" t="str">
        <f>"Объем: "&amp;Source!I331&amp;"=183/"&amp;"100"</f>
        <v>Объем: 1,83=183/100</v>
      </c>
    </row>
    <row r="782" spans="1:26" ht="14.25" x14ac:dyDescent="0.2">
      <c r="A782" s="44"/>
      <c r="B782" s="45"/>
      <c r="C782" s="45" t="s">
        <v>1930</v>
      </c>
      <c r="D782" s="28"/>
      <c r="E782" s="11"/>
      <c r="F782" s="29">
        <f>Source!AO331</f>
        <v>139.54</v>
      </c>
      <c r="G782" s="30" t="str">
        <f>Source!DG331</f>
        <v/>
      </c>
      <c r="H782" s="29">
        <f>ROUND(Source!AF331*Source!I331, 2)</f>
        <v>255.36</v>
      </c>
      <c r="I782" s="30"/>
      <c r="J782" s="30">
        <f>IF(Source!BA331&lt;&gt; 0, Source!BA331, 1)</f>
        <v>6.56</v>
      </c>
      <c r="K782" s="29">
        <f>Source!S331</f>
        <v>1675.15</v>
      </c>
      <c r="L782" s="31"/>
      <c r="R782">
        <f>H782</f>
        <v>255.36</v>
      </c>
    </row>
    <row r="783" spans="1:26" ht="14.25" x14ac:dyDescent="0.2">
      <c r="A783" s="44"/>
      <c r="B783" s="45"/>
      <c r="C783" s="45" t="s">
        <v>1937</v>
      </c>
      <c r="D783" s="28"/>
      <c r="E783" s="11"/>
      <c r="F783" s="29">
        <f>Source!AL331</f>
        <v>16.79</v>
      </c>
      <c r="G783" s="30" t="str">
        <f>Source!DD331</f>
        <v/>
      </c>
      <c r="H783" s="29">
        <f>ROUND(Source!AC331*Source!I331, 2)</f>
        <v>30.73</v>
      </c>
      <c r="I783" s="30"/>
      <c r="J783" s="30">
        <f>IF(Source!BC331&lt;&gt; 0, Source!BC331, 1)</f>
        <v>6.56</v>
      </c>
      <c r="K783" s="29">
        <f>Source!P331</f>
        <v>201.56</v>
      </c>
      <c r="L783" s="31"/>
    </row>
    <row r="784" spans="1:26" ht="14.25" x14ac:dyDescent="0.2">
      <c r="A784" s="44"/>
      <c r="B784" s="45"/>
      <c r="C784" s="45" t="s">
        <v>1932</v>
      </c>
      <c r="D784" s="28" t="s">
        <v>1933</v>
      </c>
      <c r="E784" s="11">
        <f>Source!BZ331</f>
        <v>95</v>
      </c>
      <c r="F784" s="48"/>
      <c r="G784" s="30"/>
      <c r="H784" s="29">
        <f>SUM(S780:S787)</f>
        <v>242.59</v>
      </c>
      <c r="I784" s="33"/>
      <c r="J784" s="26">
        <f>Source!AT331</f>
        <v>95</v>
      </c>
      <c r="K784" s="29">
        <f>SUM(T780:T787)</f>
        <v>1591.39</v>
      </c>
      <c r="L784" s="31"/>
    </row>
    <row r="785" spans="1:26" ht="14.25" x14ac:dyDescent="0.2">
      <c r="A785" s="44"/>
      <c r="B785" s="45"/>
      <c r="C785" s="45" t="s">
        <v>1934</v>
      </c>
      <c r="D785" s="28" t="s">
        <v>1933</v>
      </c>
      <c r="E785" s="11">
        <f>Source!CA331</f>
        <v>65</v>
      </c>
      <c r="F785" s="48"/>
      <c r="G785" s="30"/>
      <c r="H785" s="29">
        <f>SUM(U780:U787)</f>
        <v>165.98</v>
      </c>
      <c r="I785" s="33"/>
      <c r="J785" s="26">
        <f>Source!AU331</f>
        <v>65</v>
      </c>
      <c r="K785" s="29">
        <f>SUM(V780:V787)</f>
        <v>1088.8499999999999</v>
      </c>
      <c r="L785" s="31"/>
    </row>
    <row r="786" spans="1:26" ht="14.25" x14ac:dyDescent="0.2">
      <c r="A786" s="44"/>
      <c r="B786" s="45"/>
      <c r="C786" s="45" t="s">
        <v>1935</v>
      </c>
      <c r="D786" s="28" t="s">
        <v>1936</v>
      </c>
      <c r="E786" s="11">
        <f>Source!AQ331</f>
        <v>15.2</v>
      </c>
      <c r="F786" s="29"/>
      <c r="G786" s="30" t="str">
        <f>Source!DI331</f>
        <v/>
      </c>
      <c r="H786" s="29"/>
      <c r="I786" s="30"/>
      <c r="J786" s="30"/>
      <c r="K786" s="29"/>
      <c r="L786" s="40">
        <f>Source!U331</f>
        <v>27.815999999999999</v>
      </c>
    </row>
    <row r="787" spans="1:26" ht="42.75" x14ac:dyDescent="0.2">
      <c r="A787" s="46" t="str">
        <f>Source!E332</f>
        <v>73,1</v>
      </c>
      <c r="B787" s="47" t="str">
        <f>Source!F332</f>
        <v>24.3.01.02-0021</v>
      </c>
      <c r="C787" s="47" t="str">
        <f>Source!G332</f>
        <v>Трубы гибкие гофрированные легкие из самозатухающего ПВХ (IP55) серии FL, с зондом, диаметром 16 мм</v>
      </c>
      <c r="D787" s="34" t="str">
        <f>Source!H332</f>
        <v>10 м</v>
      </c>
      <c r="E787" s="35">
        <f>Source!I332</f>
        <v>18.3</v>
      </c>
      <c r="F787" s="36">
        <f>Source!AL332+Source!AM332+Source!AO332</f>
        <v>16.11</v>
      </c>
      <c r="G787" s="42" t="s">
        <v>6</v>
      </c>
      <c r="H787" s="36">
        <f>ROUND(Source!AC332*Source!I332, 2)+ROUND(Source!AD332*Source!I332, 2)+ROUND(Source!AF332*Source!I332, 2)</f>
        <v>294.81</v>
      </c>
      <c r="I787" s="37"/>
      <c r="J787" s="37">
        <f>IF(Source!BC332&lt;&gt; 0, Source!BC332, 1)</f>
        <v>6.56</v>
      </c>
      <c r="K787" s="36">
        <f>Source!O332</f>
        <v>1933.97</v>
      </c>
      <c r="L787" s="43"/>
      <c r="S787">
        <f>ROUND((Source!FX332/100)*((ROUND(Source!AF332*Source!I332, 2)+ROUND(Source!AE332*Source!I332, 2))), 2)</f>
        <v>0</v>
      </c>
      <c r="T787">
        <f>Source!X332</f>
        <v>0</v>
      </c>
      <c r="U787">
        <f>ROUND((Source!FY332/100)*((ROUND(Source!AF332*Source!I332, 2)+ROUND(Source!AE332*Source!I332, 2))), 2)</f>
        <v>0</v>
      </c>
      <c r="V787">
        <f>Source!Y332</f>
        <v>0</v>
      </c>
      <c r="W787">
        <f>IF(Source!BI332&lt;=1,H787, 0)</f>
        <v>0</v>
      </c>
      <c r="X787">
        <f>IF(Source!BI332=2,H787, 0)</f>
        <v>294.81</v>
      </c>
      <c r="Y787">
        <f>IF(Source!BI332=3,H787, 0)</f>
        <v>0</v>
      </c>
      <c r="Z787">
        <f>IF(Source!BI332=4,H787, 0)</f>
        <v>0</v>
      </c>
    </row>
    <row r="788" spans="1:26" ht="15" x14ac:dyDescent="0.25">
      <c r="G788" s="63">
        <f>H782+H783+H784+H785+SUM(H787:H787)</f>
        <v>989.47</v>
      </c>
      <c r="H788" s="63"/>
      <c r="J788" s="63">
        <f>K782+K783+K784+K785+SUM(K787:K787)</f>
        <v>6490.920000000001</v>
      </c>
      <c r="K788" s="63"/>
      <c r="L788" s="39">
        <f>Source!U331</f>
        <v>27.815999999999999</v>
      </c>
      <c r="O788" s="24">
        <f>G788</f>
        <v>989.47</v>
      </c>
      <c r="P788" s="24">
        <f>J788</f>
        <v>6490.920000000001</v>
      </c>
      <c r="Q788" s="24">
        <f>L788</f>
        <v>27.815999999999999</v>
      </c>
      <c r="W788">
        <f>IF(Source!BI331&lt;=1,H782+H783+H784+H785, 0)</f>
        <v>0</v>
      </c>
      <c r="X788">
        <f>IF(Source!BI331=2,H782+H783+H784+H785, 0)</f>
        <v>694.66000000000008</v>
      </c>
      <c r="Y788">
        <f>IF(Source!BI331=3,H782+H783+H784+H785, 0)</f>
        <v>0</v>
      </c>
      <c r="Z788">
        <f>IF(Source!BI331=4,H782+H783+H784+H785, 0)</f>
        <v>0</v>
      </c>
    </row>
    <row r="789" spans="1:26" ht="71.25" x14ac:dyDescent="0.2">
      <c r="A789" s="44" t="str">
        <f>Source!E333</f>
        <v>74</v>
      </c>
      <c r="B789" s="45" t="str">
        <f>Source!F333</f>
        <v>м08-02-412-02</v>
      </c>
      <c r="C789" s="45" t="str">
        <f>Source!G333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789" s="28" t="str">
        <f>Source!H333</f>
        <v>100 м</v>
      </c>
      <c r="E789" s="11">
        <f>Source!I333</f>
        <v>2.58</v>
      </c>
      <c r="F789" s="29">
        <f>Source!AL333+Source!AM333+Source!AO333</f>
        <v>68.7</v>
      </c>
      <c r="G789" s="30"/>
      <c r="H789" s="29"/>
      <c r="I789" s="30" t="str">
        <f>Source!BO333</f>
        <v/>
      </c>
      <c r="J789" s="30"/>
      <c r="K789" s="29"/>
      <c r="L789" s="31"/>
      <c r="S789">
        <f>ROUND((Source!FX333/100)*((ROUND(Source!AF333*Source!I333, 2)+ROUND(Source!AE333*Source!I333, 2))), 2)</f>
        <v>125.42</v>
      </c>
      <c r="T789">
        <f>Source!X333</f>
        <v>822.74</v>
      </c>
      <c r="U789">
        <f>ROUND((Source!FY333/100)*((ROUND(Source!AF333*Source!I333, 2)+ROUND(Source!AE333*Source!I333, 2))), 2)</f>
        <v>85.81</v>
      </c>
      <c r="V789">
        <f>Source!Y333</f>
        <v>562.92999999999995</v>
      </c>
    </row>
    <row r="790" spans="1:26" x14ac:dyDescent="0.2">
      <c r="C790" s="23" t="str">
        <f>"Объем: "&amp;Source!I333&amp;"=258/"&amp;"100"</f>
        <v>Объем: 2,58=258/100</v>
      </c>
    </row>
    <row r="791" spans="1:26" ht="14.25" x14ac:dyDescent="0.2">
      <c r="A791" s="44"/>
      <c r="B791" s="45"/>
      <c r="C791" s="45" t="s">
        <v>1930</v>
      </c>
      <c r="D791" s="28"/>
      <c r="E791" s="11"/>
      <c r="F791" s="29">
        <f>Source!AO333</f>
        <v>50.67</v>
      </c>
      <c r="G791" s="30" t="str">
        <f>Source!DG333</f>
        <v/>
      </c>
      <c r="H791" s="29">
        <f>ROUND(Source!AF333*Source!I333, 2)</f>
        <v>130.72999999999999</v>
      </c>
      <c r="I791" s="30"/>
      <c r="J791" s="30">
        <f>IF(Source!BA333&lt;&gt; 0, Source!BA333, 1)</f>
        <v>6.56</v>
      </c>
      <c r="K791" s="29">
        <f>Source!S333</f>
        <v>857.58</v>
      </c>
      <c r="L791" s="31"/>
      <c r="R791">
        <f>H791</f>
        <v>130.72999999999999</v>
      </c>
    </row>
    <row r="792" spans="1:26" ht="14.25" x14ac:dyDescent="0.2">
      <c r="A792" s="44"/>
      <c r="B792" s="45"/>
      <c r="C792" s="45" t="s">
        <v>151</v>
      </c>
      <c r="D792" s="28"/>
      <c r="E792" s="11"/>
      <c r="F792" s="29">
        <f>Source!AM333</f>
        <v>3.55</v>
      </c>
      <c r="G792" s="30" t="str">
        <f>Source!DE333</f>
        <v/>
      </c>
      <c r="H792" s="29">
        <f>ROUND(Source!AD333*Source!I333, 2)</f>
        <v>9.16</v>
      </c>
      <c r="I792" s="30"/>
      <c r="J792" s="30">
        <f>IF(Source!BB333&lt;&gt; 0, Source!BB333, 1)</f>
        <v>6.56</v>
      </c>
      <c r="K792" s="29">
        <f>Source!Q333</f>
        <v>60.08</v>
      </c>
      <c r="L792" s="31"/>
    </row>
    <row r="793" spans="1:26" ht="14.25" x14ac:dyDescent="0.2">
      <c r="A793" s="44"/>
      <c r="B793" s="45"/>
      <c r="C793" s="45" t="s">
        <v>1931</v>
      </c>
      <c r="D793" s="28"/>
      <c r="E793" s="11"/>
      <c r="F793" s="29">
        <f>Source!AN333</f>
        <v>0.5</v>
      </c>
      <c r="G793" s="30" t="str">
        <f>Source!DF333</f>
        <v/>
      </c>
      <c r="H793" s="32">
        <f>ROUND(Source!AE333*Source!I333, 2)</f>
        <v>1.29</v>
      </c>
      <c r="I793" s="30"/>
      <c r="J793" s="30">
        <f>IF(Source!BS333&lt;&gt; 0, Source!BS333, 1)</f>
        <v>6.56</v>
      </c>
      <c r="K793" s="32">
        <f>Source!R333</f>
        <v>8.4600000000000009</v>
      </c>
      <c r="L793" s="31"/>
      <c r="R793">
        <f>H793</f>
        <v>1.29</v>
      </c>
    </row>
    <row r="794" spans="1:26" ht="14.25" x14ac:dyDescent="0.2">
      <c r="A794" s="44"/>
      <c r="B794" s="45"/>
      <c r="C794" s="45" t="s">
        <v>1937</v>
      </c>
      <c r="D794" s="28"/>
      <c r="E794" s="11"/>
      <c r="F794" s="29">
        <f>Source!AL333</f>
        <v>14.48</v>
      </c>
      <c r="G794" s="30" t="str">
        <f>Source!DD333</f>
        <v/>
      </c>
      <c r="H794" s="29">
        <f>ROUND(Source!AC333*Source!I333, 2)</f>
        <v>37.36</v>
      </c>
      <c r="I794" s="30"/>
      <c r="J794" s="30">
        <f>IF(Source!BC333&lt;&gt; 0, Source!BC333, 1)</f>
        <v>6.56</v>
      </c>
      <c r="K794" s="29">
        <f>Source!P333</f>
        <v>245.07</v>
      </c>
      <c r="L794" s="31"/>
    </row>
    <row r="795" spans="1:26" ht="14.25" x14ac:dyDescent="0.2">
      <c r="A795" s="44"/>
      <c r="B795" s="45"/>
      <c r="C795" s="45" t="s">
        <v>1932</v>
      </c>
      <c r="D795" s="28" t="s">
        <v>1933</v>
      </c>
      <c r="E795" s="11">
        <f>Source!BZ333</f>
        <v>95</v>
      </c>
      <c r="F795" s="48"/>
      <c r="G795" s="30"/>
      <c r="H795" s="29">
        <f>SUM(S789:S798)</f>
        <v>125.42</v>
      </c>
      <c r="I795" s="33"/>
      <c r="J795" s="26">
        <f>Source!AT333</f>
        <v>95</v>
      </c>
      <c r="K795" s="29">
        <f>SUM(T789:T798)</f>
        <v>822.74</v>
      </c>
      <c r="L795" s="31"/>
    </row>
    <row r="796" spans="1:26" ht="14.25" x14ac:dyDescent="0.2">
      <c r="A796" s="44"/>
      <c r="B796" s="45"/>
      <c r="C796" s="45" t="s">
        <v>1934</v>
      </c>
      <c r="D796" s="28" t="s">
        <v>1933</v>
      </c>
      <c r="E796" s="11">
        <f>Source!CA333</f>
        <v>65</v>
      </c>
      <c r="F796" s="48"/>
      <c r="G796" s="30"/>
      <c r="H796" s="29">
        <f>SUM(U789:U798)</f>
        <v>85.81</v>
      </c>
      <c r="I796" s="33"/>
      <c r="J796" s="26">
        <f>Source!AU333</f>
        <v>65</v>
      </c>
      <c r="K796" s="29">
        <f>SUM(V789:V798)</f>
        <v>562.92999999999995</v>
      </c>
      <c r="L796" s="31"/>
    </row>
    <row r="797" spans="1:26" ht="14.25" x14ac:dyDescent="0.2">
      <c r="A797" s="44"/>
      <c r="B797" s="45"/>
      <c r="C797" s="45" t="s">
        <v>1935</v>
      </c>
      <c r="D797" s="28" t="s">
        <v>1936</v>
      </c>
      <c r="E797" s="11">
        <f>Source!AQ333</f>
        <v>5.39</v>
      </c>
      <c r="F797" s="29"/>
      <c r="G797" s="30" t="str">
        <f>Source!DI333</f>
        <v/>
      </c>
      <c r="H797" s="29"/>
      <c r="I797" s="30"/>
      <c r="J797" s="30"/>
      <c r="K797" s="29"/>
      <c r="L797" s="40">
        <f>Source!U333</f>
        <v>13.9062</v>
      </c>
    </row>
    <row r="798" spans="1:26" ht="85.5" x14ac:dyDescent="0.2">
      <c r="A798" s="46" t="str">
        <f>Source!E334</f>
        <v>74,1</v>
      </c>
      <c r="B798" s="47" t="str">
        <f>Source!F334</f>
        <v>21.1.06.10-0375</v>
      </c>
      <c r="C798" s="47" t="str">
        <f>Source!G334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798" s="34" t="str">
        <f>Source!H334</f>
        <v>1000 м</v>
      </c>
      <c r="E798" s="35">
        <f>Source!I334</f>
        <v>0.25800000000000001</v>
      </c>
      <c r="F798" s="36">
        <f>Source!AL334+Source!AM334+Source!AO334</f>
        <v>10960.87</v>
      </c>
      <c r="G798" s="42" t="s">
        <v>6</v>
      </c>
      <c r="H798" s="36">
        <f>ROUND(Source!AC334*Source!I334, 2)+ROUND(Source!AD334*Source!I334, 2)+ROUND(Source!AF334*Source!I334, 2)</f>
        <v>2827.9</v>
      </c>
      <c r="I798" s="37"/>
      <c r="J798" s="37">
        <f>IF(Source!BC334&lt;&gt; 0, Source!BC334, 1)</f>
        <v>6.56</v>
      </c>
      <c r="K798" s="36">
        <f>Source!O334</f>
        <v>18551.05</v>
      </c>
      <c r="L798" s="43"/>
      <c r="S798">
        <f>ROUND((Source!FX334/100)*((ROUND(Source!AF334*Source!I334, 2)+ROUND(Source!AE334*Source!I334, 2))), 2)</f>
        <v>0</v>
      </c>
      <c r="T798">
        <f>Source!X334</f>
        <v>0</v>
      </c>
      <c r="U798">
        <f>ROUND((Source!FY334/100)*((ROUND(Source!AF334*Source!I334, 2)+ROUND(Source!AE334*Source!I334, 2))), 2)</f>
        <v>0</v>
      </c>
      <c r="V798">
        <f>Source!Y334</f>
        <v>0</v>
      </c>
      <c r="W798">
        <f>IF(Source!BI334&lt;=1,H798, 0)</f>
        <v>0</v>
      </c>
      <c r="X798">
        <f>IF(Source!BI334=2,H798, 0)</f>
        <v>2827.9</v>
      </c>
      <c r="Y798">
        <f>IF(Source!BI334=3,H798, 0)</f>
        <v>0</v>
      </c>
      <c r="Z798">
        <f>IF(Source!BI334=4,H798, 0)</f>
        <v>0</v>
      </c>
    </row>
    <row r="799" spans="1:26" ht="15" x14ac:dyDescent="0.25">
      <c r="G799" s="63">
        <f>H791+H792+H794+H795+H796+SUM(H798:H798)</f>
        <v>3216.38</v>
      </c>
      <c r="H799" s="63"/>
      <c r="J799" s="63">
        <f>K791+K792+K794+K795+K796+SUM(K798:K798)</f>
        <v>21099.45</v>
      </c>
      <c r="K799" s="63"/>
      <c r="L799" s="39">
        <f>Source!U333</f>
        <v>13.9062</v>
      </c>
      <c r="O799" s="24">
        <f>G799</f>
        <v>3216.38</v>
      </c>
      <c r="P799" s="24">
        <f>J799</f>
        <v>21099.45</v>
      </c>
      <c r="Q799" s="24">
        <f>L799</f>
        <v>13.9062</v>
      </c>
      <c r="W799">
        <f>IF(Source!BI333&lt;=1,H791+H792+H794+H795+H796, 0)</f>
        <v>0</v>
      </c>
      <c r="X799">
        <f>IF(Source!BI333=2,H791+H792+H794+H795+H796, 0)</f>
        <v>388.48</v>
      </c>
      <c r="Y799">
        <f>IF(Source!BI333=3,H791+H792+H794+H795+H796, 0)</f>
        <v>0</v>
      </c>
      <c r="Z799">
        <f>IF(Source!BI333=4,H791+H792+H794+H795+H796, 0)</f>
        <v>0</v>
      </c>
    </row>
    <row r="800" spans="1:26" ht="28.5" x14ac:dyDescent="0.2">
      <c r="A800" s="44" t="str">
        <f>Source!E335</f>
        <v>75</v>
      </c>
      <c r="B800" s="45" t="str">
        <f>Source!F335</f>
        <v>м08-02-390-01</v>
      </c>
      <c r="C800" s="45" t="str">
        <f>Source!G335</f>
        <v>Короба пластмассовые шириной до 40 мм</v>
      </c>
      <c r="D800" s="28" t="str">
        <f>Source!H335</f>
        <v>100 м</v>
      </c>
      <c r="E800" s="11">
        <f>Source!I335</f>
        <v>0.8</v>
      </c>
      <c r="F800" s="29">
        <f>Source!AL335+Source!AM335+Source!AO335</f>
        <v>206.76</v>
      </c>
      <c r="G800" s="30"/>
      <c r="H800" s="29"/>
      <c r="I800" s="30" t="str">
        <f>Source!BO335</f>
        <v/>
      </c>
      <c r="J800" s="30"/>
      <c r="K800" s="29"/>
      <c r="L800" s="31"/>
      <c r="S800">
        <f>ROUND((Source!FX335/100)*((ROUND(Source!AF335*Source!I335, 2)+ROUND(Source!AE335*Source!I335, 2))), 2)</f>
        <v>117.85</v>
      </c>
      <c r="T800">
        <f>Source!X335</f>
        <v>773.06</v>
      </c>
      <c r="U800">
        <f>ROUND((Source!FY335/100)*((ROUND(Source!AF335*Source!I335, 2)+ROUND(Source!AE335*Source!I335, 2))), 2)</f>
        <v>80.63</v>
      </c>
      <c r="V800">
        <f>Source!Y335</f>
        <v>528.94000000000005</v>
      </c>
    </row>
    <row r="801" spans="1:26" x14ac:dyDescent="0.2">
      <c r="C801" s="23" t="str">
        <f>"Объем: "&amp;Source!I335&amp;"=80/"&amp;"100"</f>
        <v>Объем: 0,8=80/100</v>
      </c>
    </row>
    <row r="802" spans="1:26" ht="14.25" x14ac:dyDescent="0.2">
      <c r="A802" s="44"/>
      <c r="B802" s="45"/>
      <c r="C802" s="45" t="s">
        <v>1930</v>
      </c>
      <c r="D802" s="28"/>
      <c r="E802" s="11"/>
      <c r="F802" s="29">
        <f>Source!AO335</f>
        <v>154.91999999999999</v>
      </c>
      <c r="G802" s="30" t="str">
        <f>Source!DG335</f>
        <v/>
      </c>
      <c r="H802" s="29">
        <f>ROUND(Source!AF335*Source!I335, 2)</f>
        <v>123.94</v>
      </c>
      <c r="I802" s="30"/>
      <c r="J802" s="30">
        <f>IF(Source!BA335&lt;&gt; 0, Source!BA335, 1)</f>
        <v>6.56</v>
      </c>
      <c r="K802" s="29">
        <f>Source!S335</f>
        <v>813.02</v>
      </c>
      <c r="L802" s="31"/>
      <c r="R802">
        <f>H802</f>
        <v>123.94</v>
      </c>
    </row>
    <row r="803" spans="1:26" ht="14.25" x14ac:dyDescent="0.2">
      <c r="A803" s="44"/>
      <c r="B803" s="45"/>
      <c r="C803" s="45" t="s">
        <v>151</v>
      </c>
      <c r="D803" s="28"/>
      <c r="E803" s="11"/>
      <c r="F803" s="29">
        <f>Source!AM335</f>
        <v>0.31</v>
      </c>
      <c r="G803" s="30" t="str">
        <f>Source!DE335</f>
        <v/>
      </c>
      <c r="H803" s="29">
        <f>ROUND(Source!AD335*Source!I335, 2)</f>
        <v>0.25</v>
      </c>
      <c r="I803" s="30"/>
      <c r="J803" s="30">
        <f>IF(Source!BB335&lt;&gt; 0, Source!BB335, 1)</f>
        <v>6.56</v>
      </c>
      <c r="K803" s="29">
        <f>Source!Q335</f>
        <v>1.63</v>
      </c>
      <c r="L803" s="31"/>
    </row>
    <row r="804" spans="1:26" ht="14.25" x14ac:dyDescent="0.2">
      <c r="A804" s="44"/>
      <c r="B804" s="45"/>
      <c r="C804" s="45" t="s">
        <v>1931</v>
      </c>
      <c r="D804" s="28"/>
      <c r="E804" s="11"/>
      <c r="F804" s="29">
        <f>Source!AN335</f>
        <v>0.14000000000000001</v>
      </c>
      <c r="G804" s="30" t="str">
        <f>Source!DF335</f>
        <v/>
      </c>
      <c r="H804" s="32">
        <f>ROUND(Source!AE335*Source!I335, 2)</f>
        <v>0.11</v>
      </c>
      <c r="I804" s="30"/>
      <c r="J804" s="30">
        <f>IF(Source!BS335&lt;&gt; 0, Source!BS335, 1)</f>
        <v>6.56</v>
      </c>
      <c r="K804" s="32">
        <f>Source!R335</f>
        <v>0.73</v>
      </c>
      <c r="L804" s="31"/>
      <c r="R804">
        <f>H804</f>
        <v>0.11</v>
      </c>
    </row>
    <row r="805" spans="1:26" ht="14.25" x14ac:dyDescent="0.2">
      <c r="A805" s="44"/>
      <c r="B805" s="45"/>
      <c r="C805" s="45" t="s">
        <v>1937</v>
      </c>
      <c r="D805" s="28"/>
      <c r="E805" s="11"/>
      <c r="F805" s="29">
        <f>Source!AL335</f>
        <v>51.53</v>
      </c>
      <c r="G805" s="30" t="str">
        <f>Source!DD335</f>
        <v/>
      </c>
      <c r="H805" s="29">
        <f>ROUND(Source!AC335*Source!I335, 2)</f>
        <v>41.22</v>
      </c>
      <c r="I805" s="30"/>
      <c r="J805" s="30">
        <f>IF(Source!BC335&lt;&gt; 0, Source!BC335, 1)</f>
        <v>6.56</v>
      </c>
      <c r="K805" s="29">
        <f>Source!P335</f>
        <v>270.43</v>
      </c>
      <c r="L805" s="31"/>
    </row>
    <row r="806" spans="1:26" ht="14.25" x14ac:dyDescent="0.2">
      <c r="A806" s="44"/>
      <c r="B806" s="45"/>
      <c r="C806" s="45" t="s">
        <v>1932</v>
      </c>
      <c r="D806" s="28" t="s">
        <v>1933</v>
      </c>
      <c r="E806" s="11">
        <f>Source!BZ335</f>
        <v>95</v>
      </c>
      <c r="F806" s="48"/>
      <c r="G806" s="30"/>
      <c r="H806" s="29">
        <f>SUM(S800:S809)</f>
        <v>117.85</v>
      </c>
      <c r="I806" s="33"/>
      <c r="J806" s="26">
        <f>Source!AT335</f>
        <v>95</v>
      </c>
      <c r="K806" s="29">
        <f>SUM(T800:T809)</f>
        <v>773.06</v>
      </c>
      <c r="L806" s="31"/>
    </row>
    <row r="807" spans="1:26" ht="14.25" x14ac:dyDescent="0.2">
      <c r="A807" s="44"/>
      <c r="B807" s="45"/>
      <c r="C807" s="45" t="s">
        <v>1934</v>
      </c>
      <c r="D807" s="28" t="s">
        <v>1933</v>
      </c>
      <c r="E807" s="11">
        <f>Source!CA335</f>
        <v>65</v>
      </c>
      <c r="F807" s="48"/>
      <c r="G807" s="30"/>
      <c r="H807" s="29">
        <f>SUM(U800:U809)</f>
        <v>80.63</v>
      </c>
      <c r="I807" s="33"/>
      <c r="J807" s="26">
        <f>Source!AU335</f>
        <v>65</v>
      </c>
      <c r="K807" s="29">
        <f>SUM(V800:V809)</f>
        <v>528.94000000000005</v>
      </c>
      <c r="L807" s="31"/>
    </row>
    <row r="808" spans="1:26" ht="14.25" x14ac:dyDescent="0.2">
      <c r="A808" s="44"/>
      <c r="B808" s="45"/>
      <c r="C808" s="45" t="s">
        <v>1935</v>
      </c>
      <c r="D808" s="28" t="s">
        <v>1936</v>
      </c>
      <c r="E808" s="11">
        <f>Source!AQ335</f>
        <v>16.29</v>
      </c>
      <c r="F808" s="29"/>
      <c r="G808" s="30" t="str">
        <f>Source!DI335</f>
        <v/>
      </c>
      <c r="H808" s="29"/>
      <c r="I808" s="30"/>
      <c r="J808" s="30"/>
      <c r="K808" s="29"/>
      <c r="L808" s="40">
        <f>Source!U335</f>
        <v>13.032</v>
      </c>
    </row>
    <row r="809" spans="1:26" ht="28.5" x14ac:dyDescent="0.2">
      <c r="A809" s="46" t="str">
        <f>Source!E336</f>
        <v>75,1</v>
      </c>
      <c r="B809" s="47" t="str">
        <f>Source!F336</f>
        <v>20.2.05.04-0011</v>
      </c>
      <c r="C809" s="47" t="str">
        <f>Source!G336</f>
        <v>Кабель-канал (короб) "Legrand" 20х12,5 мм</v>
      </c>
      <c r="D809" s="34" t="str">
        <f>Source!H336</f>
        <v>100 м</v>
      </c>
      <c r="E809" s="35">
        <f>Source!I336</f>
        <v>0.8</v>
      </c>
      <c r="F809" s="36">
        <f>Source!AL336+Source!AM336+Source!AO336</f>
        <v>715</v>
      </c>
      <c r="G809" s="42" t="s">
        <v>6</v>
      </c>
      <c r="H809" s="36">
        <f>ROUND(Source!AC336*Source!I336, 2)+ROUND(Source!AD336*Source!I336, 2)+ROUND(Source!AF336*Source!I336, 2)</f>
        <v>572</v>
      </c>
      <c r="I809" s="37"/>
      <c r="J809" s="37">
        <f>IF(Source!BC336&lt;&gt; 0, Source!BC336, 1)</f>
        <v>6.56</v>
      </c>
      <c r="K809" s="36">
        <f>Source!O336</f>
        <v>3752.32</v>
      </c>
      <c r="L809" s="43"/>
      <c r="S809">
        <f>ROUND((Source!FX336/100)*((ROUND(Source!AF336*Source!I336, 2)+ROUND(Source!AE336*Source!I336, 2))), 2)</f>
        <v>0</v>
      </c>
      <c r="T809">
        <f>Source!X336</f>
        <v>0</v>
      </c>
      <c r="U809">
        <f>ROUND((Source!FY336/100)*((ROUND(Source!AF336*Source!I336, 2)+ROUND(Source!AE336*Source!I336, 2))), 2)</f>
        <v>0</v>
      </c>
      <c r="V809">
        <f>Source!Y336</f>
        <v>0</v>
      </c>
      <c r="W809">
        <f>IF(Source!BI336&lt;=1,H809, 0)</f>
        <v>0</v>
      </c>
      <c r="X809">
        <f>IF(Source!BI336=2,H809, 0)</f>
        <v>572</v>
      </c>
      <c r="Y809">
        <f>IF(Source!BI336=3,H809, 0)</f>
        <v>0</v>
      </c>
      <c r="Z809">
        <f>IF(Source!BI336=4,H809, 0)</f>
        <v>0</v>
      </c>
    </row>
    <row r="810" spans="1:26" ht="15" x14ac:dyDescent="0.25">
      <c r="G810" s="63">
        <f>H802+H803+H805+H806+H807+SUM(H809:H809)</f>
        <v>935.89</v>
      </c>
      <c r="H810" s="63"/>
      <c r="J810" s="63">
        <f>K802+K803+K805+K806+K807+SUM(K809:K809)</f>
        <v>6139.4</v>
      </c>
      <c r="K810" s="63"/>
      <c r="L810" s="39">
        <f>Source!U335</f>
        <v>13.032</v>
      </c>
      <c r="O810" s="24">
        <f>G810</f>
        <v>935.89</v>
      </c>
      <c r="P810" s="24">
        <f>J810</f>
        <v>6139.4</v>
      </c>
      <c r="Q810" s="24">
        <f>L810</f>
        <v>13.032</v>
      </c>
      <c r="W810">
        <f>IF(Source!BI335&lt;=1,H802+H803+H805+H806+H807, 0)</f>
        <v>0</v>
      </c>
      <c r="X810">
        <f>IF(Source!BI335=2,H802+H803+H805+H806+H807, 0)</f>
        <v>363.89</v>
      </c>
      <c r="Y810">
        <f>IF(Source!BI335=3,H802+H803+H805+H806+H807, 0)</f>
        <v>0</v>
      </c>
      <c r="Z810">
        <f>IF(Source!BI335=4,H802+H803+H805+H806+H807, 0)</f>
        <v>0</v>
      </c>
    </row>
    <row r="811" spans="1:26" ht="28.5" x14ac:dyDescent="0.2">
      <c r="A811" s="44" t="str">
        <f>Source!E337</f>
        <v>76</v>
      </c>
      <c r="B811" s="45" t="str">
        <f>Source!F337</f>
        <v>м08-02-399-01</v>
      </c>
      <c r="C811" s="45" t="str">
        <f>Source!G337</f>
        <v>Провод в коробах, сечением до 6 мм2</v>
      </c>
      <c r="D811" s="28" t="str">
        <f>Source!H337</f>
        <v>100 м</v>
      </c>
      <c r="E811" s="11">
        <f>Source!I337</f>
        <v>0.8</v>
      </c>
      <c r="F811" s="29">
        <f>Source!AL337+Source!AM337+Source!AO337</f>
        <v>41.11</v>
      </c>
      <c r="G811" s="30"/>
      <c r="H811" s="29"/>
      <c r="I811" s="30" t="str">
        <f>Source!BO337</f>
        <v/>
      </c>
      <c r="J811" s="30"/>
      <c r="K811" s="29"/>
      <c r="L811" s="31"/>
      <c r="S811">
        <f>ROUND((Source!FX337/100)*((ROUND(Source!AF337*Source!I337, 2)+ROUND(Source!AE337*Source!I337, 2))), 2)</f>
        <v>20.350000000000001</v>
      </c>
      <c r="T811">
        <f>Source!X337</f>
        <v>133.46</v>
      </c>
      <c r="U811">
        <f>ROUND((Source!FY337/100)*((ROUND(Source!AF337*Source!I337, 2)+ROUND(Source!AE337*Source!I337, 2))), 2)</f>
        <v>13.92</v>
      </c>
      <c r="V811">
        <f>Source!Y337</f>
        <v>91.31</v>
      </c>
    </row>
    <row r="812" spans="1:26" x14ac:dyDescent="0.2">
      <c r="C812" s="23" t="str">
        <f>"Объем: "&amp;Source!I337&amp;"=80/"&amp;"100"</f>
        <v>Объем: 0,8=80/100</v>
      </c>
    </row>
    <row r="813" spans="1:26" ht="14.25" x14ac:dyDescent="0.2">
      <c r="A813" s="44"/>
      <c r="B813" s="45"/>
      <c r="C813" s="45" t="s">
        <v>1930</v>
      </c>
      <c r="D813" s="28"/>
      <c r="E813" s="11"/>
      <c r="F813" s="29">
        <f>Source!AO337</f>
        <v>26.51</v>
      </c>
      <c r="G813" s="30" t="str">
        <f>Source!DG337</f>
        <v/>
      </c>
      <c r="H813" s="29">
        <f>ROUND(Source!AF337*Source!I337, 2)</f>
        <v>21.21</v>
      </c>
      <c r="I813" s="30"/>
      <c r="J813" s="30">
        <f>IF(Source!BA337&lt;&gt; 0, Source!BA337, 1)</f>
        <v>6.56</v>
      </c>
      <c r="K813" s="29">
        <f>Source!S337</f>
        <v>139.12</v>
      </c>
      <c r="L813" s="31"/>
      <c r="R813">
        <f>H813</f>
        <v>21.21</v>
      </c>
    </row>
    <row r="814" spans="1:26" ht="14.25" x14ac:dyDescent="0.2">
      <c r="A814" s="44"/>
      <c r="B814" s="45"/>
      <c r="C814" s="45" t="s">
        <v>151</v>
      </c>
      <c r="D814" s="28"/>
      <c r="E814" s="11"/>
      <c r="F814" s="29">
        <f>Source!AM337</f>
        <v>1.78</v>
      </c>
      <c r="G814" s="30" t="str">
        <f>Source!DE337</f>
        <v/>
      </c>
      <c r="H814" s="29">
        <f>ROUND(Source!AD337*Source!I337, 2)</f>
        <v>1.42</v>
      </c>
      <c r="I814" s="30"/>
      <c r="J814" s="30">
        <f>IF(Source!BB337&lt;&gt; 0, Source!BB337, 1)</f>
        <v>6.56</v>
      </c>
      <c r="K814" s="29">
        <f>Source!Q337</f>
        <v>9.34</v>
      </c>
      <c r="L814" s="31"/>
    </row>
    <row r="815" spans="1:26" ht="14.25" x14ac:dyDescent="0.2">
      <c r="A815" s="44"/>
      <c r="B815" s="45"/>
      <c r="C815" s="45" t="s">
        <v>1931</v>
      </c>
      <c r="D815" s="28"/>
      <c r="E815" s="11"/>
      <c r="F815" s="29">
        <f>Source!AN337</f>
        <v>0.26</v>
      </c>
      <c r="G815" s="30" t="str">
        <f>Source!DF337</f>
        <v/>
      </c>
      <c r="H815" s="32">
        <f>ROUND(Source!AE337*Source!I337, 2)</f>
        <v>0.21</v>
      </c>
      <c r="I815" s="30"/>
      <c r="J815" s="30">
        <f>IF(Source!BS337&lt;&gt; 0, Source!BS337, 1)</f>
        <v>6.56</v>
      </c>
      <c r="K815" s="32">
        <f>Source!R337</f>
        <v>1.36</v>
      </c>
      <c r="L815" s="31"/>
      <c r="R815">
        <f>H815</f>
        <v>0.21</v>
      </c>
    </row>
    <row r="816" spans="1:26" ht="14.25" x14ac:dyDescent="0.2">
      <c r="A816" s="44"/>
      <c r="B816" s="45"/>
      <c r="C816" s="45" t="s">
        <v>1937</v>
      </c>
      <c r="D816" s="28"/>
      <c r="E816" s="11"/>
      <c r="F816" s="29">
        <f>Source!AL337</f>
        <v>12.82</v>
      </c>
      <c r="G816" s="30" t="str">
        <f>Source!DD337</f>
        <v/>
      </c>
      <c r="H816" s="29">
        <f>ROUND(Source!AC337*Source!I337, 2)</f>
        <v>10.26</v>
      </c>
      <c r="I816" s="30"/>
      <c r="J816" s="30">
        <f>IF(Source!BC337&lt;&gt; 0, Source!BC337, 1)</f>
        <v>6.56</v>
      </c>
      <c r="K816" s="29">
        <f>Source!P337</f>
        <v>67.28</v>
      </c>
      <c r="L816" s="31"/>
    </row>
    <row r="817" spans="1:26" ht="14.25" x14ac:dyDescent="0.2">
      <c r="A817" s="44"/>
      <c r="B817" s="45"/>
      <c r="C817" s="45" t="s">
        <v>1932</v>
      </c>
      <c r="D817" s="28" t="s">
        <v>1933</v>
      </c>
      <c r="E817" s="11">
        <f>Source!BZ337</f>
        <v>95</v>
      </c>
      <c r="F817" s="48"/>
      <c r="G817" s="30"/>
      <c r="H817" s="29">
        <f>SUM(S811:S820)</f>
        <v>20.350000000000001</v>
      </c>
      <c r="I817" s="33"/>
      <c r="J817" s="26">
        <f>Source!AT337</f>
        <v>95</v>
      </c>
      <c r="K817" s="29">
        <f>SUM(T811:T820)</f>
        <v>133.46</v>
      </c>
      <c r="L817" s="31"/>
    </row>
    <row r="818" spans="1:26" ht="14.25" x14ac:dyDescent="0.2">
      <c r="A818" s="44"/>
      <c r="B818" s="45"/>
      <c r="C818" s="45" t="s">
        <v>1934</v>
      </c>
      <c r="D818" s="28" t="s">
        <v>1933</v>
      </c>
      <c r="E818" s="11">
        <f>Source!CA337</f>
        <v>65</v>
      </c>
      <c r="F818" s="48"/>
      <c r="G818" s="30"/>
      <c r="H818" s="29">
        <f>SUM(U811:U820)</f>
        <v>13.92</v>
      </c>
      <c r="I818" s="33"/>
      <c r="J818" s="26">
        <f>Source!AU337</f>
        <v>65</v>
      </c>
      <c r="K818" s="29">
        <f>SUM(V811:V820)</f>
        <v>91.31</v>
      </c>
      <c r="L818" s="31"/>
    </row>
    <row r="819" spans="1:26" ht="14.25" x14ac:dyDescent="0.2">
      <c r="A819" s="44"/>
      <c r="B819" s="45"/>
      <c r="C819" s="45" t="s">
        <v>1935</v>
      </c>
      <c r="D819" s="28" t="s">
        <v>1936</v>
      </c>
      <c r="E819" s="11">
        <f>Source!AQ337</f>
        <v>2.82</v>
      </c>
      <c r="F819" s="29"/>
      <c r="G819" s="30" t="str">
        <f>Source!DI337</f>
        <v/>
      </c>
      <c r="H819" s="29"/>
      <c r="I819" s="30"/>
      <c r="J819" s="30"/>
      <c r="K819" s="29"/>
      <c r="L819" s="40">
        <f>Source!U337</f>
        <v>2.2559999999999998</v>
      </c>
    </row>
    <row r="820" spans="1:26" ht="85.5" x14ac:dyDescent="0.2">
      <c r="A820" s="46" t="str">
        <f>Source!E338</f>
        <v>76,1</v>
      </c>
      <c r="B820" s="47" t="str">
        <f>Source!F338</f>
        <v>21.1.06.10-0375</v>
      </c>
      <c r="C820" s="47" t="str">
        <f>Source!G338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820" s="34" t="str">
        <f>Source!H338</f>
        <v>1000 м</v>
      </c>
      <c r="E820" s="35">
        <f>Source!I338</f>
        <v>0.08</v>
      </c>
      <c r="F820" s="36">
        <f>Source!AL338+Source!AM338+Source!AO338</f>
        <v>10960.87</v>
      </c>
      <c r="G820" s="42" t="s">
        <v>6</v>
      </c>
      <c r="H820" s="36">
        <f>ROUND(Source!AC338*Source!I338, 2)+ROUND(Source!AD338*Source!I338, 2)+ROUND(Source!AF338*Source!I338, 2)</f>
        <v>876.87</v>
      </c>
      <c r="I820" s="37"/>
      <c r="J820" s="37">
        <f>IF(Source!BC338&lt;&gt; 0, Source!BC338, 1)</f>
        <v>6.56</v>
      </c>
      <c r="K820" s="36">
        <f>Source!O338</f>
        <v>5752.26</v>
      </c>
      <c r="L820" s="43"/>
      <c r="S820">
        <f>ROUND((Source!FX338/100)*((ROUND(Source!AF338*Source!I338, 2)+ROUND(Source!AE338*Source!I338, 2))), 2)</f>
        <v>0</v>
      </c>
      <c r="T820">
        <f>Source!X338</f>
        <v>0</v>
      </c>
      <c r="U820">
        <f>ROUND((Source!FY338/100)*((ROUND(Source!AF338*Source!I338, 2)+ROUND(Source!AE338*Source!I338, 2))), 2)</f>
        <v>0</v>
      </c>
      <c r="V820">
        <f>Source!Y338</f>
        <v>0</v>
      </c>
      <c r="W820">
        <f>IF(Source!BI338&lt;=1,H820, 0)</f>
        <v>0</v>
      </c>
      <c r="X820">
        <f>IF(Source!BI338=2,H820, 0)</f>
        <v>876.87</v>
      </c>
      <c r="Y820">
        <f>IF(Source!BI338=3,H820, 0)</f>
        <v>0</v>
      </c>
      <c r="Z820">
        <f>IF(Source!BI338=4,H820, 0)</f>
        <v>0</v>
      </c>
    </row>
    <row r="821" spans="1:26" ht="15" x14ac:dyDescent="0.25">
      <c r="G821" s="63">
        <f>H813+H814+H816+H817+H818+SUM(H820:H820)</f>
        <v>944.03</v>
      </c>
      <c r="H821" s="63"/>
      <c r="J821" s="63">
        <f>K813+K814+K816+K817+K818+SUM(K820:K820)</f>
        <v>6192.77</v>
      </c>
      <c r="K821" s="63"/>
      <c r="L821" s="39">
        <f>Source!U337</f>
        <v>2.2559999999999998</v>
      </c>
      <c r="O821" s="24">
        <f>G821</f>
        <v>944.03</v>
      </c>
      <c r="P821" s="24">
        <f>J821</f>
        <v>6192.77</v>
      </c>
      <c r="Q821" s="24">
        <f>L821</f>
        <v>2.2559999999999998</v>
      </c>
      <c r="W821">
        <f>IF(Source!BI337&lt;=1,H813+H814+H816+H817+H818, 0)</f>
        <v>0</v>
      </c>
      <c r="X821">
        <f>IF(Source!BI337=2,H813+H814+H816+H817+H818, 0)</f>
        <v>67.16</v>
      </c>
      <c r="Y821">
        <f>IF(Source!BI337=3,H813+H814+H816+H817+H818, 0)</f>
        <v>0</v>
      </c>
      <c r="Z821">
        <f>IF(Source!BI337=4,H813+H814+H816+H817+H818, 0)</f>
        <v>0</v>
      </c>
    </row>
    <row r="822" spans="1:26" ht="28.5" x14ac:dyDescent="0.2">
      <c r="A822" s="44" t="str">
        <f>Source!E339</f>
        <v>77</v>
      </c>
      <c r="B822" s="45" t="str">
        <f>Source!F339</f>
        <v>м10-08-019-01</v>
      </c>
      <c r="C822" s="45" t="str">
        <f>Source!G339</f>
        <v>Коробка ответвительная на стене</v>
      </c>
      <c r="D822" s="28" t="str">
        <f>Source!H339</f>
        <v>ШТ</v>
      </c>
      <c r="E822" s="11">
        <f>Source!I339</f>
        <v>90</v>
      </c>
      <c r="F822" s="29">
        <f>Source!AL339+Source!AM339+Source!AO339</f>
        <v>5.29</v>
      </c>
      <c r="G822" s="30"/>
      <c r="H822" s="29"/>
      <c r="I822" s="30" t="str">
        <f>Source!BO339</f>
        <v/>
      </c>
      <c r="J822" s="30"/>
      <c r="K822" s="29"/>
      <c r="L822" s="31"/>
      <c r="S822">
        <f>ROUND((Source!FX339/100)*((ROUND(Source!AF339*Source!I339, 2)+ROUND(Source!AE339*Source!I339, 2))), 2)</f>
        <v>351.36</v>
      </c>
      <c r="T822">
        <f>Source!X339</f>
        <v>2304.92</v>
      </c>
      <c r="U822">
        <f>ROUND((Source!FY339/100)*((ROUND(Source!AF339*Source!I339, 2)+ROUND(Source!AE339*Source!I339, 2))), 2)</f>
        <v>263.52</v>
      </c>
      <c r="V822">
        <f>Source!Y339</f>
        <v>1728.69</v>
      </c>
    </row>
    <row r="823" spans="1:26" ht="14.25" x14ac:dyDescent="0.2">
      <c r="A823" s="44"/>
      <c r="B823" s="45"/>
      <c r="C823" s="45" t="s">
        <v>1930</v>
      </c>
      <c r="D823" s="28"/>
      <c r="E823" s="11"/>
      <c r="F823" s="29">
        <f>Source!AO339</f>
        <v>4.88</v>
      </c>
      <c r="G823" s="30" t="str">
        <f>Source!DG339</f>
        <v/>
      </c>
      <c r="H823" s="29">
        <f>ROUND(Source!AF339*Source!I339, 2)</f>
        <v>439.2</v>
      </c>
      <c r="I823" s="30"/>
      <c r="J823" s="30">
        <f>IF(Source!BA339&lt;&gt; 0, Source!BA339, 1)</f>
        <v>6.56</v>
      </c>
      <c r="K823" s="29">
        <f>Source!S339</f>
        <v>2881.15</v>
      </c>
      <c r="L823" s="31"/>
      <c r="R823">
        <f>H823</f>
        <v>439.2</v>
      </c>
    </row>
    <row r="824" spans="1:26" ht="14.25" x14ac:dyDescent="0.2">
      <c r="A824" s="44"/>
      <c r="B824" s="45"/>
      <c r="C824" s="45" t="s">
        <v>1937</v>
      </c>
      <c r="D824" s="28"/>
      <c r="E824" s="11"/>
      <c r="F824" s="29">
        <f>Source!AL339</f>
        <v>0.41</v>
      </c>
      <c r="G824" s="30" t="str">
        <f>Source!DD339</f>
        <v/>
      </c>
      <c r="H824" s="29">
        <f>ROUND(Source!AC339*Source!I339, 2)</f>
        <v>36.9</v>
      </c>
      <c r="I824" s="30"/>
      <c r="J824" s="30">
        <f>IF(Source!BC339&lt;&gt; 0, Source!BC339, 1)</f>
        <v>6.56</v>
      </c>
      <c r="K824" s="29">
        <f>Source!P339</f>
        <v>242.06</v>
      </c>
      <c r="L824" s="31"/>
    </row>
    <row r="825" spans="1:26" ht="14.25" x14ac:dyDescent="0.2">
      <c r="A825" s="44"/>
      <c r="B825" s="45"/>
      <c r="C825" s="45" t="s">
        <v>1932</v>
      </c>
      <c r="D825" s="28" t="s">
        <v>1933</v>
      </c>
      <c r="E825" s="11">
        <f>Source!BZ339</f>
        <v>80</v>
      </c>
      <c r="F825" s="48"/>
      <c r="G825" s="30"/>
      <c r="H825" s="29">
        <f>SUM(S822:S828)</f>
        <v>351.36</v>
      </c>
      <c r="I825" s="33"/>
      <c r="J825" s="26">
        <f>Source!AT339</f>
        <v>80</v>
      </c>
      <c r="K825" s="29">
        <f>SUM(T822:T828)</f>
        <v>2304.92</v>
      </c>
      <c r="L825" s="31"/>
    </row>
    <row r="826" spans="1:26" ht="14.25" x14ac:dyDescent="0.2">
      <c r="A826" s="44"/>
      <c r="B826" s="45"/>
      <c r="C826" s="45" t="s">
        <v>1934</v>
      </c>
      <c r="D826" s="28" t="s">
        <v>1933</v>
      </c>
      <c r="E826" s="11">
        <f>Source!CA339</f>
        <v>60</v>
      </c>
      <c r="F826" s="48"/>
      <c r="G826" s="30"/>
      <c r="H826" s="29">
        <f>SUM(U822:U828)</f>
        <v>263.52</v>
      </c>
      <c r="I826" s="33"/>
      <c r="J826" s="26">
        <f>Source!AU339</f>
        <v>60</v>
      </c>
      <c r="K826" s="29">
        <f>SUM(V822:V828)</f>
        <v>1728.69</v>
      </c>
      <c r="L826" s="31"/>
    </row>
    <row r="827" spans="1:26" ht="14.25" x14ac:dyDescent="0.2">
      <c r="A827" s="44"/>
      <c r="B827" s="45"/>
      <c r="C827" s="45" t="s">
        <v>1935</v>
      </c>
      <c r="D827" s="28" t="s">
        <v>1936</v>
      </c>
      <c r="E827" s="11">
        <f>Source!AQ339</f>
        <v>0.5</v>
      </c>
      <c r="F827" s="29"/>
      <c r="G827" s="30" t="str">
        <f>Source!DI339</f>
        <v/>
      </c>
      <c r="H827" s="29"/>
      <c r="I827" s="30"/>
      <c r="J827" s="30"/>
      <c r="K827" s="29"/>
      <c r="L827" s="40">
        <f>Source!U339</f>
        <v>45</v>
      </c>
    </row>
    <row r="828" spans="1:26" ht="28.5" x14ac:dyDescent="0.2">
      <c r="A828" s="46" t="str">
        <f>Source!E340</f>
        <v>77,1</v>
      </c>
      <c r="B828" s="47" t="str">
        <f>Source!F340</f>
        <v>20.5.02.07-0003</v>
      </c>
      <c r="C828" s="47" t="str">
        <f>Source!G340</f>
        <v>Коробка распаечная ,наружная 75х75мм прим.</v>
      </c>
      <c r="D828" s="34" t="str">
        <f>Source!H340</f>
        <v>шт.</v>
      </c>
      <c r="E828" s="35">
        <f>Source!I340</f>
        <v>90</v>
      </c>
      <c r="F828" s="36">
        <f>Source!AL340+Source!AM340+Source!AO340</f>
        <v>8.6199999999999992</v>
      </c>
      <c r="G828" s="42" t="s">
        <v>6</v>
      </c>
      <c r="H828" s="36">
        <f>ROUND(Source!AC340*Source!I340, 2)+ROUND(Source!AD340*Source!I340, 2)+ROUND(Source!AF340*Source!I340, 2)</f>
        <v>775.8</v>
      </c>
      <c r="I828" s="37"/>
      <c r="J828" s="37">
        <f>IF(Source!BC340&lt;&gt; 0, Source!BC340, 1)</f>
        <v>6.56</v>
      </c>
      <c r="K828" s="36">
        <f>Source!O340</f>
        <v>5089.25</v>
      </c>
      <c r="L828" s="43"/>
      <c r="S828">
        <f>ROUND((Source!FX340/100)*((ROUND(Source!AF340*Source!I340, 2)+ROUND(Source!AE340*Source!I340, 2))), 2)</f>
        <v>0</v>
      </c>
      <c r="T828">
        <f>Source!X340</f>
        <v>0</v>
      </c>
      <c r="U828">
        <f>ROUND((Source!FY340/100)*((ROUND(Source!AF340*Source!I340, 2)+ROUND(Source!AE340*Source!I340, 2))), 2)</f>
        <v>0</v>
      </c>
      <c r="V828">
        <f>Source!Y340</f>
        <v>0</v>
      </c>
      <c r="W828">
        <f>IF(Source!BI340&lt;=1,H828, 0)</f>
        <v>0</v>
      </c>
      <c r="X828">
        <f>IF(Source!BI340=2,H828, 0)</f>
        <v>775.8</v>
      </c>
      <c r="Y828">
        <f>IF(Source!BI340=3,H828, 0)</f>
        <v>0</v>
      </c>
      <c r="Z828">
        <f>IF(Source!BI340=4,H828, 0)</f>
        <v>0</v>
      </c>
    </row>
    <row r="829" spans="1:26" ht="15" x14ac:dyDescent="0.25">
      <c r="G829" s="63">
        <f>H823+H824+H825+H826+SUM(H828:H828)</f>
        <v>1866.78</v>
      </c>
      <c r="H829" s="63"/>
      <c r="J829" s="63">
        <f>K823+K824+K825+K826+SUM(K828:K828)</f>
        <v>12246.07</v>
      </c>
      <c r="K829" s="63"/>
      <c r="L829" s="39">
        <f>Source!U339</f>
        <v>45</v>
      </c>
      <c r="O829" s="24">
        <f>G829</f>
        <v>1866.78</v>
      </c>
      <c r="P829" s="24">
        <f>J829</f>
        <v>12246.07</v>
      </c>
      <c r="Q829" s="24">
        <f>L829</f>
        <v>45</v>
      </c>
      <c r="W829">
        <f>IF(Source!BI339&lt;=1,H823+H824+H825+H826, 0)</f>
        <v>0</v>
      </c>
      <c r="X829">
        <f>IF(Source!BI339=2,H823+H824+H825+H826, 0)</f>
        <v>1090.98</v>
      </c>
      <c r="Y829">
        <f>IF(Source!BI339=3,H823+H824+H825+H826, 0)</f>
        <v>0</v>
      </c>
      <c r="Z829">
        <f>IF(Source!BI339=4,H823+H824+H825+H826, 0)</f>
        <v>0</v>
      </c>
    </row>
    <row r="830" spans="1:26" ht="57" x14ac:dyDescent="0.2">
      <c r="A830" s="44" t="str">
        <f>Source!E341</f>
        <v>78</v>
      </c>
      <c r="B830" s="45" t="str">
        <f>Source!F341</f>
        <v>69-2-1 прим.</v>
      </c>
      <c r="C830" s="45" t="str">
        <f>Source!G341</f>
        <v>Сверление отверстий в кирпичных стенах электроперфоратором диаметром до 20 мм, толщина стен 0,5 кирпича</v>
      </c>
      <c r="D830" s="28" t="str">
        <f>Source!H341</f>
        <v>100 ШТ</v>
      </c>
      <c r="E830" s="11">
        <f>Source!I341</f>
        <v>0.16</v>
      </c>
      <c r="F830" s="29">
        <f>Source!AL341+Source!AM341+Source!AO341</f>
        <v>46.83</v>
      </c>
      <c r="G830" s="30"/>
      <c r="H830" s="29"/>
      <c r="I830" s="30" t="str">
        <f>Source!BO341</f>
        <v/>
      </c>
      <c r="J830" s="30"/>
      <c r="K830" s="29"/>
      <c r="L830" s="31"/>
      <c r="S830">
        <f>ROUND((Source!FX341/100)*((ROUND(Source!AF341*Source!I341, 2)+ROUND(Source!AE341*Source!I341, 2))), 2)</f>
        <v>5.84</v>
      </c>
      <c r="T830">
        <f>Source!X341</f>
        <v>38.340000000000003</v>
      </c>
      <c r="U830">
        <f>ROUND((Source!FY341/100)*((ROUND(Source!AF341*Source!I341, 2)+ROUND(Source!AE341*Source!I341, 2))), 2)</f>
        <v>3.75</v>
      </c>
      <c r="V830">
        <f>Source!Y341</f>
        <v>24.58</v>
      </c>
    </row>
    <row r="831" spans="1:26" x14ac:dyDescent="0.2">
      <c r="C831" s="23" t="str">
        <f>"Объем: "&amp;Source!I341&amp;"=16/"&amp;"100"</f>
        <v>Объем: 0,16=16/100</v>
      </c>
    </row>
    <row r="832" spans="1:26" ht="14.25" x14ac:dyDescent="0.2">
      <c r="A832" s="44"/>
      <c r="B832" s="45"/>
      <c r="C832" s="45" t="s">
        <v>1930</v>
      </c>
      <c r="D832" s="28"/>
      <c r="E832" s="11"/>
      <c r="F832" s="29">
        <f>Source!AO341</f>
        <v>46.83</v>
      </c>
      <c r="G832" s="30" t="str">
        <f>Source!DG341</f>
        <v/>
      </c>
      <c r="H832" s="29">
        <f>ROUND(Source!AF341*Source!I341, 2)</f>
        <v>7.49</v>
      </c>
      <c r="I832" s="30"/>
      <c r="J832" s="30">
        <f>IF(Source!BA341&lt;&gt; 0, Source!BA341, 1)</f>
        <v>6.56</v>
      </c>
      <c r="K832" s="29">
        <f>Source!S341</f>
        <v>49.15</v>
      </c>
      <c r="L832" s="31"/>
      <c r="R832">
        <f>H832</f>
        <v>7.49</v>
      </c>
    </row>
    <row r="833" spans="1:26" ht="14.25" x14ac:dyDescent="0.2">
      <c r="A833" s="44"/>
      <c r="B833" s="45"/>
      <c r="C833" s="45" t="s">
        <v>1932</v>
      </c>
      <c r="D833" s="28" t="s">
        <v>1933</v>
      </c>
      <c r="E833" s="11">
        <f>Source!BZ341</f>
        <v>78</v>
      </c>
      <c r="F833" s="48"/>
      <c r="G833" s="30"/>
      <c r="H833" s="29">
        <f>SUM(S830:S835)</f>
        <v>5.84</v>
      </c>
      <c r="I833" s="33"/>
      <c r="J833" s="26">
        <f>Source!AT341</f>
        <v>78</v>
      </c>
      <c r="K833" s="29">
        <f>SUM(T830:T835)</f>
        <v>38.340000000000003</v>
      </c>
      <c r="L833" s="31"/>
    </row>
    <row r="834" spans="1:26" ht="14.25" x14ac:dyDescent="0.2">
      <c r="A834" s="44"/>
      <c r="B834" s="45"/>
      <c r="C834" s="45" t="s">
        <v>1934</v>
      </c>
      <c r="D834" s="28" t="s">
        <v>1933</v>
      </c>
      <c r="E834" s="11">
        <f>Source!CA341</f>
        <v>50</v>
      </c>
      <c r="F834" s="48"/>
      <c r="G834" s="30"/>
      <c r="H834" s="29">
        <f>SUM(U830:U835)</f>
        <v>3.75</v>
      </c>
      <c r="I834" s="33"/>
      <c r="J834" s="26">
        <f>Source!AU341</f>
        <v>50</v>
      </c>
      <c r="K834" s="29">
        <f>SUM(V830:V835)</f>
        <v>24.58</v>
      </c>
      <c r="L834" s="31"/>
    </row>
    <row r="835" spans="1:26" ht="14.25" x14ac:dyDescent="0.2">
      <c r="A835" s="46"/>
      <c r="B835" s="47"/>
      <c r="C835" s="47" t="s">
        <v>1935</v>
      </c>
      <c r="D835" s="34" t="s">
        <v>1936</v>
      </c>
      <c r="E835" s="35">
        <f>Source!AQ341</f>
        <v>5.49</v>
      </c>
      <c r="F835" s="36"/>
      <c r="G835" s="37" t="str">
        <f>Source!DI341</f>
        <v/>
      </c>
      <c r="H835" s="36"/>
      <c r="I835" s="37"/>
      <c r="J835" s="37"/>
      <c r="K835" s="36"/>
      <c r="L835" s="38">
        <f>Source!U341</f>
        <v>0.87840000000000007</v>
      </c>
    </row>
    <row r="836" spans="1:26" ht="15" x14ac:dyDescent="0.25">
      <c r="G836" s="63">
        <f>H832+H833+H834</f>
        <v>17.079999999999998</v>
      </c>
      <c r="H836" s="63"/>
      <c r="J836" s="63">
        <f>K832+K833+K834</f>
        <v>112.07000000000001</v>
      </c>
      <c r="K836" s="63"/>
      <c r="L836" s="39">
        <f>Source!U341</f>
        <v>0.87840000000000007</v>
      </c>
      <c r="O836" s="24">
        <f>G836</f>
        <v>17.079999999999998</v>
      </c>
      <c r="P836" s="24">
        <f>J836</f>
        <v>112.07000000000001</v>
      </c>
      <c r="Q836" s="24">
        <f>L836</f>
        <v>0.87840000000000007</v>
      </c>
      <c r="W836">
        <f>IF(Source!BI341&lt;=1,H832+H833+H834, 0)</f>
        <v>17.079999999999998</v>
      </c>
      <c r="X836">
        <f>IF(Source!BI341=2,H832+H833+H834, 0)</f>
        <v>0</v>
      </c>
      <c r="Y836">
        <f>IF(Source!BI341=3,H832+H833+H834, 0)</f>
        <v>0</v>
      </c>
      <c r="Z836">
        <f>IF(Source!BI341=4,H832+H833+H834, 0)</f>
        <v>0</v>
      </c>
    </row>
    <row r="837" spans="1:26" ht="28.5" x14ac:dyDescent="0.2">
      <c r="A837" s="44" t="str">
        <f>Source!E342</f>
        <v>79</v>
      </c>
      <c r="B837" s="45" t="str">
        <f>Source!F342</f>
        <v>м08-02-410-02</v>
      </c>
      <c r="C837" s="45" t="str">
        <f>Source!G342</f>
        <v>Труба полиэтиленовая по основанию пола, диаметр до 50 мм (гильзы) прим.</v>
      </c>
      <c r="D837" s="28" t="str">
        <f>Source!H342</f>
        <v>100 м</v>
      </c>
      <c r="E837" s="11">
        <f>Source!I342</f>
        <v>2.4E-2</v>
      </c>
      <c r="F837" s="29">
        <f>Source!AL342+Source!AM342+Source!AO342</f>
        <v>250.92</v>
      </c>
      <c r="G837" s="30"/>
      <c r="H837" s="29"/>
      <c r="I837" s="30" t="str">
        <f>Source!BO342</f>
        <v/>
      </c>
      <c r="J837" s="30"/>
      <c r="K837" s="29"/>
      <c r="L837" s="31"/>
      <c r="S837">
        <f>ROUND((Source!FX342/100)*((ROUND(Source!AF342*Source!I342, 2)+ROUND(Source!AE342*Source!I342, 2))), 2)</f>
        <v>3.34</v>
      </c>
      <c r="T837">
        <f>Source!X342</f>
        <v>21.9</v>
      </c>
      <c r="U837">
        <f>ROUND((Source!FY342/100)*((ROUND(Source!AF342*Source!I342, 2)+ROUND(Source!AE342*Source!I342, 2))), 2)</f>
        <v>2.29</v>
      </c>
      <c r="V837">
        <f>Source!Y342</f>
        <v>14.98</v>
      </c>
    </row>
    <row r="838" spans="1:26" x14ac:dyDescent="0.2">
      <c r="C838" s="23" t="str">
        <f>"Объем: "&amp;Source!I342&amp;"=2,4/"&amp;"100"</f>
        <v>Объем: 0,024=2,4/100</v>
      </c>
    </row>
    <row r="839" spans="1:26" ht="14.25" x14ac:dyDescent="0.2">
      <c r="A839" s="44"/>
      <c r="B839" s="45"/>
      <c r="C839" s="45" t="s">
        <v>1930</v>
      </c>
      <c r="D839" s="28"/>
      <c r="E839" s="11"/>
      <c r="F839" s="29">
        <f>Source!AO342</f>
        <v>143.63</v>
      </c>
      <c r="G839" s="30" t="str">
        <f>Source!DG342</f>
        <v/>
      </c>
      <c r="H839" s="29">
        <f>ROUND(Source!AF342*Source!I342, 2)</f>
        <v>3.45</v>
      </c>
      <c r="I839" s="30"/>
      <c r="J839" s="30">
        <f>IF(Source!BA342&lt;&gt; 0, Source!BA342, 1)</f>
        <v>6.56</v>
      </c>
      <c r="K839" s="29">
        <f>Source!S342</f>
        <v>22.61</v>
      </c>
      <c r="L839" s="31"/>
      <c r="R839">
        <f>H839</f>
        <v>3.45</v>
      </c>
    </row>
    <row r="840" spans="1:26" ht="14.25" x14ac:dyDescent="0.2">
      <c r="A840" s="44"/>
      <c r="B840" s="45"/>
      <c r="C840" s="45" t="s">
        <v>151</v>
      </c>
      <c r="D840" s="28"/>
      <c r="E840" s="11"/>
      <c r="F840" s="29">
        <f>Source!AM342</f>
        <v>19.55</v>
      </c>
      <c r="G840" s="30" t="str">
        <f>Source!DE342</f>
        <v/>
      </c>
      <c r="H840" s="29">
        <f>ROUND(Source!AD342*Source!I342, 2)</f>
        <v>0.47</v>
      </c>
      <c r="I840" s="30"/>
      <c r="J840" s="30">
        <f>IF(Source!BB342&lt;&gt; 0, Source!BB342, 1)</f>
        <v>6.56</v>
      </c>
      <c r="K840" s="29">
        <f>Source!Q342</f>
        <v>3.08</v>
      </c>
      <c r="L840" s="31"/>
    </row>
    <row r="841" spans="1:26" ht="14.25" x14ac:dyDescent="0.2">
      <c r="A841" s="44"/>
      <c r="B841" s="45"/>
      <c r="C841" s="45" t="s">
        <v>1931</v>
      </c>
      <c r="D841" s="28"/>
      <c r="E841" s="11"/>
      <c r="F841" s="29">
        <f>Source!AN342</f>
        <v>2.77</v>
      </c>
      <c r="G841" s="30" t="str">
        <f>Source!DF342</f>
        <v/>
      </c>
      <c r="H841" s="32">
        <f>ROUND(Source!AE342*Source!I342, 2)</f>
        <v>7.0000000000000007E-2</v>
      </c>
      <c r="I841" s="30"/>
      <c r="J841" s="30">
        <f>IF(Source!BS342&lt;&gt; 0, Source!BS342, 1)</f>
        <v>6.56</v>
      </c>
      <c r="K841" s="32">
        <f>Source!R342</f>
        <v>0.44</v>
      </c>
      <c r="L841" s="31"/>
      <c r="R841">
        <f>H841</f>
        <v>7.0000000000000007E-2</v>
      </c>
    </row>
    <row r="842" spans="1:26" ht="14.25" x14ac:dyDescent="0.2">
      <c r="A842" s="44"/>
      <c r="B842" s="45"/>
      <c r="C842" s="45" t="s">
        <v>1937</v>
      </c>
      <c r="D842" s="28"/>
      <c r="E842" s="11"/>
      <c r="F842" s="29">
        <f>Source!AL342</f>
        <v>87.74</v>
      </c>
      <c r="G842" s="30" t="str">
        <f>Source!DD342</f>
        <v/>
      </c>
      <c r="H842" s="29">
        <f>ROUND(Source!AC342*Source!I342, 2)</f>
        <v>2.11</v>
      </c>
      <c r="I842" s="30"/>
      <c r="J842" s="30">
        <f>IF(Source!BC342&lt;&gt; 0, Source!BC342, 1)</f>
        <v>6.56</v>
      </c>
      <c r="K842" s="29">
        <f>Source!P342</f>
        <v>13.81</v>
      </c>
      <c r="L842" s="31"/>
    </row>
    <row r="843" spans="1:26" ht="14.25" x14ac:dyDescent="0.2">
      <c r="A843" s="44"/>
      <c r="B843" s="45"/>
      <c r="C843" s="45" t="s">
        <v>1932</v>
      </c>
      <c r="D843" s="28" t="s">
        <v>1933</v>
      </c>
      <c r="E843" s="11">
        <f>Source!BZ342</f>
        <v>95</v>
      </c>
      <c r="F843" s="48"/>
      <c r="G843" s="30"/>
      <c r="H843" s="29">
        <f>SUM(S837:S846)</f>
        <v>3.34</v>
      </c>
      <c r="I843" s="33"/>
      <c r="J843" s="26">
        <f>Source!AT342</f>
        <v>95</v>
      </c>
      <c r="K843" s="29">
        <f>SUM(T837:T846)</f>
        <v>21.9</v>
      </c>
      <c r="L843" s="31"/>
    </row>
    <row r="844" spans="1:26" ht="14.25" x14ac:dyDescent="0.2">
      <c r="A844" s="44"/>
      <c r="B844" s="45"/>
      <c r="C844" s="45" t="s">
        <v>1934</v>
      </c>
      <c r="D844" s="28" t="s">
        <v>1933</v>
      </c>
      <c r="E844" s="11">
        <f>Source!CA342</f>
        <v>65</v>
      </c>
      <c r="F844" s="48"/>
      <c r="G844" s="30"/>
      <c r="H844" s="29">
        <f>SUM(U837:U846)</f>
        <v>2.29</v>
      </c>
      <c r="I844" s="33"/>
      <c r="J844" s="26">
        <f>Source!AU342</f>
        <v>65</v>
      </c>
      <c r="K844" s="29">
        <f>SUM(V837:V846)</f>
        <v>14.98</v>
      </c>
      <c r="L844" s="31"/>
    </row>
    <row r="845" spans="1:26" ht="14.25" x14ac:dyDescent="0.2">
      <c r="A845" s="44"/>
      <c r="B845" s="45"/>
      <c r="C845" s="45" t="s">
        <v>1935</v>
      </c>
      <c r="D845" s="28" t="s">
        <v>1936</v>
      </c>
      <c r="E845" s="11">
        <f>Source!AQ342</f>
        <v>15.28</v>
      </c>
      <c r="F845" s="29"/>
      <c r="G845" s="30" t="str">
        <f>Source!DI342</f>
        <v/>
      </c>
      <c r="H845" s="29"/>
      <c r="I845" s="30"/>
      <c r="J845" s="30"/>
      <c r="K845" s="29"/>
      <c r="L845" s="40">
        <f>Source!U342</f>
        <v>0.36671999999999999</v>
      </c>
    </row>
    <row r="846" spans="1:26" ht="42.75" x14ac:dyDescent="0.2">
      <c r="A846" s="46" t="str">
        <f>Source!E343</f>
        <v>79,1</v>
      </c>
      <c r="B846" s="47" t="str">
        <f>Source!F343</f>
        <v>24.3.01.03-0014</v>
      </c>
      <c r="C846" s="47" t="str">
        <f>Source!G343</f>
        <v>Трубы жесткие гладкие легкие из самозатухающего ПВХ (IP55) серии RIG, диаметром 32 мм</v>
      </c>
      <c r="D846" s="34" t="str">
        <f>Source!H343</f>
        <v>10 м</v>
      </c>
      <c r="E846" s="35">
        <f>Source!I343</f>
        <v>0.24</v>
      </c>
      <c r="F846" s="36">
        <f>Source!AL343+Source!AM343+Source!AO343</f>
        <v>79.47</v>
      </c>
      <c r="G846" s="42" t="s">
        <v>6</v>
      </c>
      <c r="H846" s="36">
        <f>ROUND(Source!AC343*Source!I343, 2)+ROUND(Source!AD343*Source!I343, 2)+ROUND(Source!AF343*Source!I343, 2)</f>
        <v>19.07</v>
      </c>
      <c r="I846" s="37"/>
      <c r="J846" s="37">
        <f>IF(Source!BC343&lt;&gt; 0, Source!BC343, 1)</f>
        <v>6.56</v>
      </c>
      <c r="K846" s="36">
        <f>Source!O343</f>
        <v>125.12</v>
      </c>
      <c r="L846" s="43"/>
      <c r="S846">
        <f>ROUND((Source!FX343/100)*((ROUND(Source!AF343*Source!I343, 2)+ROUND(Source!AE343*Source!I343, 2))), 2)</f>
        <v>0</v>
      </c>
      <c r="T846">
        <f>Source!X343</f>
        <v>0</v>
      </c>
      <c r="U846">
        <f>ROUND((Source!FY343/100)*((ROUND(Source!AF343*Source!I343, 2)+ROUND(Source!AE343*Source!I343, 2))), 2)</f>
        <v>0</v>
      </c>
      <c r="V846">
        <f>Source!Y343</f>
        <v>0</v>
      </c>
      <c r="W846">
        <f>IF(Source!BI343&lt;=1,H846, 0)</f>
        <v>0</v>
      </c>
      <c r="X846">
        <f>IF(Source!BI343=2,H846, 0)</f>
        <v>19.07</v>
      </c>
      <c r="Y846">
        <f>IF(Source!BI343=3,H846, 0)</f>
        <v>0</v>
      </c>
      <c r="Z846">
        <f>IF(Source!BI343=4,H846, 0)</f>
        <v>0</v>
      </c>
    </row>
    <row r="847" spans="1:26" ht="15" x14ac:dyDescent="0.25">
      <c r="G847" s="63">
        <f>H839+H840+H842+H843+H844+SUM(H846:H846)</f>
        <v>30.73</v>
      </c>
      <c r="H847" s="63"/>
      <c r="J847" s="63">
        <f>K839+K840+K842+K843+K844+SUM(K846:K846)</f>
        <v>201.5</v>
      </c>
      <c r="K847" s="63"/>
      <c r="L847" s="39">
        <f>Source!U342</f>
        <v>0.36671999999999999</v>
      </c>
      <c r="O847" s="24">
        <f>G847</f>
        <v>30.73</v>
      </c>
      <c r="P847" s="24">
        <f>J847</f>
        <v>201.5</v>
      </c>
      <c r="Q847" s="24">
        <f>L847</f>
        <v>0.36671999999999999</v>
      </c>
      <c r="W847">
        <f>IF(Source!BI342&lt;=1,H839+H840+H842+H843+H844, 0)</f>
        <v>0</v>
      </c>
      <c r="X847">
        <f>IF(Source!BI342=2,H839+H840+H842+H843+H844, 0)</f>
        <v>11.66</v>
      </c>
      <c r="Y847">
        <f>IF(Source!BI342=3,H839+H840+H842+H843+H844, 0)</f>
        <v>0</v>
      </c>
      <c r="Z847">
        <f>IF(Source!BI342=4,H839+H840+H842+H843+H844, 0)</f>
        <v>0</v>
      </c>
    </row>
    <row r="848" spans="1:26" ht="28.5" x14ac:dyDescent="0.2">
      <c r="A848" s="44" t="str">
        <f>Source!E344</f>
        <v>80</v>
      </c>
      <c r="B848" s="45" t="str">
        <f>Source!F344</f>
        <v>м08-02-370-02</v>
      </c>
      <c r="C848" s="45" t="str">
        <f>Source!G344</f>
        <v>Щиток до трех групп, устанавливаемый в нише цоколя</v>
      </c>
      <c r="D848" s="28" t="str">
        <f>Source!H344</f>
        <v>ШТ</v>
      </c>
      <c r="E848" s="11">
        <f>Source!I344</f>
        <v>2</v>
      </c>
      <c r="F848" s="29">
        <f>Source!AL344+Source!AM344+Source!AO344</f>
        <v>33.42</v>
      </c>
      <c r="G848" s="30"/>
      <c r="H848" s="29"/>
      <c r="I848" s="30" t="str">
        <f>Source!BO344</f>
        <v/>
      </c>
      <c r="J848" s="30"/>
      <c r="K848" s="29"/>
      <c r="L848" s="31"/>
      <c r="S848">
        <f>ROUND((Source!FX344/100)*((ROUND(Source!AF344*Source!I344, 2)+ROUND(Source!AE344*Source!I344, 2))), 2)</f>
        <v>22.72</v>
      </c>
      <c r="T848">
        <f>Source!X344</f>
        <v>149.06</v>
      </c>
      <c r="U848">
        <f>ROUND((Source!FY344/100)*((ROUND(Source!AF344*Source!I344, 2)+ROUND(Source!AE344*Source!I344, 2))), 2)</f>
        <v>15.55</v>
      </c>
      <c r="V848">
        <f>Source!Y344</f>
        <v>101.99</v>
      </c>
    </row>
    <row r="849" spans="1:26" ht="14.25" x14ac:dyDescent="0.2">
      <c r="A849" s="44"/>
      <c r="B849" s="45"/>
      <c r="C849" s="45" t="s">
        <v>1930</v>
      </c>
      <c r="D849" s="28"/>
      <c r="E849" s="11"/>
      <c r="F849" s="29">
        <f>Source!AO344</f>
        <v>9.4499999999999993</v>
      </c>
      <c r="G849" s="30" t="str">
        <f>Source!DG344</f>
        <v/>
      </c>
      <c r="H849" s="29">
        <f>ROUND(Source!AF344*Source!I344, 2)</f>
        <v>18.899999999999999</v>
      </c>
      <c r="I849" s="30"/>
      <c r="J849" s="30">
        <f>IF(Source!BA344&lt;&gt; 0, Source!BA344, 1)</f>
        <v>6.56</v>
      </c>
      <c r="K849" s="29">
        <f>Source!S344</f>
        <v>123.98</v>
      </c>
      <c r="L849" s="31"/>
      <c r="R849">
        <f>H849</f>
        <v>18.899999999999999</v>
      </c>
    </row>
    <row r="850" spans="1:26" ht="14.25" x14ac:dyDescent="0.2">
      <c r="A850" s="44"/>
      <c r="B850" s="45"/>
      <c r="C850" s="45" t="s">
        <v>151</v>
      </c>
      <c r="D850" s="28"/>
      <c r="E850" s="11"/>
      <c r="F850" s="29">
        <f>Source!AM344</f>
        <v>17.77</v>
      </c>
      <c r="G850" s="30" t="str">
        <f>Source!DE344</f>
        <v/>
      </c>
      <c r="H850" s="29">
        <f>ROUND(Source!AD344*Source!I344, 2)</f>
        <v>35.54</v>
      </c>
      <c r="I850" s="30"/>
      <c r="J850" s="30">
        <f>IF(Source!BB344&lt;&gt; 0, Source!BB344, 1)</f>
        <v>6.56</v>
      </c>
      <c r="K850" s="29">
        <f>Source!Q344</f>
        <v>233.14</v>
      </c>
      <c r="L850" s="31"/>
    </row>
    <row r="851" spans="1:26" ht="14.25" x14ac:dyDescent="0.2">
      <c r="A851" s="44"/>
      <c r="B851" s="45"/>
      <c r="C851" s="45" t="s">
        <v>1931</v>
      </c>
      <c r="D851" s="28"/>
      <c r="E851" s="11"/>
      <c r="F851" s="29">
        <f>Source!AN344</f>
        <v>2.5099999999999998</v>
      </c>
      <c r="G851" s="30" t="str">
        <f>Source!DF344</f>
        <v/>
      </c>
      <c r="H851" s="32">
        <f>ROUND(Source!AE344*Source!I344, 2)</f>
        <v>5.0199999999999996</v>
      </c>
      <c r="I851" s="30"/>
      <c r="J851" s="30">
        <f>IF(Source!BS344&lt;&gt; 0, Source!BS344, 1)</f>
        <v>6.56</v>
      </c>
      <c r="K851" s="32">
        <f>Source!R344</f>
        <v>32.93</v>
      </c>
      <c r="L851" s="31"/>
      <c r="R851">
        <f>H851</f>
        <v>5.0199999999999996</v>
      </c>
    </row>
    <row r="852" spans="1:26" ht="14.25" x14ac:dyDescent="0.2">
      <c r="A852" s="44"/>
      <c r="B852" s="45"/>
      <c r="C852" s="45" t="s">
        <v>1937</v>
      </c>
      <c r="D852" s="28"/>
      <c r="E852" s="11"/>
      <c r="F852" s="29">
        <f>Source!AL344</f>
        <v>6.2</v>
      </c>
      <c r="G852" s="30" t="str">
        <f>Source!DD344</f>
        <v/>
      </c>
      <c r="H852" s="29">
        <f>ROUND(Source!AC344*Source!I344, 2)</f>
        <v>12.4</v>
      </c>
      <c r="I852" s="30"/>
      <c r="J852" s="30">
        <f>IF(Source!BC344&lt;&gt; 0, Source!BC344, 1)</f>
        <v>6.56</v>
      </c>
      <c r="K852" s="29">
        <f>Source!P344</f>
        <v>81.34</v>
      </c>
      <c r="L852" s="31"/>
    </row>
    <row r="853" spans="1:26" ht="14.25" x14ac:dyDescent="0.2">
      <c r="A853" s="44"/>
      <c r="B853" s="45"/>
      <c r="C853" s="45" t="s">
        <v>1932</v>
      </c>
      <c r="D853" s="28" t="s">
        <v>1933</v>
      </c>
      <c r="E853" s="11">
        <f>Source!BZ344</f>
        <v>95</v>
      </c>
      <c r="F853" s="48"/>
      <c r="G853" s="30"/>
      <c r="H853" s="29">
        <f>SUM(S848:S856)</f>
        <v>22.72</v>
      </c>
      <c r="I853" s="33"/>
      <c r="J853" s="26">
        <f>Source!AT344</f>
        <v>95</v>
      </c>
      <c r="K853" s="29">
        <f>SUM(T848:T856)</f>
        <v>149.06</v>
      </c>
      <c r="L853" s="31"/>
    </row>
    <row r="854" spans="1:26" ht="14.25" x14ac:dyDescent="0.2">
      <c r="A854" s="44"/>
      <c r="B854" s="45"/>
      <c r="C854" s="45" t="s">
        <v>1934</v>
      </c>
      <c r="D854" s="28" t="s">
        <v>1933</v>
      </c>
      <c r="E854" s="11">
        <f>Source!CA344</f>
        <v>65</v>
      </c>
      <c r="F854" s="48"/>
      <c r="G854" s="30"/>
      <c r="H854" s="29">
        <f>SUM(U848:U856)</f>
        <v>15.55</v>
      </c>
      <c r="I854" s="33"/>
      <c r="J854" s="26">
        <f>Source!AU344</f>
        <v>65</v>
      </c>
      <c r="K854" s="29">
        <f>SUM(V848:V856)</f>
        <v>101.99</v>
      </c>
      <c r="L854" s="31"/>
    </row>
    <row r="855" spans="1:26" ht="14.25" x14ac:dyDescent="0.2">
      <c r="A855" s="44"/>
      <c r="B855" s="45"/>
      <c r="C855" s="45" t="s">
        <v>1935</v>
      </c>
      <c r="D855" s="28" t="s">
        <v>1936</v>
      </c>
      <c r="E855" s="11">
        <f>Source!AQ344</f>
        <v>0.9</v>
      </c>
      <c r="F855" s="29"/>
      <c r="G855" s="30" t="str">
        <f>Source!DI344</f>
        <v/>
      </c>
      <c r="H855" s="29"/>
      <c r="I855" s="30"/>
      <c r="J855" s="30"/>
      <c r="K855" s="29"/>
      <c r="L855" s="40">
        <f>Source!U344</f>
        <v>1.8</v>
      </c>
    </row>
    <row r="856" spans="1:26" ht="28.5" x14ac:dyDescent="0.2">
      <c r="A856" s="46" t="str">
        <f>Source!E345</f>
        <v>80,1</v>
      </c>
      <c r="B856" s="47" t="str">
        <f>Source!F345</f>
        <v>62.1.02.17-0012</v>
      </c>
      <c r="C856" s="47" t="str">
        <f>Source!G345</f>
        <v>Щитки распределительные этажные  EKF ЩРВ-48(з) прим.</v>
      </c>
      <c r="D856" s="34" t="str">
        <f>Source!H345</f>
        <v>шт.</v>
      </c>
      <c r="E856" s="35">
        <f>Source!I345</f>
        <v>2</v>
      </c>
      <c r="F856" s="36">
        <f>Source!AL345+Source!AM345+Source!AO345</f>
        <v>1494.77</v>
      </c>
      <c r="G856" s="42" t="s">
        <v>6</v>
      </c>
      <c r="H856" s="36">
        <f>ROUND(Source!AC345*Source!I345, 2)+ROUND(Source!AD345*Source!I345, 2)+ROUND(Source!AF345*Source!I345, 2)</f>
        <v>2989.54</v>
      </c>
      <c r="I856" s="37"/>
      <c r="J856" s="37">
        <f>IF(Source!BC345&lt;&gt; 0, Source!BC345, 1)</f>
        <v>6.56</v>
      </c>
      <c r="K856" s="36">
        <f>Source!O345</f>
        <v>19611.38</v>
      </c>
      <c r="L856" s="43"/>
      <c r="S856">
        <f>ROUND((Source!FX345/100)*((ROUND(Source!AF345*Source!I345, 2)+ROUND(Source!AE345*Source!I345, 2))), 2)</f>
        <v>0</v>
      </c>
      <c r="T856">
        <f>Source!X345</f>
        <v>0</v>
      </c>
      <c r="U856">
        <f>ROUND((Source!FY345/100)*((ROUND(Source!AF345*Source!I345, 2)+ROUND(Source!AE345*Source!I345, 2))), 2)</f>
        <v>0</v>
      </c>
      <c r="V856">
        <f>Source!Y345</f>
        <v>0</v>
      </c>
      <c r="W856">
        <f>IF(Source!BI345&lt;=1,H856, 0)</f>
        <v>0</v>
      </c>
      <c r="X856">
        <f>IF(Source!BI345=2,H856, 0)</f>
        <v>2989.54</v>
      </c>
      <c r="Y856">
        <f>IF(Source!BI345=3,H856, 0)</f>
        <v>0</v>
      </c>
      <c r="Z856">
        <f>IF(Source!BI345=4,H856, 0)</f>
        <v>0</v>
      </c>
    </row>
    <row r="857" spans="1:26" ht="15" x14ac:dyDescent="0.25">
      <c r="G857" s="63">
        <f>H849+H850+H852+H853+H854+SUM(H856:H856)</f>
        <v>3094.65</v>
      </c>
      <c r="H857" s="63"/>
      <c r="J857" s="63">
        <f>K849+K850+K852+K853+K854+SUM(K856:K856)</f>
        <v>20300.89</v>
      </c>
      <c r="K857" s="63"/>
      <c r="L857" s="39">
        <f>Source!U344</f>
        <v>1.8</v>
      </c>
      <c r="O857" s="24">
        <f>G857</f>
        <v>3094.65</v>
      </c>
      <c r="P857" s="24">
        <f>J857</f>
        <v>20300.89</v>
      </c>
      <c r="Q857" s="24">
        <f>L857</f>
        <v>1.8</v>
      </c>
      <c r="W857">
        <f>IF(Source!BI344&lt;=1,H849+H850+H852+H853+H854, 0)</f>
        <v>0</v>
      </c>
      <c r="X857">
        <f>IF(Source!BI344=2,H849+H850+H852+H853+H854, 0)</f>
        <v>105.11</v>
      </c>
      <c r="Y857">
        <f>IF(Source!BI344=3,H849+H850+H852+H853+H854, 0)</f>
        <v>0</v>
      </c>
      <c r="Z857">
        <f>IF(Source!BI344=4,H849+H850+H852+H853+H854, 0)</f>
        <v>0</v>
      </c>
    </row>
    <row r="858" spans="1:26" ht="42.75" x14ac:dyDescent="0.2">
      <c r="A858" s="44" t="str">
        <f>Source!E346</f>
        <v>81</v>
      </c>
      <c r="B858" s="45" t="str">
        <f>Source!F346</f>
        <v>м08-03-526-06</v>
      </c>
      <c r="C858" s="45" t="str">
        <f>Source!G346</f>
        <v>Автомат одно-, двух-, трехполюсный, устанавливаемый на конструкции на полу, на ток до 25 А</v>
      </c>
      <c r="D858" s="28" t="str">
        <f>Source!H346</f>
        <v>ШТ</v>
      </c>
      <c r="E858" s="11">
        <f>Source!I346</f>
        <v>10</v>
      </c>
      <c r="F858" s="29">
        <f>Source!AL346+Source!AM346+Source!AO346</f>
        <v>71.97</v>
      </c>
      <c r="G858" s="30"/>
      <c r="H858" s="29"/>
      <c r="I858" s="30" t="str">
        <f>Source!BO346</f>
        <v/>
      </c>
      <c r="J858" s="30"/>
      <c r="K858" s="29"/>
      <c r="L858" s="31"/>
      <c r="S858">
        <f>ROUND((Source!FX346/100)*((ROUND(Source!AF346*Source!I346, 2)+ROUND(Source!AE346*Source!I346, 2))), 2)</f>
        <v>146.4</v>
      </c>
      <c r="T858">
        <f>Source!X346</f>
        <v>960.36</v>
      </c>
      <c r="U858">
        <f>ROUND((Source!FY346/100)*((ROUND(Source!AF346*Source!I346, 2)+ROUND(Source!AE346*Source!I346, 2))), 2)</f>
        <v>100.17</v>
      </c>
      <c r="V858">
        <f>Source!Y346</f>
        <v>657.09</v>
      </c>
    </row>
    <row r="859" spans="1:26" ht="14.25" x14ac:dyDescent="0.2">
      <c r="A859" s="44"/>
      <c r="B859" s="45"/>
      <c r="C859" s="45" t="s">
        <v>1930</v>
      </c>
      <c r="D859" s="28"/>
      <c r="E859" s="11"/>
      <c r="F859" s="29">
        <f>Source!AO346</f>
        <v>15.41</v>
      </c>
      <c r="G859" s="30" t="str">
        <f>Source!DG346</f>
        <v/>
      </c>
      <c r="H859" s="29">
        <f>ROUND(Source!AF346*Source!I346, 2)</f>
        <v>154.1</v>
      </c>
      <c r="I859" s="30"/>
      <c r="J859" s="30">
        <f>IF(Source!BA346&lt;&gt; 0, Source!BA346, 1)</f>
        <v>6.56</v>
      </c>
      <c r="K859" s="29">
        <f>Source!S346</f>
        <v>1010.9</v>
      </c>
      <c r="L859" s="31"/>
      <c r="R859">
        <f>H859</f>
        <v>154.1</v>
      </c>
    </row>
    <row r="860" spans="1:26" ht="14.25" x14ac:dyDescent="0.2">
      <c r="A860" s="44"/>
      <c r="B860" s="45"/>
      <c r="C860" s="45" t="s">
        <v>151</v>
      </c>
      <c r="D860" s="28"/>
      <c r="E860" s="11"/>
      <c r="F860" s="29">
        <f>Source!AM346</f>
        <v>1.1299999999999999</v>
      </c>
      <c r="G860" s="30" t="str">
        <f>Source!DE346</f>
        <v/>
      </c>
      <c r="H860" s="29">
        <f>ROUND(Source!AD346*Source!I346, 2)</f>
        <v>11.3</v>
      </c>
      <c r="I860" s="30"/>
      <c r="J860" s="30">
        <f>IF(Source!BB346&lt;&gt; 0, Source!BB346, 1)</f>
        <v>6.56</v>
      </c>
      <c r="K860" s="29">
        <f>Source!Q346</f>
        <v>74.13</v>
      </c>
      <c r="L860" s="31"/>
    </row>
    <row r="861" spans="1:26" ht="14.25" x14ac:dyDescent="0.2">
      <c r="A861" s="44"/>
      <c r="B861" s="45"/>
      <c r="C861" s="45" t="s">
        <v>1937</v>
      </c>
      <c r="D861" s="28"/>
      <c r="E861" s="11"/>
      <c r="F861" s="29">
        <f>Source!AL346</f>
        <v>55.43</v>
      </c>
      <c r="G861" s="30" t="str">
        <f>Source!DD346</f>
        <v/>
      </c>
      <c r="H861" s="29">
        <f>ROUND(Source!AC346*Source!I346, 2)</f>
        <v>554.29999999999995</v>
      </c>
      <c r="I861" s="30"/>
      <c r="J861" s="30">
        <f>IF(Source!BC346&lt;&gt; 0, Source!BC346, 1)</f>
        <v>6.56</v>
      </c>
      <c r="K861" s="29">
        <f>Source!P346</f>
        <v>3636.21</v>
      </c>
      <c r="L861" s="31"/>
    </row>
    <row r="862" spans="1:26" ht="14.25" x14ac:dyDescent="0.2">
      <c r="A862" s="44"/>
      <c r="B862" s="45"/>
      <c r="C862" s="45" t="s">
        <v>1932</v>
      </c>
      <c r="D862" s="28" t="s">
        <v>1933</v>
      </c>
      <c r="E862" s="11">
        <f>Source!BZ346</f>
        <v>95</v>
      </c>
      <c r="F862" s="48"/>
      <c r="G862" s="30"/>
      <c r="H862" s="29">
        <f>SUM(S858:S865)</f>
        <v>146.4</v>
      </c>
      <c r="I862" s="33"/>
      <c r="J862" s="26">
        <f>Source!AT346</f>
        <v>95</v>
      </c>
      <c r="K862" s="29">
        <f>SUM(T858:T865)</f>
        <v>960.36</v>
      </c>
      <c r="L862" s="31"/>
    </row>
    <row r="863" spans="1:26" ht="14.25" x14ac:dyDescent="0.2">
      <c r="A863" s="44"/>
      <c r="B863" s="45"/>
      <c r="C863" s="45" t="s">
        <v>1934</v>
      </c>
      <c r="D863" s="28" t="s">
        <v>1933</v>
      </c>
      <c r="E863" s="11">
        <f>Source!CA346</f>
        <v>65</v>
      </c>
      <c r="F863" s="48"/>
      <c r="G863" s="30"/>
      <c r="H863" s="29">
        <f>SUM(U858:U865)</f>
        <v>100.17</v>
      </c>
      <c r="I863" s="33"/>
      <c r="J863" s="26">
        <f>Source!AU346</f>
        <v>65</v>
      </c>
      <c r="K863" s="29">
        <f>SUM(V858:V865)</f>
        <v>657.09</v>
      </c>
      <c r="L863" s="31"/>
    </row>
    <row r="864" spans="1:26" ht="14.25" x14ac:dyDescent="0.2">
      <c r="A864" s="44"/>
      <c r="B864" s="45"/>
      <c r="C864" s="45" t="s">
        <v>1935</v>
      </c>
      <c r="D864" s="28" t="s">
        <v>1936</v>
      </c>
      <c r="E864" s="11">
        <f>Source!AQ346</f>
        <v>1.62</v>
      </c>
      <c r="F864" s="29"/>
      <c r="G864" s="30" t="str">
        <f>Source!DI346</f>
        <v/>
      </c>
      <c r="H864" s="29"/>
      <c r="I864" s="30"/>
      <c r="J864" s="30"/>
      <c r="K864" s="29"/>
      <c r="L864" s="40">
        <f>Source!U346</f>
        <v>16.200000000000003</v>
      </c>
    </row>
    <row r="865" spans="1:26" ht="28.5" x14ac:dyDescent="0.2">
      <c r="A865" s="46" t="str">
        <f>Source!E347</f>
        <v>81,1</v>
      </c>
      <c r="B865" s="47" t="str">
        <f>Source!F347</f>
        <v>62.1.01.09-0048</v>
      </c>
      <c r="C865" s="47" t="str">
        <f>Source!G347</f>
        <v>Выключатели автоматические АВВ 1Р 6А прим.</v>
      </c>
      <c r="D865" s="34" t="str">
        <f>Source!H347</f>
        <v>шт.</v>
      </c>
      <c r="E865" s="35">
        <f>Source!I347</f>
        <v>10</v>
      </c>
      <c r="F865" s="36">
        <f>Source!AL347+Source!AM347+Source!AO347</f>
        <v>81.61</v>
      </c>
      <c r="G865" s="42" t="s">
        <v>6</v>
      </c>
      <c r="H865" s="36">
        <f>ROUND(Source!AC347*Source!I347, 2)+ROUND(Source!AD347*Source!I347, 2)+ROUND(Source!AF347*Source!I347, 2)</f>
        <v>816.1</v>
      </c>
      <c r="I865" s="37"/>
      <c r="J865" s="37">
        <f>IF(Source!BC347&lt;&gt; 0, Source!BC347, 1)</f>
        <v>6.56</v>
      </c>
      <c r="K865" s="36">
        <f>Source!O347</f>
        <v>5353.62</v>
      </c>
      <c r="L865" s="43"/>
      <c r="S865">
        <f>ROUND((Source!FX347/100)*((ROUND(Source!AF347*Source!I347, 2)+ROUND(Source!AE347*Source!I347, 2))), 2)</f>
        <v>0</v>
      </c>
      <c r="T865">
        <f>Source!X347</f>
        <v>0</v>
      </c>
      <c r="U865">
        <f>ROUND((Source!FY347/100)*((ROUND(Source!AF347*Source!I347, 2)+ROUND(Source!AE347*Source!I347, 2))), 2)</f>
        <v>0</v>
      </c>
      <c r="V865">
        <f>Source!Y347</f>
        <v>0</v>
      </c>
      <c r="W865">
        <f>IF(Source!BI347&lt;=1,H865, 0)</f>
        <v>0</v>
      </c>
      <c r="X865">
        <f>IF(Source!BI347=2,H865, 0)</f>
        <v>816.1</v>
      </c>
      <c r="Y865">
        <f>IF(Source!BI347=3,H865, 0)</f>
        <v>0</v>
      </c>
      <c r="Z865">
        <f>IF(Source!BI347=4,H865, 0)</f>
        <v>0</v>
      </c>
    </row>
    <row r="866" spans="1:26" ht="15" x14ac:dyDescent="0.25">
      <c r="G866" s="63">
        <f>H859+H860+H861+H862+H863+SUM(H865:H865)</f>
        <v>1782.37</v>
      </c>
      <c r="H866" s="63"/>
      <c r="J866" s="63">
        <f>K859+K860+K861+K862+K863+SUM(K865:K865)</f>
        <v>11692.31</v>
      </c>
      <c r="K866" s="63"/>
      <c r="L866" s="39">
        <f>Source!U346</f>
        <v>16.200000000000003</v>
      </c>
      <c r="O866" s="24">
        <f>G866</f>
        <v>1782.37</v>
      </c>
      <c r="P866" s="24">
        <f>J866</f>
        <v>11692.31</v>
      </c>
      <c r="Q866" s="24">
        <f>L866</f>
        <v>16.200000000000003</v>
      </c>
      <c r="W866">
        <f>IF(Source!BI346&lt;=1,H859+H860+H861+H862+H863, 0)</f>
        <v>0</v>
      </c>
      <c r="X866">
        <f>IF(Source!BI346=2,H859+H860+H861+H862+H863, 0)</f>
        <v>966.26999999999987</v>
      </c>
      <c r="Y866">
        <f>IF(Source!BI346=3,H859+H860+H861+H862+H863, 0)</f>
        <v>0</v>
      </c>
      <c r="Z866">
        <f>IF(Source!BI346=4,H859+H860+H861+H862+H863, 0)</f>
        <v>0</v>
      </c>
    </row>
    <row r="867" spans="1:26" ht="28.5" x14ac:dyDescent="0.2">
      <c r="A867" s="44" t="str">
        <f>Source!E348</f>
        <v>82</v>
      </c>
      <c r="B867" s="45" t="str">
        <f>Source!F348</f>
        <v>м08-03-575-01</v>
      </c>
      <c r="C867" s="45" t="str">
        <f>Source!G348</f>
        <v>Прибор или аппарат</v>
      </c>
      <c r="D867" s="28" t="str">
        <f>Source!H348</f>
        <v>ШТ</v>
      </c>
      <c r="E867" s="11">
        <f>Source!I348</f>
        <v>4</v>
      </c>
      <c r="F867" s="29">
        <f>Source!AL348+Source!AM348+Source!AO348</f>
        <v>11.51</v>
      </c>
      <c r="G867" s="30"/>
      <c r="H867" s="29"/>
      <c r="I867" s="30" t="str">
        <f>Source!BO348</f>
        <v/>
      </c>
      <c r="J867" s="30"/>
      <c r="K867" s="29"/>
      <c r="L867" s="31"/>
      <c r="S867">
        <f>ROUND((Source!FX348/100)*((ROUND(Source!AF348*Source!I348, 2)+ROUND(Source!AE348*Source!I348, 2))), 2)</f>
        <v>42.22</v>
      </c>
      <c r="T867">
        <f>Source!X348</f>
        <v>276.95</v>
      </c>
      <c r="U867">
        <f>ROUND((Source!FY348/100)*((ROUND(Source!AF348*Source!I348, 2)+ROUND(Source!AE348*Source!I348, 2))), 2)</f>
        <v>28.89</v>
      </c>
      <c r="V867">
        <f>Source!Y348</f>
        <v>189.49</v>
      </c>
    </row>
    <row r="868" spans="1:26" ht="14.25" x14ac:dyDescent="0.2">
      <c r="A868" s="44"/>
      <c r="B868" s="45"/>
      <c r="C868" s="45" t="s">
        <v>1930</v>
      </c>
      <c r="D868" s="28"/>
      <c r="E868" s="11"/>
      <c r="F868" s="29">
        <f>Source!AO348</f>
        <v>11.11</v>
      </c>
      <c r="G868" s="30" t="str">
        <f>Source!DG348</f>
        <v/>
      </c>
      <c r="H868" s="29">
        <f>ROUND(Source!AF348*Source!I348, 2)</f>
        <v>44.44</v>
      </c>
      <c r="I868" s="30"/>
      <c r="J868" s="30">
        <f>IF(Source!BA348&lt;&gt; 0, Source!BA348, 1)</f>
        <v>6.56</v>
      </c>
      <c r="K868" s="29">
        <f>Source!S348</f>
        <v>291.52999999999997</v>
      </c>
      <c r="L868" s="31"/>
      <c r="R868">
        <f>H868</f>
        <v>44.44</v>
      </c>
    </row>
    <row r="869" spans="1:26" ht="14.25" x14ac:dyDescent="0.2">
      <c r="A869" s="44"/>
      <c r="B869" s="45"/>
      <c r="C869" s="45" t="s">
        <v>1937</v>
      </c>
      <c r="D869" s="28"/>
      <c r="E869" s="11"/>
      <c r="F869" s="29">
        <f>Source!AL348</f>
        <v>0.4</v>
      </c>
      <c r="G869" s="30" t="str">
        <f>Source!DD348</f>
        <v/>
      </c>
      <c r="H869" s="29">
        <f>ROUND(Source!AC348*Source!I348, 2)</f>
        <v>1.6</v>
      </c>
      <c r="I869" s="30"/>
      <c r="J869" s="30">
        <f>IF(Source!BC348&lt;&gt; 0, Source!BC348, 1)</f>
        <v>6.56</v>
      </c>
      <c r="K869" s="29">
        <f>Source!P348</f>
        <v>10.5</v>
      </c>
      <c r="L869" s="31"/>
    </row>
    <row r="870" spans="1:26" ht="14.25" x14ac:dyDescent="0.2">
      <c r="A870" s="44"/>
      <c r="B870" s="45"/>
      <c r="C870" s="45" t="s">
        <v>1932</v>
      </c>
      <c r="D870" s="28" t="s">
        <v>1933</v>
      </c>
      <c r="E870" s="11">
        <f>Source!BZ348</f>
        <v>95</v>
      </c>
      <c r="F870" s="48"/>
      <c r="G870" s="30"/>
      <c r="H870" s="29">
        <f>SUM(S867:S874)</f>
        <v>42.22</v>
      </c>
      <c r="I870" s="33"/>
      <c r="J870" s="26">
        <f>Source!AT348</f>
        <v>95</v>
      </c>
      <c r="K870" s="29">
        <f>SUM(T867:T874)</f>
        <v>276.95</v>
      </c>
      <c r="L870" s="31"/>
    </row>
    <row r="871" spans="1:26" ht="14.25" x14ac:dyDescent="0.2">
      <c r="A871" s="44"/>
      <c r="B871" s="45"/>
      <c r="C871" s="45" t="s">
        <v>1934</v>
      </c>
      <c r="D871" s="28" t="s">
        <v>1933</v>
      </c>
      <c r="E871" s="11">
        <f>Source!CA348</f>
        <v>65</v>
      </c>
      <c r="F871" s="48"/>
      <c r="G871" s="30"/>
      <c r="H871" s="29">
        <f>SUM(U867:U874)</f>
        <v>28.89</v>
      </c>
      <c r="I871" s="33"/>
      <c r="J871" s="26">
        <f>Source!AU348</f>
        <v>65</v>
      </c>
      <c r="K871" s="29">
        <f>SUM(V867:V874)</f>
        <v>189.49</v>
      </c>
      <c r="L871" s="31"/>
    </row>
    <row r="872" spans="1:26" ht="14.25" x14ac:dyDescent="0.2">
      <c r="A872" s="44"/>
      <c r="B872" s="45"/>
      <c r="C872" s="45" t="s">
        <v>1935</v>
      </c>
      <c r="D872" s="28" t="s">
        <v>1936</v>
      </c>
      <c r="E872" s="11">
        <f>Source!AQ348</f>
        <v>1.1200000000000001</v>
      </c>
      <c r="F872" s="29"/>
      <c r="G872" s="30" t="str">
        <f>Source!DI348</f>
        <v/>
      </c>
      <c r="H872" s="29"/>
      <c r="I872" s="30"/>
      <c r="J872" s="30"/>
      <c r="K872" s="29"/>
      <c r="L872" s="40">
        <f>Source!U348</f>
        <v>4.4800000000000004</v>
      </c>
    </row>
    <row r="873" spans="1:26" ht="42.75" x14ac:dyDescent="0.2">
      <c r="A873" s="44" t="str">
        <f>Source!E349</f>
        <v>82,1</v>
      </c>
      <c r="B873" s="45" t="str">
        <f>Source!F349</f>
        <v>62.1.01.09-0070</v>
      </c>
      <c r="C873" s="45" t="str">
        <f>Source!G349</f>
        <v>Автомат вводной в щит освещения OptimaMat E100L050-УХЛЗ -50А/3Р/380В 10кА прим.</v>
      </c>
      <c r="D873" s="28" t="str">
        <f>Source!H349</f>
        <v>шт.</v>
      </c>
      <c r="E873" s="11">
        <f>Source!I349</f>
        <v>2</v>
      </c>
      <c r="F873" s="29">
        <f>Source!AL349+Source!AM349+Source!AO349</f>
        <v>428.4</v>
      </c>
      <c r="G873" s="41" t="s">
        <v>6</v>
      </c>
      <c r="H873" s="29">
        <f>ROUND(Source!AC349*Source!I349, 2)+ROUND(Source!AD349*Source!I349, 2)+ROUND(Source!AF349*Source!I349, 2)</f>
        <v>856.8</v>
      </c>
      <c r="I873" s="30"/>
      <c r="J873" s="30">
        <f>IF(Source!BC349&lt;&gt; 0, Source!BC349, 1)</f>
        <v>6.56</v>
      </c>
      <c r="K873" s="29">
        <f>Source!O349</f>
        <v>5620.61</v>
      </c>
      <c r="L873" s="31"/>
      <c r="S873">
        <f>ROUND((Source!FX349/100)*((ROUND(Source!AF349*Source!I349, 2)+ROUND(Source!AE349*Source!I349, 2))), 2)</f>
        <v>0</v>
      </c>
      <c r="T873">
        <f>Source!X349</f>
        <v>0</v>
      </c>
      <c r="U873">
        <f>ROUND((Source!FY349/100)*((ROUND(Source!AF349*Source!I349, 2)+ROUND(Source!AE349*Source!I349, 2))), 2)</f>
        <v>0</v>
      </c>
      <c r="V873">
        <f>Source!Y349</f>
        <v>0</v>
      </c>
      <c r="W873">
        <f>IF(Source!BI349&lt;=1,H873, 0)</f>
        <v>0</v>
      </c>
      <c r="X873">
        <f>IF(Source!BI349=2,H873, 0)</f>
        <v>856.8</v>
      </c>
      <c r="Y873">
        <f>IF(Source!BI349=3,H873, 0)</f>
        <v>0</v>
      </c>
      <c r="Z873">
        <f>IF(Source!BI349=4,H873, 0)</f>
        <v>0</v>
      </c>
    </row>
    <row r="874" spans="1:26" ht="28.5" x14ac:dyDescent="0.2">
      <c r="A874" s="46" t="str">
        <f>Source!E350</f>
        <v>82,2</v>
      </c>
      <c r="B874" s="47" t="str">
        <f>Source!F350</f>
        <v>62.1.01.09-0071</v>
      </c>
      <c r="C874" s="47" t="str">
        <f>Source!G350</f>
        <v>Автомат ВА57ф35-340019  63А-630/3Р/400В/10кА В ВРУ прим.</v>
      </c>
      <c r="D874" s="34" t="str">
        <f>Source!H350</f>
        <v>шт.</v>
      </c>
      <c r="E874" s="35">
        <f>Source!I350</f>
        <v>2</v>
      </c>
      <c r="F874" s="36">
        <f>Source!AL350+Source!AM350+Source!AO350</f>
        <v>428.4</v>
      </c>
      <c r="G874" s="42" t="s">
        <v>6</v>
      </c>
      <c r="H874" s="36">
        <f>ROUND(Source!AC350*Source!I350, 2)+ROUND(Source!AD350*Source!I350, 2)+ROUND(Source!AF350*Source!I350, 2)</f>
        <v>856.8</v>
      </c>
      <c r="I874" s="37"/>
      <c r="J874" s="37">
        <f>IF(Source!BC350&lt;&gt; 0, Source!BC350, 1)</f>
        <v>6.56</v>
      </c>
      <c r="K874" s="36">
        <f>Source!O350</f>
        <v>5620.61</v>
      </c>
      <c r="L874" s="43"/>
      <c r="S874">
        <f>ROUND((Source!FX350/100)*((ROUND(Source!AF350*Source!I350, 2)+ROUND(Source!AE350*Source!I350, 2))), 2)</f>
        <v>0</v>
      </c>
      <c r="T874">
        <f>Source!X350</f>
        <v>0</v>
      </c>
      <c r="U874">
        <f>ROUND((Source!FY350/100)*((ROUND(Source!AF350*Source!I350, 2)+ROUND(Source!AE350*Source!I350, 2))), 2)</f>
        <v>0</v>
      </c>
      <c r="V874">
        <f>Source!Y350</f>
        <v>0</v>
      </c>
      <c r="W874">
        <f>IF(Source!BI350&lt;=1,H874, 0)</f>
        <v>0</v>
      </c>
      <c r="X874">
        <f>IF(Source!BI350=2,H874, 0)</f>
        <v>856.8</v>
      </c>
      <c r="Y874">
        <f>IF(Source!BI350=3,H874, 0)</f>
        <v>0</v>
      </c>
      <c r="Z874">
        <f>IF(Source!BI350=4,H874, 0)</f>
        <v>0</v>
      </c>
    </row>
    <row r="875" spans="1:26" ht="15" x14ac:dyDescent="0.25">
      <c r="G875" s="63">
        <f>H868+H869+H870+H871+SUM(H873:H874)</f>
        <v>1830.75</v>
      </c>
      <c r="H875" s="63"/>
      <c r="J875" s="63">
        <f>K868+K869+K870+K871+SUM(K873:K874)</f>
        <v>12009.689999999999</v>
      </c>
      <c r="K875" s="63"/>
      <c r="L875" s="39">
        <f>Source!U348</f>
        <v>4.4800000000000004</v>
      </c>
      <c r="O875" s="24">
        <f>G875</f>
        <v>1830.75</v>
      </c>
      <c r="P875" s="24">
        <f>J875</f>
        <v>12009.689999999999</v>
      </c>
      <c r="Q875" s="24">
        <f>L875</f>
        <v>4.4800000000000004</v>
      </c>
      <c r="W875">
        <f>IF(Source!BI348&lt;=1,H868+H869+H870+H871, 0)</f>
        <v>0</v>
      </c>
      <c r="X875">
        <f>IF(Source!BI348=2,H868+H869+H870+H871, 0)</f>
        <v>117.14999999999999</v>
      </c>
      <c r="Y875">
        <f>IF(Source!BI348=3,H868+H869+H870+H871, 0)</f>
        <v>0</v>
      </c>
      <c r="Z875">
        <f>IF(Source!BI348=4,H868+H869+H870+H871, 0)</f>
        <v>0</v>
      </c>
    </row>
    <row r="876" spans="1:26" ht="42.75" x14ac:dyDescent="0.2">
      <c r="A876" s="44" t="str">
        <f>Source!E351</f>
        <v>83</v>
      </c>
      <c r="B876" s="45" t="str">
        <f>Source!F351</f>
        <v>м08-02-397-01 прим.</v>
      </c>
      <c r="C876" s="45" t="str">
        <f>Source!G351</f>
        <v>Профиль перфорированный монтажный длиной 2 м (Лоток оцинкованный перфорированый)</v>
      </c>
      <c r="D876" s="28" t="str">
        <f>Source!H351</f>
        <v>100 м</v>
      </c>
      <c r="E876" s="11">
        <f>Source!I351</f>
        <v>0.35</v>
      </c>
      <c r="F876" s="29">
        <f>Source!AL351+Source!AM351+Source!AO351</f>
        <v>582.66</v>
      </c>
      <c r="G876" s="30"/>
      <c r="H876" s="29"/>
      <c r="I876" s="30" t="str">
        <f>Source!BO351</f>
        <v/>
      </c>
      <c r="J876" s="30"/>
      <c r="K876" s="29"/>
      <c r="L876" s="31"/>
      <c r="S876">
        <f>ROUND((Source!FX351/100)*((ROUND(Source!AF351*Source!I351, 2)+ROUND(Source!AE351*Source!I351, 2))), 2)</f>
        <v>34.51</v>
      </c>
      <c r="T876">
        <f>Source!X351</f>
        <v>226.39</v>
      </c>
      <c r="U876">
        <f>ROUND((Source!FY351/100)*((ROUND(Source!AF351*Source!I351, 2)+ROUND(Source!AE351*Source!I351, 2))), 2)</f>
        <v>23.61</v>
      </c>
      <c r="V876">
        <f>Source!Y351</f>
        <v>154.9</v>
      </c>
    </row>
    <row r="877" spans="1:26" x14ac:dyDescent="0.2">
      <c r="C877" s="23" t="str">
        <f>"Объем: "&amp;Source!I351&amp;"=35/"&amp;"100"</f>
        <v>Объем: 0,35=35/100</v>
      </c>
    </row>
    <row r="878" spans="1:26" ht="14.25" x14ac:dyDescent="0.2">
      <c r="A878" s="44"/>
      <c r="B878" s="45"/>
      <c r="C878" s="45" t="s">
        <v>1930</v>
      </c>
      <c r="D878" s="28"/>
      <c r="E878" s="11"/>
      <c r="F878" s="29">
        <f>Source!AO351</f>
        <v>80.459999999999994</v>
      </c>
      <c r="G878" s="30" t="str">
        <f>Source!DG351</f>
        <v/>
      </c>
      <c r="H878" s="29">
        <f>ROUND(Source!AF351*Source!I351, 2)</f>
        <v>28.16</v>
      </c>
      <c r="I878" s="30"/>
      <c r="J878" s="30">
        <f>IF(Source!BA351&lt;&gt; 0, Source!BA351, 1)</f>
        <v>6.56</v>
      </c>
      <c r="K878" s="29">
        <f>Source!S351</f>
        <v>184.74</v>
      </c>
      <c r="L878" s="31"/>
      <c r="R878">
        <f>H878</f>
        <v>28.16</v>
      </c>
    </row>
    <row r="879" spans="1:26" ht="14.25" x14ac:dyDescent="0.2">
      <c r="A879" s="44"/>
      <c r="B879" s="45"/>
      <c r="C879" s="45" t="s">
        <v>151</v>
      </c>
      <c r="D879" s="28"/>
      <c r="E879" s="11"/>
      <c r="F879" s="29">
        <f>Source!AM351</f>
        <v>94.67</v>
      </c>
      <c r="G879" s="30" t="str">
        <f>Source!DE351</f>
        <v/>
      </c>
      <c r="H879" s="29">
        <f>ROUND(Source!AD351*Source!I351, 2)</f>
        <v>33.130000000000003</v>
      </c>
      <c r="I879" s="30"/>
      <c r="J879" s="30">
        <f>IF(Source!BB351&lt;&gt; 0, Source!BB351, 1)</f>
        <v>6.56</v>
      </c>
      <c r="K879" s="29">
        <f>Source!Q351</f>
        <v>217.36</v>
      </c>
      <c r="L879" s="31"/>
    </row>
    <row r="880" spans="1:26" ht="14.25" x14ac:dyDescent="0.2">
      <c r="A880" s="44"/>
      <c r="B880" s="45"/>
      <c r="C880" s="45" t="s">
        <v>1931</v>
      </c>
      <c r="D880" s="28"/>
      <c r="E880" s="11"/>
      <c r="F880" s="29">
        <f>Source!AN351</f>
        <v>23.33</v>
      </c>
      <c r="G880" s="30" t="str">
        <f>Source!DF351</f>
        <v/>
      </c>
      <c r="H880" s="32">
        <f>ROUND(Source!AE351*Source!I351, 2)</f>
        <v>8.17</v>
      </c>
      <c r="I880" s="30"/>
      <c r="J880" s="30">
        <f>IF(Source!BS351&lt;&gt; 0, Source!BS351, 1)</f>
        <v>6.56</v>
      </c>
      <c r="K880" s="32">
        <f>Source!R351</f>
        <v>53.57</v>
      </c>
      <c r="L880" s="31"/>
      <c r="R880">
        <f>H880</f>
        <v>8.17</v>
      </c>
    </row>
    <row r="881" spans="1:26" ht="14.25" x14ac:dyDescent="0.2">
      <c r="A881" s="44"/>
      <c r="B881" s="45"/>
      <c r="C881" s="45" t="s">
        <v>1937</v>
      </c>
      <c r="D881" s="28"/>
      <c r="E881" s="11"/>
      <c r="F881" s="29">
        <f>Source!AL351</f>
        <v>407.53</v>
      </c>
      <c r="G881" s="30" t="str">
        <f>Source!DD351</f>
        <v/>
      </c>
      <c r="H881" s="29">
        <f>ROUND(Source!AC351*Source!I351, 2)</f>
        <v>142.63999999999999</v>
      </c>
      <c r="I881" s="30"/>
      <c r="J881" s="30">
        <f>IF(Source!BC351&lt;&gt; 0, Source!BC351, 1)</f>
        <v>6.56</v>
      </c>
      <c r="K881" s="29">
        <f>Source!P351</f>
        <v>935.69</v>
      </c>
      <c r="L881" s="31"/>
    </row>
    <row r="882" spans="1:26" ht="14.25" x14ac:dyDescent="0.2">
      <c r="A882" s="44"/>
      <c r="B882" s="45"/>
      <c r="C882" s="45" t="s">
        <v>1932</v>
      </c>
      <c r="D882" s="28" t="s">
        <v>1933</v>
      </c>
      <c r="E882" s="11">
        <f>Source!BZ351</f>
        <v>95</v>
      </c>
      <c r="F882" s="48"/>
      <c r="G882" s="30"/>
      <c r="H882" s="29">
        <f>SUM(S876:S885)</f>
        <v>34.51</v>
      </c>
      <c r="I882" s="33"/>
      <c r="J882" s="26">
        <f>Source!AT351</f>
        <v>95</v>
      </c>
      <c r="K882" s="29">
        <f>SUM(T876:T885)</f>
        <v>226.39</v>
      </c>
      <c r="L882" s="31"/>
    </row>
    <row r="883" spans="1:26" ht="14.25" x14ac:dyDescent="0.2">
      <c r="A883" s="44"/>
      <c r="B883" s="45"/>
      <c r="C883" s="45" t="s">
        <v>1934</v>
      </c>
      <c r="D883" s="28" t="s">
        <v>1933</v>
      </c>
      <c r="E883" s="11">
        <f>Source!CA351</f>
        <v>65</v>
      </c>
      <c r="F883" s="48"/>
      <c r="G883" s="30"/>
      <c r="H883" s="29">
        <f>SUM(U876:U885)</f>
        <v>23.61</v>
      </c>
      <c r="I883" s="33"/>
      <c r="J883" s="26">
        <f>Source!AU351</f>
        <v>65</v>
      </c>
      <c r="K883" s="29">
        <f>SUM(V876:V885)</f>
        <v>154.9</v>
      </c>
      <c r="L883" s="31"/>
    </row>
    <row r="884" spans="1:26" ht="14.25" x14ac:dyDescent="0.2">
      <c r="A884" s="44"/>
      <c r="B884" s="45"/>
      <c r="C884" s="45" t="s">
        <v>1935</v>
      </c>
      <c r="D884" s="28" t="s">
        <v>1936</v>
      </c>
      <c r="E884" s="11">
        <f>Source!AQ351</f>
        <v>8.56</v>
      </c>
      <c r="F884" s="29"/>
      <c r="G884" s="30" t="str">
        <f>Source!DI351</f>
        <v/>
      </c>
      <c r="H884" s="29"/>
      <c r="I884" s="30"/>
      <c r="J884" s="30"/>
      <c r="K884" s="29"/>
      <c r="L884" s="40">
        <f>Source!U351</f>
        <v>2.996</v>
      </c>
    </row>
    <row r="885" spans="1:26" ht="42.75" x14ac:dyDescent="0.2">
      <c r="A885" s="46" t="str">
        <f>Source!E352</f>
        <v>83,1</v>
      </c>
      <c r="B885" s="47" t="str">
        <f>Source!F352</f>
        <v>20.2.07.02-0009</v>
      </c>
      <c r="C885" s="47" t="str">
        <f>Source!G352</f>
        <v>Лоток кабельный оцинкованный замковый перфорированный PNK 300-300х50 мм, длина 2,5 м</v>
      </c>
      <c r="D885" s="34" t="str">
        <f>Source!H352</f>
        <v>шт.</v>
      </c>
      <c r="E885" s="35">
        <f>Source!I352</f>
        <v>14</v>
      </c>
      <c r="F885" s="36">
        <f>Source!AL352+Source!AM352+Source!AO352</f>
        <v>62.4</v>
      </c>
      <c r="G885" s="42" t="s">
        <v>6</v>
      </c>
      <c r="H885" s="36">
        <f>ROUND(Source!AC352*Source!I352, 2)+ROUND(Source!AD352*Source!I352, 2)+ROUND(Source!AF352*Source!I352, 2)</f>
        <v>873.6</v>
      </c>
      <c r="I885" s="37"/>
      <c r="J885" s="37">
        <f>IF(Source!BC352&lt;&gt; 0, Source!BC352, 1)</f>
        <v>6.56</v>
      </c>
      <c r="K885" s="36">
        <f>Source!O352</f>
        <v>5730.82</v>
      </c>
      <c r="L885" s="43"/>
      <c r="S885">
        <f>ROUND((Source!FX352/100)*((ROUND(Source!AF352*Source!I352, 2)+ROUND(Source!AE352*Source!I352, 2))), 2)</f>
        <v>0</v>
      </c>
      <c r="T885">
        <f>Source!X352</f>
        <v>0</v>
      </c>
      <c r="U885">
        <f>ROUND((Source!FY352/100)*((ROUND(Source!AF352*Source!I352, 2)+ROUND(Source!AE352*Source!I352, 2))), 2)</f>
        <v>0</v>
      </c>
      <c r="V885">
        <f>Source!Y352</f>
        <v>0</v>
      </c>
      <c r="W885">
        <f>IF(Source!BI352&lt;=1,H885, 0)</f>
        <v>0</v>
      </c>
      <c r="X885">
        <f>IF(Source!BI352=2,H885, 0)</f>
        <v>873.6</v>
      </c>
      <c r="Y885">
        <f>IF(Source!BI352=3,H885, 0)</f>
        <v>0</v>
      </c>
      <c r="Z885">
        <f>IF(Source!BI352=4,H885, 0)</f>
        <v>0</v>
      </c>
    </row>
    <row r="886" spans="1:26" ht="15" x14ac:dyDescent="0.25">
      <c r="G886" s="63">
        <f>H878+H879+H881+H882+H883+SUM(H885:H885)</f>
        <v>1135.6500000000001</v>
      </c>
      <c r="H886" s="63"/>
      <c r="J886" s="63">
        <f>K878+K879+K881+K882+K883+SUM(K885:K885)</f>
        <v>7449.9</v>
      </c>
      <c r="K886" s="63"/>
      <c r="L886" s="39">
        <f>Source!U351</f>
        <v>2.996</v>
      </c>
      <c r="O886" s="24">
        <f>G886</f>
        <v>1135.6500000000001</v>
      </c>
      <c r="P886" s="24">
        <f>J886</f>
        <v>7449.9</v>
      </c>
      <c r="Q886" s="24">
        <f>L886</f>
        <v>2.996</v>
      </c>
      <c r="W886">
        <f>IF(Source!BI351&lt;=1,H878+H879+H881+H882+H883, 0)</f>
        <v>0</v>
      </c>
      <c r="X886">
        <f>IF(Source!BI351=2,H878+H879+H881+H882+H883, 0)</f>
        <v>262.05</v>
      </c>
      <c r="Y886">
        <f>IF(Source!BI351=3,H878+H879+H881+H882+H883, 0)</f>
        <v>0</v>
      </c>
      <c r="Z886">
        <f>IF(Source!BI351=4,H878+H879+H881+H882+H883, 0)</f>
        <v>0</v>
      </c>
    </row>
    <row r="887" spans="1:26" ht="42.75" x14ac:dyDescent="0.2">
      <c r="A887" s="44" t="str">
        <f>Source!E353</f>
        <v>84</v>
      </c>
      <c r="B887" s="45" t="str">
        <f>Source!F353</f>
        <v>м08-02-146-02</v>
      </c>
      <c r="C887" s="45" t="str">
        <f>Source!G353</f>
        <v>Кабель до 35 кВ с креплением накладными скобами, масса 1 м кабеля до 1 кг</v>
      </c>
      <c r="D887" s="28" t="str">
        <f>Source!H353</f>
        <v>100 м</v>
      </c>
      <c r="E887" s="11">
        <f>Source!I353</f>
        <v>1.145</v>
      </c>
      <c r="F887" s="29">
        <f>Source!AL353+Source!AM353+Source!AO353</f>
        <v>836.21</v>
      </c>
      <c r="G887" s="30"/>
      <c r="H887" s="29"/>
      <c r="I887" s="30" t="str">
        <f>Source!BO353</f>
        <v/>
      </c>
      <c r="J887" s="30"/>
      <c r="K887" s="29"/>
      <c r="L887" s="31"/>
      <c r="S887">
        <f>ROUND((Source!FX353/100)*((ROUND(Source!AF353*Source!I353, 2)+ROUND(Source!AE353*Source!I353, 2))), 2)</f>
        <v>207.17</v>
      </c>
      <c r="T887">
        <f>Source!X353</f>
        <v>1358.98</v>
      </c>
      <c r="U887">
        <f>ROUND((Source!FY353/100)*((ROUND(Source!AF353*Source!I353, 2)+ROUND(Source!AE353*Source!I353, 2))), 2)</f>
        <v>141.75</v>
      </c>
      <c r="V887">
        <f>Source!Y353</f>
        <v>929.83</v>
      </c>
    </row>
    <row r="888" spans="1:26" x14ac:dyDescent="0.2">
      <c r="C888" s="23" t="str">
        <f>"Объем: "&amp;Source!I353&amp;"=114,5/"&amp;"100"</f>
        <v>Объем: 1,145=114,5/100</v>
      </c>
    </row>
    <row r="889" spans="1:26" ht="14.25" x14ac:dyDescent="0.2">
      <c r="A889" s="44"/>
      <c r="B889" s="45"/>
      <c r="C889" s="45" t="s">
        <v>1930</v>
      </c>
      <c r="D889" s="28"/>
      <c r="E889" s="11"/>
      <c r="F889" s="29">
        <f>Source!AO353</f>
        <v>129</v>
      </c>
      <c r="G889" s="30" t="str">
        <f>Source!DG353</f>
        <v/>
      </c>
      <c r="H889" s="29">
        <f>ROUND(Source!AF353*Source!I353, 2)</f>
        <v>147.71</v>
      </c>
      <c r="I889" s="30"/>
      <c r="J889" s="30">
        <f>IF(Source!BA353&lt;&gt; 0, Source!BA353, 1)</f>
        <v>6.56</v>
      </c>
      <c r="K889" s="29">
        <f>Source!S353</f>
        <v>968.94</v>
      </c>
      <c r="L889" s="31"/>
      <c r="R889">
        <f>H889</f>
        <v>147.71</v>
      </c>
    </row>
    <row r="890" spans="1:26" ht="14.25" x14ac:dyDescent="0.2">
      <c r="A890" s="44"/>
      <c r="B890" s="45"/>
      <c r="C890" s="45" t="s">
        <v>151</v>
      </c>
      <c r="D890" s="28"/>
      <c r="E890" s="11"/>
      <c r="F890" s="29">
        <f>Source!AM353</f>
        <v>645.12</v>
      </c>
      <c r="G890" s="30" t="str">
        <f>Source!DE353</f>
        <v/>
      </c>
      <c r="H890" s="29">
        <f>ROUND(Source!AD353*Source!I353, 2)</f>
        <v>738.66</v>
      </c>
      <c r="I890" s="30"/>
      <c r="J890" s="30">
        <f>IF(Source!BB353&lt;&gt; 0, Source!BB353, 1)</f>
        <v>6.56</v>
      </c>
      <c r="K890" s="29">
        <f>Source!Q353</f>
        <v>4845.63</v>
      </c>
      <c r="L890" s="31"/>
    </row>
    <row r="891" spans="1:26" ht="14.25" x14ac:dyDescent="0.2">
      <c r="A891" s="44"/>
      <c r="B891" s="45"/>
      <c r="C891" s="45" t="s">
        <v>1931</v>
      </c>
      <c r="D891" s="28"/>
      <c r="E891" s="11"/>
      <c r="F891" s="29">
        <f>Source!AN353</f>
        <v>61.45</v>
      </c>
      <c r="G891" s="30" t="str">
        <f>Source!DF353</f>
        <v/>
      </c>
      <c r="H891" s="32">
        <f>ROUND(Source!AE353*Source!I353, 2)</f>
        <v>70.36</v>
      </c>
      <c r="I891" s="30"/>
      <c r="J891" s="30">
        <f>IF(Source!BS353&lt;&gt; 0, Source!BS353, 1)</f>
        <v>6.56</v>
      </c>
      <c r="K891" s="32">
        <f>Source!R353</f>
        <v>461.56</v>
      </c>
      <c r="L891" s="31"/>
      <c r="R891">
        <f>H891</f>
        <v>70.36</v>
      </c>
    </row>
    <row r="892" spans="1:26" ht="14.25" x14ac:dyDescent="0.2">
      <c r="A892" s="44"/>
      <c r="B892" s="45"/>
      <c r="C892" s="45" t="s">
        <v>1937</v>
      </c>
      <c r="D892" s="28"/>
      <c r="E892" s="11"/>
      <c r="F892" s="29">
        <f>Source!AL353</f>
        <v>62.09</v>
      </c>
      <c r="G892" s="30" t="str">
        <f>Source!DD353</f>
        <v/>
      </c>
      <c r="H892" s="29">
        <f>ROUND(Source!AC353*Source!I353, 2)</f>
        <v>71.09</v>
      </c>
      <c r="I892" s="30"/>
      <c r="J892" s="30">
        <f>IF(Source!BC353&lt;&gt; 0, Source!BC353, 1)</f>
        <v>6.56</v>
      </c>
      <c r="K892" s="29">
        <f>Source!P353</f>
        <v>466.37</v>
      </c>
      <c r="L892" s="31"/>
    </row>
    <row r="893" spans="1:26" ht="14.25" x14ac:dyDescent="0.2">
      <c r="A893" s="44"/>
      <c r="B893" s="45"/>
      <c r="C893" s="45" t="s">
        <v>1932</v>
      </c>
      <c r="D893" s="28" t="s">
        <v>1933</v>
      </c>
      <c r="E893" s="11">
        <f>Source!BZ353</f>
        <v>95</v>
      </c>
      <c r="F893" s="48"/>
      <c r="G893" s="30"/>
      <c r="H893" s="29">
        <f>SUM(S887:S896)</f>
        <v>207.17</v>
      </c>
      <c r="I893" s="33"/>
      <c r="J893" s="26">
        <f>Source!AT353</f>
        <v>95</v>
      </c>
      <c r="K893" s="29">
        <f>SUM(T887:T896)</f>
        <v>1358.98</v>
      </c>
      <c r="L893" s="31"/>
    </row>
    <row r="894" spans="1:26" ht="14.25" x14ac:dyDescent="0.2">
      <c r="A894" s="44"/>
      <c r="B894" s="45"/>
      <c r="C894" s="45" t="s">
        <v>1934</v>
      </c>
      <c r="D894" s="28" t="s">
        <v>1933</v>
      </c>
      <c r="E894" s="11">
        <f>Source!CA353</f>
        <v>65</v>
      </c>
      <c r="F894" s="48"/>
      <c r="G894" s="30"/>
      <c r="H894" s="29">
        <f>SUM(U887:U896)</f>
        <v>141.75</v>
      </c>
      <c r="I894" s="33"/>
      <c r="J894" s="26">
        <f>Source!AU353</f>
        <v>65</v>
      </c>
      <c r="K894" s="29">
        <f>SUM(V887:V896)</f>
        <v>929.83</v>
      </c>
      <c r="L894" s="31"/>
    </row>
    <row r="895" spans="1:26" ht="14.25" x14ac:dyDescent="0.2">
      <c r="A895" s="44"/>
      <c r="B895" s="45"/>
      <c r="C895" s="45" t="s">
        <v>1935</v>
      </c>
      <c r="D895" s="28" t="s">
        <v>1936</v>
      </c>
      <c r="E895" s="11">
        <f>Source!AQ353</f>
        <v>13.41</v>
      </c>
      <c r="F895" s="29"/>
      <c r="G895" s="30" t="str">
        <f>Source!DI353</f>
        <v/>
      </c>
      <c r="H895" s="29"/>
      <c r="I895" s="30"/>
      <c r="J895" s="30"/>
      <c r="K895" s="29"/>
      <c r="L895" s="40">
        <f>Source!U353</f>
        <v>15.35445</v>
      </c>
    </row>
    <row r="896" spans="1:26" ht="99.75" x14ac:dyDescent="0.2">
      <c r="A896" s="46" t="str">
        <f>Source!E354</f>
        <v>84,1</v>
      </c>
      <c r="B896" s="47" t="str">
        <f>Source!F354</f>
        <v>21.1.06.10-0412</v>
      </c>
      <c r="C896" s="47" t="str">
        <f>Source!G354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5х25мм(N,РЕ)</v>
      </c>
      <c r="D896" s="34" t="str">
        <f>Source!H354</f>
        <v>1000 м</v>
      </c>
      <c r="E896" s="35">
        <f>Source!I354</f>
        <v>0.1145</v>
      </c>
      <c r="F896" s="36">
        <f>Source!AL354+Source!AM354+Source!AO354</f>
        <v>145394.87</v>
      </c>
      <c r="G896" s="42" t="s">
        <v>6</v>
      </c>
      <c r="H896" s="36">
        <f>ROUND(Source!AC354*Source!I354, 2)+ROUND(Source!AD354*Source!I354, 2)+ROUND(Source!AF354*Source!I354, 2)</f>
        <v>16647.71</v>
      </c>
      <c r="I896" s="37"/>
      <c r="J896" s="37">
        <f>IF(Source!BC354&lt;&gt; 0, Source!BC354, 1)</f>
        <v>6.56</v>
      </c>
      <c r="K896" s="36">
        <f>Source!O354</f>
        <v>109208.99</v>
      </c>
      <c r="L896" s="43"/>
      <c r="S896">
        <f>ROUND((Source!FX354/100)*((ROUND(Source!AF354*Source!I354, 2)+ROUND(Source!AE354*Source!I354, 2))), 2)</f>
        <v>0</v>
      </c>
      <c r="T896">
        <f>Source!X354</f>
        <v>0</v>
      </c>
      <c r="U896">
        <f>ROUND((Source!FY354/100)*((ROUND(Source!AF354*Source!I354, 2)+ROUND(Source!AE354*Source!I354, 2))), 2)</f>
        <v>0</v>
      </c>
      <c r="V896">
        <f>Source!Y354</f>
        <v>0</v>
      </c>
      <c r="W896">
        <f>IF(Source!BI354&lt;=1,H896, 0)</f>
        <v>0</v>
      </c>
      <c r="X896">
        <f>IF(Source!BI354=2,H896, 0)</f>
        <v>16647.71</v>
      </c>
      <c r="Y896">
        <f>IF(Source!BI354=3,H896, 0)</f>
        <v>0</v>
      </c>
      <c r="Z896">
        <f>IF(Source!BI354=4,H896, 0)</f>
        <v>0</v>
      </c>
    </row>
    <row r="897" spans="1:26" ht="15" x14ac:dyDescent="0.25">
      <c r="G897" s="63">
        <f>H889+H890+H892+H893+H894+SUM(H896:H896)</f>
        <v>17954.09</v>
      </c>
      <c r="H897" s="63"/>
      <c r="J897" s="63">
        <f>K889+K890+K892+K893+K894+SUM(K896:K896)</f>
        <v>117778.74</v>
      </c>
      <c r="K897" s="63"/>
      <c r="L897" s="39">
        <f>Source!U353</f>
        <v>15.35445</v>
      </c>
      <c r="O897" s="24">
        <f>G897</f>
        <v>17954.09</v>
      </c>
      <c r="P897" s="24">
        <f>J897</f>
        <v>117778.74</v>
      </c>
      <c r="Q897" s="24">
        <f>L897</f>
        <v>15.35445</v>
      </c>
      <c r="W897">
        <f>IF(Source!BI353&lt;=1,H889+H890+H892+H893+H894, 0)</f>
        <v>0</v>
      </c>
      <c r="X897">
        <f>IF(Source!BI353=2,H889+H890+H892+H893+H894, 0)</f>
        <v>1306.3800000000001</v>
      </c>
      <c r="Y897">
        <f>IF(Source!BI353=3,H889+H890+H892+H893+H894, 0)</f>
        <v>0</v>
      </c>
      <c r="Z897">
        <f>IF(Source!BI353=4,H889+H890+H892+H893+H894, 0)</f>
        <v>0</v>
      </c>
    </row>
    <row r="899" spans="1:26" ht="15" x14ac:dyDescent="0.25">
      <c r="A899" s="66" t="str">
        <f>CONCATENATE("Итого по подразделу: ",IF(Source!G356&lt;&gt;"Новый подраздел", Source!G356, ""))</f>
        <v>Итого по подразделу: 2 Монтаж освещения</v>
      </c>
      <c r="B899" s="66"/>
      <c r="C899" s="66"/>
      <c r="D899" s="66"/>
      <c r="E899" s="66"/>
      <c r="F899" s="66"/>
      <c r="G899" s="67">
        <f>SUM(O735:O898)</f>
        <v>69565.66</v>
      </c>
      <c r="H899" s="67"/>
      <c r="I899" s="25"/>
      <c r="J899" s="67">
        <f>SUM(P735:P898)</f>
        <v>456350.44000000012</v>
      </c>
      <c r="K899" s="67"/>
      <c r="L899" s="39">
        <f>SUM(Q735:Q898)</f>
        <v>267.42156999999997</v>
      </c>
    </row>
    <row r="900" spans="1:26" ht="16.5" x14ac:dyDescent="0.25">
      <c r="A900" s="68" t="str">
        <f>CONCATENATE("Подраздел: ",IF(Source!G385&lt;&gt;"Новый подраздел", Source!G385, ""))</f>
        <v>Подраздел: 3 Монтаж силовой части</v>
      </c>
      <c r="B900" s="68"/>
      <c r="C900" s="68"/>
      <c r="D900" s="68"/>
      <c r="E900" s="68"/>
      <c r="F900" s="68"/>
      <c r="G900" s="68"/>
      <c r="H900" s="68"/>
      <c r="I900" s="68"/>
      <c r="J900" s="68"/>
      <c r="K900" s="68"/>
      <c r="L900" s="68"/>
    </row>
    <row r="901" spans="1:26" ht="28.5" x14ac:dyDescent="0.2">
      <c r="A901" s="44" t="str">
        <f>Source!E389</f>
        <v>85</v>
      </c>
      <c r="B901" s="45" t="str">
        <f>Source!F389</f>
        <v>м08-02-390-03</v>
      </c>
      <c r="C901" s="45" t="str">
        <f>Source!G389</f>
        <v>Короба пластмассовые шириной до 120 мм</v>
      </c>
      <c r="D901" s="28" t="str">
        <f>Source!H389</f>
        <v>100 м</v>
      </c>
      <c r="E901" s="11">
        <f>Source!I389</f>
        <v>0.8</v>
      </c>
      <c r="F901" s="29">
        <f>Source!AL389+Source!AM389+Source!AO389</f>
        <v>286.92</v>
      </c>
      <c r="G901" s="30"/>
      <c r="H901" s="29"/>
      <c r="I901" s="30" t="str">
        <f>Source!BO389</f>
        <v/>
      </c>
      <c r="J901" s="30"/>
      <c r="K901" s="29"/>
      <c r="L901" s="31"/>
      <c r="S901">
        <f>ROUND((Source!FX389/100)*((ROUND(Source!AF389*Source!I389, 2)+ROUND(Source!AE389*Source!I389, 2))), 2)</f>
        <v>147.04</v>
      </c>
      <c r="T901">
        <f>Source!X389</f>
        <v>964.61</v>
      </c>
      <c r="U901">
        <f>ROUND((Source!FY389/100)*((ROUND(Source!AF389*Source!I389, 2)+ROUND(Source!AE389*Source!I389, 2))), 2)</f>
        <v>100.61</v>
      </c>
      <c r="V901">
        <f>Source!Y389</f>
        <v>660</v>
      </c>
    </row>
    <row r="902" spans="1:26" x14ac:dyDescent="0.2">
      <c r="C902" s="23" t="str">
        <f>"Объем: "&amp;Source!I389&amp;"=80/"&amp;"100"</f>
        <v>Объем: 0,8=80/100</v>
      </c>
    </row>
    <row r="903" spans="1:26" ht="14.25" x14ac:dyDescent="0.2">
      <c r="A903" s="44"/>
      <c r="B903" s="45"/>
      <c r="C903" s="45" t="s">
        <v>1930</v>
      </c>
      <c r="D903" s="28"/>
      <c r="E903" s="11"/>
      <c r="F903" s="29">
        <f>Source!AO389</f>
        <v>193.34</v>
      </c>
      <c r="G903" s="30" t="str">
        <f>Source!DG389</f>
        <v/>
      </c>
      <c r="H903" s="29">
        <f>ROUND(Source!AF389*Source!I389, 2)</f>
        <v>154.66999999999999</v>
      </c>
      <c r="I903" s="30"/>
      <c r="J903" s="30">
        <f>IF(Source!BA389&lt;&gt; 0, Source!BA389, 1)</f>
        <v>6.56</v>
      </c>
      <c r="K903" s="29">
        <f>Source!S389</f>
        <v>1014.65</v>
      </c>
      <c r="L903" s="31"/>
      <c r="R903">
        <f>H903</f>
        <v>154.66999999999999</v>
      </c>
    </row>
    <row r="904" spans="1:26" ht="14.25" x14ac:dyDescent="0.2">
      <c r="A904" s="44"/>
      <c r="B904" s="45"/>
      <c r="C904" s="45" t="s">
        <v>151</v>
      </c>
      <c r="D904" s="28"/>
      <c r="E904" s="11"/>
      <c r="F904" s="29">
        <f>Source!AM389</f>
        <v>0.31</v>
      </c>
      <c r="G904" s="30" t="str">
        <f>Source!DE389</f>
        <v/>
      </c>
      <c r="H904" s="29">
        <f>ROUND(Source!AD389*Source!I389, 2)</f>
        <v>0.25</v>
      </c>
      <c r="I904" s="30"/>
      <c r="J904" s="30">
        <f>IF(Source!BB389&lt;&gt; 0, Source!BB389, 1)</f>
        <v>6.56</v>
      </c>
      <c r="K904" s="29">
        <f>Source!Q389</f>
        <v>1.63</v>
      </c>
      <c r="L904" s="31"/>
    </row>
    <row r="905" spans="1:26" ht="14.25" x14ac:dyDescent="0.2">
      <c r="A905" s="44"/>
      <c r="B905" s="45"/>
      <c r="C905" s="45" t="s">
        <v>1931</v>
      </c>
      <c r="D905" s="28"/>
      <c r="E905" s="11"/>
      <c r="F905" s="29">
        <f>Source!AN389</f>
        <v>0.14000000000000001</v>
      </c>
      <c r="G905" s="30" t="str">
        <f>Source!DF389</f>
        <v/>
      </c>
      <c r="H905" s="32">
        <f>ROUND(Source!AE389*Source!I389, 2)</f>
        <v>0.11</v>
      </c>
      <c r="I905" s="30"/>
      <c r="J905" s="30">
        <f>IF(Source!BS389&lt;&gt; 0, Source!BS389, 1)</f>
        <v>6.56</v>
      </c>
      <c r="K905" s="32">
        <f>Source!R389</f>
        <v>0.73</v>
      </c>
      <c r="L905" s="31"/>
      <c r="R905">
        <f>H905</f>
        <v>0.11</v>
      </c>
    </row>
    <row r="906" spans="1:26" ht="14.25" x14ac:dyDescent="0.2">
      <c r="A906" s="44"/>
      <c r="B906" s="45"/>
      <c r="C906" s="45" t="s">
        <v>1937</v>
      </c>
      <c r="D906" s="28"/>
      <c r="E906" s="11"/>
      <c r="F906" s="29">
        <f>Source!AL389</f>
        <v>93.27</v>
      </c>
      <c r="G906" s="30" t="str">
        <f>Source!DD389</f>
        <v/>
      </c>
      <c r="H906" s="29">
        <f>ROUND(Source!AC389*Source!I389, 2)</f>
        <v>74.62</v>
      </c>
      <c r="I906" s="30"/>
      <c r="J906" s="30">
        <f>IF(Source!BC389&lt;&gt; 0, Source!BC389, 1)</f>
        <v>6.56</v>
      </c>
      <c r="K906" s="29">
        <f>Source!P389</f>
        <v>489.48</v>
      </c>
      <c r="L906" s="31"/>
    </row>
    <row r="907" spans="1:26" ht="14.25" x14ac:dyDescent="0.2">
      <c r="A907" s="44"/>
      <c r="B907" s="45"/>
      <c r="C907" s="45" t="s">
        <v>1932</v>
      </c>
      <c r="D907" s="28" t="s">
        <v>1933</v>
      </c>
      <c r="E907" s="11">
        <f>Source!BZ389</f>
        <v>95</v>
      </c>
      <c r="F907" s="48"/>
      <c r="G907" s="30"/>
      <c r="H907" s="29">
        <f>SUM(S901:S910)</f>
        <v>147.04</v>
      </c>
      <c r="I907" s="33"/>
      <c r="J907" s="26">
        <f>Source!AT389</f>
        <v>95</v>
      </c>
      <c r="K907" s="29">
        <f>SUM(T901:T910)</f>
        <v>964.61</v>
      </c>
      <c r="L907" s="31"/>
    </row>
    <row r="908" spans="1:26" ht="14.25" x14ac:dyDescent="0.2">
      <c r="A908" s="44"/>
      <c r="B908" s="45"/>
      <c r="C908" s="45" t="s">
        <v>1934</v>
      </c>
      <c r="D908" s="28" t="s">
        <v>1933</v>
      </c>
      <c r="E908" s="11">
        <f>Source!CA389</f>
        <v>65</v>
      </c>
      <c r="F908" s="48"/>
      <c r="G908" s="30"/>
      <c r="H908" s="29">
        <f>SUM(U901:U910)</f>
        <v>100.61</v>
      </c>
      <c r="I908" s="33"/>
      <c r="J908" s="26">
        <f>Source!AU389</f>
        <v>65</v>
      </c>
      <c r="K908" s="29">
        <f>SUM(V901:V910)</f>
        <v>660</v>
      </c>
      <c r="L908" s="31"/>
    </row>
    <row r="909" spans="1:26" ht="14.25" x14ac:dyDescent="0.2">
      <c r="A909" s="44"/>
      <c r="B909" s="45"/>
      <c r="C909" s="45" t="s">
        <v>1935</v>
      </c>
      <c r="D909" s="28" t="s">
        <v>1936</v>
      </c>
      <c r="E909" s="11">
        <f>Source!AQ389</f>
        <v>20.329999999999998</v>
      </c>
      <c r="F909" s="29"/>
      <c r="G909" s="30" t="str">
        <f>Source!DI389</f>
        <v/>
      </c>
      <c r="H909" s="29"/>
      <c r="I909" s="30"/>
      <c r="J909" s="30"/>
      <c r="K909" s="29"/>
      <c r="L909" s="40">
        <f>Source!U389</f>
        <v>16.263999999999999</v>
      </c>
    </row>
    <row r="910" spans="1:26" ht="28.5" x14ac:dyDescent="0.2">
      <c r="A910" s="46" t="str">
        <f>Source!E390</f>
        <v>85,1</v>
      </c>
      <c r="B910" s="47" t="str">
        <f>Source!F390</f>
        <v>20.2.05.04-0034</v>
      </c>
      <c r="C910" s="47" t="str">
        <f>Source!G390</f>
        <v>Кабель-канал (короб) "Efapel " 110x50 мм прим.</v>
      </c>
      <c r="D910" s="34" t="str">
        <f>Source!H390</f>
        <v>100 м</v>
      </c>
      <c r="E910" s="35">
        <f>Source!I390</f>
        <v>0.8</v>
      </c>
      <c r="F910" s="36">
        <f>Source!AL390+Source!AM390+Source!AO390</f>
        <v>1360</v>
      </c>
      <c r="G910" s="42" t="s">
        <v>6</v>
      </c>
      <c r="H910" s="36">
        <f>ROUND(Source!AC390*Source!I390, 2)+ROUND(Source!AD390*Source!I390, 2)+ROUND(Source!AF390*Source!I390, 2)</f>
        <v>1088</v>
      </c>
      <c r="I910" s="37"/>
      <c r="J910" s="37">
        <f>IF(Source!BC390&lt;&gt; 0, Source!BC390, 1)</f>
        <v>6.56</v>
      </c>
      <c r="K910" s="36">
        <f>Source!O390</f>
        <v>7137.28</v>
      </c>
      <c r="L910" s="43"/>
      <c r="S910">
        <f>ROUND((Source!FX390/100)*((ROUND(Source!AF390*Source!I390, 2)+ROUND(Source!AE390*Source!I390, 2))), 2)</f>
        <v>0</v>
      </c>
      <c r="T910">
        <f>Source!X390</f>
        <v>0</v>
      </c>
      <c r="U910">
        <f>ROUND((Source!FY390/100)*((ROUND(Source!AF390*Source!I390, 2)+ROUND(Source!AE390*Source!I390, 2))), 2)</f>
        <v>0</v>
      </c>
      <c r="V910">
        <f>Source!Y390</f>
        <v>0</v>
      </c>
      <c r="W910">
        <f>IF(Source!BI390&lt;=1,H910, 0)</f>
        <v>0</v>
      </c>
      <c r="X910">
        <f>IF(Source!BI390=2,H910, 0)</f>
        <v>1088</v>
      </c>
      <c r="Y910">
        <f>IF(Source!BI390=3,H910, 0)</f>
        <v>0</v>
      </c>
      <c r="Z910">
        <f>IF(Source!BI390=4,H910, 0)</f>
        <v>0</v>
      </c>
    </row>
    <row r="911" spans="1:26" ht="15" x14ac:dyDescent="0.25">
      <c r="G911" s="63">
        <f>H903+H904+H906+H907+H908+SUM(H910:H910)</f>
        <v>1565.19</v>
      </c>
      <c r="H911" s="63"/>
      <c r="J911" s="63">
        <f>K903+K904+K906+K907+K908+SUM(K910:K910)</f>
        <v>10267.65</v>
      </c>
      <c r="K911" s="63"/>
      <c r="L911" s="39">
        <f>Source!U389</f>
        <v>16.263999999999999</v>
      </c>
      <c r="O911" s="24">
        <f>G911</f>
        <v>1565.19</v>
      </c>
      <c r="P911" s="24">
        <f>J911</f>
        <v>10267.65</v>
      </c>
      <c r="Q911" s="24">
        <f>L911</f>
        <v>16.263999999999999</v>
      </c>
      <c r="W911">
        <f>IF(Source!BI389&lt;=1,H903+H904+H906+H907+H908, 0)</f>
        <v>0</v>
      </c>
      <c r="X911">
        <f>IF(Source!BI389=2,H903+H904+H906+H907+H908, 0)</f>
        <v>477.19</v>
      </c>
      <c r="Y911">
        <f>IF(Source!BI389=3,H903+H904+H906+H907+H908, 0)</f>
        <v>0</v>
      </c>
      <c r="Z911">
        <f>IF(Source!BI389=4,H903+H904+H906+H907+H908, 0)</f>
        <v>0</v>
      </c>
    </row>
    <row r="912" spans="1:26" ht="28.5" x14ac:dyDescent="0.2">
      <c r="A912" s="44" t="str">
        <f>Source!E391</f>
        <v>86</v>
      </c>
      <c r="B912" s="45" t="str">
        <f>Source!F391</f>
        <v>м08-03-591-08</v>
      </c>
      <c r="C912" s="45" t="str">
        <f>Source!G391</f>
        <v>Розетка штепсельная неутопленного типа при открытой проводке</v>
      </c>
      <c r="D912" s="28" t="str">
        <f>Source!H391</f>
        <v>100 ШТ</v>
      </c>
      <c r="E912" s="11">
        <f>Source!I391</f>
        <v>0.56999999999999995</v>
      </c>
      <c r="F912" s="29">
        <f>Source!AL391+Source!AM391+Source!AO391</f>
        <v>453.92999999999995</v>
      </c>
      <c r="G912" s="30"/>
      <c r="H912" s="29"/>
      <c r="I912" s="30" t="str">
        <f>Source!BO391</f>
        <v/>
      </c>
      <c r="J912" s="30"/>
      <c r="K912" s="29"/>
      <c r="L912" s="31"/>
      <c r="S912">
        <f>ROUND((Source!FX391/100)*((ROUND(Source!AF391*Source!I391, 2)+ROUND(Source!AE391*Source!I391, 2))), 2)</f>
        <v>185.99</v>
      </c>
      <c r="T912">
        <f>Source!X391</f>
        <v>1220.1199999999999</v>
      </c>
      <c r="U912">
        <f>ROUND((Source!FY391/100)*((ROUND(Source!AF391*Source!I391, 2)+ROUND(Source!AE391*Source!I391, 2))), 2)</f>
        <v>127.26</v>
      </c>
      <c r="V912">
        <f>Source!Y391</f>
        <v>834.82</v>
      </c>
    </row>
    <row r="913" spans="1:26" x14ac:dyDescent="0.2">
      <c r="C913" s="23" t="str">
        <f>"Объем: "&amp;Source!I391&amp;"=57/"&amp;"100"</f>
        <v>Объем: 0,57=57/100</v>
      </c>
    </row>
    <row r="914" spans="1:26" ht="14.25" x14ac:dyDescent="0.2">
      <c r="A914" s="44"/>
      <c r="B914" s="45"/>
      <c r="C914" s="45" t="s">
        <v>1930</v>
      </c>
      <c r="D914" s="28"/>
      <c r="E914" s="11"/>
      <c r="F914" s="29">
        <f>Source!AO391</f>
        <v>342.84</v>
      </c>
      <c r="G914" s="30" t="str">
        <f>Source!DG391</f>
        <v/>
      </c>
      <c r="H914" s="29">
        <f>ROUND(Source!AF391*Source!I391, 2)</f>
        <v>195.42</v>
      </c>
      <c r="I914" s="30"/>
      <c r="J914" s="30">
        <f>IF(Source!BA391&lt;&gt; 0, Source!BA391, 1)</f>
        <v>6.56</v>
      </c>
      <c r="K914" s="29">
        <f>Source!S391</f>
        <v>1281.95</v>
      </c>
      <c r="L914" s="31"/>
      <c r="R914">
        <f>H914</f>
        <v>195.42</v>
      </c>
    </row>
    <row r="915" spans="1:26" ht="14.25" x14ac:dyDescent="0.2">
      <c r="A915" s="44"/>
      <c r="B915" s="45"/>
      <c r="C915" s="45" t="s">
        <v>151</v>
      </c>
      <c r="D915" s="28"/>
      <c r="E915" s="11"/>
      <c r="F915" s="29">
        <f>Source!AM391</f>
        <v>4.67</v>
      </c>
      <c r="G915" s="30" t="str">
        <f>Source!DE391</f>
        <v/>
      </c>
      <c r="H915" s="29">
        <f>ROUND(Source!AD391*Source!I391, 2)</f>
        <v>2.66</v>
      </c>
      <c r="I915" s="30"/>
      <c r="J915" s="30">
        <f>IF(Source!BB391&lt;&gt; 0, Source!BB391, 1)</f>
        <v>6.56</v>
      </c>
      <c r="K915" s="29">
        <f>Source!Q391</f>
        <v>17.46</v>
      </c>
      <c r="L915" s="31"/>
    </row>
    <row r="916" spans="1:26" ht="14.25" x14ac:dyDescent="0.2">
      <c r="A916" s="44"/>
      <c r="B916" s="45"/>
      <c r="C916" s="45" t="s">
        <v>1931</v>
      </c>
      <c r="D916" s="28"/>
      <c r="E916" s="11"/>
      <c r="F916" s="29">
        <f>Source!AN391</f>
        <v>0.64</v>
      </c>
      <c r="G916" s="30" t="str">
        <f>Source!DF391</f>
        <v/>
      </c>
      <c r="H916" s="32">
        <f>ROUND(Source!AE391*Source!I391, 2)</f>
        <v>0.36</v>
      </c>
      <c r="I916" s="30"/>
      <c r="J916" s="30">
        <f>IF(Source!BS391&lt;&gt; 0, Source!BS391, 1)</f>
        <v>6.56</v>
      </c>
      <c r="K916" s="32">
        <f>Source!R391</f>
        <v>2.39</v>
      </c>
      <c r="L916" s="31"/>
      <c r="R916">
        <f>H916</f>
        <v>0.36</v>
      </c>
    </row>
    <row r="917" spans="1:26" ht="14.25" x14ac:dyDescent="0.2">
      <c r="A917" s="44"/>
      <c r="B917" s="45"/>
      <c r="C917" s="45" t="s">
        <v>1937</v>
      </c>
      <c r="D917" s="28"/>
      <c r="E917" s="11"/>
      <c r="F917" s="29">
        <f>Source!AL391</f>
        <v>106.42</v>
      </c>
      <c r="G917" s="30" t="str">
        <f>Source!DD391</f>
        <v/>
      </c>
      <c r="H917" s="29">
        <f>ROUND(Source!AC391*Source!I391, 2)</f>
        <v>60.66</v>
      </c>
      <c r="I917" s="30"/>
      <c r="J917" s="30">
        <f>IF(Source!BC391&lt;&gt; 0, Source!BC391, 1)</f>
        <v>6.56</v>
      </c>
      <c r="K917" s="29">
        <f>Source!P391</f>
        <v>397.93</v>
      </c>
      <c r="L917" s="31"/>
    </row>
    <row r="918" spans="1:26" ht="14.25" x14ac:dyDescent="0.2">
      <c r="A918" s="44"/>
      <c r="B918" s="45"/>
      <c r="C918" s="45" t="s">
        <v>1932</v>
      </c>
      <c r="D918" s="28" t="s">
        <v>1933</v>
      </c>
      <c r="E918" s="11">
        <f>Source!BZ391</f>
        <v>95</v>
      </c>
      <c r="F918" s="48"/>
      <c r="G918" s="30"/>
      <c r="H918" s="29">
        <f>SUM(S912:S922)</f>
        <v>185.99</v>
      </c>
      <c r="I918" s="33"/>
      <c r="J918" s="26">
        <f>Source!AT391</f>
        <v>95</v>
      </c>
      <c r="K918" s="29">
        <f>SUM(T912:T922)</f>
        <v>1220.1199999999999</v>
      </c>
      <c r="L918" s="31"/>
    </row>
    <row r="919" spans="1:26" ht="14.25" x14ac:dyDescent="0.2">
      <c r="A919" s="44"/>
      <c r="B919" s="45"/>
      <c r="C919" s="45" t="s">
        <v>1934</v>
      </c>
      <c r="D919" s="28" t="s">
        <v>1933</v>
      </c>
      <c r="E919" s="11">
        <f>Source!CA391</f>
        <v>65</v>
      </c>
      <c r="F919" s="48"/>
      <c r="G919" s="30"/>
      <c r="H919" s="29">
        <f>SUM(U912:U922)</f>
        <v>127.26</v>
      </c>
      <c r="I919" s="33"/>
      <c r="J919" s="26">
        <f>Source!AU391</f>
        <v>65</v>
      </c>
      <c r="K919" s="29">
        <f>SUM(V912:V922)</f>
        <v>834.82</v>
      </c>
      <c r="L919" s="31"/>
    </row>
    <row r="920" spans="1:26" ht="14.25" x14ac:dyDescent="0.2">
      <c r="A920" s="44"/>
      <c r="B920" s="45"/>
      <c r="C920" s="45" t="s">
        <v>1935</v>
      </c>
      <c r="D920" s="28" t="s">
        <v>1936</v>
      </c>
      <c r="E920" s="11">
        <f>Source!AQ391</f>
        <v>34.56</v>
      </c>
      <c r="F920" s="29"/>
      <c r="G920" s="30" t="str">
        <f>Source!DI391</f>
        <v/>
      </c>
      <c r="H920" s="29"/>
      <c r="I920" s="30"/>
      <c r="J920" s="30"/>
      <c r="K920" s="29"/>
      <c r="L920" s="40">
        <f>Source!U391</f>
        <v>19.699200000000001</v>
      </c>
    </row>
    <row r="921" spans="1:26" ht="42.75" x14ac:dyDescent="0.2">
      <c r="A921" s="44" t="str">
        <f>Source!E392</f>
        <v>86,1</v>
      </c>
      <c r="B921" s="45" t="str">
        <f>Source!F392</f>
        <v>20.4.03.05-0001</v>
      </c>
      <c r="C921" s="45" t="str">
        <f>Source!G392</f>
        <v>Розетка открытой проводки в кабель-канал "Efapel" с супортом 220В 45х45мм прим.</v>
      </c>
      <c r="D921" s="28" t="str">
        <f>Source!H392</f>
        <v>100 шт.</v>
      </c>
      <c r="E921" s="11">
        <f>Source!I392</f>
        <v>0.52</v>
      </c>
      <c r="F921" s="29">
        <f>Source!AL392+Source!AM392+Source!AO392</f>
        <v>577</v>
      </c>
      <c r="G921" s="41" t="s">
        <v>6</v>
      </c>
      <c r="H921" s="29">
        <f>ROUND(Source!AC392*Source!I392, 2)+ROUND(Source!AD392*Source!I392, 2)+ROUND(Source!AF392*Source!I392, 2)</f>
        <v>300.04000000000002</v>
      </c>
      <c r="I921" s="30"/>
      <c r="J921" s="30">
        <f>IF(Source!BC392&lt;&gt; 0, Source!BC392, 1)</f>
        <v>6.56</v>
      </c>
      <c r="K921" s="29">
        <f>Source!O392</f>
        <v>1968.26</v>
      </c>
      <c r="L921" s="31"/>
      <c r="S921">
        <f>ROUND((Source!FX392/100)*((ROUND(Source!AF392*Source!I392, 2)+ROUND(Source!AE392*Source!I392, 2))), 2)</f>
        <v>0</v>
      </c>
      <c r="T921">
        <f>Source!X392</f>
        <v>0</v>
      </c>
      <c r="U921">
        <f>ROUND((Source!FY392/100)*((ROUND(Source!AF392*Source!I392, 2)+ROUND(Source!AE392*Source!I392, 2))), 2)</f>
        <v>0</v>
      </c>
      <c r="V921">
        <f>Source!Y392</f>
        <v>0</v>
      </c>
      <c r="W921">
        <f>IF(Source!BI392&lt;=1,H921, 0)</f>
        <v>0</v>
      </c>
      <c r="X921">
        <f>IF(Source!BI392=2,H921, 0)</f>
        <v>300.04000000000002</v>
      </c>
      <c r="Y921">
        <f>IF(Source!BI392=3,H921, 0)</f>
        <v>0</v>
      </c>
      <c r="Z921">
        <f>IF(Source!BI392=4,H921, 0)</f>
        <v>0</v>
      </c>
    </row>
    <row r="922" spans="1:26" ht="42.75" x14ac:dyDescent="0.2">
      <c r="A922" s="46" t="str">
        <f>Source!E393</f>
        <v>86,2</v>
      </c>
      <c r="B922" s="47" t="str">
        <f>Source!F393</f>
        <v>20.4.03.05-0004</v>
      </c>
      <c r="C922" s="47" t="str">
        <f>Source!G393</f>
        <v>Розетка открытой проводки SCHNEIDER ELEKTRIK PA-16-0036 Этюд 220В прим.</v>
      </c>
      <c r="D922" s="34" t="str">
        <f>Source!H393</f>
        <v>100 шт.</v>
      </c>
      <c r="E922" s="35">
        <f>Source!I393</f>
        <v>0.05</v>
      </c>
      <c r="F922" s="36">
        <f>Source!AL393+Source!AM393+Source!AO393</f>
        <v>899</v>
      </c>
      <c r="G922" s="42" t="s">
        <v>6</v>
      </c>
      <c r="H922" s="36">
        <f>ROUND(Source!AC393*Source!I393, 2)+ROUND(Source!AD393*Source!I393, 2)+ROUND(Source!AF393*Source!I393, 2)</f>
        <v>44.95</v>
      </c>
      <c r="I922" s="37"/>
      <c r="J922" s="37">
        <f>IF(Source!BC393&lt;&gt; 0, Source!BC393, 1)</f>
        <v>6.56</v>
      </c>
      <c r="K922" s="36">
        <f>Source!O393</f>
        <v>294.87</v>
      </c>
      <c r="L922" s="43"/>
      <c r="S922">
        <f>ROUND((Source!FX393/100)*((ROUND(Source!AF393*Source!I393, 2)+ROUND(Source!AE393*Source!I393, 2))), 2)</f>
        <v>0</v>
      </c>
      <c r="T922">
        <f>Source!X393</f>
        <v>0</v>
      </c>
      <c r="U922">
        <f>ROUND((Source!FY393/100)*((ROUND(Source!AF393*Source!I393, 2)+ROUND(Source!AE393*Source!I393, 2))), 2)</f>
        <v>0</v>
      </c>
      <c r="V922">
        <f>Source!Y393</f>
        <v>0</v>
      </c>
      <c r="W922">
        <f>IF(Source!BI393&lt;=1,H922, 0)</f>
        <v>0</v>
      </c>
      <c r="X922">
        <f>IF(Source!BI393=2,H922, 0)</f>
        <v>44.95</v>
      </c>
      <c r="Y922">
        <f>IF(Source!BI393=3,H922, 0)</f>
        <v>0</v>
      </c>
      <c r="Z922">
        <f>IF(Source!BI393=4,H922, 0)</f>
        <v>0</v>
      </c>
    </row>
    <row r="923" spans="1:26" ht="15" x14ac:dyDescent="0.25">
      <c r="G923" s="63">
        <f>H914+H915+H917+H918+H919+SUM(H921:H922)</f>
        <v>916.98</v>
      </c>
      <c r="H923" s="63"/>
      <c r="J923" s="63">
        <f>K914+K915+K917+K918+K919+SUM(K921:K922)</f>
        <v>6015.41</v>
      </c>
      <c r="K923" s="63"/>
      <c r="L923" s="39">
        <f>Source!U391</f>
        <v>19.699200000000001</v>
      </c>
      <c r="O923" s="24">
        <f>G923</f>
        <v>916.98</v>
      </c>
      <c r="P923" s="24">
        <f>J923</f>
        <v>6015.41</v>
      </c>
      <c r="Q923" s="24">
        <f>L923</f>
        <v>19.699200000000001</v>
      </c>
      <c r="W923">
        <f>IF(Source!BI391&lt;=1,H914+H915+H917+H918+H919, 0)</f>
        <v>0</v>
      </c>
      <c r="X923">
        <f>IF(Source!BI391=2,H914+H915+H917+H918+H919, 0)</f>
        <v>571.99</v>
      </c>
      <c r="Y923">
        <f>IF(Source!BI391=3,H914+H915+H917+H918+H919, 0)</f>
        <v>0</v>
      </c>
      <c r="Z923">
        <f>IF(Source!BI391=4,H914+H915+H917+H918+H919, 0)</f>
        <v>0</v>
      </c>
    </row>
    <row r="924" spans="1:26" ht="28.5" x14ac:dyDescent="0.2">
      <c r="A924" s="44" t="str">
        <f>Source!E394</f>
        <v>87</v>
      </c>
      <c r="B924" s="45" t="str">
        <f>Source!F394</f>
        <v>м08-03-591-10</v>
      </c>
      <c r="C924" s="45" t="str">
        <f>Source!G394</f>
        <v>Розетка штепсельная полугерметическая и герметическая</v>
      </c>
      <c r="D924" s="28" t="str">
        <f>Source!H394</f>
        <v>100 ШТ</v>
      </c>
      <c r="E924" s="11">
        <f>Source!I394</f>
        <v>0.02</v>
      </c>
      <c r="F924" s="29">
        <f>Source!AL394+Source!AM394+Source!AO394</f>
        <v>770.34999999999991</v>
      </c>
      <c r="G924" s="30"/>
      <c r="H924" s="29"/>
      <c r="I924" s="30" t="str">
        <f>Source!BO394</f>
        <v/>
      </c>
      <c r="J924" s="30"/>
      <c r="K924" s="29"/>
      <c r="L924" s="31"/>
      <c r="S924">
        <f>ROUND((Source!FX394/100)*((ROUND(Source!AF394*Source!I394, 2)+ROUND(Source!AE394*Source!I394, 2))), 2)</f>
        <v>11.51</v>
      </c>
      <c r="T924">
        <f>Source!X394</f>
        <v>75.53</v>
      </c>
      <c r="U924">
        <f>ROUND((Source!FY394/100)*((ROUND(Source!AF394*Source!I394, 2)+ROUND(Source!AE394*Source!I394, 2))), 2)</f>
        <v>7.88</v>
      </c>
      <c r="V924">
        <f>Source!Y394</f>
        <v>51.68</v>
      </c>
    </row>
    <row r="925" spans="1:26" x14ac:dyDescent="0.2">
      <c r="C925" s="23" t="str">
        <f>"Объем: "&amp;Source!I394&amp;"=2/"&amp;"100"</f>
        <v>Объем: 0,02=2/100</v>
      </c>
    </row>
    <row r="926" spans="1:26" ht="14.25" x14ac:dyDescent="0.2">
      <c r="A926" s="44"/>
      <c r="B926" s="45"/>
      <c r="C926" s="45" t="s">
        <v>1930</v>
      </c>
      <c r="D926" s="28"/>
      <c r="E926" s="11"/>
      <c r="F926" s="29">
        <f>Source!AO394</f>
        <v>603.92999999999995</v>
      </c>
      <c r="G926" s="30" t="str">
        <f>Source!DG394</f>
        <v/>
      </c>
      <c r="H926" s="29">
        <f>ROUND(Source!AF394*Source!I394, 2)</f>
        <v>12.08</v>
      </c>
      <c r="I926" s="30"/>
      <c r="J926" s="30">
        <f>IF(Source!BA394&lt;&gt; 0, Source!BA394, 1)</f>
        <v>6.56</v>
      </c>
      <c r="K926" s="29">
        <f>Source!S394</f>
        <v>79.239999999999995</v>
      </c>
      <c r="L926" s="31"/>
      <c r="R926">
        <f>H926</f>
        <v>12.08</v>
      </c>
    </row>
    <row r="927" spans="1:26" ht="14.25" x14ac:dyDescent="0.2">
      <c r="A927" s="44"/>
      <c r="B927" s="45"/>
      <c r="C927" s="45" t="s">
        <v>151</v>
      </c>
      <c r="D927" s="28"/>
      <c r="E927" s="11"/>
      <c r="F927" s="29">
        <f>Source!AM394</f>
        <v>38.28</v>
      </c>
      <c r="G927" s="30" t="str">
        <f>Source!DE394</f>
        <v/>
      </c>
      <c r="H927" s="29">
        <f>ROUND(Source!AD394*Source!I394, 2)</f>
        <v>0.77</v>
      </c>
      <c r="I927" s="30"/>
      <c r="J927" s="30">
        <f>IF(Source!BB394&lt;&gt; 0, Source!BB394, 1)</f>
        <v>6.56</v>
      </c>
      <c r="K927" s="29">
        <f>Source!Q394</f>
        <v>5.0199999999999996</v>
      </c>
      <c r="L927" s="31"/>
    </row>
    <row r="928" spans="1:26" ht="14.25" x14ac:dyDescent="0.2">
      <c r="A928" s="44"/>
      <c r="B928" s="45"/>
      <c r="C928" s="45" t="s">
        <v>1931</v>
      </c>
      <c r="D928" s="28"/>
      <c r="E928" s="11"/>
      <c r="F928" s="29">
        <f>Source!AN394</f>
        <v>2.0099999999999998</v>
      </c>
      <c r="G928" s="30" t="str">
        <f>Source!DF394</f>
        <v/>
      </c>
      <c r="H928" s="32">
        <f>ROUND(Source!AE394*Source!I394, 2)</f>
        <v>0.04</v>
      </c>
      <c r="I928" s="30"/>
      <c r="J928" s="30">
        <f>IF(Source!BS394&lt;&gt; 0, Source!BS394, 1)</f>
        <v>6.56</v>
      </c>
      <c r="K928" s="32">
        <f>Source!R394</f>
        <v>0.26</v>
      </c>
      <c r="L928" s="31"/>
      <c r="R928">
        <f>H928</f>
        <v>0.04</v>
      </c>
    </row>
    <row r="929" spans="1:26" ht="14.25" x14ac:dyDescent="0.2">
      <c r="A929" s="44"/>
      <c r="B929" s="45"/>
      <c r="C929" s="45" t="s">
        <v>1937</v>
      </c>
      <c r="D929" s="28"/>
      <c r="E929" s="11"/>
      <c r="F929" s="29">
        <f>Source!AL394</f>
        <v>128.13999999999999</v>
      </c>
      <c r="G929" s="30" t="str">
        <f>Source!DD394</f>
        <v/>
      </c>
      <c r="H929" s="29">
        <f>ROUND(Source!AC394*Source!I394, 2)</f>
        <v>2.56</v>
      </c>
      <c r="I929" s="30"/>
      <c r="J929" s="30">
        <f>IF(Source!BC394&lt;&gt; 0, Source!BC394, 1)</f>
        <v>6.56</v>
      </c>
      <c r="K929" s="29">
        <f>Source!P394</f>
        <v>16.809999999999999</v>
      </c>
      <c r="L929" s="31"/>
    </row>
    <row r="930" spans="1:26" ht="14.25" x14ac:dyDescent="0.2">
      <c r="A930" s="44"/>
      <c r="B930" s="45"/>
      <c r="C930" s="45" t="s">
        <v>1932</v>
      </c>
      <c r="D930" s="28" t="s">
        <v>1933</v>
      </c>
      <c r="E930" s="11">
        <f>Source!BZ394</f>
        <v>95</v>
      </c>
      <c r="F930" s="48"/>
      <c r="G930" s="30"/>
      <c r="H930" s="29">
        <f>SUM(S924:S933)</f>
        <v>11.51</v>
      </c>
      <c r="I930" s="33"/>
      <c r="J930" s="26">
        <f>Source!AT394</f>
        <v>95</v>
      </c>
      <c r="K930" s="29">
        <f>SUM(T924:T933)</f>
        <v>75.53</v>
      </c>
      <c r="L930" s="31"/>
    </row>
    <row r="931" spans="1:26" ht="14.25" x14ac:dyDescent="0.2">
      <c r="A931" s="44"/>
      <c r="B931" s="45"/>
      <c r="C931" s="45" t="s">
        <v>1934</v>
      </c>
      <c r="D931" s="28" t="s">
        <v>1933</v>
      </c>
      <c r="E931" s="11">
        <f>Source!CA394</f>
        <v>65</v>
      </c>
      <c r="F931" s="48"/>
      <c r="G931" s="30"/>
      <c r="H931" s="29">
        <f>SUM(U924:U933)</f>
        <v>7.88</v>
      </c>
      <c r="I931" s="33"/>
      <c r="J931" s="26">
        <f>Source!AU394</f>
        <v>65</v>
      </c>
      <c r="K931" s="29">
        <f>SUM(V924:V933)</f>
        <v>51.68</v>
      </c>
      <c r="L931" s="31"/>
    </row>
    <row r="932" spans="1:26" ht="14.25" x14ac:dyDescent="0.2">
      <c r="A932" s="44"/>
      <c r="B932" s="45"/>
      <c r="C932" s="45" t="s">
        <v>1935</v>
      </c>
      <c r="D932" s="28" t="s">
        <v>1936</v>
      </c>
      <c r="E932" s="11">
        <f>Source!AQ394</f>
        <v>60.88</v>
      </c>
      <c r="F932" s="29"/>
      <c r="G932" s="30" t="str">
        <f>Source!DI394</f>
        <v/>
      </c>
      <c r="H932" s="29"/>
      <c r="I932" s="30"/>
      <c r="J932" s="30"/>
      <c r="K932" s="29"/>
      <c r="L932" s="40">
        <f>Source!U394</f>
        <v>1.2176</v>
      </c>
    </row>
    <row r="933" spans="1:26" ht="42.75" x14ac:dyDescent="0.2">
      <c r="A933" s="46" t="str">
        <f>Source!E395</f>
        <v>87,1</v>
      </c>
      <c r="B933" s="47" t="str">
        <f>Source!F395</f>
        <v>20.4.03.07-0020</v>
      </c>
      <c r="C933" s="47" t="str">
        <f>Source!G395</f>
        <v>Розетка влагозащищённая скрытой проводки SCHNEIDER ELEKTRIK  PC16-0446 Этюд 220В,IP44 прим.</v>
      </c>
      <c r="D933" s="34" t="str">
        <f>Source!H395</f>
        <v>100 шт.</v>
      </c>
      <c r="E933" s="35">
        <f>Source!I395</f>
        <v>0.02</v>
      </c>
      <c r="F933" s="36">
        <f>Source!AL395+Source!AM395+Source!AO395</f>
        <v>303.13</v>
      </c>
      <c r="G933" s="42" t="s">
        <v>6</v>
      </c>
      <c r="H933" s="36">
        <f>ROUND(Source!AC395*Source!I395, 2)+ROUND(Source!AD395*Source!I395, 2)+ROUND(Source!AF395*Source!I395, 2)</f>
        <v>6.06</v>
      </c>
      <c r="I933" s="37"/>
      <c r="J933" s="37">
        <f>IF(Source!BC395&lt;&gt; 0, Source!BC395, 1)</f>
        <v>6.56</v>
      </c>
      <c r="K933" s="36">
        <f>Source!O395</f>
        <v>39.770000000000003</v>
      </c>
      <c r="L933" s="43"/>
      <c r="S933">
        <f>ROUND((Source!FX395/100)*((ROUND(Source!AF395*Source!I395, 2)+ROUND(Source!AE395*Source!I395, 2))), 2)</f>
        <v>0</v>
      </c>
      <c r="T933">
        <f>Source!X395</f>
        <v>0</v>
      </c>
      <c r="U933">
        <f>ROUND((Source!FY395/100)*((ROUND(Source!AF395*Source!I395, 2)+ROUND(Source!AE395*Source!I395, 2))), 2)</f>
        <v>0</v>
      </c>
      <c r="V933">
        <f>Source!Y395</f>
        <v>0</v>
      </c>
      <c r="W933">
        <f>IF(Source!BI395&lt;=1,H933, 0)</f>
        <v>0</v>
      </c>
      <c r="X933">
        <f>IF(Source!BI395=2,H933, 0)</f>
        <v>6.06</v>
      </c>
      <c r="Y933">
        <f>IF(Source!BI395=3,H933, 0)</f>
        <v>0</v>
      </c>
      <c r="Z933">
        <f>IF(Source!BI395=4,H933, 0)</f>
        <v>0</v>
      </c>
    </row>
    <row r="934" spans="1:26" ht="15" x14ac:dyDescent="0.25">
      <c r="G934" s="63">
        <f>H926+H927+H929+H930+H931+SUM(H933:H933)</f>
        <v>40.860000000000007</v>
      </c>
      <c r="H934" s="63"/>
      <c r="J934" s="63">
        <f>K926+K927+K929+K930+K931+SUM(K933:K933)</f>
        <v>268.05</v>
      </c>
      <c r="K934" s="63"/>
      <c r="L934" s="39">
        <f>Source!U394</f>
        <v>1.2176</v>
      </c>
      <c r="O934" s="24">
        <f>G934</f>
        <v>40.860000000000007</v>
      </c>
      <c r="P934" s="24">
        <f>J934</f>
        <v>268.05</v>
      </c>
      <c r="Q934" s="24">
        <f>L934</f>
        <v>1.2176</v>
      </c>
      <c r="W934">
        <f>IF(Source!BI394&lt;=1,H926+H927+H929+H930+H931, 0)</f>
        <v>0</v>
      </c>
      <c r="X934">
        <f>IF(Source!BI394=2,H926+H927+H929+H930+H931, 0)</f>
        <v>34.800000000000004</v>
      </c>
      <c r="Y934">
        <f>IF(Source!BI394=3,H926+H927+H929+H930+H931, 0)</f>
        <v>0</v>
      </c>
      <c r="Z934">
        <f>IF(Source!BI394=4,H926+H927+H929+H930+H931, 0)</f>
        <v>0</v>
      </c>
    </row>
    <row r="935" spans="1:26" ht="28.5" x14ac:dyDescent="0.2">
      <c r="A935" s="44" t="str">
        <f>Source!E396</f>
        <v>88</v>
      </c>
      <c r="B935" s="45" t="str">
        <f>Source!F396</f>
        <v>м08-02-399-02</v>
      </c>
      <c r="C935" s="45" t="str">
        <f>Source!G396</f>
        <v>Провод в коробах, сечением до 35 мм2</v>
      </c>
      <c r="D935" s="28" t="str">
        <f>Source!H396</f>
        <v>100 м</v>
      </c>
      <c r="E935" s="11">
        <f>Source!I396</f>
        <v>1.96</v>
      </c>
      <c r="F935" s="29">
        <f>Source!AL396+Source!AM396+Source!AO396</f>
        <v>50.72</v>
      </c>
      <c r="G935" s="30"/>
      <c r="H935" s="29"/>
      <c r="I935" s="30" t="str">
        <f>Source!BO396</f>
        <v/>
      </c>
      <c r="J935" s="30"/>
      <c r="K935" s="29"/>
      <c r="L935" s="31"/>
      <c r="S935">
        <f>ROUND((Source!FX396/100)*((ROUND(Source!AF396*Source!I396, 2)+ROUND(Source!AE396*Source!I396, 2))), 2)</f>
        <v>66.290000000000006</v>
      </c>
      <c r="T935">
        <f>Source!X396</f>
        <v>434.84</v>
      </c>
      <c r="U935">
        <f>ROUND((Source!FY396/100)*((ROUND(Source!AF396*Source!I396, 2)+ROUND(Source!AE396*Source!I396, 2))), 2)</f>
        <v>45.36</v>
      </c>
      <c r="V935">
        <f>Source!Y396</f>
        <v>297.52</v>
      </c>
    </row>
    <row r="936" spans="1:26" x14ac:dyDescent="0.2">
      <c r="C936" s="23" t="str">
        <f>"Объем: "&amp;Source!I396&amp;"=196/"&amp;"100"</f>
        <v>Объем: 1,96=196/100</v>
      </c>
    </row>
    <row r="937" spans="1:26" ht="14.25" x14ac:dyDescent="0.2">
      <c r="A937" s="44"/>
      <c r="B937" s="45"/>
      <c r="C937" s="45" t="s">
        <v>1930</v>
      </c>
      <c r="D937" s="28"/>
      <c r="E937" s="11"/>
      <c r="F937" s="29">
        <f>Source!AO396</f>
        <v>35.340000000000003</v>
      </c>
      <c r="G937" s="30" t="str">
        <f>Source!DG396</f>
        <v/>
      </c>
      <c r="H937" s="29">
        <f>ROUND(Source!AF396*Source!I396, 2)</f>
        <v>69.27</v>
      </c>
      <c r="I937" s="30"/>
      <c r="J937" s="30">
        <f>IF(Source!BA396&lt;&gt; 0, Source!BA396, 1)</f>
        <v>6.56</v>
      </c>
      <c r="K937" s="29">
        <f>Source!S396</f>
        <v>454.39</v>
      </c>
      <c r="L937" s="31"/>
      <c r="R937">
        <f>H937</f>
        <v>69.27</v>
      </c>
    </row>
    <row r="938" spans="1:26" ht="14.25" x14ac:dyDescent="0.2">
      <c r="A938" s="44"/>
      <c r="B938" s="45"/>
      <c r="C938" s="45" t="s">
        <v>151</v>
      </c>
      <c r="D938" s="28"/>
      <c r="E938" s="11"/>
      <c r="F938" s="29">
        <f>Source!AM396</f>
        <v>1.78</v>
      </c>
      <c r="G938" s="30" t="str">
        <f>Source!DE396</f>
        <v/>
      </c>
      <c r="H938" s="29">
        <f>ROUND(Source!AD396*Source!I396, 2)</f>
        <v>3.49</v>
      </c>
      <c r="I938" s="30"/>
      <c r="J938" s="30">
        <f>IF(Source!BB396&lt;&gt; 0, Source!BB396, 1)</f>
        <v>6.56</v>
      </c>
      <c r="K938" s="29">
        <f>Source!Q396</f>
        <v>22.89</v>
      </c>
      <c r="L938" s="31"/>
    </row>
    <row r="939" spans="1:26" ht="14.25" x14ac:dyDescent="0.2">
      <c r="A939" s="44"/>
      <c r="B939" s="45"/>
      <c r="C939" s="45" t="s">
        <v>1931</v>
      </c>
      <c r="D939" s="28"/>
      <c r="E939" s="11"/>
      <c r="F939" s="29">
        <f>Source!AN396</f>
        <v>0.26</v>
      </c>
      <c r="G939" s="30" t="str">
        <f>Source!DF396</f>
        <v/>
      </c>
      <c r="H939" s="32">
        <f>ROUND(Source!AE396*Source!I396, 2)</f>
        <v>0.51</v>
      </c>
      <c r="I939" s="30"/>
      <c r="J939" s="30">
        <f>IF(Source!BS396&lt;&gt; 0, Source!BS396, 1)</f>
        <v>6.56</v>
      </c>
      <c r="K939" s="32">
        <f>Source!R396</f>
        <v>3.34</v>
      </c>
      <c r="L939" s="31"/>
      <c r="R939">
        <f>H939</f>
        <v>0.51</v>
      </c>
    </row>
    <row r="940" spans="1:26" ht="14.25" x14ac:dyDescent="0.2">
      <c r="A940" s="44"/>
      <c r="B940" s="45"/>
      <c r="C940" s="45" t="s">
        <v>1937</v>
      </c>
      <c r="D940" s="28"/>
      <c r="E940" s="11"/>
      <c r="F940" s="29">
        <f>Source!AL396</f>
        <v>13.6</v>
      </c>
      <c r="G940" s="30" t="str">
        <f>Source!DD396</f>
        <v/>
      </c>
      <c r="H940" s="29">
        <f>ROUND(Source!AC396*Source!I396, 2)</f>
        <v>26.66</v>
      </c>
      <c r="I940" s="30"/>
      <c r="J940" s="30">
        <f>IF(Source!BC396&lt;&gt; 0, Source!BC396, 1)</f>
        <v>6.56</v>
      </c>
      <c r="K940" s="29">
        <f>Source!P396</f>
        <v>174.86</v>
      </c>
      <c r="L940" s="31"/>
    </row>
    <row r="941" spans="1:26" ht="14.25" x14ac:dyDescent="0.2">
      <c r="A941" s="44"/>
      <c r="B941" s="45"/>
      <c r="C941" s="45" t="s">
        <v>1932</v>
      </c>
      <c r="D941" s="28" t="s">
        <v>1933</v>
      </c>
      <c r="E941" s="11">
        <f>Source!BZ396</f>
        <v>95</v>
      </c>
      <c r="F941" s="48"/>
      <c r="G941" s="30"/>
      <c r="H941" s="29">
        <f>SUM(S935:S944)</f>
        <v>66.290000000000006</v>
      </c>
      <c r="I941" s="33"/>
      <c r="J941" s="26">
        <f>Source!AT396</f>
        <v>95</v>
      </c>
      <c r="K941" s="29">
        <f>SUM(T935:T944)</f>
        <v>434.84</v>
      </c>
      <c r="L941" s="31"/>
    </row>
    <row r="942" spans="1:26" ht="14.25" x14ac:dyDescent="0.2">
      <c r="A942" s="44"/>
      <c r="B942" s="45"/>
      <c r="C942" s="45" t="s">
        <v>1934</v>
      </c>
      <c r="D942" s="28" t="s">
        <v>1933</v>
      </c>
      <c r="E942" s="11">
        <f>Source!CA396</f>
        <v>65</v>
      </c>
      <c r="F942" s="48"/>
      <c r="G942" s="30"/>
      <c r="H942" s="29">
        <f>SUM(U935:U944)</f>
        <v>45.36</v>
      </c>
      <c r="I942" s="33"/>
      <c r="J942" s="26">
        <f>Source!AU396</f>
        <v>65</v>
      </c>
      <c r="K942" s="29">
        <f>SUM(V935:V944)</f>
        <v>297.52</v>
      </c>
      <c r="L942" s="31"/>
    </row>
    <row r="943" spans="1:26" ht="14.25" x14ac:dyDescent="0.2">
      <c r="A943" s="44"/>
      <c r="B943" s="45"/>
      <c r="C943" s="45" t="s">
        <v>1935</v>
      </c>
      <c r="D943" s="28" t="s">
        <v>1936</v>
      </c>
      <c r="E943" s="11">
        <f>Source!AQ396</f>
        <v>3.76</v>
      </c>
      <c r="F943" s="29"/>
      <c r="G943" s="30" t="str">
        <f>Source!DI396</f>
        <v/>
      </c>
      <c r="H943" s="29"/>
      <c r="I943" s="30"/>
      <c r="J943" s="30"/>
      <c r="K943" s="29"/>
      <c r="L943" s="40">
        <f>Source!U396</f>
        <v>7.3695999999999993</v>
      </c>
    </row>
    <row r="944" spans="1:26" ht="85.5" x14ac:dyDescent="0.2">
      <c r="A944" s="46" t="str">
        <f>Source!E397</f>
        <v>88,1</v>
      </c>
      <c r="B944" s="47" t="str">
        <f>Source!F397</f>
        <v>21.1.06.09-0152</v>
      </c>
      <c r="C944" s="47" t="str">
        <f>Source!G397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944" s="34" t="str">
        <f>Source!H397</f>
        <v>1000 м</v>
      </c>
      <c r="E944" s="35">
        <f>Source!I397</f>
        <v>0.19600000000000001</v>
      </c>
      <c r="F944" s="36">
        <f>Source!AL397+Source!AM397+Source!AO397</f>
        <v>6920.41</v>
      </c>
      <c r="G944" s="42" t="s">
        <v>6</v>
      </c>
      <c r="H944" s="36">
        <f>ROUND(Source!AC397*Source!I397, 2)+ROUND(Source!AD397*Source!I397, 2)+ROUND(Source!AF397*Source!I397, 2)</f>
        <v>1356.4</v>
      </c>
      <c r="I944" s="37"/>
      <c r="J944" s="37">
        <f>IF(Source!BC397&lt;&gt; 0, Source!BC397, 1)</f>
        <v>6.56</v>
      </c>
      <c r="K944" s="36">
        <f>Source!O397</f>
        <v>8897.99</v>
      </c>
      <c r="L944" s="43"/>
      <c r="S944">
        <f>ROUND((Source!FX397/100)*((ROUND(Source!AF397*Source!I397, 2)+ROUND(Source!AE397*Source!I397, 2))), 2)</f>
        <v>0</v>
      </c>
      <c r="T944">
        <f>Source!X397</f>
        <v>0</v>
      </c>
      <c r="U944">
        <f>ROUND((Source!FY397/100)*((ROUND(Source!AF397*Source!I397, 2)+ROUND(Source!AE397*Source!I397, 2))), 2)</f>
        <v>0</v>
      </c>
      <c r="V944">
        <f>Source!Y397</f>
        <v>0</v>
      </c>
      <c r="W944">
        <f>IF(Source!BI397&lt;=1,H944, 0)</f>
        <v>0</v>
      </c>
      <c r="X944">
        <f>IF(Source!BI397=2,H944, 0)</f>
        <v>1356.4</v>
      </c>
      <c r="Y944">
        <f>IF(Source!BI397=3,H944, 0)</f>
        <v>0</v>
      </c>
      <c r="Z944">
        <f>IF(Source!BI397=4,H944, 0)</f>
        <v>0</v>
      </c>
    </row>
    <row r="945" spans="1:26" ht="15" x14ac:dyDescent="0.25">
      <c r="G945" s="63">
        <f>H937+H938+H940+H941+H942+SUM(H944:H944)</f>
        <v>1567.47</v>
      </c>
      <c r="H945" s="63"/>
      <c r="J945" s="63">
        <f>K937+K938+K940+K941+K942+SUM(K944:K944)</f>
        <v>10282.49</v>
      </c>
      <c r="K945" s="63"/>
      <c r="L945" s="39">
        <f>Source!U396</f>
        <v>7.3695999999999993</v>
      </c>
      <c r="O945" s="24">
        <f>G945</f>
        <v>1567.47</v>
      </c>
      <c r="P945" s="24">
        <f>J945</f>
        <v>10282.49</v>
      </c>
      <c r="Q945" s="24">
        <f>L945</f>
        <v>7.3695999999999993</v>
      </c>
      <c r="W945">
        <f>IF(Source!BI396&lt;=1,H937+H938+H940+H941+H942, 0)</f>
        <v>0</v>
      </c>
      <c r="X945">
        <f>IF(Source!BI396=2,H937+H938+H940+H941+H942, 0)</f>
        <v>211.07</v>
      </c>
      <c r="Y945">
        <f>IF(Source!BI396=3,H937+H938+H940+H941+H942, 0)</f>
        <v>0</v>
      </c>
      <c r="Z945">
        <f>IF(Source!BI396=4,H937+H938+H940+H941+H942, 0)</f>
        <v>0</v>
      </c>
    </row>
    <row r="946" spans="1:26" ht="28.5" x14ac:dyDescent="0.2">
      <c r="A946" s="44" t="str">
        <f>Source!E398</f>
        <v>89</v>
      </c>
      <c r="B946" s="45" t="str">
        <f>Source!F398</f>
        <v>м08-10-010-01</v>
      </c>
      <c r="C946" s="45" t="str">
        <f>Source!G398</f>
        <v>Прокладка труб гофрированных ПВХ для защиты проводов и кабелей</v>
      </c>
      <c r="D946" s="28" t="str">
        <f>Source!H398</f>
        <v>100 м</v>
      </c>
      <c r="E946" s="11">
        <f>Source!I398</f>
        <v>1.21</v>
      </c>
      <c r="F946" s="29">
        <f>Source!AL398+Source!AM398+Source!AO398</f>
        <v>156.32999999999998</v>
      </c>
      <c r="G946" s="30"/>
      <c r="H946" s="29"/>
      <c r="I946" s="30" t="str">
        <f>Source!BO398</f>
        <v/>
      </c>
      <c r="J946" s="30"/>
      <c r="K946" s="29"/>
      <c r="L946" s="31"/>
      <c r="S946">
        <f>ROUND((Source!FX398/100)*((ROUND(Source!AF398*Source!I398, 2)+ROUND(Source!AE398*Source!I398, 2))), 2)</f>
        <v>160.4</v>
      </c>
      <c r="T946">
        <f>Source!X398</f>
        <v>1052.23</v>
      </c>
      <c r="U946">
        <f>ROUND((Source!FY398/100)*((ROUND(Source!AF398*Source!I398, 2)+ROUND(Source!AE398*Source!I398, 2))), 2)</f>
        <v>109.75</v>
      </c>
      <c r="V946">
        <f>Source!Y398</f>
        <v>719.95</v>
      </c>
    </row>
    <row r="947" spans="1:26" x14ac:dyDescent="0.2">
      <c r="C947" s="23" t="str">
        <f>"Объем: "&amp;Source!I398&amp;"=121/"&amp;"100"</f>
        <v>Объем: 1,21=121/100</v>
      </c>
    </row>
    <row r="948" spans="1:26" ht="14.25" x14ac:dyDescent="0.2">
      <c r="A948" s="44"/>
      <c r="B948" s="45"/>
      <c r="C948" s="45" t="s">
        <v>1930</v>
      </c>
      <c r="D948" s="28"/>
      <c r="E948" s="11"/>
      <c r="F948" s="29">
        <f>Source!AO398</f>
        <v>139.54</v>
      </c>
      <c r="G948" s="30" t="str">
        <f>Source!DG398</f>
        <v/>
      </c>
      <c r="H948" s="29">
        <f>ROUND(Source!AF398*Source!I398, 2)</f>
        <v>168.84</v>
      </c>
      <c r="I948" s="30"/>
      <c r="J948" s="30">
        <f>IF(Source!BA398&lt;&gt; 0, Source!BA398, 1)</f>
        <v>6.56</v>
      </c>
      <c r="K948" s="29">
        <f>Source!S398</f>
        <v>1107.6099999999999</v>
      </c>
      <c r="L948" s="31"/>
      <c r="R948">
        <f>H948</f>
        <v>168.84</v>
      </c>
    </row>
    <row r="949" spans="1:26" ht="14.25" x14ac:dyDescent="0.2">
      <c r="A949" s="44"/>
      <c r="B949" s="45"/>
      <c r="C949" s="45" t="s">
        <v>1937</v>
      </c>
      <c r="D949" s="28"/>
      <c r="E949" s="11"/>
      <c r="F949" s="29">
        <f>Source!AL398</f>
        <v>16.79</v>
      </c>
      <c r="G949" s="30" t="str">
        <f>Source!DD398</f>
        <v/>
      </c>
      <c r="H949" s="29">
        <f>ROUND(Source!AC398*Source!I398, 2)</f>
        <v>20.32</v>
      </c>
      <c r="I949" s="30"/>
      <c r="J949" s="30">
        <f>IF(Source!BC398&lt;&gt; 0, Source!BC398, 1)</f>
        <v>6.56</v>
      </c>
      <c r="K949" s="29">
        <f>Source!P398</f>
        <v>133.27000000000001</v>
      </c>
      <c r="L949" s="31"/>
    </row>
    <row r="950" spans="1:26" ht="14.25" x14ac:dyDescent="0.2">
      <c r="A950" s="44"/>
      <c r="B950" s="45"/>
      <c r="C950" s="45" t="s">
        <v>1932</v>
      </c>
      <c r="D950" s="28" t="s">
        <v>1933</v>
      </c>
      <c r="E950" s="11">
        <f>Source!BZ398</f>
        <v>95</v>
      </c>
      <c r="F950" s="48"/>
      <c r="G950" s="30"/>
      <c r="H950" s="29">
        <f>SUM(S946:S953)</f>
        <v>160.4</v>
      </c>
      <c r="I950" s="33"/>
      <c r="J950" s="26">
        <f>Source!AT398</f>
        <v>95</v>
      </c>
      <c r="K950" s="29">
        <f>SUM(T946:T953)</f>
        <v>1052.23</v>
      </c>
      <c r="L950" s="31"/>
    </row>
    <row r="951" spans="1:26" ht="14.25" x14ac:dyDescent="0.2">
      <c r="A951" s="44"/>
      <c r="B951" s="45"/>
      <c r="C951" s="45" t="s">
        <v>1934</v>
      </c>
      <c r="D951" s="28" t="s">
        <v>1933</v>
      </c>
      <c r="E951" s="11">
        <f>Source!CA398</f>
        <v>65</v>
      </c>
      <c r="F951" s="48"/>
      <c r="G951" s="30"/>
      <c r="H951" s="29">
        <f>SUM(U946:U953)</f>
        <v>109.75</v>
      </c>
      <c r="I951" s="33"/>
      <c r="J951" s="26">
        <f>Source!AU398</f>
        <v>65</v>
      </c>
      <c r="K951" s="29">
        <f>SUM(V946:V953)</f>
        <v>719.95</v>
      </c>
      <c r="L951" s="31"/>
    </row>
    <row r="952" spans="1:26" ht="14.25" x14ac:dyDescent="0.2">
      <c r="A952" s="44"/>
      <c r="B952" s="45"/>
      <c r="C952" s="45" t="s">
        <v>1935</v>
      </c>
      <c r="D952" s="28" t="s">
        <v>1936</v>
      </c>
      <c r="E952" s="11">
        <f>Source!AQ398</f>
        <v>15.2</v>
      </c>
      <c r="F952" s="29"/>
      <c r="G952" s="30" t="str">
        <f>Source!DI398</f>
        <v/>
      </c>
      <c r="H952" s="29"/>
      <c r="I952" s="30"/>
      <c r="J952" s="30"/>
      <c r="K952" s="29"/>
      <c r="L952" s="40">
        <f>Source!U398</f>
        <v>18.391999999999999</v>
      </c>
    </row>
    <row r="953" spans="1:26" ht="42.75" x14ac:dyDescent="0.2">
      <c r="A953" s="46" t="str">
        <f>Source!E399</f>
        <v>89,1</v>
      </c>
      <c r="B953" s="47" t="str">
        <f>Source!F399</f>
        <v>24.3.01.02-0021</v>
      </c>
      <c r="C953" s="47" t="str">
        <f>Source!G399</f>
        <v>Трубы гибкие гофрированные легкие из самозатухающего ПВХ (IP55) серии FL, с зондом, диаметром 16 мм</v>
      </c>
      <c r="D953" s="34" t="str">
        <f>Source!H399</f>
        <v>10 м</v>
      </c>
      <c r="E953" s="35">
        <f>Source!I399</f>
        <v>12.1</v>
      </c>
      <c r="F953" s="36">
        <f>Source!AL399+Source!AM399+Source!AO399</f>
        <v>16.11</v>
      </c>
      <c r="G953" s="42" t="s">
        <v>6</v>
      </c>
      <c r="H953" s="36">
        <f>ROUND(Source!AC399*Source!I399, 2)+ROUND(Source!AD399*Source!I399, 2)+ROUND(Source!AF399*Source!I399, 2)</f>
        <v>194.93</v>
      </c>
      <c r="I953" s="37"/>
      <c r="J953" s="37">
        <f>IF(Source!BC399&lt;&gt; 0, Source!BC399, 1)</f>
        <v>6.56</v>
      </c>
      <c r="K953" s="36">
        <f>Source!O399</f>
        <v>1278.75</v>
      </c>
      <c r="L953" s="43"/>
      <c r="S953">
        <f>ROUND((Source!FX399/100)*((ROUND(Source!AF399*Source!I399, 2)+ROUND(Source!AE399*Source!I399, 2))), 2)</f>
        <v>0</v>
      </c>
      <c r="T953">
        <f>Source!X399</f>
        <v>0</v>
      </c>
      <c r="U953">
        <f>ROUND((Source!FY399/100)*((ROUND(Source!AF399*Source!I399, 2)+ROUND(Source!AE399*Source!I399, 2))), 2)</f>
        <v>0</v>
      </c>
      <c r="V953">
        <f>Source!Y399</f>
        <v>0</v>
      </c>
      <c r="W953">
        <f>IF(Source!BI399&lt;=1,H953, 0)</f>
        <v>0</v>
      </c>
      <c r="X953">
        <f>IF(Source!BI399=2,H953, 0)</f>
        <v>194.93</v>
      </c>
      <c r="Y953">
        <f>IF(Source!BI399=3,H953, 0)</f>
        <v>0</v>
      </c>
      <c r="Z953">
        <f>IF(Source!BI399=4,H953, 0)</f>
        <v>0</v>
      </c>
    </row>
    <row r="954" spans="1:26" ht="15" x14ac:dyDescent="0.25">
      <c r="G954" s="63">
        <f>H948+H949+H950+H951+SUM(H953:H953)</f>
        <v>654.24</v>
      </c>
      <c r="H954" s="63"/>
      <c r="J954" s="63">
        <f>K948+K949+K950+K951+SUM(K953:K953)</f>
        <v>4291.8099999999995</v>
      </c>
      <c r="K954" s="63"/>
      <c r="L954" s="39">
        <f>Source!U398</f>
        <v>18.391999999999999</v>
      </c>
      <c r="O954" s="24">
        <f>G954</f>
        <v>654.24</v>
      </c>
      <c r="P954" s="24">
        <f>J954</f>
        <v>4291.8099999999995</v>
      </c>
      <c r="Q954" s="24">
        <f>L954</f>
        <v>18.391999999999999</v>
      </c>
      <c r="W954">
        <f>IF(Source!BI398&lt;=1,H948+H949+H950+H951, 0)</f>
        <v>0</v>
      </c>
      <c r="X954">
        <f>IF(Source!BI398=2,H948+H949+H950+H951, 0)</f>
        <v>459.31</v>
      </c>
      <c r="Y954">
        <f>IF(Source!BI398=3,H948+H949+H950+H951, 0)</f>
        <v>0</v>
      </c>
      <c r="Z954">
        <f>IF(Source!BI398=4,H948+H949+H950+H951, 0)</f>
        <v>0</v>
      </c>
    </row>
    <row r="955" spans="1:26" ht="71.25" x14ac:dyDescent="0.2">
      <c r="A955" s="44" t="str">
        <f>Source!E400</f>
        <v>90</v>
      </c>
      <c r="B955" s="45" t="str">
        <f>Source!F400</f>
        <v>м08-02-412-03</v>
      </c>
      <c r="C955" s="45" t="str">
        <f>Source!G400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955" s="28" t="str">
        <f>Source!H400</f>
        <v>100 м</v>
      </c>
      <c r="E955" s="11">
        <f>Source!I400</f>
        <v>1.32</v>
      </c>
      <c r="F955" s="29">
        <f>Source!AL400+Source!AM400+Source!AO400</f>
        <v>87.15</v>
      </c>
      <c r="G955" s="30"/>
      <c r="H955" s="29"/>
      <c r="I955" s="30" t="str">
        <f>Source!BO400</f>
        <v/>
      </c>
      <c r="J955" s="30"/>
      <c r="K955" s="29"/>
      <c r="L955" s="31"/>
      <c r="S955">
        <f>ROUND((Source!FX400/100)*((ROUND(Source!AF400*Source!I400, 2)+ROUND(Source!AE400*Source!I400, 2))), 2)</f>
        <v>75.099999999999994</v>
      </c>
      <c r="T955">
        <f>Source!X400</f>
        <v>492.67</v>
      </c>
      <c r="U955">
        <f>ROUND((Source!FY400/100)*((ROUND(Source!AF400*Source!I400, 2)+ROUND(Source!AE400*Source!I400, 2))), 2)</f>
        <v>51.38</v>
      </c>
      <c r="V955">
        <f>Source!Y400</f>
        <v>337.09</v>
      </c>
    </row>
    <row r="956" spans="1:26" x14ac:dyDescent="0.2">
      <c r="C956" s="23" t="str">
        <f>"Объем: "&amp;Source!I400&amp;"=132/"&amp;"100"</f>
        <v>Объем: 1,32=132/100</v>
      </c>
    </row>
    <row r="957" spans="1:26" ht="14.25" x14ac:dyDescent="0.2">
      <c r="A957" s="44"/>
      <c r="B957" s="45"/>
      <c r="C957" s="45" t="s">
        <v>1930</v>
      </c>
      <c r="D957" s="28"/>
      <c r="E957" s="11"/>
      <c r="F957" s="29">
        <f>Source!AO400</f>
        <v>59.13</v>
      </c>
      <c r="G957" s="30" t="str">
        <f>Source!DG400</f>
        <v/>
      </c>
      <c r="H957" s="29">
        <f>ROUND(Source!AF400*Source!I400, 2)</f>
        <v>78.05</v>
      </c>
      <c r="I957" s="30"/>
      <c r="J957" s="30">
        <f>IF(Source!BA400&lt;&gt; 0, Source!BA400, 1)</f>
        <v>6.56</v>
      </c>
      <c r="K957" s="29">
        <f>Source!S400</f>
        <v>512.02</v>
      </c>
      <c r="L957" s="31"/>
      <c r="R957">
        <f>H957</f>
        <v>78.05</v>
      </c>
    </row>
    <row r="958" spans="1:26" ht="14.25" x14ac:dyDescent="0.2">
      <c r="A958" s="44"/>
      <c r="B958" s="45"/>
      <c r="C958" s="45" t="s">
        <v>151</v>
      </c>
      <c r="D958" s="28"/>
      <c r="E958" s="11"/>
      <c r="F958" s="29">
        <f>Source!AM400</f>
        <v>5.33</v>
      </c>
      <c r="G958" s="30" t="str">
        <f>Source!DE400</f>
        <v/>
      </c>
      <c r="H958" s="29">
        <f>ROUND(Source!AD400*Source!I400, 2)</f>
        <v>7.04</v>
      </c>
      <c r="I958" s="30"/>
      <c r="J958" s="30">
        <f>IF(Source!BB400&lt;&gt; 0, Source!BB400, 1)</f>
        <v>6.56</v>
      </c>
      <c r="K958" s="29">
        <f>Source!Q400</f>
        <v>46.15</v>
      </c>
      <c r="L958" s="31"/>
    </row>
    <row r="959" spans="1:26" ht="14.25" x14ac:dyDescent="0.2">
      <c r="A959" s="44"/>
      <c r="B959" s="45"/>
      <c r="C959" s="45" t="s">
        <v>1931</v>
      </c>
      <c r="D959" s="28"/>
      <c r="E959" s="11"/>
      <c r="F959" s="29">
        <f>Source!AN400</f>
        <v>0.76</v>
      </c>
      <c r="G959" s="30" t="str">
        <f>Source!DF400</f>
        <v/>
      </c>
      <c r="H959" s="32">
        <f>ROUND(Source!AE400*Source!I400, 2)</f>
        <v>1</v>
      </c>
      <c r="I959" s="30"/>
      <c r="J959" s="30">
        <f>IF(Source!BS400&lt;&gt; 0, Source!BS400, 1)</f>
        <v>6.56</v>
      </c>
      <c r="K959" s="32">
        <f>Source!R400</f>
        <v>6.58</v>
      </c>
      <c r="L959" s="31"/>
      <c r="R959">
        <f>H959</f>
        <v>1</v>
      </c>
    </row>
    <row r="960" spans="1:26" ht="14.25" x14ac:dyDescent="0.2">
      <c r="A960" s="44"/>
      <c r="B960" s="45"/>
      <c r="C960" s="45" t="s">
        <v>1937</v>
      </c>
      <c r="D960" s="28"/>
      <c r="E960" s="11"/>
      <c r="F960" s="29">
        <f>Source!AL400</f>
        <v>22.69</v>
      </c>
      <c r="G960" s="30" t="str">
        <f>Source!DD400</f>
        <v/>
      </c>
      <c r="H960" s="29">
        <f>ROUND(Source!AC400*Source!I400, 2)</f>
        <v>29.95</v>
      </c>
      <c r="I960" s="30"/>
      <c r="J960" s="30">
        <f>IF(Source!BC400&lt;&gt; 0, Source!BC400, 1)</f>
        <v>6.56</v>
      </c>
      <c r="K960" s="29">
        <f>Source!P400</f>
        <v>196.48</v>
      </c>
      <c r="L960" s="31"/>
    </row>
    <row r="961" spans="1:26" ht="14.25" x14ac:dyDescent="0.2">
      <c r="A961" s="44"/>
      <c r="B961" s="45"/>
      <c r="C961" s="45" t="s">
        <v>1932</v>
      </c>
      <c r="D961" s="28" t="s">
        <v>1933</v>
      </c>
      <c r="E961" s="11">
        <f>Source!BZ400</f>
        <v>95</v>
      </c>
      <c r="F961" s="48"/>
      <c r="G961" s="30"/>
      <c r="H961" s="29">
        <f>SUM(S955:S964)</f>
        <v>75.099999999999994</v>
      </c>
      <c r="I961" s="33"/>
      <c r="J961" s="26">
        <f>Source!AT400</f>
        <v>95</v>
      </c>
      <c r="K961" s="29">
        <f>SUM(T955:T964)</f>
        <v>492.67</v>
      </c>
      <c r="L961" s="31"/>
    </row>
    <row r="962" spans="1:26" ht="14.25" x14ac:dyDescent="0.2">
      <c r="A962" s="44"/>
      <c r="B962" s="45"/>
      <c r="C962" s="45" t="s">
        <v>1934</v>
      </c>
      <c r="D962" s="28" t="s">
        <v>1933</v>
      </c>
      <c r="E962" s="11">
        <f>Source!CA400</f>
        <v>65</v>
      </c>
      <c r="F962" s="48"/>
      <c r="G962" s="30"/>
      <c r="H962" s="29">
        <f>SUM(U955:U964)</f>
        <v>51.38</v>
      </c>
      <c r="I962" s="33"/>
      <c r="J962" s="26">
        <f>Source!AU400</f>
        <v>65</v>
      </c>
      <c r="K962" s="29">
        <f>SUM(V955:V964)</f>
        <v>337.09</v>
      </c>
      <c r="L962" s="31"/>
    </row>
    <row r="963" spans="1:26" ht="14.25" x14ac:dyDescent="0.2">
      <c r="A963" s="44"/>
      <c r="B963" s="45"/>
      <c r="C963" s="45" t="s">
        <v>1935</v>
      </c>
      <c r="D963" s="28" t="s">
        <v>1936</v>
      </c>
      <c r="E963" s="11">
        <f>Source!AQ400</f>
        <v>6.29</v>
      </c>
      <c r="F963" s="29"/>
      <c r="G963" s="30" t="str">
        <f>Source!DI400</f>
        <v/>
      </c>
      <c r="H963" s="29"/>
      <c r="I963" s="30"/>
      <c r="J963" s="30"/>
      <c r="K963" s="29"/>
      <c r="L963" s="40">
        <f>Source!U400</f>
        <v>8.3028000000000013</v>
      </c>
    </row>
    <row r="964" spans="1:26" ht="85.5" x14ac:dyDescent="0.2">
      <c r="A964" s="46" t="str">
        <f>Source!E401</f>
        <v>90,1</v>
      </c>
      <c r="B964" s="47" t="str">
        <f>Source!F401</f>
        <v>21.1.06.09-0152</v>
      </c>
      <c r="C964" s="47" t="str">
        <f>Source!G401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964" s="34" t="str">
        <f>Source!H401</f>
        <v>1000 м</v>
      </c>
      <c r="E964" s="35">
        <f>Source!I401</f>
        <v>0.13200000000000001</v>
      </c>
      <c r="F964" s="36">
        <f>Source!AL401+Source!AM401+Source!AO401</f>
        <v>6920.41</v>
      </c>
      <c r="G964" s="42" t="s">
        <v>6</v>
      </c>
      <c r="H964" s="36">
        <f>ROUND(Source!AC401*Source!I401, 2)+ROUND(Source!AD401*Source!I401, 2)+ROUND(Source!AF401*Source!I401, 2)</f>
        <v>913.49</v>
      </c>
      <c r="I964" s="37"/>
      <c r="J964" s="37">
        <f>IF(Source!BC401&lt;&gt; 0, Source!BC401, 1)</f>
        <v>6.56</v>
      </c>
      <c r="K964" s="36">
        <f>Source!O401</f>
        <v>5992.52</v>
      </c>
      <c r="L964" s="43"/>
      <c r="S964">
        <f>ROUND((Source!FX401/100)*((ROUND(Source!AF401*Source!I401, 2)+ROUND(Source!AE401*Source!I401, 2))), 2)</f>
        <v>0</v>
      </c>
      <c r="T964">
        <f>Source!X401</f>
        <v>0</v>
      </c>
      <c r="U964">
        <f>ROUND((Source!FY401/100)*((ROUND(Source!AF401*Source!I401, 2)+ROUND(Source!AE401*Source!I401, 2))), 2)</f>
        <v>0</v>
      </c>
      <c r="V964">
        <f>Source!Y401</f>
        <v>0</v>
      </c>
      <c r="W964">
        <f>IF(Source!BI401&lt;=1,H964, 0)</f>
        <v>0</v>
      </c>
      <c r="X964">
        <f>IF(Source!BI401=2,H964, 0)</f>
        <v>913.49</v>
      </c>
      <c r="Y964">
        <f>IF(Source!BI401=3,H964, 0)</f>
        <v>0</v>
      </c>
      <c r="Z964">
        <f>IF(Source!BI401=4,H964, 0)</f>
        <v>0</v>
      </c>
    </row>
    <row r="965" spans="1:26" ht="15" x14ac:dyDescent="0.25">
      <c r="G965" s="63">
        <f>H957+H958+H960+H961+H962+SUM(H964:H964)</f>
        <v>1155.01</v>
      </c>
      <c r="H965" s="63"/>
      <c r="J965" s="63">
        <f>K957+K958+K960+K961+K962+SUM(K964:K964)</f>
        <v>7576.93</v>
      </c>
      <c r="K965" s="63"/>
      <c r="L965" s="39">
        <f>Source!U400</f>
        <v>8.3028000000000013</v>
      </c>
      <c r="O965" s="24">
        <f>G965</f>
        <v>1155.01</v>
      </c>
      <c r="P965" s="24">
        <f>J965</f>
        <v>7576.93</v>
      </c>
      <c r="Q965" s="24">
        <f>L965</f>
        <v>8.3028000000000013</v>
      </c>
      <c r="W965">
        <f>IF(Source!BI400&lt;=1,H957+H958+H960+H961+H962, 0)</f>
        <v>0</v>
      </c>
      <c r="X965">
        <f>IF(Source!BI400=2,H957+H958+H960+H961+H962, 0)</f>
        <v>241.51999999999998</v>
      </c>
      <c r="Y965">
        <f>IF(Source!BI400=3,H957+H958+H960+H961+H962, 0)</f>
        <v>0</v>
      </c>
      <c r="Z965">
        <f>IF(Source!BI400=4,H957+H958+H960+H961+H962, 0)</f>
        <v>0</v>
      </c>
    </row>
    <row r="966" spans="1:26" ht="42.75" x14ac:dyDescent="0.2">
      <c r="A966" s="44" t="str">
        <f>Source!E402</f>
        <v>91</v>
      </c>
      <c r="B966" s="45" t="str">
        <f>Source!F402</f>
        <v>м08-02-397-01 прим.</v>
      </c>
      <c r="C966" s="45" t="str">
        <f>Source!G402</f>
        <v>Профиль перфорированный монтажный длиной 2 м (Лоток оцинкованный перфорированый)</v>
      </c>
      <c r="D966" s="28" t="str">
        <f>Source!H402</f>
        <v>100 м</v>
      </c>
      <c r="E966" s="11">
        <f>Source!I402</f>
        <v>0.68</v>
      </c>
      <c r="F966" s="29">
        <f>Source!AL402+Source!AM402+Source!AO402</f>
        <v>582.66</v>
      </c>
      <c r="G966" s="30"/>
      <c r="H966" s="29"/>
      <c r="I966" s="30" t="str">
        <f>Source!BO402</f>
        <v/>
      </c>
      <c r="J966" s="30"/>
      <c r="K966" s="29"/>
      <c r="L966" s="31"/>
      <c r="S966">
        <f>ROUND((Source!FX402/100)*((ROUND(Source!AF402*Source!I402, 2)+ROUND(Source!AE402*Source!I402, 2))), 2)</f>
        <v>67.040000000000006</v>
      </c>
      <c r="T966">
        <f>Source!X402</f>
        <v>439.84</v>
      </c>
      <c r="U966">
        <f>ROUND((Source!FY402/100)*((ROUND(Source!AF402*Source!I402, 2)+ROUND(Source!AE402*Source!I402, 2))), 2)</f>
        <v>45.87</v>
      </c>
      <c r="V966">
        <f>Source!Y402</f>
        <v>300.94</v>
      </c>
    </row>
    <row r="967" spans="1:26" x14ac:dyDescent="0.2">
      <c r="C967" s="23" t="str">
        <f>"Объем: "&amp;Source!I402&amp;"=68/"&amp;"100"</f>
        <v>Объем: 0,68=68/100</v>
      </c>
    </row>
    <row r="968" spans="1:26" ht="14.25" x14ac:dyDescent="0.2">
      <c r="A968" s="44"/>
      <c r="B968" s="45"/>
      <c r="C968" s="45" t="s">
        <v>1930</v>
      </c>
      <c r="D968" s="28"/>
      <c r="E968" s="11"/>
      <c r="F968" s="29">
        <f>Source!AO402</f>
        <v>80.459999999999994</v>
      </c>
      <c r="G968" s="30" t="str">
        <f>Source!DG402</f>
        <v/>
      </c>
      <c r="H968" s="29">
        <f>ROUND(Source!AF402*Source!I402, 2)</f>
        <v>54.71</v>
      </c>
      <c r="I968" s="30"/>
      <c r="J968" s="30">
        <f>IF(Source!BA402&lt;&gt; 0, Source!BA402, 1)</f>
        <v>6.56</v>
      </c>
      <c r="K968" s="29">
        <f>Source!S402</f>
        <v>358.92</v>
      </c>
      <c r="L968" s="31"/>
      <c r="R968">
        <f>H968</f>
        <v>54.71</v>
      </c>
    </row>
    <row r="969" spans="1:26" ht="14.25" x14ac:dyDescent="0.2">
      <c r="A969" s="44"/>
      <c r="B969" s="45"/>
      <c r="C969" s="45" t="s">
        <v>151</v>
      </c>
      <c r="D969" s="28"/>
      <c r="E969" s="11"/>
      <c r="F969" s="29">
        <f>Source!AM402</f>
        <v>94.67</v>
      </c>
      <c r="G969" s="30" t="str">
        <f>Source!DE402</f>
        <v/>
      </c>
      <c r="H969" s="29">
        <f>ROUND(Source!AD402*Source!I402, 2)</f>
        <v>64.38</v>
      </c>
      <c r="I969" s="30"/>
      <c r="J969" s="30">
        <f>IF(Source!BB402&lt;&gt; 0, Source!BB402, 1)</f>
        <v>6.56</v>
      </c>
      <c r="K969" s="29">
        <f>Source!Q402</f>
        <v>422.3</v>
      </c>
      <c r="L969" s="31"/>
    </row>
    <row r="970" spans="1:26" ht="14.25" x14ac:dyDescent="0.2">
      <c r="A970" s="44"/>
      <c r="B970" s="45"/>
      <c r="C970" s="45" t="s">
        <v>1931</v>
      </c>
      <c r="D970" s="28"/>
      <c r="E970" s="11"/>
      <c r="F970" s="29">
        <f>Source!AN402</f>
        <v>23.33</v>
      </c>
      <c r="G970" s="30" t="str">
        <f>Source!DF402</f>
        <v/>
      </c>
      <c r="H970" s="32">
        <f>ROUND(Source!AE402*Source!I402, 2)</f>
        <v>15.86</v>
      </c>
      <c r="I970" s="30"/>
      <c r="J970" s="30">
        <f>IF(Source!BS402&lt;&gt; 0, Source!BS402, 1)</f>
        <v>6.56</v>
      </c>
      <c r="K970" s="32">
        <f>Source!R402</f>
        <v>104.07</v>
      </c>
      <c r="L970" s="31"/>
      <c r="R970">
        <f>H970</f>
        <v>15.86</v>
      </c>
    </row>
    <row r="971" spans="1:26" ht="14.25" x14ac:dyDescent="0.2">
      <c r="A971" s="44"/>
      <c r="B971" s="45"/>
      <c r="C971" s="45" t="s">
        <v>1937</v>
      </c>
      <c r="D971" s="28"/>
      <c r="E971" s="11"/>
      <c r="F971" s="29">
        <f>Source!AL402</f>
        <v>407.53</v>
      </c>
      <c r="G971" s="30" t="str">
        <f>Source!DD402</f>
        <v/>
      </c>
      <c r="H971" s="29">
        <f>ROUND(Source!AC402*Source!I402, 2)</f>
        <v>277.12</v>
      </c>
      <c r="I971" s="30"/>
      <c r="J971" s="30">
        <f>IF(Source!BC402&lt;&gt; 0, Source!BC402, 1)</f>
        <v>6.56</v>
      </c>
      <c r="K971" s="29">
        <f>Source!P402</f>
        <v>1817.91</v>
      </c>
      <c r="L971" s="31"/>
    </row>
    <row r="972" spans="1:26" ht="14.25" x14ac:dyDescent="0.2">
      <c r="A972" s="44"/>
      <c r="B972" s="45"/>
      <c r="C972" s="45" t="s">
        <v>1932</v>
      </c>
      <c r="D972" s="28" t="s">
        <v>1933</v>
      </c>
      <c r="E972" s="11">
        <f>Source!BZ402</f>
        <v>95</v>
      </c>
      <c r="F972" s="48"/>
      <c r="G972" s="30"/>
      <c r="H972" s="29">
        <f>SUM(S966:S975)</f>
        <v>67.040000000000006</v>
      </c>
      <c r="I972" s="33"/>
      <c r="J972" s="26">
        <f>Source!AT402</f>
        <v>95</v>
      </c>
      <c r="K972" s="29">
        <f>SUM(T966:T975)</f>
        <v>439.84</v>
      </c>
      <c r="L972" s="31"/>
    </row>
    <row r="973" spans="1:26" ht="14.25" x14ac:dyDescent="0.2">
      <c r="A973" s="44"/>
      <c r="B973" s="45"/>
      <c r="C973" s="45" t="s">
        <v>1934</v>
      </c>
      <c r="D973" s="28" t="s">
        <v>1933</v>
      </c>
      <c r="E973" s="11">
        <f>Source!CA402</f>
        <v>65</v>
      </c>
      <c r="F973" s="48"/>
      <c r="G973" s="30"/>
      <c r="H973" s="29">
        <f>SUM(U966:U975)</f>
        <v>45.87</v>
      </c>
      <c r="I973" s="33"/>
      <c r="J973" s="26">
        <f>Source!AU402</f>
        <v>65</v>
      </c>
      <c r="K973" s="29">
        <f>SUM(V966:V975)</f>
        <v>300.94</v>
      </c>
      <c r="L973" s="31"/>
    </row>
    <row r="974" spans="1:26" ht="14.25" x14ac:dyDescent="0.2">
      <c r="A974" s="44"/>
      <c r="B974" s="45"/>
      <c r="C974" s="45" t="s">
        <v>1935</v>
      </c>
      <c r="D974" s="28" t="s">
        <v>1936</v>
      </c>
      <c r="E974" s="11">
        <f>Source!AQ402</f>
        <v>8.56</v>
      </c>
      <c r="F974" s="29"/>
      <c r="G974" s="30" t="str">
        <f>Source!DI402</f>
        <v/>
      </c>
      <c r="H974" s="29"/>
      <c r="I974" s="30"/>
      <c r="J974" s="30"/>
      <c r="K974" s="29"/>
      <c r="L974" s="40">
        <f>Source!U402</f>
        <v>5.8208000000000011</v>
      </c>
    </row>
    <row r="975" spans="1:26" ht="42.75" x14ac:dyDescent="0.2">
      <c r="A975" s="46" t="str">
        <f>Source!E403</f>
        <v>91,1</v>
      </c>
      <c r="B975" s="47" t="str">
        <f>Source!F403</f>
        <v>20.2.07.02-0009</v>
      </c>
      <c r="C975" s="47" t="str">
        <f>Source!G403</f>
        <v>Лоток кабельный оцинкованный замковый перфорированный PNK 300-300х50 мм, длина 2,5 м</v>
      </c>
      <c r="D975" s="34" t="str">
        <f>Source!H403</f>
        <v>шт.</v>
      </c>
      <c r="E975" s="35">
        <f>Source!I403</f>
        <v>27</v>
      </c>
      <c r="F975" s="36">
        <f>Source!AL403+Source!AM403+Source!AO403</f>
        <v>62.4</v>
      </c>
      <c r="G975" s="42" t="s">
        <v>6</v>
      </c>
      <c r="H975" s="36">
        <f>ROUND(Source!AC403*Source!I403, 2)+ROUND(Source!AD403*Source!I403, 2)+ROUND(Source!AF403*Source!I403, 2)</f>
        <v>1684.8</v>
      </c>
      <c r="I975" s="37"/>
      <c r="J975" s="37">
        <f>IF(Source!BC403&lt;&gt; 0, Source!BC403, 1)</f>
        <v>6.56</v>
      </c>
      <c r="K975" s="36">
        <f>Source!O403</f>
        <v>11052.29</v>
      </c>
      <c r="L975" s="43"/>
      <c r="S975">
        <f>ROUND((Source!FX403/100)*((ROUND(Source!AF403*Source!I403, 2)+ROUND(Source!AE403*Source!I403, 2))), 2)</f>
        <v>0</v>
      </c>
      <c r="T975">
        <f>Source!X403</f>
        <v>0</v>
      </c>
      <c r="U975">
        <f>ROUND((Source!FY403/100)*((ROUND(Source!AF403*Source!I403, 2)+ROUND(Source!AE403*Source!I403, 2))), 2)</f>
        <v>0</v>
      </c>
      <c r="V975">
        <f>Source!Y403</f>
        <v>0</v>
      </c>
      <c r="W975">
        <f>IF(Source!BI403&lt;=1,H975, 0)</f>
        <v>0</v>
      </c>
      <c r="X975">
        <f>IF(Source!BI403=2,H975, 0)</f>
        <v>1684.8</v>
      </c>
      <c r="Y975">
        <f>IF(Source!BI403=3,H975, 0)</f>
        <v>0</v>
      </c>
      <c r="Z975">
        <f>IF(Source!BI403=4,H975, 0)</f>
        <v>0</v>
      </c>
    </row>
    <row r="976" spans="1:26" ht="15" x14ac:dyDescent="0.25">
      <c r="G976" s="63">
        <f>H968+H969+H971+H972+H973+SUM(H975:H975)</f>
        <v>2193.92</v>
      </c>
      <c r="H976" s="63"/>
      <c r="J976" s="63">
        <f>K968+K969+K971+K972+K973+SUM(K975:K975)</f>
        <v>14392.2</v>
      </c>
      <c r="K976" s="63"/>
      <c r="L976" s="39">
        <f>Source!U402</f>
        <v>5.8208000000000011</v>
      </c>
      <c r="O976" s="24">
        <f>G976</f>
        <v>2193.92</v>
      </c>
      <c r="P976" s="24">
        <f>J976</f>
        <v>14392.2</v>
      </c>
      <c r="Q976" s="24">
        <f>L976</f>
        <v>5.8208000000000011</v>
      </c>
      <c r="W976">
        <f>IF(Source!BI402&lt;=1,H968+H969+H971+H972+H973, 0)</f>
        <v>0</v>
      </c>
      <c r="X976">
        <f>IF(Source!BI402=2,H968+H969+H971+H972+H973, 0)</f>
        <v>509.12000000000006</v>
      </c>
      <c r="Y976">
        <f>IF(Source!BI402=3,H968+H969+H971+H972+H973, 0)</f>
        <v>0</v>
      </c>
      <c r="Z976">
        <f>IF(Source!BI402=4,H968+H969+H971+H972+H973, 0)</f>
        <v>0</v>
      </c>
    </row>
    <row r="977" spans="1:26" ht="28.5" x14ac:dyDescent="0.2">
      <c r="A977" s="44" t="str">
        <f>Source!E404</f>
        <v>92</v>
      </c>
      <c r="B977" s="45" t="str">
        <f>Source!F404</f>
        <v>м08-02-398-02</v>
      </c>
      <c r="C977" s="45" t="str">
        <f>Source!G404</f>
        <v>Провод в лотках, сечением до 35 мм2</v>
      </c>
      <c r="D977" s="28" t="str">
        <f>Source!H404</f>
        <v>100 м</v>
      </c>
      <c r="E977" s="11">
        <f>Source!I404</f>
        <v>1.7</v>
      </c>
      <c r="F977" s="29">
        <f>Source!AL404+Source!AM404+Source!AO404</f>
        <v>36.19</v>
      </c>
      <c r="G977" s="30"/>
      <c r="H977" s="29"/>
      <c r="I977" s="30" t="str">
        <f>Source!BO404</f>
        <v/>
      </c>
      <c r="J977" s="30"/>
      <c r="K977" s="29"/>
      <c r="L977" s="31"/>
      <c r="S977">
        <f>ROUND((Source!FX404/100)*((ROUND(Source!AF404*Source!I404, 2)+ROUND(Source!AE404*Source!I404, 2))), 2)</f>
        <v>32.07</v>
      </c>
      <c r="T977">
        <f>Source!X404</f>
        <v>210.41</v>
      </c>
      <c r="U977">
        <f>ROUND((Source!FY404/100)*((ROUND(Source!AF404*Source!I404, 2)+ROUND(Source!AE404*Source!I404, 2))), 2)</f>
        <v>21.94</v>
      </c>
      <c r="V977">
        <f>Source!Y404</f>
        <v>143.96</v>
      </c>
    </row>
    <row r="978" spans="1:26" x14ac:dyDescent="0.2">
      <c r="C978" s="23" t="str">
        <f>"Объем: "&amp;Source!I404&amp;"=170/"&amp;"100"</f>
        <v>Объем: 1,7=170/100</v>
      </c>
    </row>
    <row r="979" spans="1:26" ht="14.25" x14ac:dyDescent="0.2">
      <c r="A979" s="44"/>
      <c r="B979" s="45"/>
      <c r="C979" s="45" t="s">
        <v>1930</v>
      </c>
      <c r="D979" s="28"/>
      <c r="E979" s="11"/>
      <c r="F979" s="29">
        <f>Source!AO404</f>
        <v>19.36</v>
      </c>
      <c r="G979" s="30" t="str">
        <f>Source!DG404</f>
        <v/>
      </c>
      <c r="H979" s="29">
        <f>ROUND(Source!AF404*Source!I404, 2)</f>
        <v>32.909999999999997</v>
      </c>
      <c r="I979" s="30"/>
      <c r="J979" s="30">
        <f>IF(Source!BA404&lt;&gt; 0, Source!BA404, 1)</f>
        <v>6.56</v>
      </c>
      <c r="K979" s="29">
        <f>Source!S404</f>
        <v>215.9</v>
      </c>
      <c r="L979" s="31"/>
      <c r="R979">
        <f>H979</f>
        <v>32.909999999999997</v>
      </c>
    </row>
    <row r="980" spans="1:26" ht="14.25" x14ac:dyDescent="0.2">
      <c r="A980" s="44"/>
      <c r="B980" s="45"/>
      <c r="C980" s="45" t="s">
        <v>151</v>
      </c>
      <c r="D980" s="28"/>
      <c r="E980" s="11"/>
      <c r="F980" s="29">
        <f>Source!AM404</f>
        <v>3.55</v>
      </c>
      <c r="G980" s="30" t="str">
        <f>Source!DE404</f>
        <v/>
      </c>
      <c r="H980" s="29">
        <f>ROUND(Source!AD404*Source!I404, 2)</f>
        <v>6.04</v>
      </c>
      <c r="I980" s="30"/>
      <c r="J980" s="30">
        <f>IF(Source!BB404&lt;&gt; 0, Source!BB404, 1)</f>
        <v>6.56</v>
      </c>
      <c r="K980" s="29">
        <f>Source!Q404</f>
        <v>39.590000000000003</v>
      </c>
      <c r="L980" s="31"/>
    </row>
    <row r="981" spans="1:26" ht="14.25" x14ac:dyDescent="0.2">
      <c r="A981" s="44"/>
      <c r="B981" s="45"/>
      <c r="C981" s="45" t="s">
        <v>1931</v>
      </c>
      <c r="D981" s="28"/>
      <c r="E981" s="11"/>
      <c r="F981" s="29">
        <f>Source!AN404</f>
        <v>0.5</v>
      </c>
      <c r="G981" s="30" t="str">
        <f>Source!DF404</f>
        <v/>
      </c>
      <c r="H981" s="32">
        <f>ROUND(Source!AE404*Source!I404, 2)</f>
        <v>0.85</v>
      </c>
      <c r="I981" s="30"/>
      <c r="J981" s="30">
        <f>IF(Source!BS404&lt;&gt; 0, Source!BS404, 1)</f>
        <v>6.56</v>
      </c>
      <c r="K981" s="32">
        <f>Source!R404</f>
        <v>5.58</v>
      </c>
      <c r="L981" s="31"/>
      <c r="R981">
        <f>H981</f>
        <v>0.85</v>
      </c>
    </row>
    <row r="982" spans="1:26" ht="14.25" x14ac:dyDescent="0.2">
      <c r="A982" s="44"/>
      <c r="B982" s="45"/>
      <c r="C982" s="45" t="s">
        <v>1937</v>
      </c>
      <c r="D982" s="28"/>
      <c r="E982" s="11"/>
      <c r="F982" s="29">
        <f>Source!AL404</f>
        <v>13.28</v>
      </c>
      <c r="G982" s="30" t="str">
        <f>Source!DD404</f>
        <v/>
      </c>
      <c r="H982" s="29">
        <f>ROUND(Source!AC404*Source!I404, 2)</f>
        <v>22.58</v>
      </c>
      <c r="I982" s="30"/>
      <c r="J982" s="30">
        <f>IF(Source!BC404&lt;&gt; 0, Source!BC404, 1)</f>
        <v>6.56</v>
      </c>
      <c r="K982" s="29">
        <f>Source!P404</f>
        <v>148.1</v>
      </c>
      <c r="L982" s="31"/>
    </row>
    <row r="983" spans="1:26" ht="14.25" x14ac:dyDescent="0.2">
      <c r="A983" s="44"/>
      <c r="B983" s="45"/>
      <c r="C983" s="45" t="s">
        <v>1932</v>
      </c>
      <c r="D983" s="28" t="s">
        <v>1933</v>
      </c>
      <c r="E983" s="11">
        <f>Source!BZ404</f>
        <v>95</v>
      </c>
      <c r="F983" s="48"/>
      <c r="G983" s="30"/>
      <c r="H983" s="29">
        <f>SUM(S977:S987)</f>
        <v>32.07</v>
      </c>
      <c r="I983" s="33"/>
      <c r="J983" s="26">
        <f>Source!AT404</f>
        <v>95</v>
      </c>
      <c r="K983" s="29">
        <f>SUM(T977:T987)</f>
        <v>210.41</v>
      </c>
      <c r="L983" s="31"/>
    </row>
    <row r="984" spans="1:26" ht="14.25" x14ac:dyDescent="0.2">
      <c r="A984" s="44"/>
      <c r="B984" s="45"/>
      <c r="C984" s="45" t="s">
        <v>1934</v>
      </c>
      <c r="D984" s="28" t="s">
        <v>1933</v>
      </c>
      <c r="E984" s="11">
        <f>Source!CA404</f>
        <v>65</v>
      </c>
      <c r="F984" s="48"/>
      <c r="G984" s="30"/>
      <c r="H984" s="29">
        <f>SUM(U977:U987)</f>
        <v>21.94</v>
      </c>
      <c r="I984" s="33"/>
      <c r="J984" s="26">
        <f>Source!AU404</f>
        <v>65</v>
      </c>
      <c r="K984" s="29">
        <f>SUM(V977:V987)</f>
        <v>143.96</v>
      </c>
      <c r="L984" s="31"/>
    </row>
    <row r="985" spans="1:26" ht="14.25" x14ac:dyDescent="0.2">
      <c r="A985" s="44"/>
      <c r="B985" s="45"/>
      <c r="C985" s="45" t="s">
        <v>1935</v>
      </c>
      <c r="D985" s="28" t="s">
        <v>1936</v>
      </c>
      <c r="E985" s="11">
        <f>Source!AQ404</f>
        <v>2.06</v>
      </c>
      <c r="F985" s="29"/>
      <c r="G985" s="30" t="str">
        <f>Source!DI404</f>
        <v/>
      </c>
      <c r="H985" s="29"/>
      <c r="I985" s="30"/>
      <c r="J985" s="30"/>
      <c r="K985" s="29"/>
      <c r="L985" s="40">
        <f>Source!U404</f>
        <v>3.5019999999999998</v>
      </c>
    </row>
    <row r="986" spans="1:26" ht="85.5" x14ac:dyDescent="0.2">
      <c r="A986" s="44" t="str">
        <f>Source!E405</f>
        <v>92,1</v>
      </c>
      <c r="B986" s="45" t="str">
        <f>Source!F405</f>
        <v>21.1.06.09-0153</v>
      </c>
      <c r="C986" s="45" t="str">
        <f>Source!G405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v>
      </c>
      <c r="D986" s="28" t="str">
        <f>Source!H405</f>
        <v>1000 м</v>
      </c>
      <c r="E986" s="11">
        <f>Source!I405</f>
        <v>5.2999999999999999E-2</v>
      </c>
      <c r="F986" s="29">
        <f>Source!AL405+Source!AM405+Source!AO405</f>
        <v>10296.33</v>
      </c>
      <c r="G986" s="41" t="s">
        <v>6</v>
      </c>
      <c r="H986" s="29">
        <f>ROUND(Source!AC405*Source!I405, 2)+ROUND(Source!AD405*Source!I405, 2)+ROUND(Source!AF405*Source!I405, 2)</f>
        <v>545.71</v>
      </c>
      <c r="I986" s="30"/>
      <c r="J986" s="30">
        <f>IF(Source!BC405&lt;&gt; 0, Source!BC405, 1)</f>
        <v>6.56</v>
      </c>
      <c r="K986" s="29">
        <f>Source!O405</f>
        <v>3579.83</v>
      </c>
      <c r="L986" s="31"/>
      <c r="S986">
        <f>ROUND((Source!FX405/100)*((ROUND(Source!AF405*Source!I405, 2)+ROUND(Source!AE405*Source!I405, 2))), 2)</f>
        <v>0</v>
      </c>
      <c r="T986">
        <f>Source!X405</f>
        <v>0</v>
      </c>
      <c r="U986">
        <f>ROUND((Source!FY405/100)*((ROUND(Source!AF405*Source!I405, 2)+ROUND(Source!AE405*Source!I405, 2))), 2)</f>
        <v>0</v>
      </c>
      <c r="V986">
        <f>Source!Y405</f>
        <v>0</v>
      </c>
      <c r="W986">
        <f>IF(Source!BI405&lt;=1,H986, 0)</f>
        <v>0</v>
      </c>
      <c r="X986">
        <f>IF(Source!BI405=2,H986, 0)</f>
        <v>545.71</v>
      </c>
      <c r="Y986">
        <f>IF(Source!BI405=3,H986, 0)</f>
        <v>0</v>
      </c>
      <c r="Z986">
        <f>IF(Source!BI405=4,H986, 0)</f>
        <v>0</v>
      </c>
    </row>
    <row r="987" spans="1:26" ht="85.5" x14ac:dyDescent="0.2">
      <c r="A987" s="46" t="str">
        <f>Source!E406</f>
        <v>92,2</v>
      </c>
      <c r="B987" s="47" t="str">
        <f>Source!F406</f>
        <v>21.1.06.09-0177</v>
      </c>
      <c r="C987" s="47" t="str">
        <f>Source!G406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987" s="34" t="str">
        <f>Source!H406</f>
        <v>1000 м</v>
      </c>
      <c r="E987" s="35">
        <f>Source!I406</f>
        <v>0.11700000000000001</v>
      </c>
      <c r="F987" s="36">
        <f>Source!AL406+Source!AM406+Source!AO406</f>
        <v>18047.849999999999</v>
      </c>
      <c r="G987" s="42" t="s">
        <v>6</v>
      </c>
      <c r="H987" s="36">
        <f>ROUND(Source!AC406*Source!I406, 2)+ROUND(Source!AD406*Source!I406, 2)+ROUND(Source!AF406*Source!I406, 2)</f>
        <v>2111.6</v>
      </c>
      <c r="I987" s="37"/>
      <c r="J987" s="37">
        <f>IF(Source!BC406&lt;&gt; 0, Source!BC406, 1)</f>
        <v>6.56</v>
      </c>
      <c r="K987" s="36">
        <f>Source!O406</f>
        <v>13852.09</v>
      </c>
      <c r="L987" s="43"/>
      <c r="S987">
        <f>ROUND((Source!FX406/100)*((ROUND(Source!AF406*Source!I406, 2)+ROUND(Source!AE406*Source!I406, 2))), 2)</f>
        <v>0</v>
      </c>
      <c r="T987">
        <f>Source!X406</f>
        <v>0</v>
      </c>
      <c r="U987">
        <f>ROUND((Source!FY406/100)*((ROUND(Source!AF406*Source!I406, 2)+ROUND(Source!AE406*Source!I406, 2))), 2)</f>
        <v>0</v>
      </c>
      <c r="V987">
        <f>Source!Y406</f>
        <v>0</v>
      </c>
      <c r="W987">
        <f>IF(Source!BI406&lt;=1,H987, 0)</f>
        <v>0</v>
      </c>
      <c r="X987">
        <f>IF(Source!BI406=2,H987, 0)</f>
        <v>2111.6</v>
      </c>
      <c r="Y987">
        <f>IF(Source!BI406=3,H987, 0)</f>
        <v>0</v>
      </c>
      <c r="Z987">
        <f>IF(Source!BI406=4,H987, 0)</f>
        <v>0</v>
      </c>
    </row>
    <row r="988" spans="1:26" ht="15" x14ac:dyDescent="0.25">
      <c r="G988" s="63">
        <f>H979+H980+H982+H983+H984+SUM(H986:H987)</f>
        <v>2772.85</v>
      </c>
      <c r="H988" s="63"/>
      <c r="J988" s="63">
        <f>K979+K980+K982+K983+K984+SUM(K986:K987)</f>
        <v>18189.879999999997</v>
      </c>
      <c r="K988" s="63"/>
      <c r="L988" s="39">
        <f>Source!U404</f>
        <v>3.5019999999999998</v>
      </c>
      <c r="O988" s="24">
        <f>G988</f>
        <v>2772.85</v>
      </c>
      <c r="P988" s="24">
        <f>J988</f>
        <v>18189.879999999997</v>
      </c>
      <c r="Q988" s="24">
        <f>L988</f>
        <v>3.5019999999999998</v>
      </c>
      <c r="W988">
        <f>IF(Source!BI404&lt;=1,H979+H980+H982+H983+H984, 0)</f>
        <v>0</v>
      </c>
      <c r="X988">
        <f>IF(Source!BI404=2,H979+H980+H982+H983+H984, 0)</f>
        <v>115.53999999999999</v>
      </c>
      <c r="Y988">
        <f>IF(Source!BI404=3,H979+H980+H982+H983+H984, 0)</f>
        <v>0</v>
      </c>
      <c r="Z988">
        <f>IF(Source!BI404=4,H979+H980+H982+H983+H984, 0)</f>
        <v>0</v>
      </c>
    </row>
    <row r="989" spans="1:26" ht="28.5" x14ac:dyDescent="0.2">
      <c r="A989" s="44" t="str">
        <f>Source!E407</f>
        <v>93</v>
      </c>
      <c r="B989" s="45" t="str">
        <f>Source!F407</f>
        <v>м08-02-398-04</v>
      </c>
      <c r="C989" s="45" t="str">
        <f>Source!G407</f>
        <v>Провод в лотках, сечением до 120 мм2</v>
      </c>
      <c r="D989" s="28" t="str">
        <f>Source!H407</f>
        <v>100 м</v>
      </c>
      <c r="E989" s="11">
        <f>Source!I407</f>
        <v>0.39</v>
      </c>
      <c r="F989" s="29">
        <f>Source!AL407+Source!AM407+Source!AO407</f>
        <v>85.9</v>
      </c>
      <c r="G989" s="30"/>
      <c r="H989" s="29"/>
      <c r="I989" s="30" t="str">
        <f>Source!BO407</f>
        <v/>
      </c>
      <c r="J989" s="30"/>
      <c r="K989" s="29"/>
      <c r="L989" s="31"/>
      <c r="S989">
        <f>ROUND((Source!FX407/100)*((ROUND(Source!AF407*Source!I407, 2)+ROUND(Source!AE407*Source!I407, 2))), 2)</f>
        <v>15.92</v>
      </c>
      <c r="T989">
        <f>Source!X407</f>
        <v>104.43</v>
      </c>
      <c r="U989">
        <f>ROUND((Source!FY407/100)*((ROUND(Source!AF407*Source!I407, 2)+ROUND(Source!AE407*Source!I407, 2))), 2)</f>
        <v>10.89</v>
      </c>
      <c r="V989">
        <f>Source!Y407</f>
        <v>71.45</v>
      </c>
    </row>
    <row r="990" spans="1:26" x14ac:dyDescent="0.2">
      <c r="C990" s="23" t="str">
        <f>"Объем: "&amp;Source!I407&amp;"=39/"&amp;"100"</f>
        <v>Объем: 0,39=39/100</v>
      </c>
    </row>
    <row r="991" spans="1:26" ht="14.25" x14ac:dyDescent="0.2">
      <c r="A991" s="44"/>
      <c r="B991" s="45"/>
      <c r="C991" s="45" t="s">
        <v>1930</v>
      </c>
      <c r="D991" s="28"/>
      <c r="E991" s="11"/>
      <c r="F991" s="29">
        <f>Source!AO407</f>
        <v>38.450000000000003</v>
      </c>
      <c r="G991" s="30" t="str">
        <f>Source!DG407</f>
        <v/>
      </c>
      <c r="H991" s="29">
        <f>ROUND(Source!AF407*Source!I407, 2)</f>
        <v>15</v>
      </c>
      <c r="I991" s="30"/>
      <c r="J991" s="30">
        <f>IF(Source!BA407&lt;&gt; 0, Source!BA407, 1)</f>
        <v>6.56</v>
      </c>
      <c r="K991" s="29">
        <f>Source!S407</f>
        <v>98.37</v>
      </c>
      <c r="L991" s="31"/>
      <c r="R991">
        <f>H991</f>
        <v>15</v>
      </c>
    </row>
    <row r="992" spans="1:26" ht="14.25" x14ac:dyDescent="0.2">
      <c r="A992" s="44"/>
      <c r="B992" s="45"/>
      <c r="C992" s="45" t="s">
        <v>151</v>
      </c>
      <c r="D992" s="28"/>
      <c r="E992" s="11"/>
      <c r="F992" s="29">
        <f>Source!AM407</f>
        <v>31.99</v>
      </c>
      <c r="G992" s="30" t="str">
        <f>Source!DE407</f>
        <v/>
      </c>
      <c r="H992" s="29">
        <f>ROUND(Source!AD407*Source!I407, 2)</f>
        <v>12.48</v>
      </c>
      <c r="I992" s="30"/>
      <c r="J992" s="30">
        <f>IF(Source!BB407&lt;&gt; 0, Source!BB407, 1)</f>
        <v>6.56</v>
      </c>
      <c r="K992" s="29">
        <f>Source!Q407</f>
        <v>81.84</v>
      </c>
      <c r="L992" s="31"/>
    </row>
    <row r="993" spans="1:26" ht="14.25" x14ac:dyDescent="0.2">
      <c r="A993" s="44"/>
      <c r="B993" s="45"/>
      <c r="C993" s="45" t="s">
        <v>1931</v>
      </c>
      <c r="D993" s="28"/>
      <c r="E993" s="11"/>
      <c r="F993" s="29">
        <f>Source!AN407</f>
        <v>4.5199999999999996</v>
      </c>
      <c r="G993" s="30" t="str">
        <f>Source!DF407</f>
        <v/>
      </c>
      <c r="H993" s="32">
        <f>ROUND(Source!AE407*Source!I407, 2)</f>
        <v>1.76</v>
      </c>
      <c r="I993" s="30"/>
      <c r="J993" s="30">
        <f>IF(Source!BS407&lt;&gt; 0, Source!BS407, 1)</f>
        <v>6.56</v>
      </c>
      <c r="K993" s="32">
        <f>Source!R407</f>
        <v>11.56</v>
      </c>
      <c r="L993" s="31"/>
      <c r="R993">
        <f>H993</f>
        <v>1.76</v>
      </c>
    </row>
    <row r="994" spans="1:26" ht="14.25" x14ac:dyDescent="0.2">
      <c r="A994" s="44"/>
      <c r="B994" s="45"/>
      <c r="C994" s="45" t="s">
        <v>1937</v>
      </c>
      <c r="D994" s="28"/>
      <c r="E994" s="11"/>
      <c r="F994" s="29">
        <f>Source!AL407</f>
        <v>15.46</v>
      </c>
      <c r="G994" s="30" t="str">
        <f>Source!DD407</f>
        <v/>
      </c>
      <c r="H994" s="29">
        <f>ROUND(Source!AC407*Source!I407, 2)</f>
        <v>6.03</v>
      </c>
      <c r="I994" s="30"/>
      <c r="J994" s="30">
        <f>IF(Source!BC407&lt;&gt; 0, Source!BC407, 1)</f>
        <v>6.56</v>
      </c>
      <c r="K994" s="29">
        <f>Source!P407</f>
        <v>39.549999999999997</v>
      </c>
      <c r="L994" s="31"/>
    </row>
    <row r="995" spans="1:26" ht="14.25" x14ac:dyDescent="0.2">
      <c r="A995" s="44"/>
      <c r="B995" s="45"/>
      <c r="C995" s="45" t="s">
        <v>1932</v>
      </c>
      <c r="D995" s="28" t="s">
        <v>1933</v>
      </c>
      <c r="E995" s="11">
        <f>Source!BZ407</f>
        <v>95</v>
      </c>
      <c r="F995" s="48"/>
      <c r="G995" s="30"/>
      <c r="H995" s="29">
        <f>SUM(S989:S998)</f>
        <v>15.92</v>
      </c>
      <c r="I995" s="33"/>
      <c r="J995" s="26">
        <f>Source!AT407</f>
        <v>95</v>
      </c>
      <c r="K995" s="29">
        <f>SUM(T989:T998)</f>
        <v>104.43</v>
      </c>
      <c r="L995" s="31"/>
    </row>
    <row r="996" spans="1:26" ht="14.25" x14ac:dyDescent="0.2">
      <c r="A996" s="44"/>
      <c r="B996" s="45"/>
      <c r="C996" s="45" t="s">
        <v>1934</v>
      </c>
      <c r="D996" s="28" t="s">
        <v>1933</v>
      </c>
      <c r="E996" s="11">
        <f>Source!CA407</f>
        <v>65</v>
      </c>
      <c r="F996" s="48"/>
      <c r="G996" s="30"/>
      <c r="H996" s="29">
        <f>SUM(U989:U998)</f>
        <v>10.89</v>
      </c>
      <c r="I996" s="33"/>
      <c r="J996" s="26">
        <f>Source!AU407</f>
        <v>65</v>
      </c>
      <c r="K996" s="29">
        <f>SUM(V989:V998)</f>
        <v>71.45</v>
      </c>
      <c r="L996" s="31"/>
    </row>
    <row r="997" spans="1:26" ht="14.25" x14ac:dyDescent="0.2">
      <c r="A997" s="44"/>
      <c r="B997" s="45"/>
      <c r="C997" s="45" t="s">
        <v>1935</v>
      </c>
      <c r="D997" s="28" t="s">
        <v>1936</v>
      </c>
      <c r="E997" s="11">
        <f>Source!AQ407</f>
        <v>4.09</v>
      </c>
      <c r="F997" s="29"/>
      <c r="G997" s="30" t="str">
        <f>Source!DI407</f>
        <v/>
      </c>
      <c r="H997" s="29"/>
      <c r="I997" s="30"/>
      <c r="J997" s="30"/>
      <c r="K997" s="29"/>
      <c r="L997" s="40">
        <f>Source!U407</f>
        <v>1.5951</v>
      </c>
    </row>
    <row r="998" spans="1:26" ht="85.5" x14ac:dyDescent="0.2">
      <c r="A998" s="46" t="str">
        <f>Source!E408</f>
        <v>93,1</v>
      </c>
      <c r="B998" s="47" t="str">
        <f>Source!F408</f>
        <v>21.1.06.09-0180</v>
      </c>
      <c r="C998" s="47" t="str">
        <f>Source!G408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16 мм2</v>
      </c>
      <c r="D998" s="34" t="str">
        <f>Source!H408</f>
        <v>1000 м</v>
      </c>
      <c r="E998" s="35">
        <f>Source!I408</f>
        <v>3.9E-2</v>
      </c>
      <c r="F998" s="36">
        <f>Source!AL408+Source!AM408+Source!AO408</f>
        <v>69309.47</v>
      </c>
      <c r="G998" s="42" t="s">
        <v>6</v>
      </c>
      <c r="H998" s="36">
        <f>ROUND(Source!AC408*Source!I408, 2)+ROUND(Source!AD408*Source!I408, 2)+ROUND(Source!AF408*Source!I408, 2)</f>
        <v>2703.07</v>
      </c>
      <c r="I998" s="37"/>
      <c r="J998" s="37">
        <f>IF(Source!BC408&lt;&gt; 0, Source!BC408, 1)</f>
        <v>6.56</v>
      </c>
      <c r="K998" s="36">
        <f>Source!O408</f>
        <v>17732.13</v>
      </c>
      <c r="L998" s="43"/>
      <c r="S998">
        <f>ROUND((Source!FX408/100)*((ROUND(Source!AF408*Source!I408, 2)+ROUND(Source!AE408*Source!I408, 2))), 2)</f>
        <v>0</v>
      </c>
      <c r="T998">
        <f>Source!X408</f>
        <v>0</v>
      </c>
      <c r="U998">
        <f>ROUND((Source!FY408/100)*((ROUND(Source!AF408*Source!I408, 2)+ROUND(Source!AE408*Source!I408, 2))), 2)</f>
        <v>0</v>
      </c>
      <c r="V998">
        <f>Source!Y408</f>
        <v>0</v>
      </c>
      <c r="W998">
        <f>IF(Source!BI408&lt;=1,H998, 0)</f>
        <v>0</v>
      </c>
      <c r="X998">
        <f>IF(Source!BI408=2,H998, 0)</f>
        <v>2703.07</v>
      </c>
      <c r="Y998">
        <f>IF(Source!BI408=3,H998, 0)</f>
        <v>0</v>
      </c>
      <c r="Z998">
        <f>IF(Source!BI408=4,H998, 0)</f>
        <v>0</v>
      </c>
    </row>
    <row r="999" spans="1:26" ht="15" x14ac:dyDescent="0.25">
      <c r="G999" s="63">
        <f>H991+H992+H994+H995+H996+SUM(H998:H998)</f>
        <v>2763.3900000000003</v>
      </c>
      <c r="H999" s="63"/>
      <c r="J999" s="63">
        <f>K991+K992+K994+K995+K996+SUM(K998:K998)</f>
        <v>18127.77</v>
      </c>
      <c r="K999" s="63"/>
      <c r="L999" s="39">
        <f>Source!U407</f>
        <v>1.5951</v>
      </c>
      <c r="O999" s="24">
        <f>G999</f>
        <v>2763.3900000000003</v>
      </c>
      <c r="P999" s="24">
        <f>J999</f>
        <v>18127.77</v>
      </c>
      <c r="Q999" s="24">
        <f>L999</f>
        <v>1.5951</v>
      </c>
      <c r="W999">
        <f>IF(Source!BI407&lt;=1,H991+H992+H994+H995+H996, 0)</f>
        <v>0</v>
      </c>
      <c r="X999">
        <f>IF(Source!BI407=2,H991+H992+H994+H995+H996, 0)</f>
        <v>60.32</v>
      </c>
      <c r="Y999">
        <f>IF(Source!BI407=3,H991+H992+H994+H995+H996, 0)</f>
        <v>0</v>
      </c>
      <c r="Z999">
        <f>IF(Source!BI407=4,H991+H992+H994+H995+H996, 0)</f>
        <v>0</v>
      </c>
    </row>
    <row r="1000" spans="1:26" ht="28.5" x14ac:dyDescent="0.2">
      <c r="A1000" s="44" t="str">
        <f>Source!E409</f>
        <v>94</v>
      </c>
      <c r="B1000" s="45" t="str">
        <f>Source!F409</f>
        <v>м08-02-398-05</v>
      </c>
      <c r="C1000" s="45" t="str">
        <f>Source!G409</f>
        <v>Провод в лотках, сечением до 185 мм2</v>
      </c>
      <c r="D1000" s="28" t="str">
        <f>Source!H409</f>
        <v>100 м</v>
      </c>
      <c r="E1000" s="11">
        <f>Source!I409</f>
        <v>0.68</v>
      </c>
      <c r="F1000" s="29">
        <f>Source!AL409+Source!AM409+Source!AO409</f>
        <v>122.17000000000002</v>
      </c>
      <c r="G1000" s="30"/>
      <c r="H1000" s="29"/>
      <c r="I1000" s="30" t="str">
        <f>Source!BO409</f>
        <v/>
      </c>
      <c r="J1000" s="30"/>
      <c r="K1000" s="29"/>
      <c r="L1000" s="31"/>
      <c r="S1000">
        <f>ROUND((Source!FX409/100)*((ROUND(Source!AF409*Source!I409, 2)+ROUND(Source!AE409*Source!I409, 2))), 2)</f>
        <v>38.47</v>
      </c>
      <c r="T1000">
        <f>Source!X409</f>
        <v>252.36</v>
      </c>
      <c r="U1000">
        <f>ROUND((Source!FY409/100)*((ROUND(Source!AF409*Source!I409, 2)+ROUND(Source!AE409*Source!I409, 2))), 2)</f>
        <v>26.32</v>
      </c>
      <c r="V1000">
        <f>Source!Y409</f>
        <v>172.67</v>
      </c>
    </row>
    <row r="1001" spans="1:26" x14ac:dyDescent="0.2">
      <c r="C1001" s="23" t="str">
        <f>"Объем: "&amp;Source!I409&amp;"=68/"&amp;"100"</f>
        <v>Объем: 0,68=68/100</v>
      </c>
    </row>
    <row r="1002" spans="1:26" ht="14.25" x14ac:dyDescent="0.2">
      <c r="A1002" s="44"/>
      <c r="B1002" s="45"/>
      <c r="C1002" s="45" t="s">
        <v>1930</v>
      </c>
      <c r="D1002" s="28"/>
      <c r="E1002" s="11"/>
      <c r="F1002" s="29">
        <f>Source!AO409</f>
        <v>53.02</v>
      </c>
      <c r="G1002" s="30" t="str">
        <f>Source!DG409</f>
        <v/>
      </c>
      <c r="H1002" s="29">
        <f>ROUND(Source!AF409*Source!I409, 2)</f>
        <v>36.049999999999997</v>
      </c>
      <c r="I1002" s="30"/>
      <c r="J1002" s="30">
        <f>IF(Source!BA409&lt;&gt; 0, Source!BA409, 1)</f>
        <v>6.56</v>
      </c>
      <c r="K1002" s="29">
        <f>Source!S409</f>
        <v>236.51</v>
      </c>
      <c r="L1002" s="31"/>
      <c r="R1002">
        <f>H1002</f>
        <v>36.049999999999997</v>
      </c>
    </row>
    <row r="1003" spans="1:26" ht="14.25" x14ac:dyDescent="0.2">
      <c r="A1003" s="44"/>
      <c r="B1003" s="45"/>
      <c r="C1003" s="45" t="s">
        <v>151</v>
      </c>
      <c r="D1003" s="28"/>
      <c r="E1003" s="11"/>
      <c r="F1003" s="29">
        <f>Source!AM409</f>
        <v>46.2</v>
      </c>
      <c r="G1003" s="30" t="str">
        <f>Source!DE409</f>
        <v/>
      </c>
      <c r="H1003" s="29">
        <f>ROUND(Source!AD409*Source!I409, 2)</f>
        <v>31.42</v>
      </c>
      <c r="I1003" s="30"/>
      <c r="J1003" s="30">
        <f>IF(Source!BB409&lt;&gt; 0, Source!BB409, 1)</f>
        <v>6.56</v>
      </c>
      <c r="K1003" s="29">
        <f>Source!Q409</f>
        <v>206.09</v>
      </c>
      <c r="L1003" s="31"/>
    </row>
    <row r="1004" spans="1:26" ht="14.25" x14ac:dyDescent="0.2">
      <c r="A1004" s="44"/>
      <c r="B1004" s="45"/>
      <c r="C1004" s="45" t="s">
        <v>1931</v>
      </c>
      <c r="D1004" s="28"/>
      <c r="E1004" s="11"/>
      <c r="F1004" s="29">
        <f>Source!AN409</f>
        <v>6.53</v>
      </c>
      <c r="G1004" s="30" t="str">
        <f>Source!DF409</f>
        <v/>
      </c>
      <c r="H1004" s="32">
        <f>ROUND(Source!AE409*Source!I409, 2)</f>
        <v>4.4400000000000004</v>
      </c>
      <c r="I1004" s="30"/>
      <c r="J1004" s="30">
        <f>IF(Source!BS409&lt;&gt; 0, Source!BS409, 1)</f>
        <v>6.56</v>
      </c>
      <c r="K1004" s="32">
        <f>Source!R409</f>
        <v>29.13</v>
      </c>
      <c r="L1004" s="31"/>
      <c r="R1004">
        <f>H1004</f>
        <v>4.4400000000000004</v>
      </c>
    </row>
    <row r="1005" spans="1:26" ht="14.25" x14ac:dyDescent="0.2">
      <c r="A1005" s="44"/>
      <c r="B1005" s="45"/>
      <c r="C1005" s="45" t="s">
        <v>1937</v>
      </c>
      <c r="D1005" s="28"/>
      <c r="E1005" s="11"/>
      <c r="F1005" s="29">
        <f>Source!AL409</f>
        <v>22.95</v>
      </c>
      <c r="G1005" s="30" t="str">
        <f>Source!DD409</f>
        <v/>
      </c>
      <c r="H1005" s="29">
        <f>ROUND(Source!AC409*Source!I409, 2)</f>
        <v>15.61</v>
      </c>
      <c r="I1005" s="30"/>
      <c r="J1005" s="30">
        <f>IF(Source!BC409&lt;&gt; 0, Source!BC409, 1)</f>
        <v>6.56</v>
      </c>
      <c r="K1005" s="29">
        <f>Source!P409</f>
        <v>102.38</v>
      </c>
      <c r="L1005" s="31"/>
    </row>
    <row r="1006" spans="1:26" ht="14.25" x14ac:dyDescent="0.2">
      <c r="A1006" s="44"/>
      <c r="B1006" s="45"/>
      <c r="C1006" s="45" t="s">
        <v>1932</v>
      </c>
      <c r="D1006" s="28" t="s">
        <v>1933</v>
      </c>
      <c r="E1006" s="11">
        <f>Source!BZ409</f>
        <v>95</v>
      </c>
      <c r="F1006" s="48"/>
      <c r="G1006" s="30"/>
      <c r="H1006" s="29">
        <f>SUM(S1000:S1009)</f>
        <v>38.47</v>
      </c>
      <c r="I1006" s="33"/>
      <c r="J1006" s="26">
        <f>Source!AT409</f>
        <v>95</v>
      </c>
      <c r="K1006" s="29">
        <f>SUM(T1000:T1009)</f>
        <v>252.36</v>
      </c>
      <c r="L1006" s="31"/>
    </row>
    <row r="1007" spans="1:26" ht="14.25" x14ac:dyDescent="0.2">
      <c r="A1007" s="44"/>
      <c r="B1007" s="45"/>
      <c r="C1007" s="45" t="s">
        <v>1934</v>
      </c>
      <c r="D1007" s="28" t="s">
        <v>1933</v>
      </c>
      <c r="E1007" s="11">
        <f>Source!CA409</f>
        <v>65</v>
      </c>
      <c r="F1007" s="48"/>
      <c r="G1007" s="30"/>
      <c r="H1007" s="29">
        <f>SUM(U1000:U1009)</f>
        <v>26.32</v>
      </c>
      <c r="I1007" s="33"/>
      <c r="J1007" s="26">
        <f>Source!AU409</f>
        <v>65</v>
      </c>
      <c r="K1007" s="29">
        <f>SUM(V1000:V1009)</f>
        <v>172.67</v>
      </c>
      <c r="L1007" s="31"/>
    </row>
    <row r="1008" spans="1:26" ht="14.25" x14ac:dyDescent="0.2">
      <c r="A1008" s="44"/>
      <c r="B1008" s="45"/>
      <c r="C1008" s="45" t="s">
        <v>1935</v>
      </c>
      <c r="D1008" s="28" t="s">
        <v>1936</v>
      </c>
      <c r="E1008" s="11">
        <f>Source!AQ409</f>
        <v>5.64</v>
      </c>
      <c r="F1008" s="29"/>
      <c r="G1008" s="30" t="str">
        <f>Source!DI409</f>
        <v/>
      </c>
      <c r="H1008" s="29"/>
      <c r="I1008" s="30"/>
      <c r="J1008" s="30"/>
      <c r="K1008" s="29"/>
      <c r="L1008" s="40">
        <f>Source!U409</f>
        <v>3.8351999999999999</v>
      </c>
    </row>
    <row r="1009" spans="1:26" ht="85.5" x14ac:dyDescent="0.2">
      <c r="A1009" s="46" t="str">
        <f>Source!E410</f>
        <v>94,1</v>
      </c>
      <c r="B1009" s="47" t="str">
        <f>Source!F410</f>
        <v>21.1.06.09-0184</v>
      </c>
      <c r="C1009" s="47" t="str">
        <f>Source!G410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v>
      </c>
      <c r="D1009" s="34" t="str">
        <f>Source!H410</f>
        <v>1000 м</v>
      </c>
      <c r="E1009" s="35">
        <f>Source!I410</f>
        <v>6.8000000000000005E-2</v>
      </c>
      <c r="F1009" s="36">
        <f>Source!AL410+Source!AM410+Source!AO410</f>
        <v>271190.69</v>
      </c>
      <c r="G1009" s="42" t="s">
        <v>6</v>
      </c>
      <c r="H1009" s="36">
        <f>ROUND(Source!AC410*Source!I410, 2)+ROUND(Source!AD410*Source!I410, 2)+ROUND(Source!AF410*Source!I410, 2)</f>
        <v>18440.97</v>
      </c>
      <c r="I1009" s="37"/>
      <c r="J1009" s="37">
        <f>IF(Source!BC410&lt;&gt; 0, Source!BC410, 1)</f>
        <v>6.56</v>
      </c>
      <c r="K1009" s="36">
        <f>Source!O410</f>
        <v>120972.74</v>
      </c>
      <c r="L1009" s="43"/>
      <c r="S1009">
        <f>ROUND((Source!FX410/100)*((ROUND(Source!AF410*Source!I410, 2)+ROUND(Source!AE410*Source!I410, 2))), 2)</f>
        <v>0</v>
      </c>
      <c r="T1009">
        <f>Source!X410</f>
        <v>0</v>
      </c>
      <c r="U1009">
        <f>ROUND((Source!FY410/100)*((ROUND(Source!AF410*Source!I410, 2)+ROUND(Source!AE410*Source!I410, 2))), 2)</f>
        <v>0</v>
      </c>
      <c r="V1009">
        <f>Source!Y410</f>
        <v>0</v>
      </c>
      <c r="W1009">
        <f>IF(Source!BI410&lt;=1,H1009, 0)</f>
        <v>0</v>
      </c>
      <c r="X1009">
        <f>IF(Source!BI410=2,H1009, 0)</f>
        <v>18440.97</v>
      </c>
      <c r="Y1009">
        <f>IF(Source!BI410=3,H1009, 0)</f>
        <v>0</v>
      </c>
      <c r="Z1009">
        <f>IF(Source!BI410=4,H1009, 0)</f>
        <v>0</v>
      </c>
    </row>
    <row r="1010" spans="1:26" ht="15" x14ac:dyDescent="0.25">
      <c r="G1010" s="63">
        <f>H1002+H1003+H1005+H1006+H1007+SUM(H1009:H1009)</f>
        <v>18588.84</v>
      </c>
      <c r="H1010" s="63"/>
      <c r="J1010" s="63">
        <f>K1002+K1003+K1005+K1006+K1007+SUM(K1009:K1009)</f>
        <v>121942.75</v>
      </c>
      <c r="K1010" s="63"/>
      <c r="L1010" s="39">
        <f>Source!U409</f>
        <v>3.8351999999999999</v>
      </c>
      <c r="O1010" s="24">
        <f>G1010</f>
        <v>18588.84</v>
      </c>
      <c r="P1010" s="24">
        <f>J1010</f>
        <v>121942.75</v>
      </c>
      <c r="Q1010" s="24">
        <f>L1010</f>
        <v>3.8351999999999999</v>
      </c>
      <c r="W1010">
        <f>IF(Source!BI409&lt;=1,H1002+H1003+H1005+H1006+H1007, 0)</f>
        <v>0</v>
      </c>
      <c r="X1010">
        <f>IF(Source!BI409=2,H1002+H1003+H1005+H1006+H1007, 0)</f>
        <v>147.87</v>
      </c>
      <c r="Y1010">
        <f>IF(Source!BI409=3,H1002+H1003+H1005+H1006+H1007, 0)</f>
        <v>0</v>
      </c>
      <c r="Z1010">
        <f>IF(Source!BI409=4,H1002+H1003+H1005+H1006+H1007, 0)</f>
        <v>0</v>
      </c>
    </row>
    <row r="1011" spans="1:26" ht="57" x14ac:dyDescent="0.2">
      <c r="A1011" s="44" t="str">
        <f>Source!E411</f>
        <v>95</v>
      </c>
      <c r="B1011" s="45" t="str">
        <f>Source!F411</f>
        <v>м08-03-599-09 прим.</v>
      </c>
      <c r="C1011" s="45" t="str">
        <f>Source!G411</f>
        <v>Щитки осветительные, устанавливаемые на стене распорными дюбелями, масса щитка до 6 кг (Боксы АВВ)</v>
      </c>
      <c r="D1011" s="28" t="str">
        <f>Source!H411</f>
        <v>ШТ</v>
      </c>
      <c r="E1011" s="11">
        <f>Source!I411</f>
        <v>4</v>
      </c>
      <c r="F1011" s="29">
        <f>Source!AL411+Source!AM411+Source!AO411</f>
        <v>70.22</v>
      </c>
      <c r="G1011" s="30"/>
      <c r="H1011" s="29"/>
      <c r="I1011" s="30" t="str">
        <f>Source!BO411</f>
        <v/>
      </c>
      <c r="J1011" s="30"/>
      <c r="K1011" s="29"/>
      <c r="L1011" s="31"/>
      <c r="S1011">
        <f>ROUND((Source!FX411/100)*((ROUND(Source!AF411*Source!I411, 2)+ROUND(Source!AE411*Source!I411, 2))), 2)</f>
        <v>97.51</v>
      </c>
      <c r="T1011">
        <f>Source!X411</f>
        <v>639.65</v>
      </c>
      <c r="U1011">
        <f>ROUND((Source!FY411/100)*((ROUND(Source!AF411*Source!I411, 2)+ROUND(Source!AE411*Source!I411, 2))), 2)</f>
        <v>66.72</v>
      </c>
      <c r="V1011">
        <f>Source!Y411</f>
        <v>437.66</v>
      </c>
    </row>
    <row r="1012" spans="1:26" ht="14.25" x14ac:dyDescent="0.2">
      <c r="A1012" s="44"/>
      <c r="B1012" s="45"/>
      <c r="C1012" s="45" t="s">
        <v>1930</v>
      </c>
      <c r="D1012" s="28"/>
      <c r="E1012" s="11"/>
      <c r="F1012" s="29">
        <f>Source!AO411</f>
        <v>25.4</v>
      </c>
      <c r="G1012" s="30" t="str">
        <f>Source!DG411</f>
        <v/>
      </c>
      <c r="H1012" s="29">
        <f>ROUND(Source!AF411*Source!I411, 2)</f>
        <v>101.6</v>
      </c>
      <c r="I1012" s="30"/>
      <c r="J1012" s="30">
        <f>IF(Source!BA411&lt;&gt; 0, Source!BA411, 1)</f>
        <v>6.56</v>
      </c>
      <c r="K1012" s="29">
        <f>Source!S411</f>
        <v>666.5</v>
      </c>
      <c r="L1012" s="31"/>
      <c r="R1012">
        <f>H1012</f>
        <v>101.6</v>
      </c>
    </row>
    <row r="1013" spans="1:26" ht="14.25" x14ac:dyDescent="0.2">
      <c r="A1013" s="44"/>
      <c r="B1013" s="45"/>
      <c r="C1013" s="45" t="s">
        <v>151</v>
      </c>
      <c r="D1013" s="28"/>
      <c r="E1013" s="11"/>
      <c r="F1013" s="29">
        <f>Source!AM411</f>
        <v>1.78</v>
      </c>
      <c r="G1013" s="30" t="str">
        <f>Source!DE411</f>
        <v/>
      </c>
      <c r="H1013" s="29">
        <f>ROUND(Source!AD411*Source!I411, 2)</f>
        <v>7.12</v>
      </c>
      <c r="I1013" s="30"/>
      <c r="J1013" s="30">
        <f>IF(Source!BB411&lt;&gt; 0, Source!BB411, 1)</f>
        <v>6.56</v>
      </c>
      <c r="K1013" s="29">
        <f>Source!Q411</f>
        <v>46.71</v>
      </c>
      <c r="L1013" s="31"/>
    </row>
    <row r="1014" spans="1:26" ht="14.25" x14ac:dyDescent="0.2">
      <c r="A1014" s="44"/>
      <c r="B1014" s="45"/>
      <c r="C1014" s="45" t="s">
        <v>1931</v>
      </c>
      <c r="D1014" s="28"/>
      <c r="E1014" s="11"/>
      <c r="F1014" s="29">
        <f>Source!AN411</f>
        <v>0.26</v>
      </c>
      <c r="G1014" s="30" t="str">
        <f>Source!DF411</f>
        <v/>
      </c>
      <c r="H1014" s="32">
        <f>ROUND(Source!AE411*Source!I411, 2)</f>
        <v>1.04</v>
      </c>
      <c r="I1014" s="30"/>
      <c r="J1014" s="30">
        <f>IF(Source!BS411&lt;&gt; 0, Source!BS411, 1)</f>
        <v>6.56</v>
      </c>
      <c r="K1014" s="32">
        <f>Source!R411</f>
        <v>6.82</v>
      </c>
      <c r="L1014" s="31"/>
      <c r="R1014">
        <f>H1014</f>
        <v>1.04</v>
      </c>
    </row>
    <row r="1015" spans="1:26" ht="14.25" x14ac:dyDescent="0.2">
      <c r="A1015" s="44"/>
      <c r="B1015" s="45"/>
      <c r="C1015" s="45" t="s">
        <v>1937</v>
      </c>
      <c r="D1015" s="28"/>
      <c r="E1015" s="11"/>
      <c r="F1015" s="29">
        <f>Source!AL411</f>
        <v>43.04</v>
      </c>
      <c r="G1015" s="30" t="str">
        <f>Source!DD411</f>
        <v/>
      </c>
      <c r="H1015" s="29">
        <f>ROUND(Source!AC411*Source!I411, 2)</f>
        <v>172.16</v>
      </c>
      <c r="I1015" s="30"/>
      <c r="J1015" s="30">
        <f>IF(Source!BC411&lt;&gt; 0, Source!BC411, 1)</f>
        <v>6.56</v>
      </c>
      <c r="K1015" s="29">
        <f>Source!P411</f>
        <v>1129.3699999999999</v>
      </c>
      <c r="L1015" s="31"/>
    </row>
    <row r="1016" spans="1:26" ht="14.25" x14ac:dyDescent="0.2">
      <c r="A1016" s="44"/>
      <c r="B1016" s="45"/>
      <c r="C1016" s="45" t="s">
        <v>1932</v>
      </c>
      <c r="D1016" s="28" t="s">
        <v>1933</v>
      </c>
      <c r="E1016" s="11">
        <f>Source!BZ411</f>
        <v>95</v>
      </c>
      <c r="F1016" s="48"/>
      <c r="G1016" s="30"/>
      <c r="H1016" s="29">
        <f>SUM(S1011:S1019)</f>
        <v>97.51</v>
      </c>
      <c r="I1016" s="33"/>
      <c r="J1016" s="26">
        <f>Source!AT411</f>
        <v>95</v>
      </c>
      <c r="K1016" s="29">
        <f>SUM(T1011:T1019)</f>
        <v>639.65</v>
      </c>
      <c r="L1016" s="31"/>
    </row>
    <row r="1017" spans="1:26" ht="14.25" x14ac:dyDescent="0.2">
      <c r="A1017" s="44"/>
      <c r="B1017" s="45"/>
      <c r="C1017" s="45" t="s">
        <v>1934</v>
      </c>
      <c r="D1017" s="28" t="s">
        <v>1933</v>
      </c>
      <c r="E1017" s="11">
        <f>Source!CA411</f>
        <v>65</v>
      </c>
      <c r="F1017" s="48"/>
      <c r="G1017" s="30"/>
      <c r="H1017" s="29">
        <f>SUM(U1011:U1019)</f>
        <v>66.72</v>
      </c>
      <c r="I1017" s="33"/>
      <c r="J1017" s="26">
        <f>Source!AU411</f>
        <v>65</v>
      </c>
      <c r="K1017" s="29">
        <f>SUM(V1011:V1019)</f>
        <v>437.66</v>
      </c>
      <c r="L1017" s="31"/>
    </row>
    <row r="1018" spans="1:26" ht="14.25" x14ac:dyDescent="0.2">
      <c r="A1018" s="44"/>
      <c r="B1018" s="45"/>
      <c r="C1018" s="45" t="s">
        <v>1935</v>
      </c>
      <c r="D1018" s="28" t="s">
        <v>1936</v>
      </c>
      <c r="E1018" s="11">
        <f>Source!AQ411</f>
        <v>2.56</v>
      </c>
      <c r="F1018" s="29"/>
      <c r="G1018" s="30" t="str">
        <f>Source!DI411</f>
        <v/>
      </c>
      <c r="H1018" s="29"/>
      <c r="I1018" s="30"/>
      <c r="J1018" s="30"/>
      <c r="K1018" s="29"/>
      <c r="L1018" s="40">
        <f>Source!U411</f>
        <v>10.24</v>
      </c>
    </row>
    <row r="1019" spans="1:26" ht="42.75" x14ac:dyDescent="0.2">
      <c r="A1019" s="46" t="str">
        <f>Source!E412</f>
        <v>95,1</v>
      </c>
      <c r="B1019" s="47" t="str">
        <f>Source!F412</f>
        <v>22.1.01.01-0014</v>
      </c>
      <c r="C1019" s="47" t="str">
        <f>Source!G412</f>
        <v>Бокс настенный  пластиковый АВВ " Mistral 41"с прозрачной дверцей на 36 модулей,с клеммами в 2 ряда прим.</v>
      </c>
      <c r="D1019" s="34" t="str">
        <f>Source!H412</f>
        <v>шт.</v>
      </c>
      <c r="E1019" s="35">
        <f>Source!I412</f>
        <v>4</v>
      </c>
      <c r="F1019" s="36">
        <f>Source!AL412+Source!AM412+Source!AO412</f>
        <v>213.05</v>
      </c>
      <c r="G1019" s="42" t="s">
        <v>6</v>
      </c>
      <c r="H1019" s="36">
        <f>ROUND(Source!AC412*Source!I412, 2)+ROUND(Source!AD412*Source!I412, 2)+ROUND(Source!AF412*Source!I412, 2)</f>
        <v>852.2</v>
      </c>
      <c r="I1019" s="37"/>
      <c r="J1019" s="37">
        <f>IF(Source!BC412&lt;&gt; 0, Source!BC412, 1)</f>
        <v>6.56</v>
      </c>
      <c r="K1019" s="36">
        <f>Source!O412</f>
        <v>5590.43</v>
      </c>
      <c r="L1019" s="43"/>
      <c r="S1019">
        <f>ROUND((Source!FX412/100)*((ROUND(Source!AF412*Source!I412, 2)+ROUND(Source!AE412*Source!I412, 2))), 2)</f>
        <v>0</v>
      </c>
      <c r="T1019">
        <f>Source!X412</f>
        <v>0</v>
      </c>
      <c r="U1019">
        <f>ROUND((Source!FY412/100)*((ROUND(Source!AF412*Source!I412, 2)+ROUND(Source!AE412*Source!I412, 2))), 2)</f>
        <v>0</v>
      </c>
      <c r="V1019">
        <f>Source!Y412</f>
        <v>0</v>
      </c>
      <c r="W1019">
        <f>IF(Source!BI412&lt;=1,H1019, 0)</f>
        <v>0</v>
      </c>
      <c r="X1019">
        <f>IF(Source!BI412=2,H1019, 0)</f>
        <v>852.2</v>
      </c>
      <c r="Y1019">
        <f>IF(Source!BI412=3,H1019, 0)</f>
        <v>0</v>
      </c>
      <c r="Z1019">
        <f>IF(Source!BI412=4,H1019, 0)</f>
        <v>0</v>
      </c>
    </row>
    <row r="1020" spans="1:26" ht="15" x14ac:dyDescent="0.25">
      <c r="G1020" s="63">
        <f>H1012+H1013+H1015+H1016+H1017+SUM(H1019:H1019)</f>
        <v>1297.31</v>
      </c>
      <c r="H1020" s="63"/>
      <c r="J1020" s="63">
        <f>K1012+K1013+K1015+K1016+K1017+SUM(K1019:K1019)</f>
        <v>8510.32</v>
      </c>
      <c r="K1020" s="63"/>
      <c r="L1020" s="39">
        <f>Source!U411</f>
        <v>10.24</v>
      </c>
      <c r="O1020" s="24">
        <f>G1020</f>
        <v>1297.31</v>
      </c>
      <c r="P1020" s="24">
        <f>J1020</f>
        <v>8510.32</v>
      </c>
      <c r="Q1020" s="24">
        <f>L1020</f>
        <v>10.24</v>
      </c>
      <c r="W1020">
        <f>IF(Source!BI411&lt;=1,H1012+H1013+H1015+H1016+H1017, 0)</f>
        <v>0</v>
      </c>
      <c r="X1020">
        <f>IF(Source!BI411=2,H1012+H1013+H1015+H1016+H1017, 0)</f>
        <v>445.11</v>
      </c>
      <c r="Y1020">
        <f>IF(Source!BI411=3,H1012+H1013+H1015+H1016+H1017, 0)</f>
        <v>0</v>
      </c>
      <c r="Z1020">
        <f>IF(Source!BI411=4,H1012+H1013+H1015+H1016+H1017, 0)</f>
        <v>0</v>
      </c>
    </row>
    <row r="1021" spans="1:26" ht="28.5" x14ac:dyDescent="0.2">
      <c r="A1021" s="44" t="str">
        <f>Source!E413</f>
        <v>96</v>
      </c>
      <c r="B1021" s="45" t="str">
        <f>Source!F413</f>
        <v>м08-02-370-02</v>
      </c>
      <c r="C1021" s="45" t="str">
        <f>Source!G413</f>
        <v>Щиток до трех групп, устанавливаемый в нише цоколя</v>
      </c>
      <c r="D1021" s="28" t="str">
        <f>Source!H413</f>
        <v>ШТ</v>
      </c>
      <c r="E1021" s="11">
        <f>Source!I413</f>
        <v>2</v>
      </c>
      <c r="F1021" s="29">
        <f>Source!AL413+Source!AM413+Source!AO413</f>
        <v>33.42</v>
      </c>
      <c r="G1021" s="30"/>
      <c r="H1021" s="29"/>
      <c r="I1021" s="30" t="str">
        <f>Source!BO413</f>
        <v/>
      </c>
      <c r="J1021" s="30"/>
      <c r="K1021" s="29"/>
      <c r="L1021" s="31"/>
      <c r="S1021">
        <f>ROUND((Source!FX413/100)*((ROUND(Source!AF413*Source!I413, 2)+ROUND(Source!AE413*Source!I413, 2))), 2)</f>
        <v>22.72</v>
      </c>
      <c r="T1021">
        <f>Source!X413</f>
        <v>149.06</v>
      </c>
      <c r="U1021">
        <f>ROUND((Source!FY413/100)*((ROUND(Source!AF413*Source!I413, 2)+ROUND(Source!AE413*Source!I413, 2))), 2)</f>
        <v>15.55</v>
      </c>
      <c r="V1021">
        <f>Source!Y413</f>
        <v>101.99</v>
      </c>
    </row>
    <row r="1022" spans="1:26" ht="14.25" x14ac:dyDescent="0.2">
      <c r="A1022" s="44"/>
      <c r="B1022" s="45"/>
      <c r="C1022" s="45" t="s">
        <v>1930</v>
      </c>
      <c r="D1022" s="28"/>
      <c r="E1022" s="11"/>
      <c r="F1022" s="29">
        <f>Source!AO413</f>
        <v>9.4499999999999993</v>
      </c>
      <c r="G1022" s="30" t="str">
        <f>Source!DG413</f>
        <v/>
      </c>
      <c r="H1022" s="29">
        <f>ROUND(Source!AF413*Source!I413, 2)</f>
        <v>18.899999999999999</v>
      </c>
      <c r="I1022" s="30"/>
      <c r="J1022" s="30">
        <f>IF(Source!BA413&lt;&gt; 0, Source!BA413, 1)</f>
        <v>6.56</v>
      </c>
      <c r="K1022" s="29">
        <f>Source!S413</f>
        <v>123.98</v>
      </c>
      <c r="L1022" s="31"/>
      <c r="R1022">
        <f>H1022</f>
        <v>18.899999999999999</v>
      </c>
    </row>
    <row r="1023" spans="1:26" ht="14.25" x14ac:dyDescent="0.2">
      <c r="A1023" s="44"/>
      <c r="B1023" s="45"/>
      <c r="C1023" s="45" t="s">
        <v>151</v>
      </c>
      <c r="D1023" s="28"/>
      <c r="E1023" s="11"/>
      <c r="F1023" s="29">
        <f>Source!AM413</f>
        <v>17.77</v>
      </c>
      <c r="G1023" s="30" t="str">
        <f>Source!DE413</f>
        <v/>
      </c>
      <c r="H1023" s="29">
        <f>ROUND(Source!AD413*Source!I413, 2)</f>
        <v>35.54</v>
      </c>
      <c r="I1023" s="30"/>
      <c r="J1023" s="30">
        <f>IF(Source!BB413&lt;&gt; 0, Source!BB413, 1)</f>
        <v>6.56</v>
      </c>
      <c r="K1023" s="29">
        <f>Source!Q413</f>
        <v>233.14</v>
      </c>
      <c r="L1023" s="31"/>
    </row>
    <row r="1024" spans="1:26" ht="14.25" x14ac:dyDescent="0.2">
      <c r="A1024" s="44"/>
      <c r="B1024" s="45"/>
      <c r="C1024" s="45" t="s">
        <v>1931</v>
      </c>
      <c r="D1024" s="28"/>
      <c r="E1024" s="11"/>
      <c r="F1024" s="29">
        <f>Source!AN413</f>
        <v>2.5099999999999998</v>
      </c>
      <c r="G1024" s="30" t="str">
        <f>Source!DF413</f>
        <v/>
      </c>
      <c r="H1024" s="32">
        <f>ROUND(Source!AE413*Source!I413, 2)</f>
        <v>5.0199999999999996</v>
      </c>
      <c r="I1024" s="30"/>
      <c r="J1024" s="30">
        <f>IF(Source!BS413&lt;&gt; 0, Source!BS413, 1)</f>
        <v>6.56</v>
      </c>
      <c r="K1024" s="32">
        <f>Source!R413</f>
        <v>32.93</v>
      </c>
      <c r="L1024" s="31"/>
      <c r="R1024">
        <f>H1024</f>
        <v>5.0199999999999996</v>
      </c>
    </row>
    <row r="1025" spans="1:26" ht="14.25" x14ac:dyDescent="0.2">
      <c r="A1025" s="44"/>
      <c r="B1025" s="45"/>
      <c r="C1025" s="45" t="s">
        <v>1937</v>
      </c>
      <c r="D1025" s="28"/>
      <c r="E1025" s="11"/>
      <c r="F1025" s="29">
        <f>Source!AL413</f>
        <v>6.2</v>
      </c>
      <c r="G1025" s="30" t="str">
        <f>Source!DD413</f>
        <v/>
      </c>
      <c r="H1025" s="29">
        <f>ROUND(Source!AC413*Source!I413, 2)</f>
        <v>12.4</v>
      </c>
      <c r="I1025" s="30"/>
      <c r="J1025" s="30">
        <f>IF(Source!BC413&lt;&gt; 0, Source!BC413, 1)</f>
        <v>6.56</v>
      </c>
      <c r="K1025" s="29">
        <f>Source!P413</f>
        <v>81.34</v>
      </c>
      <c r="L1025" s="31"/>
    </row>
    <row r="1026" spans="1:26" ht="14.25" x14ac:dyDescent="0.2">
      <c r="A1026" s="44"/>
      <c r="B1026" s="45"/>
      <c r="C1026" s="45" t="s">
        <v>1932</v>
      </c>
      <c r="D1026" s="28" t="s">
        <v>1933</v>
      </c>
      <c r="E1026" s="11">
        <f>Source!BZ413</f>
        <v>95</v>
      </c>
      <c r="F1026" s="48"/>
      <c r="G1026" s="30"/>
      <c r="H1026" s="29">
        <f>SUM(S1021:S1029)</f>
        <v>22.72</v>
      </c>
      <c r="I1026" s="33"/>
      <c r="J1026" s="26">
        <f>Source!AT413</f>
        <v>95</v>
      </c>
      <c r="K1026" s="29">
        <f>SUM(T1021:T1029)</f>
        <v>149.06</v>
      </c>
      <c r="L1026" s="31"/>
    </row>
    <row r="1027" spans="1:26" ht="14.25" x14ac:dyDescent="0.2">
      <c r="A1027" s="44"/>
      <c r="B1027" s="45"/>
      <c r="C1027" s="45" t="s">
        <v>1934</v>
      </c>
      <c r="D1027" s="28" t="s">
        <v>1933</v>
      </c>
      <c r="E1027" s="11">
        <f>Source!CA413</f>
        <v>65</v>
      </c>
      <c r="F1027" s="48"/>
      <c r="G1027" s="30"/>
      <c r="H1027" s="29">
        <f>SUM(U1021:U1029)</f>
        <v>15.55</v>
      </c>
      <c r="I1027" s="33"/>
      <c r="J1027" s="26">
        <f>Source!AU413</f>
        <v>65</v>
      </c>
      <c r="K1027" s="29">
        <f>SUM(V1021:V1029)</f>
        <v>101.99</v>
      </c>
      <c r="L1027" s="31"/>
    </row>
    <row r="1028" spans="1:26" ht="14.25" x14ac:dyDescent="0.2">
      <c r="A1028" s="44"/>
      <c r="B1028" s="45"/>
      <c r="C1028" s="45" t="s">
        <v>1935</v>
      </c>
      <c r="D1028" s="28" t="s">
        <v>1936</v>
      </c>
      <c r="E1028" s="11">
        <f>Source!AQ413</f>
        <v>0.9</v>
      </c>
      <c r="F1028" s="29"/>
      <c r="G1028" s="30" t="str">
        <f>Source!DI413</f>
        <v/>
      </c>
      <c r="H1028" s="29"/>
      <c r="I1028" s="30"/>
      <c r="J1028" s="30"/>
      <c r="K1028" s="29"/>
      <c r="L1028" s="40">
        <f>Source!U413</f>
        <v>1.8</v>
      </c>
    </row>
    <row r="1029" spans="1:26" ht="28.5" x14ac:dyDescent="0.2">
      <c r="A1029" s="46" t="str">
        <f>Source!E414</f>
        <v>96,1</v>
      </c>
      <c r="B1029" s="47" t="str">
        <f>Source!F414</f>
        <v>62.1.02.17-0012</v>
      </c>
      <c r="C1029" s="47" t="str">
        <f>Source!G414</f>
        <v>Щитки распределительные этажные  EKF ЩРВ-48(з) прим.</v>
      </c>
      <c r="D1029" s="34" t="str">
        <f>Source!H414</f>
        <v>шт.</v>
      </c>
      <c r="E1029" s="35">
        <f>Source!I414</f>
        <v>2</v>
      </c>
      <c r="F1029" s="36">
        <f>Source!AL414+Source!AM414+Source!AO414</f>
        <v>1494.77</v>
      </c>
      <c r="G1029" s="42" t="s">
        <v>6</v>
      </c>
      <c r="H1029" s="36">
        <f>ROUND(Source!AC414*Source!I414, 2)+ROUND(Source!AD414*Source!I414, 2)+ROUND(Source!AF414*Source!I414, 2)</f>
        <v>2989.54</v>
      </c>
      <c r="I1029" s="37"/>
      <c r="J1029" s="37">
        <f>IF(Source!BC414&lt;&gt; 0, Source!BC414, 1)</f>
        <v>6.56</v>
      </c>
      <c r="K1029" s="36">
        <f>Source!O414</f>
        <v>19611.38</v>
      </c>
      <c r="L1029" s="43"/>
      <c r="S1029">
        <f>ROUND((Source!FX414/100)*((ROUND(Source!AF414*Source!I414, 2)+ROUND(Source!AE414*Source!I414, 2))), 2)</f>
        <v>0</v>
      </c>
      <c r="T1029">
        <f>Source!X414</f>
        <v>0</v>
      </c>
      <c r="U1029">
        <f>ROUND((Source!FY414/100)*((ROUND(Source!AF414*Source!I414, 2)+ROUND(Source!AE414*Source!I414, 2))), 2)</f>
        <v>0</v>
      </c>
      <c r="V1029">
        <f>Source!Y414</f>
        <v>0</v>
      </c>
      <c r="W1029">
        <f>IF(Source!BI414&lt;=1,H1029, 0)</f>
        <v>0</v>
      </c>
      <c r="X1029">
        <f>IF(Source!BI414=2,H1029, 0)</f>
        <v>2989.54</v>
      </c>
      <c r="Y1029">
        <f>IF(Source!BI414=3,H1029, 0)</f>
        <v>0</v>
      </c>
      <c r="Z1029">
        <f>IF(Source!BI414=4,H1029, 0)</f>
        <v>0</v>
      </c>
    </row>
    <row r="1030" spans="1:26" ht="15" x14ac:dyDescent="0.25">
      <c r="G1030" s="63">
        <f>H1022+H1023+H1025+H1026+H1027+SUM(H1029:H1029)</f>
        <v>3094.65</v>
      </c>
      <c r="H1030" s="63"/>
      <c r="J1030" s="63">
        <f>K1022+K1023+K1025+K1026+K1027+SUM(K1029:K1029)</f>
        <v>20300.89</v>
      </c>
      <c r="K1030" s="63"/>
      <c r="L1030" s="39">
        <f>Source!U413</f>
        <v>1.8</v>
      </c>
      <c r="O1030" s="24">
        <f>G1030</f>
        <v>3094.65</v>
      </c>
      <c r="P1030" s="24">
        <f>J1030</f>
        <v>20300.89</v>
      </c>
      <c r="Q1030" s="24">
        <f>L1030</f>
        <v>1.8</v>
      </c>
      <c r="W1030">
        <f>IF(Source!BI413&lt;=1,H1022+H1023+H1025+H1026+H1027, 0)</f>
        <v>0</v>
      </c>
      <c r="X1030">
        <f>IF(Source!BI413=2,H1022+H1023+H1025+H1026+H1027, 0)</f>
        <v>105.11</v>
      </c>
      <c r="Y1030">
        <f>IF(Source!BI413=3,H1022+H1023+H1025+H1026+H1027, 0)</f>
        <v>0</v>
      </c>
      <c r="Z1030">
        <f>IF(Source!BI413=4,H1022+H1023+H1025+H1026+H1027, 0)</f>
        <v>0</v>
      </c>
    </row>
    <row r="1031" spans="1:26" ht="42.75" x14ac:dyDescent="0.2">
      <c r="A1031" s="44" t="str">
        <f>Source!E415</f>
        <v>97</v>
      </c>
      <c r="B1031" s="45" t="str">
        <f>Source!F415</f>
        <v>м08-03-526-01</v>
      </c>
      <c r="C1031" s="45" t="str">
        <f>Source!G415</f>
        <v>Автомат одно-, двух-, трехполюсный, устанавливаемый на конструкции на стене или колонне, на ток до 25 А</v>
      </c>
      <c r="D1031" s="28" t="str">
        <f>Source!H415</f>
        <v>ШТ</v>
      </c>
      <c r="E1031" s="11">
        <f>Source!I415</f>
        <v>26</v>
      </c>
      <c r="F1031" s="29">
        <f>Source!AL415+Source!AM415+Source!AO415</f>
        <v>35.980000000000004</v>
      </c>
      <c r="G1031" s="30"/>
      <c r="H1031" s="29"/>
      <c r="I1031" s="30" t="str">
        <f>Source!BO415</f>
        <v/>
      </c>
      <c r="J1031" s="30"/>
      <c r="K1031" s="29"/>
      <c r="L1031" s="31"/>
      <c r="S1031">
        <f>ROUND((Source!FX415/100)*((ROUND(Source!AF415*Source!I415, 2)+ROUND(Source!AE415*Source!I415, 2))), 2)</f>
        <v>366.55</v>
      </c>
      <c r="T1031">
        <f>Source!X415</f>
        <v>2404.5500000000002</v>
      </c>
      <c r="U1031">
        <f>ROUND((Source!FY415/100)*((ROUND(Source!AF415*Source!I415, 2)+ROUND(Source!AE415*Source!I415, 2))), 2)</f>
        <v>250.8</v>
      </c>
      <c r="V1031">
        <f>Source!Y415</f>
        <v>1645.22</v>
      </c>
    </row>
    <row r="1032" spans="1:26" ht="14.25" x14ac:dyDescent="0.2">
      <c r="A1032" s="44"/>
      <c r="B1032" s="45"/>
      <c r="C1032" s="45" t="s">
        <v>1930</v>
      </c>
      <c r="D1032" s="28"/>
      <c r="E1032" s="11"/>
      <c r="F1032" s="29">
        <f>Source!AO415</f>
        <v>14.84</v>
      </c>
      <c r="G1032" s="30" t="str">
        <f>Source!DG415</f>
        <v/>
      </c>
      <c r="H1032" s="29">
        <f>ROUND(Source!AF415*Source!I415, 2)</f>
        <v>385.84</v>
      </c>
      <c r="I1032" s="30"/>
      <c r="J1032" s="30">
        <f>IF(Source!BA415&lt;&gt; 0, Source!BA415, 1)</f>
        <v>6.56</v>
      </c>
      <c r="K1032" s="29">
        <f>Source!S415</f>
        <v>2531.11</v>
      </c>
      <c r="L1032" s="31"/>
      <c r="R1032">
        <f>H1032</f>
        <v>385.84</v>
      </c>
    </row>
    <row r="1033" spans="1:26" ht="14.25" x14ac:dyDescent="0.2">
      <c r="A1033" s="44"/>
      <c r="B1033" s="45"/>
      <c r="C1033" s="45" t="s">
        <v>151</v>
      </c>
      <c r="D1033" s="28"/>
      <c r="E1033" s="11"/>
      <c r="F1033" s="29">
        <f>Source!AM415</f>
        <v>1.05</v>
      </c>
      <c r="G1033" s="30" t="str">
        <f>Source!DE415</f>
        <v/>
      </c>
      <c r="H1033" s="29">
        <f>ROUND(Source!AD415*Source!I415, 2)</f>
        <v>27.3</v>
      </c>
      <c r="I1033" s="30"/>
      <c r="J1033" s="30">
        <f>IF(Source!BB415&lt;&gt; 0, Source!BB415, 1)</f>
        <v>6.56</v>
      </c>
      <c r="K1033" s="29">
        <f>Source!Q415</f>
        <v>179.09</v>
      </c>
      <c r="L1033" s="31"/>
    </row>
    <row r="1034" spans="1:26" ht="14.25" x14ac:dyDescent="0.2">
      <c r="A1034" s="44"/>
      <c r="B1034" s="45"/>
      <c r="C1034" s="45" t="s">
        <v>1937</v>
      </c>
      <c r="D1034" s="28"/>
      <c r="E1034" s="11"/>
      <c r="F1034" s="29">
        <f>Source!AL415</f>
        <v>20.09</v>
      </c>
      <c r="G1034" s="30" t="str">
        <f>Source!DD415</f>
        <v/>
      </c>
      <c r="H1034" s="29">
        <f>ROUND(Source!AC415*Source!I415, 2)</f>
        <v>522.34</v>
      </c>
      <c r="I1034" s="30"/>
      <c r="J1034" s="30">
        <f>IF(Source!BC415&lt;&gt; 0, Source!BC415, 1)</f>
        <v>6.56</v>
      </c>
      <c r="K1034" s="29">
        <f>Source!P415</f>
        <v>3426.55</v>
      </c>
      <c r="L1034" s="31"/>
    </row>
    <row r="1035" spans="1:26" ht="14.25" x14ac:dyDescent="0.2">
      <c r="A1035" s="44"/>
      <c r="B1035" s="45"/>
      <c r="C1035" s="45" t="s">
        <v>1932</v>
      </c>
      <c r="D1035" s="28" t="s">
        <v>1933</v>
      </c>
      <c r="E1035" s="11">
        <f>Source!BZ415</f>
        <v>95</v>
      </c>
      <c r="F1035" s="48"/>
      <c r="G1035" s="30"/>
      <c r="H1035" s="29">
        <f>SUM(S1031:S1042)</f>
        <v>366.55</v>
      </c>
      <c r="I1035" s="33"/>
      <c r="J1035" s="26">
        <f>Source!AT415</f>
        <v>95</v>
      </c>
      <c r="K1035" s="29">
        <f>SUM(T1031:T1042)</f>
        <v>2404.5500000000002</v>
      </c>
      <c r="L1035" s="31"/>
    </row>
    <row r="1036" spans="1:26" ht="14.25" x14ac:dyDescent="0.2">
      <c r="A1036" s="44"/>
      <c r="B1036" s="45"/>
      <c r="C1036" s="45" t="s">
        <v>1934</v>
      </c>
      <c r="D1036" s="28" t="s">
        <v>1933</v>
      </c>
      <c r="E1036" s="11">
        <f>Source!CA415</f>
        <v>65</v>
      </c>
      <c r="F1036" s="48"/>
      <c r="G1036" s="30"/>
      <c r="H1036" s="29">
        <f>SUM(U1031:U1042)</f>
        <v>250.8</v>
      </c>
      <c r="I1036" s="33"/>
      <c r="J1036" s="26">
        <f>Source!AU415</f>
        <v>65</v>
      </c>
      <c r="K1036" s="29">
        <f>SUM(V1031:V1042)</f>
        <v>1645.22</v>
      </c>
      <c r="L1036" s="31"/>
    </row>
    <row r="1037" spans="1:26" ht="14.25" x14ac:dyDescent="0.2">
      <c r="A1037" s="44"/>
      <c r="B1037" s="45"/>
      <c r="C1037" s="45" t="s">
        <v>1935</v>
      </c>
      <c r="D1037" s="28" t="s">
        <v>1936</v>
      </c>
      <c r="E1037" s="11">
        <f>Source!AQ415</f>
        <v>1.56</v>
      </c>
      <c r="F1037" s="29"/>
      <c r="G1037" s="30" t="str">
        <f>Source!DI415</f>
        <v/>
      </c>
      <c r="H1037" s="29"/>
      <c r="I1037" s="30"/>
      <c r="J1037" s="30"/>
      <c r="K1037" s="29"/>
      <c r="L1037" s="40">
        <f>Source!U415</f>
        <v>40.56</v>
      </c>
    </row>
    <row r="1038" spans="1:26" ht="42.75" x14ac:dyDescent="0.2">
      <c r="A1038" s="44" t="str">
        <f>Source!E416</f>
        <v>97,1</v>
      </c>
      <c r="B1038" s="45" t="str">
        <f>Source!F416</f>
        <v>62.1.01.02-0002</v>
      </c>
      <c r="C1038" s="45" t="str">
        <f>Source!G416</f>
        <v>Автоматы дифференциальные двухполюсные 10A, 30MA тип АВВ DS901L в щите прим.</v>
      </c>
      <c r="D1038" s="28" t="str">
        <f>Source!H416</f>
        <v>шт.</v>
      </c>
      <c r="E1038" s="11">
        <f>Source!I416</f>
        <v>2</v>
      </c>
      <c r="F1038" s="29">
        <f>Source!AL416+Source!AM416+Source!AO416</f>
        <v>246.69</v>
      </c>
      <c r="G1038" s="41" t="s">
        <v>6</v>
      </c>
      <c r="H1038" s="29">
        <f>ROUND(Source!AC416*Source!I416, 2)+ROUND(Source!AD416*Source!I416, 2)+ROUND(Source!AF416*Source!I416, 2)</f>
        <v>493.38</v>
      </c>
      <c r="I1038" s="30"/>
      <c r="J1038" s="30">
        <f>IF(Source!BC416&lt;&gt; 0, Source!BC416, 1)</f>
        <v>6.56</v>
      </c>
      <c r="K1038" s="29">
        <f>Source!O416</f>
        <v>3236.57</v>
      </c>
      <c r="L1038" s="31"/>
      <c r="S1038">
        <f>ROUND((Source!FX416/100)*((ROUND(Source!AF416*Source!I416, 2)+ROUND(Source!AE416*Source!I416, 2))), 2)</f>
        <v>0</v>
      </c>
      <c r="T1038">
        <f>Source!X416</f>
        <v>0</v>
      </c>
      <c r="U1038">
        <f>ROUND((Source!FY416/100)*((ROUND(Source!AF416*Source!I416, 2)+ROUND(Source!AE416*Source!I416, 2))), 2)</f>
        <v>0</v>
      </c>
      <c r="V1038">
        <f>Source!Y416</f>
        <v>0</v>
      </c>
      <c r="W1038">
        <f>IF(Source!BI416&lt;=1,H1038, 0)</f>
        <v>0</v>
      </c>
      <c r="X1038">
        <f>IF(Source!BI416=2,H1038, 0)</f>
        <v>493.38</v>
      </c>
      <c r="Y1038">
        <f>IF(Source!BI416=3,H1038, 0)</f>
        <v>0</v>
      </c>
      <c r="Z1038">
        <f>IF(Source!BI416=4,H1038, 0)</f>
        <v>0</v>
      </c>
    </row>
    <row r="1039" spans="1:26" ht="28.5" x14ac:dyDescent="0.2">
      <c r="A1039" s="44" t="str">
        <f>Source!E417</f>
        <v>97,2</v>
      </c>
      <c r="B1039" s="45" t="str">
        <f>Source!F417</f>
        <v>62.1.01.09-0049</v>
      </c>
      <c r="C1039" s="45" t="str">
        <f>Source!G417</f>
        <v>Выключатели автоматические АВВ 1Р 10А прим.</v>
      </c>
      <c r="D1039" s="28" t="str">
        <f>Source!H417</f>
        <v>шт.</v>
      </c>
      <c r="E1039" s="11">
        <f>Source!I417</f>
        <v>3</v>
      </c>
      <c r="F1039" s="29">
        <f>Source!AL417+Source!AM417+Source!AO417</f>
        <v>73.63</v>
      </c>
      <c r="G1039" s="41" t="s">
        <v>6</v>
      </c>
      <c r="H1039" s="29">
        <f>ROUND(Source!AC417*Source!I417, 2)+ROUND(Source!AD417*Source!I417, 2)+ROUND(Source!AF417*Source!I417, 2)</f>
        <v>220.89</v>
      </c>
      <c r="I1039" s="30"/>
      <c r="J1039" s="30">
        <f>IF(Source!BC417&lt;&gt; 0, Source!BC417, 1)</f>
        <v>6.56</v>
      </c>
      <c r="K1039" s="29">
        <f>Source!O417</f>
        <v>1449.04</v>
      </c>
      <c r="L1039" s="31"/>
      <c r="S1039">
        <f>ROUND((Source!FX417/100)*((ROUND(Source!AF417*Source!I417, 2)+ROUND(Source!AE417*Source!I417, 2))), 2)</f>
        <v>0</v>
      </c>
      <c r="T1039">
        <f>Source!X417</f>
        <v>0</v>
      </c>
      <c r="U1039">
        <f>ROUND((Source!FY417/100)*((ROUND(Source!AF417*Source!I417, 2)+ROUND(Source!AE417*Source!I417, 2))), 2)</f>
        <v>0</v>
      </c>
      <c r="V1039">
        <f>Source!Y417</f>
        <v>0</v>
      </c>
      <c r="W1039">
        <f>IF(Source!BI417&lt;=1,H1039, 0)</f>
        <v>0</v>
      </c>
      <c r="X1039">
        <f>IF(Source!BI417=2,H1039, 0)</f>
        <v>220.89</v>
      </c>
      <c r="Y1039">
        <f>IF(Source!BI417=3,H1039, 0)</f>
        <v>0</v>
      </c>
      <c r="Z1039">
        <f>IF(Source!BI417=4,H1039, 0)</f>
        <v>0</v>
      </c>
    </row>
    <row r="1040" spans="1:26" ht="28.5" x14ac:dyDescent="0.2">
      <c r="A1040" s="44" t="str">
        <f>Source!E418</f>
        <v>97,3</v>
      </c>
      <c r="B1040" s="45" t="str">
        <f>Source!F418</f>
        <v>62.1.01.09-0050</v>
      </c>
      <c r="C1040" s="45" t="str">
        <f>Source!G418</f>
        <v>Выключатели автоматические АВВ 1Р 16А прим.</v>
      </c>
      <c r="D1040" s="28" t="str">
        <f>Source!H418</f>
        <v>шт.</v>
      </c>
      <c r="E1040" s="11">
        <f>Source!I418</f>
        <v>14.999999999999998</v>
      </c>
      <c r="F1040" s="29">
        <f>Source!AL418+Source!AM418+Source!AO418</f>
        <v>66.48</v>
      </c>
      <c r="G1040" s="41" t="s">
        <v>6</v>
      </c>
      <c r="H1040" s="29">
        <f>ROUND(Source!AC418*Source!I418, 2)+ROUND(Source!AD418*Source!I418, 2)+ROUND(Source!AF418*Source!I418, 2)</f>
        <v>997.2</v>
      </c>
      <c r="I1040" s="30"/>
      <c r="J1040" s="30">
        <f>IF(Source!BC418&lt;&gt; 0, Source!BC418, 1)</f>
        <v>6.56</v>
      </c>
      <c r="K1040" s="29">
        <f>Source!O418</f>
        <v>6541.63</v>
      </c>
      <c r="L1040" s="31"/>
      <c r="S1040">
        <f>ROUND((Source!FX418/100)*((ROUND(Source!AF418*Source!I418, 2)+ROUND(Source!AE418*Source!I418, 2))), 2)</f>
        <v>0</v>
      </c>
      <c r="T1040">
        <f>Source!X418</f>
        <v>0</v>
      </c>
      <c r="U1040">
        <f>ROUND((Source!FY418/100)*((ROUND(Source!AF418*Source!I418, 2)+ROUND(Source!AE418*Source!I418, 2))), 2)</f>
        <v>0</v>
      </c>
      <c r="V1040">
        <f>Source!Y418</f>
        <v>0</v>
      </c>
      <c r="W1040">
        <f>IF(Source!BI418&lt;=1,H1040, 0)</f>
        <v>0</v>
      </c>
      <c r="X1040">
        <f>IF(Source!BI418=2,H1040, 0)</f>
        <v>997.2</v>
      </c>
      <c r="Y1040">
        <f>IF(Source!BI418=3,H1040, 0)</f>
        <v>0</v>
      </c>
      <c r="Z1040">
        <f>IF(Source!BI418=4,H1040, 0)</f>
        <v>0</v>
      </c>
    </row>
    <row r="1041" spans="1:26" ht="28.5" x14ac:dyDescent="0.2">
      <c r="A1041" s="44" t="str">
        <f>Source!E419</f>
        <v>97,4</v>
      </c>
      <c r="B1041" s="45" t="str">
        <f>Source!F419</f>
        <v>62.1.01.09-0066</v>
      </c>
      <c r="C1041" s="45" t="str">
        <f>Source!G419</f>
        <v>Выключатели автоматические АВВ  3Р 16А прим.</v>
      </c>
      <c r="D1041" s="28" t="str">
        <f>Source!H419</f>
        <v>шт.</v>
      </c>
      <c r="E1041" s="11">
        <f>Source!I419</f>
        <v>3</v>
      </c>
      <c r="F1041" s="29">
        <f>Source!AL419+Source!AM419+Source!AO419</f>
        <v>231.3</v>
      </c>
      <c r="G1041" s="41" t="s">
        <v>6</v>
      </c>
      <c r="H1041" s="29">
        <f>ROUND(Source!AC419*Source!I419, 2)+ROUND(Source!AD419*Source!I419, 2)+ROUND(Source!AF419*Source!I419, 2)</f>
        <v>693.9</v>
      </c>
      <c r="I1041" s="30"/>
      <c r="J1041" s="30">
        <f>IF(Source!BC419&lt;&gt; 0, Source!BC419, 1)</f>
        <v>6.56</v>
      </c>
      <c r="K1041" s="29">
        <f>Source!O419</f>
        <v>4551.9799999999996</v>
      </c>
      <c r="L1041" s="31"/>
      <c r="S1041">
        <f>ROUND((Source!FX419/100)*((ROUND(Source!AF419*Source!I419, 2)+ROUND(Source!AE419*Source!I419, 2))), 2)</f>
        <v>0</v>
      </c>
      <c r="T1041">
        <f>Source!X419</f>
        <v>0</v>
      </c>
      <c r="U1041">
        <f>ROUND((Source!FY419/100)*((ROUND(Source!AF419*Source!I419, 2)+ROUND(Source!AE419*Source!I419, 2))), 2)</f>
        <v>0</v>
      </c>
      <c r="V1041">
        <f>Source!Y419</f>
        <v>0</v>
      </c>
      <c r="W1041">
        <f>IF(Source!BI419&lt;=1,H1041, 0)</f>
        <v>0</v>
      </c>
      <c r="X1041">
        <f>IF(Source!BI419=2,H1041, 0)</f>
        <v>693.9</v>
      </c>
      <c r="Y1041">
        <f>IF(Source!BI419=3,H1041, 0)</f>
        <v>0</v>
      </c>
      <c r="Z1041">
        <f>IF(Source!BI419=4,H1041, 0)</f>
        <v>0</v>
      </c>
    </row>
    <row r="1042" spans="1:26" ht="28.5" x14ac:dyDescent="0.2">
      <c r="A1042" s="46" t="str">
        <f>Source!E420</f>
        <v>97,5</v>
      </c>
      <c r="B1042" s="47" t="str">
        <f>Source!F420</f>
        <v>62.1.01.09-0067</v>
      </c>
      <c r="C1042" s="47" t="str">
        <f>Source!G420</f>
        <v>Выключатели автоматические АВВ 3Р 20А</v>
      </c>
      <c r="D1042" s="34" t="str">
        <f>Source!H420</f>
        <v>шт.</v>
      </c>
      <c r="E1042" s="35">
        <f>Source!I420</f>
        <v>3</v>
      </c>
      <c r="F1042" s="36">
        <f>Source!AL420+Source!AM420+Source!AO420</f>
        <v>302.16000000000003</v>
      </c>
      <c r="G1042" s="42" t="s">
        <v>6</v>
      </c>
      <c r="H1042" s="36">
        <f>ROUND(Source!AC420*Source!I420, 2)+ROUND(Source!AD420*Source!I420, 2)+ROUND(Source!AF420*Source!I420, 2)</f>
        <v>906.48</v>
      </c>
      <c r="I1042" s="37"/>
      <c r="J1042" s="37">
        <f>IF(Source!BC420&lt;&gt; 0, Source!BC420, 1)</f>
        <v>6.56</v>
      </c>
      <c r="K1042" s="36">
        <f>Source!O420</f>
        <v>5946.51</v>
      </c>
      <c r="L1042" s="43"/>
      <c r="S1042">
        <f>ROUND((Source!FX420/100)*((ROUND(Source!AF420*Source!I420, 2)+ROUND(Source!AE420*Source!I420, 2))), 2)</f>
        <v>0</v>
      </c>
      <c r="T1042">
        <f>Source!X420</f>
        <v>0</v>
      </c>
      <c r="U1042">
        <f>ROUND((Source!FY420/100)*((ROUND(Source!AF420*Source!I420, 2)+ROUND(Source!AE420*Source!I420, 2))), 2)</f>
        <v>0</v>
      </c>
      <c r="V1042">
        <f>Source!Y420</f>
        <v>0</v>
      </c>
      <c r="W1042">
        <f>IF(Source!BI420&lt;=1,H1042, 0)</f>
        <v>0</v>
      </c>
      <c r="X1042">
        <f>IF(Source!BI420=2,H1042, 0)</f>
        <v>906.48</v>
      </c>
      <c r="Y1042">
        <f>IF(Source!BI420=3,H1042, 0)</f>
        <v>0</v>
      </c>
      <c r="Z1042">
        <f>IF(Source!BI420=4,H1042, 0)</f>
        <v>0</v>
      </c>
    </row>
    <row r="1043" spans="1:26" ht="15" x14ac:dyDescent="0.25">
      <c r="G1043" s="63">
        <f>H1032+H1033+H1034+H1035+H1036+SUM(H1038:H1042)</f>
        <v>4864.68</v>
      </c>
      <c r="H1043" s="63"/>
      <c r="J1043" s="63">
        <f>K1032+K1033+K1034+K1035+K1036+SUM(K1038:K1042)</f>
        <v>31912.25</v>
      </c>
      <c r="K1043" s="63"/>
      <c r="L1043" s="39">
        <f>Source!U415</f>
        <v>40.56</v>
      </c>
      <c r="O1043" s="24">
        <f>G1043</f>
        <v>4864.68</v>
      </c>
      <c r="P1043" s="24">
        <f>J1043</f>
        <v>31912.25</v>
      </c>
      <c r="Q1043" s="24">
        <f>L1043</f>
        <v>40.56</v>
      </c>
      <c r="W1043">
        <f>IF(Source!BI415&lt;=1,H1032+H1033+H1034+H1035+H1036, 0)</f>
        <v>0</v>
      </c>
      <c r="X1043">
        <f>IF(Source!BI415=2,H1032+H1033+H1034+H1035+H1036, 0)</f>
        <v>1552.83</v>
      </c>
      <c r="Y1043">
        <f>IF(Source!BI415=3,H1032+H1033+H1034+H1035+H1036, 0)</f>
        <v>0</v>
      </c>
      <c r="Z1043">
        <f>IF(Source!BI415=4,H1032+H1033+H1034+H1035+H1036, 0)</f>
        <v>0</v>
      </c>
    </row>
    <row r="1044" spans="1:26" ht="28.5" x14ac:dyDescent="0.2">
      <c r="A1044" s="44" t="str">
        <f>Source!E421</f>
        <v>98</v>
      </c>
      <c r="B1044" s="45" t="str">
        <f>Source!F421</f>
        <v>м08-03-575-01</v>
      </c>
      <c r="C1044" s="45" t="str">
        <f>Source!G421</f>
        <v>Прибор или аппарат</v>
      </c>
      <c r="D1044" s="28" t="str">
        <f>Source!H421</f>
        <v>ШТ</v>
      </c>
      <c r="E1044" s="11">
        <f>Source!I421</f>
        <v>6</v>
      </c>
      <c r="F1044" s="29">
        <f>Source!AL421+Source!AM421+Source!AO421</f>
        <v>11.51</v>
      </c>
      <c r="G1044" s="30"/>
      <c r="H1044" s="29"/>
      <c r="I1044" s="30" t="str">
        <f>Source!BO421</f>
        <v/>
      </c>
      <c r="J1044" s="30"/>
      <c r="K1044" s="29"/>
      <c r="L1044" s="31"/>
      <c r="S1044">
        <f>ROUND((Source!FX421/100)*((ROUND(Source!AF421*Source!I421, 2)+ROUND(Source!AE421*Source!I421, 2))), 2)</f>
        <v>63.33</v>
      </c>
      <c r="T1044">
        <f>Source!X421</f>
        <v>415.43</v>
      </c>
      <c r="U1044">
        <f>ROUND((Source!FY421/100)*((ROUND(Source!AF421*Source!I421, 2)+ROUND(Source!AE421*Source!I421, 2))), 2)</f>
        <v>43.33</v>
      </c>
      <c r="V1044">
        <f>Source!Y421</f>
        <v>284.24</v>
      </c>
    </row>
    <row r="1045" spans="1:26" ht="14.25" x14ac:dyDescent="0.2">
      <c r="A1045" s="44"/>
      <c r="B1045" s="45"/>
      <c r="C1045" s="45" t="s">
        <v>1930</v>
      </c>
      <c r="D1045" s="28"/>
      <c r="E1045" s="11"/>
      <c r="F1045" s="29">
        <f>Source!AO421</f>
        <v>11.11</v>
      </c>
      <c r="G1045" s="30" t="str">
        <f>Source!DG421</f>
        <v/>
      </c>
      <c r="H1045" s="29">
        <f>ROUND(Source!AF421*Source!I421, 2)</f>
        <v>66.66</v>
      </c>
      <c r="I1045" s="30"/>
      <c r="J1045" s="30">
        <f>IF(Source!BA421&lt;&gt; 0, Source!BA421, 1)</f>
        <v>6.56</v>
      </c>
      <c r="K1045" s="29">
        <f>Source!S421</f>
        <v>437.29</v>
      </c>
      <c r="L1045" s="31"/>
      <c r="R1045">
        <f>H1045</f>
        <v>66.66</v>
      </c>
    </row>
    <row r="1046" spans="1:26" ht="14.25" x14ac:dyDescent="0.2">
      <c r="A1046" s="44"/>
      <c r="B1046" s="45"/>
      <c r="C1046" s="45" t="s">
        <v>1937</v>
      </c>
      <c r="D1046" s="28"/>
      <c r="E1046" s="11"/>
      <c r="F1046" s="29">
        <f>Source!AL421</f>
        <v>0.4</v>
      </c>
      <c r="G1046" s="30" t="str">
        <f>Source!DD421</f>
        <v/>
      </c>
      <c r="H1046" s="29">
        <f>ROUND(Source!AC421*Source!I421, 2)</f>
        <v>2.4</v>
      </c>
      <c r="I1046" s="30"/>
      <c r="J1046" s="30">
        <f>IF(Source!BC421&lt;&gt; 0, Source!BC421, 1)</f>
        <v>6.56</v>
      </c>
      <c r="K1046" s="29">
        <f>Source!P421</f>
        <v>15.74</v>
      </c>
      <c r="L1046" s="31"/>
    </row>
    <row r="1047" spans="1:26" ht="14.25" x14ac:dyDescent="0.2">
      <c r="A1047" s="44"/>
      <c r="B1047" s="45"/>
      <c r="C1047" s="45" t="s">
        <v>1932</v>
      </c>
      <c r="D1047" s="28" t="s">
        <v>1933</v>
      </c>
      <c r="E1047" s="11">
        <f>Source!BZ421</f>
        <v>95</v>
      </c>
      <c r="F1047" s="48"/>
      <c r="G1047" s="30"/>
      <c r="H1047" s="29">
        <f>SUM(S1044:S1052)</f>
        <v>63.33</v>
      </c>
      <c r="I1047" s="33"/>
      <c r="J1047" s="26">
        <f>Source!AT421</f>
        <v>95</v>
      </c>
      <c r="K1047" s="29">
        <f>SUM(T1044:T1052)</f>
        <v>415.43</v>
      </c>
      <c r="L1047" s="31"/>
    </row>
    <row r="1048" spans="1:26" ht="14.25" x14ac:dyDescent="0.2">
      <c r="A1048" s="44"/>
      <c r="B1048" s="45"/>
      <c r="C1048" s="45" t="s">
        <v>1934</v>
      </c>
      <c r="D1048" s="28" t="s">
        <v>1933</v>
      </c>
      <c r="E1048" s="11">
        <f>Source!CA421</f>
        <v>65</v>
      </c>
      <c r="F1048" s="48"/>
      <c r="G1048" s="30"/>
      <c r="H1048" s="29">
        <f>SUM(U1044:U1052)</f>
        <v>43.33</v>
      </c>
      <c r="I1048" s="33"/>
      <c r="J1048" s="26">
        <f>Source!AU421</f>
        <v>65</v>
      </c>
      <c r="K1048" s="29">
        <f>SUM(V1044:V1052)</f>
        <v>284.24</v>
      </c>
      <c r="L1048" s="31"/>
    </row>
    <row r="1049" spans="1:26" ht="14.25" x14ac:dyDescent="0.2">
      <c r="A1049" s="44"/>
      <c r="B1049" s="45"/>
      <c r="C1049" s="45" t="s">
        <v>1935</v>
      </c>
      <c r="D1049" s="28" t="s">
        <v>1936</v>
      </c>
      <c r="E1049" s="11">
        <f>Source!AQ421</f>
        <v>1.1200000000000001</v>
      </c>
      <c r="F1049" s="29"/>
      <c r="G1049" s="30" t="str">
        <f>Source!DI421</f>
        <v/>
      </c>
      <c r="H1049" s="29"/>
      <c r="I1049" s="30"/>
      <c r="J1049" s="30"/>
      <c r="K1049" s="29"/>
      <c r="L1049" s="40">
        <f>Source!U421</f>
        <v>6.7200000000000006</v>
      </c>
    </row>
    <row r="1050" spans="1:26" ht="28.5" x14ac:dyDescent="0.2">
      <c r="A1050" s="44" t="str">
        <f>Source!E422</f>
        <v>98,1</v>
      </c>
      <c r="B1050" s="45" t="str">
        <f>Source!F422</f>
        <v>62.1.01.09-0068</v>
      </c>
      <c r="C1050" s="45" t="str">
        <f>Source!G422</f>
        <v>Выключатели автоматические АВВ 3Р 32А</v>
      </c>
      <c r="D1050" s="28" t="str">
        <f>Source!H422</f>
        <v>шт.</v>
      </c>
      <c r="E1050" s="11">
        <f>Source!I422</f>
        <v>2</v>
      </c>
      <c r="F1050" s="29">
        <f>Source!AL422+Source!AM422+Source!AO422</f>
        <v>347.49</v>
      </c>
      <c r="G1050" s="41" t="s">
        <v>6</v>
      </c>
      <c r="H1050" s="29">
        <f>ROUND(Source!AC422*Source!I422, 2)+ROUND(Source!AD422*Source!I422, 2)+ROUND(Source!AF422*Source!I422, 2)</f>
        <v>694.98</v>
      </c>
      <c r="I1050" s="30"/>
      <c r="J1050" s="30">
        <f>IF(Source!BC422&lt;&gt; 0, Source!BC422, 1)</f>
        <v>6.56</v>
      </c>
      <c r="K1050" s="29">
        <f>Source!O422</f>
        <v>4559.07</v>
      </c>
      <c r="L1050" s="31"/>
      <c r="S1050">
        <f>ROUND((Source!FX422/100)*((ROUND(Source!AF422*Source!I422, 2)+ROUND(Source!AE422*Source!I422, 2))), 2)</f>
        <v>0</v>
      </c>
      <c r="T1050">
        <f>Source!X422</f>
        <v>0</v>
      </c>
      <c r="U1050">
        <f>ROUND((Source!FY422/100)*((ROUND(Source!AF422*Source!I422, 2)+ROUND(Source!AE422*Source!I422, 2))), 2)</f>
        <v>0</v>
      </c>
      <c r="V1050">
        <f>Source!Y422</f>
        <v>0</v>
      </c>
      <c r="W1050">
        <f>IF(Source!BI422&lt;=1,H1050, 0)</f>
        <v>0</v>
      </c>
      <c r="X1050">
        <f>IF(Source!BI422=2,H1050, 0)</f>
        <v>694.98</v>
      </c>
      <c r="Y1050">
        <f>IF(Source!BI422=3,H1050, 0)</f>
        <v>0</v>
      </c>
      <c r="Z1050">
        <f>IF(Source!BI422=4,H1050, 0)</f>
        <v>0</v>
      </c>
    </row>
    <row r="1051" spans="1:26" ht="42.75" x14ac:dyDescent="0.2">
      <c r="A1051" s="44" t="str">
        <f>Source!E423</f>
        <v>98,2</v>
      </c>
      <c r="B1051" s="45" t="str">
        <f>Source!F423</f>
        <v>62.1.01.09-0108</v>
      </c>
      <c r="C1051" s="45" t="str">
        <f>Source!G423</f>
        <v>Автомат вводный в щите этажном АВВ Т- max160А 3P с регулировкой щита распределитеьного</v>
      </c>
      <c r="D1051" s="28" t="str">
        <f>Source!H423</f>
        <v>шт.</v>
      </c>
      <c r="E1051" s="11">
        <f>Source!I423</f>
        <v>2</v>
      </c>
      <c r="F1051" s="29">
        <f>Source!AL423+Source!AM423+Source!AO423</f>
        <v>728.85</v>
      </c>
      <c r="G1051" s="41" t="s">
        <v>6</v>
      </c>
      <c r="H1051" s="29">
        <f>ROUND(Source!AC423*Source!I423, 2)+ROUND(Source!AD423*Source!I423, 2)+ROUND(Source!AF423*Source!I423, 2)</f>
        <v>1457.7</v>
      </c>
      <c r="I1051" s="30"/>
      <c r="J1051" s="30">
        <f>IF(Source!BC423&lt;&gt; 0, Source!BC423, 1)</f>
        <v>6.56</v>
      </c>
      <c r="K1051" s="29">
        <f>Source!O423</f>
        <v>9562.51</v>
      </c>
      <c r="L1051" s="31"/>
      <c r="S1051">
        <f>ROUND((Source!FX423/100)*((ROUND(Source!AF423*Source!I423, 2)+ROUND(Source!AE423*Source!I423, 2))), 2)</f>
        <v>0</v>
      </c>
      <c r="T1051">
        <f>Source!X423</f>
        <v>0</v>
      </c>
      <c r="U1051">
        <f>ROUND((Source!FY423/100)*((ROUND(Source!AF423*Source!I423, 2)+ROUND(Source!AE423*Source!I423, 2))), 2)</f>
        <v>0</v>
      </c>
      <c r="V1051">
        <f>Source!Y423</f>
        <v>0</v>
      </c>
      <c r="W1051">
        <f>IF(Source!BI423&lt;=1,H1051, 0)</f>
        <v>0</v>
      </c>
      <c r="X1051">
        <f>IF(Source!BI423=2,H1051, 0)</f>
        <v>1457.7</v>
      </c>
      <c r="Y1051">
        <f>IF(Source!BI423=3,H1051, 0)</f>
        <v>0</v>
      </c>
      <c r="Z1051">
        <f>IF(Source!BI423=4,H1051, 0)</f>
        <v>0</v>
      </c>
    </row>
    <row r="1052" spans="1:26" ht="28.5" x14ac:dyDescent="0.2">
      <c r="A1052" s="46" t="str">
        <f>Source!E424</f>
        <v>98,3</v>
      </c>
      <c r="B1052" s="47" t="str">
        <f>Source!F424</f>
        <v>62.1.01.09-0102</v>
      </c>
      <c r="C1052" s="47" t="str">
        <f>Source!G424</f>
        <v>Котактор серии ПРО ВА 04-35 160А с регулировкой ЩР прим. в щитовой</v>
      </c>
      <c r="D1052" s="34" t="str">
        <f>Source!H424</f>
        <v>шт.</v>
      </c>
      <c r="E1052" s="35">
        <f>Source!I424</f>
        <v>2</v>
      </c>
      <c r="F1052" s="36">
        <f>Source!AL424+Source!AM424+Source!AO424</f>
        <v>1049.99</v>
      </c>
      <c r="G1052" s="42" t="s">
        <v>6</v>
      </c>
      <c r="H1052" s="36">
        <f>ROUND(Source!AC424*Source!I424, 2)+ROUND(Source!AD424*Source!I424, 2)+ROUND(Source!AF424*Source!I424, 2)</f>
        <v>2099.98</v>
      </c>
      <c r="I1052" s="37"/>
      <c r="J1052" s="37">
        <f>IF(Source!BC424&lt;&gt; 0, Source!BC424, 1)</f>
        <v>6.56</v>
      </c>
      <c r="K1052" s="36">
        <f>Source!O424</f>
        <v>13775.87</v>
      </c>
      <c r="L1052" s="43"/>
      <c r="S1052">
        <f>ROUND((Source!FX424/100)*((ROUND(Source!AF424*Source!I424, 2)+ROUND(Source!AE424*Source!I424, 2))), 2)</f>
        <v>0</v>
      </c>
      <c r="T1052">
        <f>Source!X424</f>
        <v>0</v>
      </c>
      <c r="U1052">
        <f>ROUND((Source!FY424/100)*((ROUND(Source!AF424*Source!I424, 2)+ROUND(Source!AE424*Source!I424, 2))), 2)</f>
        <v>0</v>
      </c>
      <c r="V1052">
        <f>Source!Y424</f>
        <v>0</v>
      </c>
      <c r="W1052">
        <f>IF(Source!BI424&lt;=1,H1052, 0)</f>
        <v>0</v>
      </c>
      <c r="X1052">
        <f>IF(Source!BI424=2,H1052, 0)</f>
        <v>2099.98</v>
      </c>
      <c r="Y1052">
        <f>IF(Source!BI424=3,H1052, 0)</f>
        <v>0</v>
      </c>
      <c r="Z1052">
        <f>IF(Source!BI424=4,H1052, 0)</f>
        <v>0</v>
      </c>
    </row>
    <row r="1053" spans="1:26" ht="15" x14ac:dyDescent="0.25">
      <c r="G1053" s="63">
        <f>H1045+H1046+H1047+H1048+SUM(H1050:H1052)</f>
        <v>4428.38</v>
      </c>
      <c r="H1053" s="63"/>
      <c r="J1053" s="63">
        <f>K1045+K1046+K1047+K1048+SUM(K1050:K1052)</f>
        <v>29050.15</v>
      </c>
      <c r="K1053" s="63"/>
      <c r="L1053" s="39">
        <f>Source!U421</f>
        <v>6.7200000000000006</v>
      </c>
      <c r="O1053" s="24">
        <f>G1053</f>
        <v>4428.38</v>
      </c>
      <c r="P1053" s="24">
        <f>J1053</f>
        <v>29050.15</v>
      </c>
      <c r="Q1053" s="24">
        <f>L1053</f>
        <v>6.7200000000000006</v>
      </c>
      <c r="W1053">
        <f>IF(Source!BI421&lt;=1,H1045+H1046+H1047+H1048, 0)</f>
        <v>0</v>
      </c>
      <c r="X1053">
        <f>IF(Source!BI421=2,H1045+H1046+H1047+H1048, 0)</f>
        <v>175.71999999999997</v>
      </c>
      <c r="Y1053">
        <f>IF(Source!BI421=3,H1045+H1046+H1047+H1048, 0)</f>
        <v>0</v>
      </c>
      <c r="Z1053">
        <f>IF(Source!BI421=4,H1045+H1046+H1047+H1048, 0)</f>
        <v>0</v>
      </c>
    </row>
    <row r="1054" spans="1:26" ht="57" x14ac:dyDescent="0.2">
      <c r="A1054" s="44" t="str">
        <f>Source!E425</f>
        <v>99</v>
      </c>
      <c r="B1054" s="45" t="str">
        <f>Source!F425</f>
        <v>69-2-1 прим.</v>
      </c>
      <c r="C1054" s="45" t="str">
        <f>Source!G425</f>
        <v>Сверление отверстий в кирпичных стенах электроперфоратором диаметром до 20 мм, толщина стен 0,5 кирпича</v>
      </c>
      <c r="D1054" s="28" t="str">
        <f>Source!H425</f>
        <v>100 ШТ</v>
      </c>
      <c r="E1054" s="11">
        <f>Source!I425</f>
        <v>0.15</v>
      </c>
      <c r="F1054" s="29">
        <f>Source!AL425+Source!AM425+Source!AO425</f>
        <v>46.83</v>
      </c>
      <c r="G1054" s="30"/>
      <c r="H1054" s="29"/>
      <c r="I1054" s="30" t="str">
        <f>Source!BO425</f>
        <v/>
      </c>
      <c r="J1054" s="30"/>
      <c r="K1054" s="29"/>
      <c r="L1054" s="31"/>
      <c r="S1054">
        <f>ROUND((Source!FX425/100)*((ROUND(Source!AF425*Source!I425, 2)+ROUND(Source!AE425*Source!I425, 2))), 2)</f>
        <v>5.48</v>
      </c>
      <c r="T1054">
        <f>Source!X425</f>
        <v>35.94</v>
      </c>
      <c r="U1054">
        <f>ROUND((Source!FY425/100)*((ROUND(Source!AF425*Source!I425, 2)+ROUND(Source!AE425*Source!I425, 2))), 2)</f>
        <v>3.51</v>
      </c>
      <c r="V1054">
        <f>Source!Y425</f>
        <v>23.04</v>
      </c>
    </row>
    <row r="1055" spans="1:26" x14ac:dyDescent="0.2">
      <c r="C1055" s="23" t="str">
        <f>"Объем: "&amp;Source!I425&amp;"=15/"&amp;"100"</f>
        <v>Объем: 0,15=15/100</v>
      </c>
    </row>
    <row r="1056" spans="1:26" ht="14.25" x14ac:dyDescent="0.2">
      <c r="A1056" s="44"/>
      <c r="B1056" s="45"/>
      <c r="C1056" s="45" t="s">
        <v>1930</v>
      </c>
      <c r="D1056" s="28"/>
      <c r="E1056" s="11"/>
      <c r="F1056" s="29">
        <f>Source!AO425</f>
        <v>46.83</v>
      </c>
      <c r="G1056" s="30" t="str">
        <f>Source!DG425</f>
        <v/>
      </c>
      <c r="H1056" s="29">
        <f>ROUND(Source!AF425*Source!I425, 2)</f>
        <v>7.02</v>
      </c>
      <c r="I1056" s="30"/>
      <c r="J1056" s="30">
        <f>IF(Source!BA425&lt;&gt; 0, Source!BA425, 1)</f>
        <v>6.56</v>
      </c>
      <c r="K1056" s="29">
        <f>Source!S425</f>
        <v>46.08</v>
      </c>
      <c r="L1056" s="31"/>
      <c r="R1056">
        <f>H1056</f>
        <v>7.02</v>
      </c>
    </row>
    <row r="1057" spans="1:26" ht="14.25" x14ac:dyDescent="0.2">
      <c r="A1057" s="44"/>
      <c r="B1057" s="45"/>
      <c r="C1057" s="45" t="s">
        <v>1932</v>
      </c>
      <c r="D1057" s="28" t="s">
        <v>1933</v>
      </c>
      <c r="E1057" s="11">
        <f>Source!BZ425</f>
        <v>78</v>
      </c>
      <c r="F1057" s="48"/>
      <c r="G1057" s="30"/>
      <c r="H1057" s="29">
        <f>SUM(S1054:S1059)</f>
        <v>5.48</v>
      </c>
      <c r="I1057" s="33"/>
      <c r="J1057" s="26">
        <f>Source!AT425</f>
        <v>78</v>
      </c>
      <c r="K1057" s="29">
        <f>SUM(T1054:T1059)</f>
        <v>35.94</v>
      </c>
      <c r="L1057" s="31"/>
    </row>
    <row r="1058" spans="1:26" ht="14.25" x14ac:dyDescent="0.2">
      <c r="A1058" s="44"/>
      <c r="B1058" s="45"/>
      <c r="C1058" s="45" t="s">
        <v>1934</v>
      </c>
      <c r="D1058" s="28" t="s">
        <v>1933</v>
      </c>
      <c r="E1058" s="11">
        <f>Source!CA425</f>
        <v>50</v>
      </c>
      <c r="F1058" s="48"/>
      <c r="G1058" s="30"/>
      <c r="H1058" s="29">
        <f>SUM(U1054:U1059)</f>
        <v>3.51</v>
      </c>
      <c r="I1058" s="33"/>
      <c r="J1058" s="26">
        <f>Source!AU425</f>
        <v>50</v>
      </c>
      <c r="K1058" s="29">
        <f>SUM(V1054:V1059)</f>
        <v>23.04</v>
      </c>
      <c r="L1058" s="31"/>
    </row>
    <row r="1059" spans="1:26" ht="14.25" x14ac:dyDescent="0.2">
      <c r="A1059" s="46"/>
      <c r="B1059" s="47"/>
      <c r="C1059" s="47" t="s">
        <v>1935</v>
      </c>
      <c r="D1059" s="34" t="s">
        <v>1936</v>
      </c>
      <c r="E1059" s="35">
        <f>Source!AQ425</f>
        <v>5.49</v>
      </c>
      <c r="F1059" s="36"/>
      <c r="G1059" s="37" t="str">
        <f>Source!DI425</f>
        <v/>
      </c>
      <c r="H1059" s="36"/>
      <c r="I1059" s="37"/>
      <c r="J1059" s="37"/>
      <c r="K1059" s="36"/>
      <c r="L1059" s="38">
        <f>Source!U425</f>
        <v>0.82350000000000001</v>
      </c>
    </row>
    <row r="1060" spans="1:26" ht="15" x14ac:dyDescent="0.25">
      <c r="G1060" s="63">
        <f>H1056+H1057+H1058</f>
        <v>16.009999999999998</v>
      </c>
      <c r="H1060" s="63"/>
      <c r="J1060" s="63">
        <f>K1056+K1057+K1058</f>
        <v>105.06</v>
      </c>
      <c r="K1060" s="63"/>
      <c r="L1060" s="39">
        <f>Source!U425</f>
        <v>0.82350000000000001</v>
      </c>
      <c r="O1060" s="24">
        <f>G1060</f>
        <v>16.009999999999998</v>
      </c>
      <c r="P1060" s="24">
        <f>J1060</f>
        <v>105.06</v>
      </c>
      <c r="Q1060" s="24">
        <f>L1060</f>
        <v>0.82350000000000001</v>
      </c>
      <c r="W1060">
        <f>IF(Source!BI425&lt;=1,H1056+H1057+H1058, 0)</f>
        <v>16.009999999999998</v>
      </c>
      <c r="X1060">
        <f>IF(Source!BI425=2,H1056+H1057+H1058, 0)</f>
        <v>0</v>
      </c>
      <c r="Y1060">
        <f>IF(Source!BI425=3,H1056+H1057+H1058, 0)</f>
        <v>0</v>
      </c>
      <c r="Z1060">
        <f>IF(Source!BI425=4,H1056+H1057+H1058, 0)</f>
        <v>0</v>
      </c>
    </row>
    <row r="1061" spans="1:26" ht="28.5" x14ac:dyDescent="0.2">
      <c r="A1061" s="44" t="str">
        <f>Source!E426</f>
        <v>100</v>
      </c>
      <c r="B1061" s="45" t="str">
        <f>Source!F426</f>
        <v>м08-02-410-02</v>
      </c>
      <c r="C1061" s="45" t="str">
        <f>Source!G426</f>
        <v>Труба полиэтиленовая по основанию пола, диаметр до 50 мм (гильзы) прим.</v>
      </c>
      <c r="D1061" s="28" t="str">
        <f>Source!H426</f>
        <v>100 м</v>
      </c>
      <c r="E1061" s="11">
        <f>Source!I426</f>
        <v>4.4999999999999998E-2</v>
      </c>
      <c r="F1061" s="29">
        <f>Source!AL426+Source!AM426+Source!AO426</f>
        <v>250.92</v>
      </c>
      <c r="G1061" s="30"/>
      <c r="H1061" s="29"/>
      <c r="I1061" s="30" t="str">
        <f>Source!BO426</f>
        <v/>
      </c>
      <c r="J1061" s="30"/>
      <c r="K1061" s="29"/>
      <c r="L1061" s="31"/>
      <c r="S1061">
        <f>ROUND((Source!FX426/100)*((ROUND(Source!AF426*Source!I426, 2)+ROUND(Source!AE426*Source!I426, 2))), 2)</f>
        <v>6.25</v>
      </c>
      <c r="T1061">
        <f>Source!X426</f>
        <v>41.06</v>
      </c>
      <c r="U1061">
        <f>ROUND((Source!FY426/100)*((ROUND(Source!AF426*Source!I426, 2)+ROUND(Source!AE426*Source!I426, 2))), 2)</f>
        <v>4.28</v>
      </c>
      <c r="V1061">
        <f>Source!Y426</f>
        <v>28.09</v>
      </c>
    </row>
    <row r="1062" spans="1:26" x14ac:dyDescent="0.2">
      <c r="C1062" s="23" t="str">
        <f>"Объем: "&amp;Source!I426&amp;"=4,5/"&amp;"100"</f>
        <v>Объем: 0,045=4,5/100</v>
      </c>
    </row>
    <row r="1063" spans="1:26" ht="14.25" x14ac:dyDescent="0.2">
      <c r="A1063" s="44"/>
      <c r="B1063" s="45"/>
      <c r="C1063" s="45" t="s">
        <v>1930</v>
      </c>
      <c r="D1063" s="28"/>
      <c r="E1063" s="11"/>
      <c r="F1063" s="29">
        <f>Source!AO426</f>
        <v>143.63</v>
      </c>
      <c r="G1063" s="30" t="str">
        <f>Source!DG426</f>
        <v/>
      </c>
      <c r="H1063" s="29">
        <f>ROUND(Source!AF426*Source!I426, 2)</f>
        <v>6.46</v>
      </c>
      <c r="I1063" s="30"/>
      <c r="J1063" s="30">
        <f>IF(Source!BA426&lt;&gt; 0, Source!BA426, 1)</f>
        <v>6.56</v>
      </c>
      <c r="K1063" s="29">
        <f>Source!S426</f>
        <v>42.4</v>
      </c>
      <c r="L1063" s="31"/>
      <c r="R1063">
        <f>H1063</f>
        <v>6.46</v>
      </c>
    </row>
    <row r="1064" spans="1:26" ht="14.25" x14ac:dyDescent="0.2">
      <c r="A1064" s="44"/>
      <c r="B1064" s="45"/>
      <c r="C1064" s="45" t="s">
        <v>151</v>
      </c>
      <c r="D1064" s="28"/>
      <c r="E1064" s="11"/>
      <c r="F1064" s="29">
        <f>Source!AM426</f>
        <v>19.55</v>
      </c>
      <c r="G1064" s="30" t="str">
        <f>Source!DE426</f>
        <v/>
      </c>
      <c r="H1064" s="29">
        <f>ROUND(Source!AD426*Source!I426, 2)</f>
        <v>0.88</v>
      </c>
      <c r="I1064" s="30"/>
      <c r="J1064" s="30">
        <f>IF(Source!BB426&lt;&gt; 0, Source!BB426, 1)</f>
        <v>6.56</v>
      </c>
      <c r="K1064" s="29">
        <f>Source!Q426</f>
        <v>5.77</v>
      </c>
      <c r="L1064" s="31"/>
    </row>
    <row r="1065" spans="1:26" ht="14.25" x14ac:dyDescent="0.2">
      <c r="A1065" s="44"/>
      <c r="B1065" s="45"/>
      <c r="C1065" s="45" t="s">
        <v>1931</v>
      </c>
      <c r="D1065" s="28"/>
      <c r="E1065" s="11"/>
      <c r="F1065" s="29">
        <f>Source!AN426</f>
        <v>2.77</v>
      </c>
      <c r="G1065" s="30" t="str">
        <f>Source!DF426</f>
        <v/>
      </c>
      <c r="H1065" s="32">
        <f>ROUND(Source!AE426*Source!I426, 2)</f>
        <v>0.12</v>
      </c>
      <c r="I1065" s="30"/>
      <c r="J1065" s="30">
        <f>IF(Source!BS426&lt;&gt; 0, Source!BS426, 1)</f>
        <v>6.56</v>
      </c>
      <c r="K1065" s="32">
        <f>Source!R426</f>
        <v>0.82</v>
      </c>
      <c r="L1065" s="31"/>
      <c r="R1065">
        <f>H1065</f>
        <v>0.12</v>
      </c>
    </row>
    <row r="1066" spans="1:26" ht="14.25" x14ac:dyDescent="0.2">
      <c r="A1066" s="44"/>
      <c r="B1066" s="45"/>
      <c r="C1066" s="45" t="s">
        <v>1937</v>
      </c>
      <c r="D1066" s="28"/>
      <c r="E1066" s="11"/>
      <c r="F1066" s="29">
        <f>Source!AL426</f>
        <v>87.74</v>
      </c>
      <c r="G1066" s="30" t="str">
        <f>Source!DD426</f>
        <v/>
      </c>
      <c r="H1066" s="29">
        <f>ROUND(Source!AC426*Source!I426, 2)</f>
        <v>3.95</v>
      </c>
      <c r="I1066" s="30"/>
      <c r="J1066" s="30">
        <f>IF(Source!BC426&lt;&gt; 0, Source!BC426, 1)</f>
        <v>6.56</v>
      </c>
      <c r="K1066" s="29">
        <f>Source!P426</f>
        <v>25.9</v>
      </c>
      <c r="L1066" s="31"/>
    </row>
    <row r="1067" spans="1:26" ht="14.25" x14ac:dyDescent="0.2">
      <c r="A1067" s="44"/>
      <c r="B1067" s="45"/>
      <c r="C1067" s="45" t="s">
        <v>1932</v>
      </c>
      <c r="D1067" s="28" t="s">
        <v>1933</v>
      </c>
      <c r="E1067" s="11">
        <f>Source!BZ426</f>
        <v>95</v>
      </c>
      <c r="F1067" s="48"/>
      <c r="G1067" s="30"/>
      <c r="H1067" s="29">
        <f>SUM(S1061:S1070)</f>
        <v>6.25</v>
      </c>
      <c r="I1067" s="33"/>
      <c r="J1067" s="26">
        <f>Source!AT426</f>
        <v>95</v>
      </c>
      <c r="K1067" s="29">
        <f>SUM(T1061:T1070)</f>
        <v>41.06</v>
      </c>
      <c r="L1067" s="31"/>
    </row>
    <row r="1068" spans="1:26" ht="14.25" x14ac:dyDescent="0.2">
      <c r="A1068" s="44"/>
      <c r="B1068" s="45"/>
      <c r="C1068" s="45" t="s">
        <v>1934</v>
      </c>
      <c r="D1068" s="28" t="s">
        <v>1933</v>
      </c>
      <c r="E1068" s="11">
        <f>Source!CA426</f>
        <v>65</v>
      </c>
      <c r="F1068" s="48"/>
      <c r="G1068" s="30"/>
      <c r="H1068" s="29">
        <f>SUM(U1061:U1070)</f>
        <v>4.28</v>
      </c>
      <c r="I1068" s="33"/>
      <c r="J1068" s="26">
        <f>Source!AU426</f>
        <v>65</v>
      </c>
      <c r="K1068" s="29">
        <f>SUM(V1061:V1070)</f>
        <v>28.09</v>
      </c>
      <c r="L1068" s="31"/>
    </row>
    <row r="1069" spans="1:26" ht="14.25" x14ac:dyDescent="0.2">
      <c r="A1069" s="44"/>
      <c r="B1069" s="45"/>
      <c r="C1069" s="45" t="s">
        <v>1935</v>
      </c>
      <c r="D1069" s="28" t="s">
        <v>1936</v>
      </c>
      <c r="E1069" s="11">
        <f>Source!AQ426</f>
        <v>15.28</v>
      </c>
      <c r="F1069" s="29"/>
      <c r="G1069" s="30" t="str">
        <f>Source!DI426</f>
        <v/>
      </c>
      <c r="H1069" s="29"/>
      <c r="I1069" s="30"/>
      <c r="J1069" s="30"/>
      <c r="K1069" s="29"/>
      <c r="L1069" s="40">
        <f>Source!U426</f>
        <v>0.68759999999999999</v>
      </c>
    </row>
    <row r="1070" spans="1:26" ht="42.75" x14ac:dyDescent="0.2">
      <c r="A1070" s="46" t="str">
        <f>Source!E427</f>
        <v>100,1</v>
      </c>
      <c r="B1070" s="47" t="str">
        <f>Source!F427</f>
        <v>24.3.01.03-0014</v>
      </c>
      <c r="C1070" s="47" t="str">
        <f>Source!G427</f>
        <v>Трубы жесткие гладкие легкие из самозатухающего ПВХ (IP55) серии RIG, диаметром 32 мм</v>
      </c>
      <c r="D1070" s="34" t="str">
        <f>Source!H427</f>
        <v>10 м</v>
      </c>
      <c r="E1070" s="35">
        <f>Source!I427</f>
        <v>0.44999999999999996</v>
      </c>
      <c r="F1070" s="36">
        <f>Source!AL427+Source!AM427+Source!AO427</f>
        <v>79.47</v>
      </c>
      <c r="G1070" s="42" t="s">
        <v>6</v>
      </c>
      <c r="H1070" s="36">
        <f>ROUND(Source!AC427*Source!I427, 2)+ROUND(Source!AD427*Source!I427, 2)+ROUND(Source!AF427*Source!I427, 2)</f>
        <v>35.76</v>
      </c>
      <c r="I1070" s="37"/>
      <c r="J1070" s="37">
        <f>IF(Source!BC427&lt;&gt; 0, Source!BC427, 1)</f>
        <v>6.56</v>
      </c>
      <c r="K1070" s="36">
        <f>Source!O427</f>
        <v>234.6</v>
      </c>
      <c r="L1070" s="43"/>
      <c r="S1070">
        <f>ROUND((Source!FX427/100)*((ROUND(Source!AF427*Source!I427, 2)+ROUND(Source!AE427*Source!I427, 2))), 2)</f>
        <v>0</v>
      </c>
      <c r="T1070">
        <f>Source!X427</f>
        <v>0</v>
      </c>
      <c r="U1070">
        <f>ROUND((Source!FY427/100)*((ROUND(Source!AF427*Source!I427, 2)+ROUND(Source!AE427*Source!I427, 2))), 2)</f>
        <v>0</v>
      </c>
      <c r="V1070">
        <f>Source!Y427</f>
        <v>0</v>
      </c>
      <c r="W1070">
        <f>IF(Source!BI427&lt;=1,H1070, 0)</f>
        <v>0</v>
      </c>
      <c r="X1070">
        <f>IF(Source!BI427=2,H1070, 0)</f>
        <v>35.76</v>
      </c>
      <c r="Y1070">
        <f>IF(Source!BI427=3,H1070, 0)</f>
        <v>0</v>
      </c>
      <c r="Z1070">
        <f>IF(Source!BI427=4,H1070, 0)</f>
        <v>0</v>
      </c>
    </row>
    <row r="1071" spans="1:26" ht="15" x14ac:dyDescent="0.25">
      <c r="G1071" s="63">
        <f>H1063+H1064+H1066+H1067+H1068+SUM(H1070:H1070)</f>
        <v>57.58</v>
      </c>
      <c r="H1071" s="63"/>
      <c r="J1071" s="63">
        <f>K1063+K1064+K1066+K1067+K1068+SUM(K1070:K1070)</f>
        <v>377.82</v>
      </c>
      <c r="K1071" s="63"/>
      <c r="L1071" s="39">
        <f>Source!U426</f>
        <v>0.68759999999999999</v>
      </c>
      <c r="O1071" s="24">
        <f>G1071</f>
        <v>57.58</v>
      </c>
      <c r="P1071" s="24">
        <f>J1071</f>
        <v>377.82</v>
      </c>
      <c r="Q1071" s="24">
        <f>L1071</f>
        <v>0.68759999999999999</v>
      </c>
      <c r="W1071">
        <f>IF(Source!BI426&lt;=1,H1063+H1064+H1066+H1067+H1068, 0)</f>
        <v>0</v>
      </c>
      <c r="X1071">
        <f>IF(Source!BI426=2,H1063+H1064+H1066+H1067+H1068, 0)</f>
        <v>21.82</v>
      </c>
      <c r="Y1071">
        <f>IF(Source!BI426=3,H1063+H1064+H1066+H1067+H1068, 0)</f>
        <v>0</v>
      </c>
      <c r="Z1071">
        <f>IF(Source!BI426=4,H1063+H1064+H1066+H1067+H1068, 0)</f>
        <v>0</v>
      </c>
    </row>
    <row r="1072" spans="1:26" ht="57" x14ac:dyDescent="0.2">
      <c r="A1072" s="44" t="str">
        <f>Source!E428</f>
        <v>101</v>
      </c>
      <c r="B1072" s="45" t="str">
        <f>Source!F428</f>
        <v>м08-02-159-01</v>
      </c>
      <c r="C1072" s="45" t="str">
        <f>Source!G428</f>
        <v>Заделка концевая в резиновой перчатке для 3-5-жильного кабеля напряжением до 1 кВ, сечение одной жилы до 35 мм2</v>
      </c>
      <c r="D1072" s="28" t="str">
        <f>Source!H428</f>
        <v>ШТ</v>
      </c>
      <c r="E1072" s="11">
        <f>Source!I428</f>
        <v>4</v>
      </c>
      <c r="F1072" s="29">
        <f>Source!AL428+Source!AM428+Source!AO428</f>
        <v>21.35</v>
      </c>
      <c r="G1072" s="30"/>
      <c r="H1072" s="29"/>
      <c r="I1072" s="30" t="str">
        <f>Source!BO428</f>
        <v/>
      </c>
      <c r="J1072" s="30"/>
      <c r="K1072" s="29"/>
      <c r="L1072" s="31"/>
      <c r="S1072">
        <f>ROUND((Source!FX428/100)*((ROUND(Source!AF428*Source!I428, 2)+ROUND(Source!AE428*Source!I428, 2))), 2)</f>
        <v>61.41</v>
      </c>
      <c r="T1072">
        <f>Source!X428</f>
        <v>402.84</v>
      </c>
      <c r="U1072">
        <f>ROUND((Source!FY428/100)*((ROUND(Source!AF428*Source!I428, 2)+ROUND(Source!AE428*Source!I428, 2))), 2)</f>
        <v>42.02</v>
      </c>
      <c r="V1072">
        <f>Source!Y428</f>
        <v>275.63</v>
      </c>
    </row>
    <row r="1073" spans="1:26" ht="14.25" x14ac:dyDescent="0.2">
      <c r="A1073" s="44"/>
      <c r="B1073" s="45"/>
      <c r="C1073" s="45" t="s">
        <v>1930</v>
      </c>
      <c r="D1073" s="28"/>
      <c r="E1073" s="11"/>
      <c r="F1073" s="29">
        <f>Source!AO428</f>
        <v>16.16</v>
      </c>
      <c r="G1073" s="30" t="str">
        <f>Source!DG428</f>
        <v/>
      </c>
      <c r="H1073" s="29">
        <f>ROUND(Source!AF428*Source!I428, 2)</f>
        <v>64.64</v>
      </c>
      <c r="I1073" s="30"/>
      <c r="J1073" s="30">
        <f>IF(Source!BA428&lt;&gt; 0, Source!BA428, 1)</f>
        <v>6.56</v>
      </c>
      <c r="K1073" s="29">
        <f>Source!S428</f>
        <v>424.04</v>
      </c>
      <c r="L1073" s="31"/>
      <c r="R1073">
        <f>H1073</f>
        <v>64.64</v>
      </c>
    </row>
    <row r="1074" spans="1:26" ht="14.25" x14ac:dyDescent="0.2">
      <c r="A1074" s="44"/>
      <c r="B1074" s="45"/>
      <c r="C1074" s="45" t="s">
        <v>1937</v>
      </c>
      <c r="D1074" s="28"/>
      <c r="E1074" s="11"/>
      <c r="F1074" s="29">
        <f>Source!AL428</f>
        <v>5.19</v>
      </c>
      <c r="G1074" s="30" t="str">
        <f>Source!DD428</f>
        <v/>
      </c>
      <c r="H1074" s="29">
        <f>ROUND(Source!AC428*Source!I428, 2)</f>
        <v>20.76</v>
      </c>
      <c r="I1074" s="30"/>
      <c r="J1074" s="30">
        <f>IF(Source!BC428&lt;&gt; 0, Source!BC428, 1)</f>
        <v>6.56</v>
      </c>
      <c r="K1074" s="29">
        <f>Source!P428</f>
        <v>136.19</v>
      </c>
      <c r="L1074" s="31"/>
    </row>
    <row r="1075" spans="1:26" ht="14.25" x14ac:dyDescent="0.2">
      <c r="A1075" s="44"/>
      <c r="B1075" s="45"/>
      <c r="C1075" s="45" t="s">
        <v>1932</v>
      </c>
      <c r="D1075" s="28" t="s">
        <v>1933</v>
      </c>
      <c r="E1075" s="11">
        <f>Source!BZ428</f>
        <v>95</v>
      </c>
      <c r="F1075" s="48"/>
      <c r="G1075" s="30"/>
      <c r="H1075" s="29">
        <f>SUM(S1072:S1078)</f>
        <v>61.41</v>
      </c>
      <c r="I1075" s="33"/>
      <c r="J1075" s="26">
        <f>Source!AT428</f>
        <v>95</v>
      </c>
      <c r="K1075" s="29">
        <f>SUM(T1072:T1078)</f>
        <v>402.84</v>
      </c>
      <c r="L1075" s="31"/>
    </row>
    <row r="1076" spans="1:26" ht="14.25" x14ac:dyDescent="0.2">
      <c r="A1076" s="44"/>
      <c r="B1076" s="45"/>
      <c r="C1076" s="45" t="s">
        <v>1934</v>
      </c>
      <c r="D1076" s="28" t="s">
        <v>1933</v>
      </c>
      <c r="E1076" s="11">
        <f>Source!CA428</f>
        <v>65</v>
      </c>
      <c r="F1076" s="48"/>
      <c r="G1076" s="30"/>
      <c r="H1076" s="29">
        <f>SUM(U1072:U1078)</f>
        <v>42.02</v>
      </c>
      <c r="I1076" s="33"/>
      <c r="J1076" s="26">
        <f>Source!AU428</f>
        <v>65</v>
      </c>
      <c r="K1076" s="29">
        <f>SUM(V1072:V1078)</f>
        <v>275.63</v>
      </c>
      <c r="L1076" s="31"/>
    </row>
    <row r="1077" spans="1:26" ht="14.25" x14ac:dyDescent="0.2">
      <c r="A1077" s="44"/>
      <c r="B1077" s="45"/>
      <c r="C1077" s="45" t="s">
        <v>1935</v>
      </c>
      <c r="D1077" s="28" t="s">
        <v>1936</v>
      </c>
      <c r="E1077" s="11">
        <f>Source!AQ428</f>
        <v>1.68</v>
      </c>
      <c r="F1077" s="29"/>
      <c r="G1077" s="30" t="str">
        <f>Source!DI428</f>
        <v/>
      </c>
      <c r="H1077" s="29"/>
      <c r="I1077" s="30"/>
      <c r="J1077" s="30"/>
      <c r="K1077" s="29"/>
      <c r="L1077" s="40">
        <f>Source!U428</f>
        <v>6.72</v>
      </c>
    </row>
    <row r="1078" spans="1:26" ht="28.5" x14ac:dyDescent="0.2">
      <c r="A1078" s="46" t="str">
        <f>Source!E429</f>
        <v>101,1</v>
      </c>
      <c r="B1078" s="47" t="str">
        <f>Source!F429</f>
        <v>20.2.02.07-0021</v>
      </c>
      <c r="C1078" s="47" t="str">
        <f>Source!G429</f>
        <v>Перчатка термоусаживаемая</v>
      </c>
      <c r="D1078" s="34" t="str">
        <f>Source!H429</f>
        <v>шт.</v>
      </c>
      <c r="E1078" s="35">
        <f>Source!I429</f>
        <v>4</v>
      </c>
      <c r="F1078" s="36">
        <f>Source!AL429+Source!AM429+Source!AO429</f>
        <v>38</v>
      </c>
      <c r="G1078" s="42" t="s">
        <v>6</v>
      </c>
      <c r="H1078" s="36">
        <f>ROUND(Source!AC429*Source!I429, 2)+ROUND(Source!AD429*Source!I429, 2)+ROUND(Source!AF429*Source!I429, 2)</f>
        <v>152</v>
      </c>
      <c r="I1078" s="37"/>
      <c r="J1078" s="37">
        <f>IF(Source!BC429&lt;&gt; 0, Source!BC429, 1)</f>
        <v>6.56</v>
      </c>
      <c r="K1078" s="36">
        <f>Source!O429</f>
        <v>997.12</v>
      </c>
      <c r="L1078" s="43"/>
      <c r="S1078">
        <f>ROUND((Source!FX429/100)*((ROUND(Source!AF429*Source!I429, 2)+ROUND(Source!AE429*Source!I429, 2))), 2)</f>
        <v>0</v>
      </c>
      <c r="T1078">
        <f>Source!X429</f>
        <v>0</v>
      </c>
      <c r="U1078">
        <f>ROUND((Source!FY429/100)*((ROUND(Source!AF429*Source!I429, 2)+ROUND(Source!AE429*Source!I429, 2))), 2)</f>
        <v>0</v>
      </c>
      <c r="V1078">
        <f>Source!Y429</f>
        <v>0</v>
      </c>
      <c r="W1078">
        <f>IF(Source!BI429&lt;=1,H1078, 0)</f>
        <v>0</v>
      </c>
      <c r="X1078">
        <f>IF(Source!BI429=2,H1078, 0)</f>
        <v>152</v>
      </c>
      <c r="Y1078">
        <f>IF(Source!BI429=3,H1078, 0)</f>
        <v>0</v>
      </c>
      <c r="Z1078">
        <f>IF(Source!BI429=4,H1078, 0)</f>
        <v>0</v>
      </c>
    </row>
    <row r="1079" spans="1:26" ht="15" x14ac:dyDescent="0.25">
      <c r="G1079" s="63">
        <f>H1073+H1074+H1075+H1076+SUM(H1078:H1078)</f>
        <v>340.83000000000004</v>
      </c>
      <c r="H1079" s="63"/>
      <c r="J1079" s="63">
        <f>K1073+K1074+K1075+K1076+SUM(K1078:K1078)</f>
        <v>2235.8199999999997</v>
      </c>
      <c r="K1079" s="63"/>
      <c r="L1079" s="39">
        <f>Source!U428</f>
        <v>6.72</v>
      </c>
      <c r="O1079" s="24">
        <f>G1079</f>
        <v>340.83000000000004</v>
      </c>
      <c r="P1079" s="24">
        <f>J1079</f>
        <v>2235.8199999999997</v>
      </c>
      <c r="Q1079" s="24">
        <f>L1079</f>
        <v>6.72</v>
      </c>
      <c r="W1079">
        <f>IF(Source!BI428&lt;=1,H1073+H1074+H1075+H1076, 0)</f>
        <v>0</v>
      </c>
      <c r="X1079">
        <f>IF(Source!BI428=2,H1073+H1074+H1075+H1076, 0)</f>
        <v>188.83</v>
      </c>
      <c r="Y1079">
        <f>IF(Source!BI428=3,H1073+H1074+H1075+H1076, 0)</f>
        <v>0</v>
      </c>
      <c r="Z1079">
        <f>IF(Source!BI428=4,H1073+H1074+H1075+H1076, 0)</f>
        <v>0</v>
      </c>
    </row>
    <row r="1081" spans="1:26" ht="15" x14ac:dyDescent="0.25">
      <c r="A1081" s="66" t="str">
        <f>CONCATENATE("Итого по подразделу: ",IF(Source!G431&lt;&gt;"Новый подраздел", Source!G431, ""))</f>
        <v>Итого по подразделу: 3 Монтаж силовой части</v>
      </c>
      <c r="B1081" s="66"/>
      <c r="C1081" s="66"/>
      <c r="D1081" s="66"/>
      <c r="E1081" s="66"/>
      <c r="F1081" s="66"/>
      <c r="G1081" s="67">
        <f>SUM(O900:O1080)</f>
        <v>46318.19</v>
      </c>
      <c r="H1081" s="67"/>
      <c r="I1081" s="25"/>
      <c r="J1081" s="67">
        <f>SUM(P900:P1080)</f>
        <v>303847.25000000006</v>
      </c>
      <c r="K1081" s="67"/>
      <c r="L1081" s="39">
        <f>SUM(Q900:Q1080)</f>
        <v>153.54939999999999</v>
      </c>
    </row>
    <row r="1082" spans="1:26" ht="15" x14ac:dyDescent="0.25">
      <c r="A1082" s="66" t="str">
        <f>CONCATENATE("Итого по разделу: ",IF(Source!G460&lt;&gt;"Новый раздел", Source!G460, ""))</f>
        <v>Итого по разделу: 2 Электромонтажные работы</v>
      </c>
      <c r="B1082" s="66"/>
      <c r="C1082" s="66"/>
      <c r="D1082" s="66"/>
      <c r="E1082" s="66"/>
      <c r="F1082" s="66"/>
      <c r="G1082" s="67">
        <f>SUM(O688:O1081)</f>
        <v>116839.84999999999</v>
      </c>
      <c r="H1082" s="67"/>
      <c r="I1082" s="25"/>
      <c r="J1082" s="67">
        <f>SUM(P688:P1081)</f>
        <v>766468.93</v>
      </c>
      <c r="K1082" s="67"/>
      <c r="L1082" s="39">
        <f>SUM(Q688:Q1081)</f>
        <v>466.50175000000007</v>
      </c>
    </row>
    <row r="1083" spans="1:26" ht="16.5" x14ac:dyDescent="0.25">
      <c r="A1083" s="68" t="str">
        <f>CONCATENATE("Раздел: ",IF(Source!G489&lt;&gt;"Новый раздел", Source!G489, ""))</f>
        <v>Раздел: 3 Пусконаладочные работы</v>
      </c>
      <c r="B1083" s="68"/>
      <c r="C1083" s="68"/>
      <c r="D1083" s="68"/>
      <c r="E1083" s="68"/>
      <c r="F1083" s="68"/>
      <c r="G1083" s="68"/>
      <c r="H1083" s="68"/>
      <c r="I1083" s="68"/>
      <c r="J1083" s="68"/>
      <c r="K1083" s="68"/>
      <c r="L1083" s="68"/>
    </row>
    <row r="1084" spans="1:26" ht="114" x14ac:dyDescent="0.2">
      <c r="A1084" s="44" t="str">
        <f>Source!E493</f>
        <v>102</v>
      </c>
      <c r="B1084" s="45" t="str">
        <f>Source!F493</f>
        <v>п01-11-028-01</v>
      </c>
      <c r="C1084" s="45" t="str">
        <f>Source!G493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084" s="28" t="str">
        <f>Source!H493</f>
        <v>ШТ</v>
      </c>
      <c r="E1084" s="11">
        <f>Source!I493</f>
        <v>38</v>
      </c>
      <c r="F1084" s="29">
        <f>Source!AL493+Source!AM493+Source!AO493</f>
        <v>4.0999999999999996</v>
      </c>
      <c r="G1084" s="30"/>
      <c r="H1084" s="29"/>
      <c r="I1084" s="30" t="str">
        <f>Source!BO493</f>
        <v/>
      </c>
      <c r="J1084" s="30"/>
      <c r="K1084" s="29"/>
      <c r="L1084" s="31"/>
      <c r="S1084">
        <f>ROUND((Source!FX493/100)*((ROUND(Source!AF493*Source!I493, 2)+ROUND(Source!AE493*Source!I493, 2))), 2)</f>
        <v>81.02</v>
      </c>
      <c r="T1084">
        <f>Source!X493</f>
        <v>1534.44</v>
      </c>
      <c r="U1084">
        <f>ROUND((Source!FY493/100)*((ROUND(Source!AF493*Source!I493, 2)+ROUND(Source!AE493*Source!I493, 2))), 2)</f>
        <v>49.86</v>
      </c>
      <c r="V1084">
        <f>Source!Y493</f>
        <v>944.27</v>
      </c>
    </row>
    <row r="1085" spans="1:26" ht="14.25" x14ac:dyDescent="0.2">
      <c r="A1085" s="44"/>
      <c r="B1085" s="45"/>
      <c r="C1085" s="45" t="s">
        <v>1930</v>
      </c>
      <c r="D1085" s="28"/>
      <c r="E1085" s="11"/>
      <c r="F1085" s="29">
        <f>Source!AO493</f>
        <v>4.0999999999999996</v>
      </c>
      <c r="G1085" s="30" t="str">
        <f>Source!DG493</f>
        <v>)*0,8</v>
      </c>
      <c r="H1085" s="29">
        <f>ROUND(Source!AF493*Source!I493, 2)</f>
        <v>124.64</v>
      </c>
      <c r="I1085" s="30"/>
      <c r="J1085" s="30">
        <f>IF(Source!BA493&lt;&gt; 0, Source!BA493, 1)</f>
        <v>18.940000000000001</v>
      </c>
      <c r="K1085" s="29">
        <f>Source!S493</f>
        <v>2360.6799999999998</v>
      </c>
      <c r="L1085" s="31"/>
      <c r="R1085">
        <f>H1085</f>
        <v>124.64</v>
      </c>
    </row>
    <row r="1086" spans="1:26" ht="14.25" x14ac:dyDescent="0.2">
      <c r="A1086" s="44"/>
      <c r="B1086" s="45"/>
      <c r="C1086" s="45" t="s">
        <v>1932</v>
      </c>
      <c r="D1086" s="28" t="s">
        <v>1933</v>
      </c>
      <c r="E1086" s="11">
        <f>Source!BZ493</f>
        <v>65</v>
      </c>
      <c r="F1086" s="48"/>
      <c r="G1086" s="30"/>
      <c r="H1086" s="29">
        <f>SUM(S1084:S1088)</f>
        <v>81.02</v>
      </c>
      <c r="I1086" s="33"/>
      <c r="J1086" s="26">
        <f>Source!AT493</f>
        <v>65</v>
      </c>
      <c r="K1086" s="29">
        <f>SUM(T1084:T1088)</f>
        <v>1534.44</v>
      </c>
      <c r="L1086" s="31"/>
    </row>
    <row r="1087" spans="1:26" ht="14.25" x14ac:dyDescent="0.2">
      <c r="A1087" s="44"/>
      <c r="B1087" s="45"/>
      <c r="C1087" s="45" t="s">
        <v>1934</v>
      </c>
      <c r="D1087" s="28" t="s">
        <v>1933</v>
      </c>
      <c r="E1087" s="11">
        <f>Source!CA493</f>
        <v>40</v>
      </c>
      <c r="F1087" s="48"/>
      <c r="G1087" s="30"/>
      <c r="H1087" s="29">
        <f>SUM(U1084:U1088)</f>
        <v>49.86</v>
      </c>
      <c r="I1087" s="33"/>
      <c r="J1087" s="26">
        <f>Source!AU493</f>
        <v>40</v>
      </c>
      <c r="K1087" s="29">
        <f>SUM(V1084:V1088)</f>
        <v>944.27</v>
      </c>
      <c r="L1087" s="31"/>
    </row>
    <row r="1088" spans="1:26" ht="14.25" x14ac:dyDescent="0.2">
      <c r="A1088" s="46"/>
      <c r="B1088" s="47"/>
      <c r="C1088" s="47" t="s">
        <v>1935</v>
      </c>
      <c r="D1088" s="34" t="s">
        <v>1936</v>
      </c>
      <c r="E1088" s="35">
        <f>Source!AQ493</f>
        <v>0.32</v>
      </c>
      <c r="F1088" s="36"/>
      <c r="G1088" s="37" t="str">
        <f>Source!DI493</f>
        <v>)*0,8</v>
      </c>
      <c r="H1088" s="36"/>
      <c r="I1088" s="37"/>
      <c r="J1088" s="37"/>
      <c r="K1088" s="36"/>
      <c r="L1088" s="38">
        <f>Source!U493</f>
        <v>9.7279999999999998</v>
      </c>
    </row>
    <row r="1089" spans="1:26" ht="15" x14ac:dyDescent="0.25">
      <c r="G1089" s="63">
        <f>H1085+H1086+H1087</f>
        <v>255.51999999999998</v>
      </c>
      <c r="H1089" s="63"/>
      <c r="J1089" s="63">
        <f>K1085+K1086+K1087</f>
        <v>4839.3899999999994</v>
      </c>
      <c r="K1089" s="63"/>
      <c r="L1089" s="39">
        <f>Source!U493</f>
        <v>9.7279999999999998</v>
      </c>
      <c r="O1089" s="24">
        <f>G1089</f>
        <v>255.51999999999998</v>
      </c>
      <c r="P1089" s="24">
        <f>J1089</f>
        <v>4839.3899999999994</v>
      </c>
      <c r="Q1089" s="24">
        <f>L1089</f>
        <v>9.7279999999999998</v>
      </c>
      <c r="W1089">
        <f>IF(Source!BI493&lt;=1,H1085+H1086+H1087, 0)</f>
        <v>0</v>
      </c>
      <c r="X1089">
        <f>IF(Source!BI493=2,H1085+H1086+H1087, 0)</f>
        <v>0</v>
      </c>
      <c r="Y1089">
        <f>IF(Source!BI493=3,H1085+H1086+H1087, 0)</f>
        <v>0</v>
      </c>
      <c r="Z1089">
        <f>IF(Source!BI493=4,H1085+H1086+H1087, 0)</f>
        <v>255.51999999999998</v>
      </c>
    </row>
    <row r="1090" spans="1:26" ht="28.5" x14ac:dyDescent="0.2">
      <c r="A1090" s="44" t="str">
        <f>Source!E494</f>
        <v>103</v>
      </c>
      <c r="B1090" s="45" t="str">
        <f>Source!F494</f>
        <v>п01-11-013-01</v>
      </c>
      <c r="C1090" s="45" t="str">
        <f>Source!G494</f>
        <v>Замер полного сопротивления цепи "фаза-нуль"</v>
      </c>
      <c r="D1090" s="28" t="str">
        <f>Source!H494</f>
        <v>ШТ</v>
      </c>
      <c r="E1090" s="11">
        <f>Source!I494</f>
        <v>59</v>
      </c>
      <c r="F1090" s="29">
        <f>Source!AL494+Source!AM494+Source!AO494</f>
        <v>15.62</v>
      </c>
      <c r="G1090" s="30"/>
      <c r="H1090" s="29"/>
      <c r="I1090" s="30" t="str">
        <f>Source!BO494</f>
        <v/>
      </c>
      <c r="J1090" s="30"/>
      <c r="K1090" s="29"/>
      <c r="L1090" s="31"/>
      <c r="S1090">
        <f>ROUND((Source!FX494/100)*((ROUND(Source!AF494*Source!I494, 2)+ROUND(Source!AE494*Source!I494, 2))), 2)</f>
        <v>479.38</v>
      </c>
      <c r="T1090">
        <f>Source!X494</f>
        <v>9079.36</v>
      </c>
      <c r="U1090">
        <f>ROUND((Source!FY494/100)*((ROUND(Source!AF494*Source!I494, 2)+ROUND(Source!AE494*Source!I494, 2))), 2)</f>
        <v>295</v>
      </c>
      <c r="V1090">
        <f>Source!Y494</f>
        <v>5587.3</v>
      </c>
    </row>
    <row r="1091" spans="1:26" ht="14.25" x14ac:dyDescent="0.2">
      <c r="A1091" s="44"/>
      <c r="B1091" s="45"/>
      <c r="C1091" s="45" t="s">
        <v>1930</v>
      </c>
      <c r="D1091" s="28"/>
      <c r="E1091" s="11"/>
      <c r="F1091" s="29">
        <f>Source!AO494</f>
        <v>15.62</v>
      </c>
      <c r="G1091" s="30" t="str">
        <f>Source!DG494</f>
        <v>)*0,8</v>
      </c>
      <c r="H1091" s="29">
        <f>ROUND(Source!AF494*Source!I494, 2)</f>
        <v>737.5</v>
      </c>
      <c r="I1091" s="30"/>
      <c r="J1091" s="30">
        <f>IF(Source!BA494&lt;&gt; 0, Source!BA494, 1)</f>
        <v>18.940000000000001</v>
      </c>
      <c r="K1091" s="29">
        <f>Source!S494</f>
        <v>13968.25</v>
      </c>
      <c r="L1091" s="31"/>
      <c r="R1091">
        <f>H1091</f>
        <v>737.5</v>
      </c>
    </row>
    <row r="1092" spans="1:26" ht="14.25" x14ac:dyDescent="0.2">
      <c r="A1092" s="44"/>
      <c r="B1092" s="45"/>
      <c r="C1092" s="45" t="s">
        <v>1932</v>
      </c>
      <c r="D1092" s="28" t="s">
        <v>1933</v>
      </c>
      <c r="E1092" s="11">
        <f>Source!BZ494</f>
        <v>65</v>
      </c>
      <c r="F1092" s="48"/>
      <c r="G1092" s="30"/>
      <c r="H1092" s="29">
        <f>SUM(S1090:S1094)</f>
        <v>479.38</v>
      </c>
      <c r="I1092" s="33"/>
      <c r="J1092" s="26">
        <f>Source!AT494</f>
        <v>65</v>
      </c>
      <c r="K1092" s="29">
        <f>SUM(T1090:T1094)</f>
        <v>9079.36</v>
      </c>
      <c r="L1092" s="31"/>
    </row>
    <row r="1093" spans="1:26" ht="14.25" x14ac:dyDescent="0.2">
      <c r="A1093" s="44"/>
      <c r="B1093" s="45"/>
      <c r="C1093" s="45" t="s">
        <v>1934</v>
      </c>
      <c r="D1093" s="28" t="s">
        <v>1933</v>
      </c>
      <c r="E1093" s="11">
        <f>Source!CA494</f>
        <v>40</v>
      </c>
      <c r="F1093" s="48"/>
      <c r="G1093" s="30"/>
      <c r="H1093" s="29">
        <f>SUM(U1090:U1094)</f>
        <v>295</v>
      </c>
      <c r="I1093" s="33"/>
      <c r="J1093" s="26">
        <f>Source!AU494</f>
        <v>40</v>
      </c>
      <c r="K1093" s="29">
        <f>SUM(V1090:V1094)</f>
        <v>5587.3</v>
      </c>
      <c r="L1093" s="31"/>
    </row>
    <row r="1094" spans="1:26" ht="14.25" x14ac:dyDescent="0.2">
      <c r="A1094" s="46"/>
      <c r="B1094" s="47"/>
      <c r="C1094" s="47" t="s">
        <v>1935</v>
      </c>
      <c r="D1094" s="34" t="s">
        <v>1936</v>
      </c>
      <c r="E1094" s="35">
        <f>Source!AQ494</f>
        <v>1.22</v>
      </c>
      <c r="F1094" s="36"/>
      <c r="G1094" s="37" t="str">
        <f>Source!DI494</f>
        <v>)*0,8</v>
      </c>
      <c r="H1094" s="36"/>
      <c r="I1094" s="37"/>
      <c r="J1094" s="37"/>
      <c r="K1094" s="36"/>
      <c r="L1094" s="38">
        <f>Source!U494</f>
        <v>57.583999999999996</v>
      </c>
    </row>
    <row r="1095" spans="1:26" ht="15" x14ac:dyDescent="0.25">
      <c r="G1095" s="63">
        <f>H1091+H1092+H1093</f>
        <v>1511.88</v>
      </c>
      <c r="H1095" s="63"/>
      <c r="J1095" s="63">
        <f>K1091+K1092+K1093</f>
        <v>28634.91</v>
      </c>
      <c r="K1095" s="63"/>
      <c r="L1095" s="39">
        <f>Source!U494</f>
        <v>57.583999999999996</v>
      </c>
      <c r="O1095" s="24">
        <f>G1095</f>
        <v>1511.88</v>
      </c>
      <c r="P1095" s="24">
        <f>J1095</f>
        <v>28634.91</v>
      </c>
      <c r="Q1095" s="24">
        <f>L1095</f>
        <v>57.583999999999996</v>
      </c>
      <c r="W1095">
        <f>IF(Source!BI494&lt;=1,H1091+H1092+H1093, 0)</f>
        <v>0</v>
      </c>
      <c r="X1095">
        <f>IF(Source!BI494=2,H1091+H1092+H1093, 0)</f>
        <v>0</v>
      </c>
      <c r="Y1095">
        <f>IF(Source!BI494=3,H1091+H1092+H1093, 0)</f>
        <v>0</v>
      </c>
      <c r="Z1095">
        <f>IF(Source!BI494=4,H1091+H1092+H1093, 0)</f>
        <v>1511.88</v>
      </c>
    </row>
    <row r="1096" spans="1:26" ht="42.75" x14ac:dyDescent="0.2">
      <c r="A1096" s="44" t="str">
        <f>Source!E495</f>
        <v>104</v>
      </c>
      <c r="B1096" s="45" t="str">
        <f>Source!F495</f>
        <v>п01-11-011-01</v>
      </c>
      <c r="C1096" s="45" t="str">
        <f>Source!G495</f>
        <v>Проверка наличия цепи между заземлителями и заземленными элементами</v>
      </c>
      <c r="D1096" s="28" t="str">
        <f>Source!H495</f>
        <v>100 измерений</v>
      </c>
      <c r="E1096" s="11">
        <f>Source!I495</f>
        <v>0.04</v>
      </c>
      <c r="F1096" s="29">
        <f>Source!AL495+Source!AM495+Source!AO495</f>
        <v>165.95</v>
      </c>
      <c r="G1096" s="30"/>
      <c r="H1096" s="29"/>
      <c r="I1096" s="30" t="str">
        <f>Source!BO495</f>
        <v/>
      </c>
      <c r="J1096" s="30"/>
      <c r="K1096" s="29"/>
      <c r="L1096" s="31"/>
      <c r="S1096">
        <f>ROUND((Source!FX495/100)*((ROUND(Source!AF495*Source!I495, 2)+ROUND(Source!AE495*Source!I495, 2))), 2)</f>
        <v>3.45</v>
      </c>
      <c r="T1096">
        <f>Source!X495</f>
        <v>65.38</v>
      </c>
      <c r="U1096">
        <f>ROUND((Source!FY495/100)*((ROUND(Source!AF495*Source!I495, 2)+ROUND(Source!AE495*Source!I495, 2))), 2)</f>
        <v>2.12</v>
      </c>
      <c r="V1096">
        <f>Source!Y495</f>
        <v>40.229999999999997</v>
      </c>
    </row>
    <row r="1097" spans="1:26" x14ac:dyDescent="0.2">
      <c r="C1097" s="23" t="str">
        <f>"Объем: "&amp;Source!I495&amp;"=4/"&amp;"100"</f>
        <v>Объем: 0,04=4/100</v>
      </c>
    </row>
    <row r="1098" spans="1:26" ht="14.25" x14ac:dyDescent="0.2">
      <c r="A1098" s="44"/>
      <c r="B1098" s="45"/>
      <c r="C1098" s="45" t="s">
        <v>1930</v>
      </c>
      <c r="D1098" s="28"/>
      <c r="E1098" s="11"/>
      <c r="F1098" s="29">
        <f>Source!AO495</f>
        <v>165.95</v>
      </c>
      <c r="G1098" s="30" t="str">
        <f>Source!DG495</f>
        <v>)*0,8</v>
      </c>
      <c r="H1098" s="29">
        <f>ROUND(Source!AF495*Source!I495, 2)</f>
        <v>5.31</v>
      </c>
      <c r="I1098" s="30"/>
      <c r="J1098" s="30">
        <f>IF(Source!BA495&lt;&gt; 0, Source!BA495, 1)</f>
        <v>18.940000000000001</v>
      </c>
      <c r="K1098" s="29">
        <f>Source!S495</f>
        <v>100.58</v>
      </c>
      <c r="L1098" s="31"/>
      <c r="R1098">
        <f>H1098</f>
        <v>5.31</v>
      </c>
    </row>
    <row r="1099" spans="1:26" ht="14.25" x14ac:dyDescent="0.2">
      <c r="A1099" s="44"/>
      <c r="B1099" s="45"/>
      <c r="C1099" s="45" t="s">
        <v>1932</v>
      </c>
      <c r="D1099" s="28" t="s">
        <v>1933</v>
      </c>
      <c r="E1099" s="11">
        <f>Source!BZ495</f>
        <v>65</v>
      </c>
      <c r="F1099" s="48"/>
      <c r="G1099" s="30"/>
      <c r="H1099" s="29">
        <f>SUM(S1096:S1101)</f>
        <v>3.45</v>
      </c>
      <c r="I1099" s="33"/>
      <c r="J1099" s="26">
        <f>Source!AT495</f>
        <v>65</v>
      </c>
      <c r="K1099" s="29">
        <f>SUM(T1096:T1101)</f>
        <v>65.38</v>
      </c>
      <c r="L1099" s="31"/>
    </row>
    <row r="1100" spans="1:26" ht="14.25" x14ac:dyDescent="0.2">
      <c r="A1100" s="44"/>
      <c r="B1100" s="45"/>
      <c r="C1100" s="45" t="s">
        <v>1934</v>
      </c>
      <c r="D1100" s="28" t="s">
        <v>1933</v>
      </c>
      <c r="E1100" s="11">
        <f>Source!CA495</f>
        <v>40</v>
      </c>
      <c r="F1100" s="48"/>
      <c r="G1100" s="30"/>
      <c r="H1100" s="29">
        <f>SUM(U1096:U1101)</f>
        <v>2.12</v>
      </c>
      <c r="I1100" s="33"/>
      <c r="J1100" s="26">
        <f>Source!AU495</f>
        <v>40</v>
      </c>
      <c r="K1100" s="29">
        <f>SUM(V1096:V1101)</f>
        <v>40.229999999999997</v>
      </c>
      <c r="L1100" s="31"/>
    </row>
    <row r="1101" spans="1:26" ht="14.25" x14ac:dyDescent="0.2">
      <c r="A1101" s="46"/>
      <c r="B1101" s="47"/>
      <c r="C1101" s="47" t="s">
        <v>1935</v>
      </c>
      <c r="D1101" s="34" t="s">
        <v>1936</v>
      </c>
      <c r="E1101" s="35">
        <f>Source!AQ495</f>
        <v>12.96</v>
      </c>
      <c r="F1101" s="36"/>
      <c r="G1101" s="37" t="str">
        <f>Source!DI495</f>
        <v>)*0,8</v>
      </c>
      <c r="H1101" s="36"/>
      <c r="I1101" s="37"/>
      <c r="J1101" s="37"/>
      <c r="K1101" s="36"/>
      <c r="L1101" s="38">
        <f>Source!U495</f>
        <v>0.41472000000000009</v>
      </c>
    </row>
    <row r="1102" spans="1:26" ht="15" x14ac:dyDescent="0.25">
      <c r="G1102" s="63">
        <f>H1098+H1099+H1100</f>
        <v>10.879999999999999</v>
      </c>
      <c r="H1102" s="63"/>
      <c r="J1102" s="63">
        <f>K1098+K1099+K1100</f>
        <v>206.18999999999997</v>
      </c>
      <c r="K1102" s="63"/>
      <c r="L1102" s="39">
        <f>Source!U495</f>
        <v>0.41472000000000009</v>
      </c>
      <c r="O1102" s="24">
        <f>G1102</f>
        <v>10.879999999999999</v>
      </c>
      <c r="P1102" s="24">
        <f>J1102</f>
        <v>206.18999999999997</v>
      </c>
      <c r="Q1102" s="24">
        <f>L1102</f>
        <v>0.41472000000000009</v>
      </c>
      <c r="W1102">
        <f>IF(Source!BI495&lt;=1,H1098+H1099+H1100, 0)</f>
        <v>0</v>
      </c>
      <c r="X1102">
        <f>IF(Source!BI495=2,H1098+H1099+H1100, 0)</f>
        <v>0</v>
      </c>
      <c r="Y1102">
        <f>IF(Source!BI495=3,H1098+H1099+H1100, 0)</f>
        <v>0</v>
      </c>
      <c r="Z1102">
        <f>IF(Source!BI495=4,H1098+H1099+H1100, 0)</f>
        <v>10.879999999999999</v>
      </c>
    </row>
    <row r="1103" spans="1:26" ht="42.75" x14ac:dyDescent="0.2">
      <c r="A1103" s="44" t="str">
        <f>Source!E496</f>
        <v>105</v>
      </c>
      <c r="B1103" s="45" t="str">
        <f>Source!F496</f>
        <v>п01-12-021-01</v>
      </c>
      <c r="C1103" s="45" t="str">
        <f>Source!G496</f>
        <v>Испытание аппарата коммутационного напряжением до 1 кВ (силовых цепей) (автоматы)</v>
      </c>
      <c r="D1103" s="28" t="str">
        <f>Source!H496</f>
        <v>испытание</v>
      </c>
      <c r="E1103" s="11">
        <f>Source!I496</f>
        <v>36</v>
      </c>
      <c r="F1103" s="29">
        <f>Source!AL496+Source!AM496+Source!AO496</f>
        <v>19.63</v>
      </c>
      <c r="G1103" s="30"/>
      <c r="H1103" s="29"/>
      <c r="I1103" s="30" t="str">
        <f>Source!BO496</f>
        <v/>
      </c>
      <c r="J1103" s="30"/>
      <c r="K1103" s="29"/>
      <c r="L1103" s="31"/>
      <c r="S1103">
        <f>ROUND((Source!FX496/100)*((ROUND(Source!AF496*Source!I496, 2)+ROUND(Source!AE496*Source!I496, 2))), 2)</f>
        <v>367.38</v>
      </c>
      <c r="T1103">
        <f>Source!X496</f>
        <v>6958.18</v>
      </c>
      <c r="U1103">
        <f>ROUND((Source!FY496/100)*((ROUND(Source!AF496*Source!I496, 2)+ROUND(Source!AE496*Source!I496, 2))), 2)</f>
        <v>226.08</v>
      </c>
      <c r="V1103">
        <f>Source!Y496</f>
        <v>4281.96</v>
      </c>
    </row>
    <row r="1104" spans="1:26" ht="14.25" x14ac:dyDescent="0.2">
      <c r="A1104" s="44"/>
      <c r="B1104" s="45"/>
      <c r="C1104" s="45" t="s">
        <v>1930</v>
      </c>
      <c r="D1104" s="28"/>
      <c r="E1104" s="11"/>
      <c r="F1104" s="29">
        <f>Source!AO496</f>
        <v>19.63</v>
      </c>
      <c r="G1104" s="30" t="str">
        <f>Source!DG496</f>
        <v>)*0,8</v>
      </c>
      <c r="H1104" s="29">
        <f>ROUND(Source!AF496*Source!I496, 2)</f>
        <v>565.20000000000005</v>
      </c>
      <c r="I1104" s="30"/>
      <c r="J1104" s="30">
        <f>IF(Source!BA496&lt;&gt; 0, Source!BA496, 1)</f>
        <v>18.940000000000001</v>
      </c>
      <c r="K1104" s="29">
        <f>Source!S496</f>
        <v>10704.89</v>
      </c>
      <c r="L1104" s="31"/>
      <c r="R1104">
        <f>H1104</f>
        <v>565.20000000000005</v>
      </c>
    </row>
    <row r="1105" spans="1:26" ht="14.25" x14ac:dyDescent="0.2">
      <c r="A1105" s="44"/>
      <c r="B1105" s="45"/>
      <c r="C1105" s="45" t="s">
        <v>1932</v>
      </c>
      <c r="D1105" s="28" t="s">
        <v>1933</v>
      </c>
      <c r="E1105" s="11">
        <f>Source!BZ496</f>
        <v>65</v>
      </c>
      <c r="F1105" s="48"/>
      <c r="G1105" s="30"/>
      <c r="H1105" s="29">
        <f>SUM(S1103:S1107)</f>
        <v>367.38</v>
      </c>
      <c r="I1105" s="33"/>
      <c r="J1105" s="26">
        <f>Source!AT496</f>
        <v>65</v>
      </c>
      <c r="K1105" s="29">
        <f>SUM(T1103:T1107)</f>
        <v>6958.18</v>
      </c>
      <c r="L1105" s="31"/>
    </row>
    <row r="1106" spans="1:26" ht="14.25" x14ac:dyDescent="0.2">
      <c r="A1106" s="44"/>
      <c r="B1106" s="45"/>
      <c r="C1106" s="45" t="s">
        <v>1934</v>
      </c>
      <c r="D1106" s="28" t="s">
        <v>1933</v>
      </c>
      <c r="E1106" s="11">
        <f>Source!CA496</f>
        <v>40</v>
      </c>
      <c r="F1106" s="48"/>
      <c r="G1106" s="30"/>
      <c r="H1106" s="29">
        <f>SUM(U1103:U1107)</f>
        <v>226.08</v>
      </c>
      <c r="I1106" s="33"/>
      <c r="J1106" s="26">
        <f>Source!AU496</f>
        <v>40</v>
      </c>
      <c r="K1106" s="29">
        <f>SUM(V1103:V1107)</f>
        <v>4281.96</v>
      </c>
      <c r="L1106" s="31"/>
    </row>
    <row r="1107" spans="1:26" ht="14.25" x14ac:dyDescent="0.2">
      <c r="A1107" s="46"/>
      <c r="B1107" s="47"/>
      <c r="C1107" s="47" t="s">
        <v>1935</v>
      </c>
      <c r="D1107" s="34" t="s">
        <v>1936</v>
      </c>
      <c r="E1107" s="35">
        <f>Source!AQ496</f>
        <v>1.62</v>
      </c>
      <c r="F1107" s="36"/>
      <c r="G1107" s="37" t="str">
        <f>Source!DI496</f>
        <v>)*0,8</v>
      </c>
      <c r="H1107" s="36"/>
      <c r="I1107" s="37"/>
      <c r="J1107" s="37"/>
      <c r="K1107" s="36"/>
      <c r="L1107" s="38">
        <f>Source!U496</f>
        <v>46.656000000000006</v>
      </c>
    </row>
    <row r="1108" spans="1:26" ht="15" x14ac:dyDescent="0.25">
      <c r="G1108" s="63">
        <f>H1104+H1105+H1106</f>
        <v>1158.6600000000001</v>
      </c>
      <c r="H1108" s="63"/>
      <c r="J1108" s="63">
        <f>K1104+K1105+K1106</f>
        <v>21945.03</v>
      </c>
      <c r="K1108" s="63"/>
      <c r="L1108" s="39">
        <f>Source!U496</f>
        <v>46.656000000000006</v>
      </c>
      <c r="O1108" s="24">
        <f>G1108</f>
        <v>1158.6600000000001</v>
      </c>
      <c r="P1108" s="24">
        <f>J1108</f>
        <v>21945.03</v>
      </c>
      <c r="Q1108" s="24">
        <f>L1108</f>
        <v>46.656000000000006</v>
      </c>
      <c r="W1108">
        <f>IF(Source!BI496&lt;=1,H1104+H1105+H1106, 0)</f>
        <v>0</v>
      </c>
      <c r="X1108">
        <f>IF(Source!BI496=2,H1104+H1105+H1106, 0)</f>
        <v>0</v>
      </c>
      <c r="Y1108">
        <f>IF(Source!BI496=3,H1104+H1105+H1106, 0)</f>
        <v>0</v>
      </c>
      <c r="Z1108">
        <f>IF(Source!BI496=4,H1104+H1105+H1106, 0)</f>
        <v>1158.6600000000001</v>
      </c>
    </row>
    <row r="1110" spans="1:26" ht="15" x14ac:dyDescent="0.25">
      <c r="A1110" s="66" t="str">
        <f>CONCATENATE("Итого по разделу: ",IF(Source!G498&lt;&gt;"Новый раздел", Source!G498, ""))</f>
        <v>Итого по разделу: 3 Пусконаладочные работы</v>
      </c>
      <c r="B1110" s="66"/>
      <c r="C1110" s="66"/>
      <c r="D1110" s="66"/>
      <c r="E1110" s="66"/>
      <c r="F1110" s="66"/>
      <c r="G1110" s="67">
        <f>SUM(O1083:O1109)</f>
        <v>2936.9400000000005</v>
      </c>
      <c r="H1110" s="67"/>
      <c r="I1110" s="25"/>
      <c r="J1110" s="67">
        <f>SUM(P1083:P1109)</f>
        <v>55625.520000000004</v>
      </c>
      <c r="K1110" s="67"/>
      <c r="L1110" s="39">
        <f>SUM(Q1083:Q1109)</f>
        <v>114.38272000000001</v>
      </c>
    </row>
    <row r="1111" spans="1:26" ht="16.5" x14ac:dyDescent="0.25">
      <c r="A1111" s="68" t="str">
        <f>CONCATENATE("Раздел: ",IF(Source!G527&lt;&gt;"Новый раздел", Source!G527, ""))</f>
        <v>Раздел: 4 Пожарная сигнализация</v>
      </c>
      <c r="B1111" s="68"/>
      <c r="C1111" s="68"/>
      <c r="D1111" s="68"/>
      <c r="E1111" s="68"/>
      <c r="F1111" s="68"/>
      <c r="G1111" s="68"/>
      <c r="H1111" s="68"/>
      <c r="I1111" s="68"/>
      <c r="J1111" s="68"/>
      <c r="K1111" s="68"/>
      <c r="L1111" s="68"/>
    </row>
    <row r="1112" spans="1:26" ht="57" x14ac:dyDescent="0.2">
      <c r="A1112" s="44" t="str">
        <f>Source!E531</f>
        <v>106</v>
      </c>
      <c r="B1112" s="45" t="str">
        <f>Source!F531</f>
        <v>м10-08-002-02</v>
      </c>
      <c r="C1112" s="45" t="str">
        <f>Source!G531</f>
        <v>Извещатель ПС автоматический дымовой, фотоэлектрический, радиоизотопный, световой в нормальном исполнении</v>
      </c>
      <c r="D1112" s="28" t="str">
        <f>Source!H531</f>
        <v>ШТ</v>
      </c>
      <c r="E1112" s="11">
        <f>Source!I531</f>
        <v>10</v>
      </c>
      <c r="F1112" s="29">
        <f>Source!AL531+Source!AM531+Source!AO531</f>
        <v>18.91</v>
      </c>
      <c r="G1112" s="30"/>
      <c r="H1112" s="29"/>
      <c r="I1112" s="30" t="str">
        <f>Source!BO531</f>
        <v/>
      </c>
      <c r="J1112" s="30"/>
      <c r="K1112" s="29"/>
      <c r="L1112" s="31"/>
      <c r="S1112">
        <f>ROUND((Source!FX531/100)*((ROUND(Source!AF531*Source!I531, 2)+ROUND(Source!AE531*Source!I531, 2))), 2)</f>
        <v>129.28</v>
      </c>
      <c r="T1112">
        <f>Source!X531</f>
        <v>848.08</v>
      </c>
      <c r="U1112">
        <f>ROUND((Source!FY531/100)*((ROUND(Source!AF531*Source!I531, 2)+ROUND(Source!AE531*Source!I531, 2))), 2)</f>
        <v>96.96</v>
      </c>
      <c r="V1112">
        <f>Source!Y531</f>
        <v>636.05999999999995</v>
      </c>
    </row>
    <row r="1113" spans="1:26" ht="14.25" x14ac:dyDescent="0.2">
      <c r="A1113" s="44"/>
      <c r="B1113" s="45"/>
      <c r="C1113" s="45" t="s">
        <v>1930</v>
      </c>
      <c r="D1113" s="28"/>
      <c r="E1113" s="11"/>
      <c r="F1113" s="29">
        <f>Source!AO531</f>
        <v>16.16</v>
      </c>
      <c r="G1113" s="30" t="str">
        <f>Source!DG531</f>
        <v/>
      </c>
      <c r="H1113" s="29">
        <f>ROUND(Source!AF531*Source!I531, 2)</f>
        <v>161.6</v>
      </c>
      <c r="I1113" s="30"/>
      <c r="J1113" s="30">
        <f>IF(Source!BA531&lt;&gt; 0, Source!BA531, 1)</f>
        <v>6.56</v>
      </c>
      <c r="K1113" s="29">
        <f>Source!S531</f>
        <v>1060.0999999999999</v>
      </c>
      <c r="L1113" s="31"/>
      <c r="R1113">
        <f>H1113</f>
        <v>161.6</v>
      </c>
    </row>
    <row r="1114" spans="1:26" ht="14.25" x14ac:dyDescent="0.2">
      <c r="A1114" s="44"/>
      <c r="B1114" s="45"/>
      <c r="C1114" s="45" t="s">
        <v>1937</v>
      </c>
      <c r="D1114" s="28"/>
      <c r="E1114" s="11"/>
      <c r="F1114" s="29">
        <f>Source!AL531</f>
        <v>2.75</v>
      </c>
      <c r="G1114" s="30" t="str">
        <f>Source!DD531</f>
        <v/>
      </c>
      <c r="H1114" s="29">
        <f>ROUND(Source!AC531*Source!I531, 2)</f>
        <v>27.5</v>
      </c>
      <c r="I1114" s="30"/>
      <c r="J1114" s="30">
        <f>IF(Source!BC531&lt;&gt; 0, Source!BC531, 1)</f>
        <v>6.56</v>
      </c>
      <c r="K1114" s="29">
        <f>Source!P531</f>
        <v>180.4</v>
      </c>
      <c r="L1114" s="31"/>
    </row>
    <row r="1115" spans="1:26" ht="14.25" x14ac:dyDescent="0.2">
      <c r="A1115" s="44"/>
      <c r="B1115" s="45"/>
      <c r="C1115" s="45" t="s">
        <v>1932</v>
      </c>
      <c r="D1115" s="28" t="s">
        <v>1933</v>
      </c>
      <c r="E1115" s="11">
        <f>Source!BZ531</f>
        <v>80</v>
      </c>
      <c r="F1115" s="48"/>
      <c r="G1115" s="30"/>
      <c r="H1115" s="29">
        <f>SUM(S1112:S1118)</f>
        <v>129.28</v>
      </c>
      <c r="I1115" s="33"/>
      <c r="J1115" s="26">
        <f>Source!AT531</f>
        <v>80</v>
      </c>
      <c r="K1115" s="29">
        <f>SUM(T1112:T1118)</f>
        <v>848.08</v>
      </c>
      <c r="L1115" s="31"/>
    </row>
    <row r="1116" spans="1:26" ht="14.25" x14ac:dyDescent="0.2">
      <c r="A1116" s="44"/>
      <c r="B1116" s="45"/>
      <c r="C1116" s="45" t="s">
        <v>1934</v>
      </c>
      <c r="D1116" s="28" t="s">
        <v>1933</v>
      </c>
      <c r="E1116" s="11">
        <f>Source!CA531</f>
        <v>60</v>
      </c>
      <c r="F1116" s="48"/>
      <c r="G1116" s="30"/>
      <c r="H1116" s="29">
        <f>SUM(U1112:U1118)</f>
        <v>96.96</v>
      </c>
      <c r="I1116" s="33"/>
      <c r="J1116" s="26">
        <f>Source!AU531</f>
        <v>60</v>
      </c>
      <c r="K1116" s="29">
        <f>SUM(V1112:V1118)</f>
        <v>636.05999999999995</v>
      </c>
      <c r="L1116" s="31"/>
    </row>
    <row r="1117" spans="1:26" ht="14.25" x14ac:dyDescent="0.2">
      <c r="A1117" s="44"/>
      <c r="B1117" s="45"/>
      <c r="C1117" s="45" t="s">
        <v>1935</v>
      </c>
      <c r="D1117" s="28" t="s">
        <v>1936</v>
      </c>
      <c r="E1117" s="11">
        <f>Source!AQ531</f>
        <v>1.68</v>
      </c>
      <c r="F1117" s="29"/>
      <c r="G1117" s="30" t="str">
        <f>Source!DI531</f>
        <v/>
      </c>
      <c r="H1117" s="29"/>
      <c r="I1117" s="30"/>
      <c r="J1117" s="30"/>
      <c r="K1117" s="29"/>
      <c r="L1117" s="40">
        <f>Source!U531</f>
        <v>16.8</v>
      </c>
    </row>
    <row r="1118" spans="1:26" ht="28.5" x14ac:dyDescent="0.2">
      <c r="A1118" s="46" t="str">
        <f>Source!E532</f>
        <v>106,1</v>
      </c>
      <c r="B1118" s="47" t="str">
        <f>Source!F532</f>
        <v>61.2.02.01-0019</v>
      </c>
      <c r="C1118" s="47" t="str">
        <f>Source!G532</f>
        <v>Извещатель пожарный дымовой ДИП-34А</v>
      </c>
      <c r="D1118" s="34" t="str">
        <f>Source!H532</f>
        <v>10 шт.</v>
      </c>
      <c r="E1118" s="35">
        <f>Source!I532</f>
        <v>1</v>
      </c>
      <c r="F1118" s="36">
        <f>Source!AL532+Source!AM532+Source!AO532</f>
        <v>1165.22</v>
      </c>
      <c r="G1118" s="42" t="s">
        <v>6</v>
      </c>
      <c r="H1118" s="36">
        <f>ROUND(Source!AC532*Source!I532, 2)+ROUND(Source!AD532*Source!I532, 2)+ROUND(Source!AF532*Source!I532, 2)</f>
        <v>1165.22</v>
      </c>
      <c r="I1118" s="37"/>
      <c r="J1118" s="37">
        <f>IF(Source!BC532&lt;&gt; 0, Source!BC532, 1)</f>
        <v>6.56</v>
      </c>
      <c r="K1118" s="36">
        <f>Source!O532</f>
        <v>7643.84</v>
      </c>
      <c r="L1118" s="43"/>
      <c r="S1118">
        <f>ROUND((Source!FX532/100)*((ROUND(Source!AF532*Source!I532, 2)+ROUND(Source!AE532*Source!I532, 2))), 2)</f>
        <v>0</v>
      </c>
      <c r="T1118">
        <f>Source!X532</f>
        <v>0</v>
      </c>
      <c r="U1118">
        <f>ROUND((Source!FY532/100)*((ROUND(Source!AF532*Source!I532, 2)+ROUND(Source!AE532*Source!I532, 2))), 2)</f>
        <v>0</v>
      </c>
      <c r="V1118">
        <f>Source!Y532</f>
        <v>0</v>
      </c>
      <c r="W1118">
        <f>IF(Source!BI532&lt;=1,H1118, 0)</f>
        <v>0</v>
      </c>
      <c r="X1118">
        <f>IF(Source!BI532=2,H1118, 0)</f>
        <v>1165.22</v>
      </c>
      <c r="Y1118">
        <f>IF(Source!BI532=3,H1118, 0)</f>
        <v>0</v>
      </c>
      <c r="Z1118">
        <f>IF(Source!BI532=4,H1118, 0)</f>
        <v>0</v>
      </c>
    </row>
    <row r="1119" spans="1:26" ht="15" x14ac:dyDescent="0.25">
      <c r="G1119" s="63">
        <f>H1113+H1114+H1115+H1116+SUM(H1118:H1118)</f>
        <v>1580.56</v>
      </c>
      <c r="H1119" s="63"/>
      <c r="J1119" s="63">
        <f>K1113+K1114+K1115+K1116+SUM(K1118:K1118)</f>
        <v>10368.48</v>
      </c>
      <c r="K1119" s="63"/>
      <c r="L1119" s="39">
        <f>Source!U531</f>
        <v>16.8</v>
      </c>
      <c r="O1119" s="24">
        <f>G1119</f>
        <v>1580.56</v>
      </c>
      <c r="P1119" s="24">
        <f>J1119</f>
        <v>10368.48</v>
      </c>
      <c r="Q1119" s="24">
        <f>L1119</f>
        <v>16.8</v>
      </c>
      <c r="W1119">
        <f>IF(Source!BI531&lt;=1,H1113+H1114+H1115+H1116, 0)</f>
        <v>0</v>
      </c>
      <c r="X1119">
        <f>IF(Source!BI531=2,H1113+H1114+H1115+H1116, 0)</f>
        <v>415.34</v>
      </c>
      <c r="Y1119">
        <f>IF(Source!BI531=3,H1113+H1114+H1115+H1116, 0)</f>
        <v>0</v>
      </c>
      <c r="Z1119">
        <f>IF(Source!BI531=4,H1113+H1114+H1115+H1116, 0)</f>
        <v>0</v>
      </c>
    </row>
    <row r="1120" spans="1:26" ht="28.5" x14ac:dyDescent="0.2">
      <c r="A1120" s="44" t="str">
        <f>Source!E533</f>
        <v>107</v>
      </c>
      <c r="B1120" s="45" t="str">
        <f>Source!F533</f>
        <v>м08-10-010-01</v>
      </c>
      <c r="C1120" s="45" t="str">
        <f>Source!G533</f>
        <v>Прокладка труб гофрированных ПВХ для защиты проводов и кабелей</v>
      </c>
      <c r="D1120" s="28" t="str">
        <f>Source!H533</f>
        <v>100 м</v>
      </c>
      <c r="E1120" s="11">
        <f>Source!I533</f>
        <v>0.34</v>
      </c>
      <c r="F1120" s="29">
        <f>Source!AL533+Source!AM533+Source!AO533</f>
        <v>156.32999999999998</v>
      </c>
      <c r="G1120" s="30"/>
      <c r="H1120" s="29"/>
      <c r="I1120" s="30" t="str">
        <f>Source!BO533</f>
        <v/>
      </c>
      <c r="J1120" s="30"/>
      <c r="K1120" s="29"/>
      <c r="L1120" s="31"/>
      <c r="S1120">
        <f>ROUND((Source!FX533/100)*((ROUND(Source!AF533*Source!I533, 2)+ROUND(Source!AE533*Source!I533, 2))), 2)</f>
        <v>45.07</v>
      </c>
      <c r="T1120">
        <f>Source!X533</f>
        <v>295.67</v>
      </c>
      <c r="U1120">
        <f>ROUND((Source!FY533/100)*((ROUND(Source!AF533*Source!I533, 2)+ROUND(Source!AE533*Source!I533, 2))), 2)</f>
        <v>30.84</v>
      </c>
      <c r="V1120">
        <f>Source!Y533</f>
        <v>202.3</v>
      </c>
    </row>
    <row r="1121" spans="1:26" x14ac:dyDescent="0.2">
      <c r="C1121" s="23" t="str">
        <f>"Объем: "&amp;Source!I533&amp;"=34/"&amp;"100"</f>
        <v>Объем: 0,34=34/100</v>
      </c>
    </row>
    <row r="1122" spans="1:26" ht="14.25" x14ac:dyDescent="0.2">
      <c r="A1122" s="44"/>
      <c r="B1122" s="45"/>
      <c r="C1122" s="45" t="s">
        <v>1930</v>
      </c>
      <c r="D1122" s="28"/>
      <c r="E1122" s="11"/>
      <c r="F1122" s="29">
        <f>Source!AO533</f>
        <v>139.54</v>
      </c>
      <c r="G1122" s="30" t="str">
        <f>Source!DG533</f>
        <v/>
      </c>
      <c r="H1122" s="29">
        <f>ROUND(Source!AF533*Source!I533, 2)</f>
        <v>47.44</v>
      </c>
      <c r="I1122" s="30"/>
      <c r="J1122" s="30">
        <f>IF(Source!BA533&lt;&gt; 0, Source!BA533, 1)</f>
        <v>6.56</v>
      </c>
      <c r="K1122" s="29">
        <f>Source!S533</f>
        <v>311.23</v>
      </c>
      <c r="L1122" s="31"/>
      <c r="R1122">
        <f>H1122</f>
        <v>47.44</v>
      </c>
    </row>
    <row r="1123" spans="1:26" ht="14.25" x14ac:dyDescent="0.2">
      <c r="A1123" s="44"/>
      <c r="B1123" s="45"/>
      <c r="C1123" s="45" t="s">
        <v>1937</v>
      </c>
      <c r="D1123" s="28"/>
      <c r="E1123" s="11"/>
      <c r="F1123" s="29">
        <f>Source!AL533</f>
        <v>16.79</v>
      </c>
      <c r="G1123" s="30" t="str">
        <f>Source!DD533</f>
        <v/>
      </c>
      <c r="H1123" s="29">
        <f>ROUND(Source!AC533*Source!I533, 2)</f>
        <v>5.71</v>
      </c>
      <c r="I1123" s="30"/>
      <c r="J1123" s="30">
        <f>IF(Source!BC533&lt;&gt; 0, Source!BC533, 1)</f>
        <v>6.56</v>
      </c>
      <c r="K1123" s="29">
        <f>Source!P533</f>
        <v>37.450000000000003</v>
      </c>
      <c r="L1123" s="31"/>
    </row>
    <row r="1124" spans="1:26" ht="14.25" x14ac:dyDescent="0.2">
      <c r="A1124" s="44"/>
      <c r="B1124" s="45"/>
      <c r="C1124" s="45" t="s">
        <v>1932</v>
      </c>
      <c r="D1124" s="28" t="s">
        <v>1933</v>
      </c>
      <c r="E1124" s="11">
        <f>Source!BZ533</f>
        <v>95</v>
      </c>
      <c r="F1124" s="48"/>
      <c r="G1124" s="30"/>
      <c r="H1124" s="29">
        <f>SUM(S1120:S1127)</f>
        <v>45.07</v>
      </c>
      <c r="I1124" s="33"/>
      <c r="J1124" s="26">
        <f>Source!AT533</f>
        <v>95</v>
      </c>
      <c r="K1124" s="29">
        <f>SUM(T1120:T1127)</f>
        <v>295.67</v>
      </c>
      <c r="L1124" s="31"/>
    </row>
    <row r="1125" spans="1:26" ht="14.25" x14ac:dyDescent="0.2">
      <c r="A1125" s="44"/>
      <c r="B1125" s="45"/>
      <c r="C1125" s="45" t="s">
        <v>1934</v>
      </c>
      <c r="D1125" s="28" t="s">
        <v>1933</v>
      </c>
      <c r="E1125" s="11">
        <f>Source!CA533</f>
        <v>65</v>
      </c>
      <c r="F1125" s="48"/>
      <c r="G1125" s="30"/>
      <c r="H1125" s="29">
        <f>SUM(U1120:U1127)</f>
        <v>30.84</v>
      </c>
      <c r="I1125" s="33"/>
      <c r="J1125" s="26">
        <f>Source!AU533</f>
        <v>65</v>
      </c>
      <c r="K1125" s="29">
        <f>SUM(V1120:V1127)</f>
        <v>202.3</v>
      </c>
      <c r="L1125" s="31"/>
    </row>
    <row r="1126" spans="1:26" ht="14.25" x14ac:dyDescent="0.2">
      <c r="A1126" s="44"/>
      <c r="B1126" s="45"/>
      <c r="C1126" s="45" t="s">
        <v>1935</v>
      </c>
      <c r="D1126" s="28" t="s">
        <v>1936</v>
      </c>
      <c r="E1126" s="11">
        <f>Source!AQ533</f>
        <v>15.2</v>
      </c>
      <c r="F1126" s="29"/>
      <c r="G1126" s="30" t="str">
        <f>Source!DI533</f>
        <v/>
      </c>
      <c r="H1126" s="29"/>
      <c r="I1126" s="30"/>
      <c r="J1126" s="30"/>
      <c r="K1126" s="29"/>
      <c r="L1126" s="40">
        <f>Source!U533</f>
        <v>5.1680000000000001</v>
      </c>
    </row>
    <row r="1127" spans="1:26" ht="42.75" x14ac:dyDescent="0.2">
      <c r="A1127" s="46" t="str">
        <f>Source!E534</f>
        <v>107,1</v>
      </c>
      <c r="B1127" s="47" t="str">
        <f>Source!F534</f>
        <v>24.3.01.02-0021</v>
      </c>
      <c r="C1127" s="47" t="str">
        <f>Source!G534</f>
        <v>Трубы гибкие гофрированные легкие из самозатухающего ПВХ (IP55) серии FL, с зондом, диаметром 16 мм</v>
      </c>
      <c r="D1127" s="34" t="str">
        <f>Source!H534</f>
        <v>10 м</v>
      </c>
      <c r="E1127" s="35">
        <f>Source!I534</f>
        <v>3.3999999999999995</v>
      </c>
      <c r="F1127" s="36">
        <f>Source!AL534+Source!AM534+Source!AO534</f>
        <v>16.11</v>
      </c>
      <c r="G1127" s="42" t="s">
        <v>6</v>
      </c>
      <c r="H1127" s="36">
        <f>ROUND(Source!AC534*Source!I534, 2)+ROUND(Source!AD534*Source!I534, 2)+ROUND(Source!AF534*Source!I534, 2)</f>
        <v>54.77</v>
      </c>
      <c r="I1127" s="37"/>
      <c r="J1127" s="37">
        <f>IF(Source!BC534&lt;&gt; 0, Source!BC534, 1)</f>
        <v>6.56</v>
      </c>
      <c r="K1127" s="36">
        <f>Source!O534</f>
        <v>359.32</v>
      </c>
      <c r="L1127" s="43"/>
      <c r="S1127">
        <f>ROUND((Source!FX534/100)*((ROUND(Source!AF534*Source!I534, 2)+ROUND(Source!AE534*Source!I534, 2))), 2)</f>
        <v>0</v>
      </c>
      <c r="T1127">
        <f>Source!X534</f>
        <v>0</v>
      </c>
      <c r="U1127">
        <f>ROUND((Source!FY534/100)*((ROUND(Source!AF534*Source!I534, 2)+ROUND(Source!AE534*Source!I534, 2))), 2)</f>
        <v>0</v>
      </c>
      <c r="V1127">
        <f>Source!Y534</f>
        <v>0</v>
      </c>
      <c r="W1127">
        <f>IF(Source!BI534&lt;=1,H1127, 0)</f>
        <v>0</v>
      </c>
      <c r="X1127">
        <f>IF(Source!BI534=2,H1127, 0)</f>
        <v>54.77</v>
      </c>
      <c r="Y1127">
        <f>IF(Source!BI534=3,H1127, 0)</f>
        <v>0</v>
      </c>
      <c r="Z1127">
        <f>IF(Source!BI534=4,H1127, 0)</f>
        <v>0</v>
      </c>
    </row>
    <row r="1128" spans="1:26" ht="15" x14ac:dyDescent="0.25">
      <c r="G1128" s="63">
        <f>H1122+H1123+H1124+H1125+SUM(H1127:H1127)</f>
        <v>183.83</v>
      </c>
      <c r="H1128" s="63"/>
      <c r="J1128" s="63">
        <f>K1122+K1123+K1124+K1125+SUM(K1127:K1127)</f>
        <v>1205.97</v>
      </c>
      <c r="K1128" s="63"/>
      <c r="L1128" s="39">
        <f>Source!U533</f>
        <v>5.1680000000000001</v>
      </c>
      <c r="O1128" s="24">
        <f>G1128</f>
        <v>183.83</v>
      </c>
      <c r="P1128" s="24">
        <f>J1128</f>
        <v>1205.97</v>
      </c>
      <c r="Q1128" s="24">
        <f>L1128</f>
        <v>5.1680000000000001</v>
      </c>
      <c r="W1128">
        <f>IF(Source!BI533&lt;=1,H1122+H1123+H1124+H1125, 0)</f>
        <v>0</v>
      </c>
      <c r="X1128">
        <f>IF(Source!BI533=2,H1122+H1123+H1124+H1125, 0)</f>
        <v>129.06</v>
      </c>
      <c r="Y1128">
        <f>IF(Source!BI533=3,H1122+H1123+H1124+H1125, 0)</f>
        <v>0</v>
      </c>
      <c r="Z1128">
        <f>IF(Source!BI533=4,H1122+H1123+H1124+H1125, 0)</f>
        <v>0</v>
      </c>
    </row>
    <row r="1129" spans="1:26" ht="71.25" x14ac:dyDescent="0.2">
      <c r="A1129" s="44" t="str">
        <f>Source!E535</f>
        <v>108</v>
      </c>
      <c r="B1129" s="45" t="str">
        <f>Source!F535</f>
        <v>м08-02-412-02</v>
      </c>
      <c r="C1129" s="45" t="str">
        <f>Source!G535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1129" s="28" t="str">
        <f>Source!H535</f>
        <v>100 м</v>
      </c>
      <c r="E1129" s="11">
        <f>Source!I535</f>
        <v>0.48</v>
      </c>
      <c r="F1129" s="29">
        <f>Source!AL535+Source!AM535+Source!AO535</f>
        <v>68.7</v>
      </c>
      <c r="G1129" s="30"/>
      <c r="H1129" s="29"/>
      <c r="I1129" s="30" t="str">
        <f>Source!BO535</f>
        <v/>
      </c>
      <c r="J1129" s="30"/>
      <c r="K1129" s="29"/>
      <c r="L1129" s="31"/>
      <c r="S1129">
        <f>ROUND((Source!FX535/100)*((ROUND(Source!AF535*Source!I535, 2)+ROUND(Source!AE535*Source!I535, 2))), 2)</f>
        <v>23.33</v>
      </c>
      <c r="T1129">
        <f>Source!X535</f>
        <v>153.06</v>
      </c>
      <c r="U1129">
        <f>ROUND((Source!FY535/100)*((ROUND(Source!AF535*Source!I535, 2)+ROUND(Source!AE535*Source!I535, 2))), 2)</f>
        <v>15.96</v>
      </c>
      <c r="V1129">
        <f>Source!Y535</f>
        <v>104.73</v>
      </c>
    </row>
    <row r="1130" spans="1:26" x14ac:dyDescent="0.2">
      <c r="C1130" s="23" t="str">
        <f>"Объем: "&amp;Source!I535&amp;"=48/"&amp;"100"</f>
        <v>Объем: 0,48=48/100</v>
      </c>
    </row>
    <row r="1131" spans="1:26" ht="14.25" x14ac:dyDescent="0.2">
      <c r="A1131" s="44"/>
      <c r="B1131" s="45"/>
      <c r="C1131" s="45" t="s">
        <v>1930</v>
      </c>
      <c r="D1131" s="28"/>
      <c r="E1131" s="11"/>
      <c r="F1131" s="29">
        <f>Source!AO535</f>
        <v>50.67</v>
      </c>
      <c r="G1131" s="30" t="str">
        <f>Source!DG535</f>
        <v/>
      </c>
      <c r="H1131" s="29">
        <f>ROUND(Source!AF535*Source!I535, 2)</f>
        <v>24.32</v>
      </c>
      <c r="I1131" s="30"/>
      <c r="J1131" s="30">
        <f>IF(Source!BA535&lt;&gt; 0, Source!BA535, 1)</f>
        <v>6.56</v>
      </c>
      <c r="K1131" s="29">
        <f>Source!S535</f>
        <v>159.55000000000001</v>
      </c>
      <c r="L1131" s="31"/>
      <c r="R1131">
        <f>H1131</f>
        <v>24.32</v>
      </c>
    </row>
    <row r="1132" spans="1:26" ht="14.25" x14ac:dyDescent="0.2">
      <c r="A1132" s="44"/>
      <c r="B1132" s="45"/>
      <c r="C1132" s="45" t="s">
        <v>151</v>
      </c>
      <c r="D1132" s="28"/>
      <c r="E1132" s="11"/>
      <c r="F1132" s="29">
        <f>Source!AM535</f>
        <v>3.55</v>
      </c>
      <c r="G1132" s="30" t="str">
        <f>Source!DE535</f>
        <v/>
      </c>
      <c r="H1132" s="29">
        <f>ROUND(Source!AD535*Source!I535, 2)</f>
        <v>1.7</v>
      </c>
      <c r="I1132" s="30"/>
      <c r="J1132" s="30">
        <f>IF(Source!BB535&lt;&gt; 0, Source!BB535, 1)</f>
        <v>6.56</v>
      </c>
      <c r="K1132" s="29">
        <f>Source!Q535</f>
        <v>11.18</v>
      </c>
      <c r="L1132" s="31"/>
    </row>
    <row r="1133" spans="1:26" ht="14.25" x14ac:dyDescent="0.2">
      <c r="A1133" s="44"/>
      <c r="B1133" s="45"/>
      <c r="C1133" s="45" t="s">
        <v>1931</v>
      </c>
      <c r="D1133" s="28"/>
      <c r="E1133" s="11"/>
      <c r="F1133" s="29">
        <f>Source!AN535</f>
        <v>0.5</v>
      </c>
      <c r="G1133" s="30" t="str">
        <f>Source!DF535</f>
        <v/>
      </c>
      <c r="H1133" s="32">
        <f>ROUND(Source!AE535*Source!I535, 2)</f>
        <v>0.24</v>
      </c>
      <c r="I1133" s="30"/>
      <c r="J1133" s="30">
        <f>IF(Source!BS535&lt;&gt; 0, Source!BS535, 1)</f>
        <v>6.56</v>
      </c>
      <c r="K1133" s="32">
        <f>Source!R535</f>
        <v>1.57</v>
      </c>
      <c r="L1133" s="31"/>
      <c r="R1133">
        <f>H1133</f>
        <v>0.24</v>
      </c>
    </row>
    <row r="1134" spans="1:26" ht="14.25" x14ac:dyDescent="0.2">
      <c r="A1134" s="44"/>
      <c r="B1134" s="45"/>
      <c r="C1134" s="45" t="s">
        <v>1937</v>
      </c>
      <c r="D1134" s="28"/>
      <c r="E1134" s="11"/>
      <c r="F1134" s="29">
        <f>Source!AL535</f>
        <v>14.48</v>
      </c>
      <c r="G1134" s="30" t="str">
        <f>Source!DD535</f>
        <v/>
      </c>
      <c r="H1134" s="29">
        <f>ROUND(Source!AC535*Source!I535, 2)</f>
        <v>6.95</v>
      </c>
      <c r="I1134" s="30"/>
      <c r="J1134" s="30">
        <f>IF(Source!BC535&lt;&gt; 0, Source!BC535, 1)</f>
        <v>6.56</v>
      </c>
      <c r="K1134" s="29">
        <f>Source!P535</f>
        <v>45.59</v>
      </c>
      <c r="L1134" s="31"/>
    </row>
    <row r="1135" spans="1:26" ht="14.25" x14ac:dyDescent="0.2">
      <c r="A1135" s="44"/>
      <c r="B1135" s="45"/>
      <c r="C1135" s="45" t="s">
        <v>1932</v>
      </c>
      <c r="D1135" s="28" t="s">
        <v>1933</v>
      </c>
      <c r="E1135" s="11">
        <f>Source!BZ535</f>
        <v>95</v>
      </c>
      <c r="F1135" s="48"/>
      <c r="G1135" s="30"/>
      <c r="H1135" s="29">
        <f>SUM(S1129:S1138)</f>
        <v>23.33</v>
      </c>
      <c r="I1135" s="33"/>
      <c r="J1135" s="26">
        <f>Source!AT535</f>
        <v>95</v>
      </c>
      <c r="K1135" s="29">
        <f>SUM(T1129:T1138)</f>
        <v>153.06</v>
      </c>
      <c r="L1135" s="31"/>
    </row>
    <row r="1136" spans="1:26" ht="14.25" x14ac:dyDescent="0.2">
      <c r="A1136" s="44"/>
      <c r="B1136" s="45"/>
      <c r="C1136" s="45" t="s">
        <v>1934</v>
      </c>
      <c r="D1136" s="28" t="s">
        <v>1933</v>
      </c>
      <c r="E1136" s="11">
        <f>Source!CA535</f>
        <v>65</v>
      </c>
      <c r="F1136" s="48"/>
      <c r="G1136" s="30"/>
      <c r="H1136" s="29">
        <f>SUM(U1129:U1138)</f>
        <v>15.96</v>
      </c>
      <c r="I1136" s="33"/>
      <c r="J1136" s="26">
        <f>Source!AU535</f>
        <v>65</v>
      </c>
      <c r="K1136" s="29">
        <f>SUM(V1129:V1138)</f>
        <v>104.73</v>
      </c>
      <c r="L1136" s="31"/>
    </row>
    <row r="1137" spans="1:26" ht="14.25" x14ac:dyDescent="0.2">
      <c r="A1137" s="44"/>
      <c r="B1137" s="45"/>
      <c r="C1137" s="45" t="s">
        <v>1935</v>
      </c>
      <c r="D1137" s="28" t="s">
        <v>1936</v>
      </c>
      <c r="E1137" s="11">
        <f>Source!AQ535</f>
        <v>5.39</v>
      </c>
      <c r="F1137" s="29"/>
      <c r="G1137" s="30" t="str">
        <f>Source!DI535</f>
        <v/>
      </c>
      <c r="H1137" s="29"/>
      <c r="I1137" s="30"/>
      <c r="J1137" s="30"/>
      <c r="K1137" s="29"/>
      <c r="L1137" s="40">
        <f>Source!U535</f>
        <v>2.5871999999999997</v>
      </c>
    </row>
    <row r="1138" spans="1:26" ht="128.25" x14ac:dyDescent="0.2">
      <c r="A1138" s="46" t="str">
        <f>Source!E536</f>
        <v>108,1</v>
      </c>
      <c r="B1138" s="47" t="str">
        <f>Source!F536</f>
        <v>21.1.08.01-0131</v>
      </c>
      <c r="C1138" s="47" t="str">
        <f>Source!G536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138" s="34" t="str">
        <f>Source!H536</f>
        <v>1000 м</v>
      </c>
      <c r="E1138" s="35">
        <f>Source!I536</f>
        <v>4.8000000000000001E-2</v>
      </c>
      <c r="F1138" s="36">
        <f>Source!AL536+Source!AM536+Source!AO536</f>
        <v>7307.7</v>
      </c>
      <c r="G1138" s="42" t="s">
        <v>6</v>
      </c>
      <c r="H1138" s="36">
        <f>ROUND(Source!AC536*Source!I536, 2)+ROUND(Source!AD536*Source!I536, 2)+ROUND(Source!AF536*Source!I536, 2)</f>
        <v>350.77</v>
      </c>
      <c r="I1138" s="37"/>
      <c r="J1138" s="37">
        <f>IF(Source!BC536&lt;&gt; 0, Source!BC536, 1)</f>
        <v>6.56</v>
      </c>
      <c r="K1138" s="36">
        <f>Source!O536</f>
        <v>2301.0500000000002</v>
      </c>
      <c r="L1138" s="43"/>
      <c r="S1138">
        <f>ROUND((Source!FX536/100)*((ROUND(Source!AF536*Source!I536, 2)+ROUND(Source!AE536*Source!I536, 2))), 2)</f>
        <v>0</v>
      </c>
      <c r="T1138">
        <f>Source!X536</f>
        <v>0</v>
      </c>
      <c r="U1138">
        <f>ROUND((Source!FY536/100)*((ROUND(Source!AF536*Source!I536, 2)+ROUND(Source!AE536*Source!I536, 2))), 2)</f>
        <v>0</v>
      </c>
      <c r="V1138">
        <f>Source!Y536</f>
        <v>0</v>
      </c>
      <c r="W1138">
        <f>IF(Source!BI536&lt;=1,H1138, 0)</f>
        <v>0</v>
      </c>
      <c r="X1138">
        <f>IF(Source!BI536=2,H1138, 0)</f>
        <v>350.77</v>
      </c>
      <c r="Y1138">
        <f>IF(Source!BI536=3,H1138, 0)</f>
        <v>0</v>
      </c>
      <c r="Z1138">
        <f>IF(Source!BI536=4,H1138, 0)</f>
        <v>0</v>
      </c>
    </row>
    <row r="1139" spans="1:26" ht="15" x14ac:dyDescent="0.25">
      <c r="G1139" s="63">
        <f>H1131+H1132+H1134+H1135+H1136+SUM(H1138:H1138)</f>
        <v>423.03</v>
      </c>
      <c r="H1139" s="63"/>
      <c r="J1139" s="63">
        <f>K1131+K1132+K1134+K1135+K1136+SUM(K1138:K1138)</f>
        <v>2775.1600000000003</v>
      </c>
      <c r="K1139" s="63"/>
      <c r="L1139" s="39">
        <f>Source!U535</f>
        <v>2.5871999999999997</v>
      </c>
      <c r="O1139" s="24">
        <f>G1139</f>
        <v>423.03</v>
      </c>
      <c r="P1139" s="24">
        <f>J1139</f>
        <v>2775.1600000000003</v>
      </c>
      <c r="Q1139" s="24">
        <f>L1139</f>
        <v>2.5871999999999997</v>
      </c>
      <c r="W1139">
        <f>IF(Source!BI535&lt;=1,H1131+H1132+H1134+H1135+H1136, 0)</f>
        <v>0</v>
      </c>
      <c r="X1139">
        <f>IF(Source!BI535=2,H1131+H1132+H1134+H1135+H1136, 0)</f>
        <v>72.259999999999991</v>
      </c>
      <c r="Y1139">
        <f>IF(Source!BI535=3,H1131+H1132+H1134+H1135+H1136, 0)</f>
        <v>0</v>
      </c>
      <c r="Z1139">
        <f>IF(Source!BI535=4,H1131+H1132+H1134+H1135+H1136, 0)</f>
        <v>0</v>
      </c>
    </row>
    <row r="1140" spans="1:26" ht="42.75" x14ac:dyDescent="0.2">
      <c r="A1140" s="44" t="str">
        <f>Source!E537</f>
        <v>109</v>
      </c>
      <c r="B1140" s="45" t="str">
        <f>Source!F537</f>
        <v>м10-02-041-01</v>
      </c>
      <c r="C1140" s="45" t="str">
        <f>Source!G537</f>
        <v>Электрическая проверка и настройка устройства центрального управляющего</v>
      </c>
      <c r="D1140" s="28" t="str">
        <f>Source!H537</f>
        <v>КОМПЛ</v>
      </c>
      <c r="E1140" s="11">
        <f>Source!I537</f>
        <v>1</v>
      </c>
      <c r="F1140" s="29">
        <f>Source!AL537+Source!AM537+Source!AO537</f>
        <v>3202.35</v>
      </c>
      <c r="G1140" s="30"/>
      <c r="H1140" s="29"/>
      <c r="I1140" s="30" t="str">
        <f>Source!BO537</f>
        <v/>
      </c>
      <c r="J1140" s="30"/>
      <c r="K1140" s="29"/>
      <c r="L1140" s="31"/>
      <c r="S1140">
        <f>ROUND((Source!FX537/100)*((ROUND(Source!AF537*Source!I537, 2)+ROUND(Source!AE537*Source!I537, 2))), 2)</f>
        <v>2511.65</v>
      </c>
      <c r="T1140">
        <f>Source!X537</f>
        <v>16476.41</v>
      </c>
      <c r="U1140">
        <f>ROUND((Source!FY537/100)*((ROUND(Source!AF537*Source!I537, 2)+ROUND(Source!AE537*Source!I537, 2))), 2)</f>
        <v>1883.74</v>
      </c>
      <c r="V1140">
        <f>Source!Y537</f>
        <v>12357.31</v>
      </c>
    </row>
    <row r="1141" spans="1:26" ht="14.25" x14ac:dyDescent="0.2">
      <c r="A1141" s="44"/>
      <c r="B1141" s="45"/>
      <c r="C1141" s="45" t="s">
        <v>1930</v>
      </c>
      <c r="D1141" s="28"/>
      <c r="E1141" s="11"/>
      <c r="F1141" s="29">
        <f>Source!AO537</f>
        <v>3139.56</v>
      </c>
      <c r="G1141" s="30" t="str">
        <f>Source!DG537</f>
        <v/>
      </c>
      <c r="H1141" s="29">
        <f>ROUND(Source!AF537*Source!I537, 2)</f>
        <v>3139.56</v>
      </c>
      <c r="I1141" s="30"/>
      <c r="J1141" s="30">
        <f>IF(Source!BA537&lt;&gt; 0, Source!BA537, 1)</f>
        <v>6.56</v>
      </c>
      <c r="K1141" s="29">
        <f>Source!S537</f>
        <v>20595.509999999998</v>
      </c>
      <c r="L1141" s="31"/>
      <c r="R1141">
        <f>H1141</f>
        <v>3139.56</v>
      </c>
    </row>
    <row r="1142" spans="1:26" ht="14.25" x14ac:dyDescent="0.2">
      <c r="A1142" s="44"/>
      <c r="B1142" s="45"/>
      <c r="C1142" s="45" t="s">
        <v>1937</v>
      </c>
      <c r="D1142" s="28"/>
      <c r="E1142" s="11"/>
      <c r="F1142" s="29">
        <f>Source!AL537</f>
        <v>62.79</v>
      </c>
      <c r="G1142" s="30" t="str">
        <f>Source!DD537</f>
        <v/>
      </c>
      <c r="H1142" s="29">
        <f>ROUND(Source!AC537*Source!I537, 2)</f>
        <v>62.79</v>
      </c>
      <c r="I1142" s="30"/>
      <c r="J1142" s="30">
        <f>IF(Source!BC537&lt;&gt; 0, Source!BC537, 1)</f>
        <v>6.56</v>
      </c>
      <c r="K1142" s="29">
        <f>Source!P537</f>
        <v>411.9</v>
      </c>
      <c r="L1142" s="31"/>
    </row>
    <row r="1143" spans="1:26" ht="14.25" x14ac:dyDescent="0.2">
      <c r="A1143" s="44"/>
      <c r="B1143" s="45"/>
      <c r="C1143" s="45" t="s">
        <v>1932</v>
      </c>
      <c r="D1143" s="28" t="s">
        <v>1933</v>
      </c>
      <c r="E1143" s="11">
        <f>Source!BZ537</f>
        <v>80</v>
      </c>
      <c r="F1143" s="48"/>
      <c r="G1143" s="30"/>
      <c r="H1143" s="29">
        <f>SUM(S1140:S1145)</f>
        <v>2511.65</v>
      </c>
      <c r="I1143" s="33"/>
      <c r="J1143" s="26">
        <f>Source!AT537</f>
        <v>80</v>
      </c>
      <c r="K1143" s="29">
        <f>SUM(T1140:T1145)</f>
        <v>16476.41</v>
      </c>
      <c r="L1143" s="31"/>
    </row>
    <row r="1144" spans="1:26" ht="14.25" x14ac:dyDescent="0.2">
      <c r="A1144" s="44"/>
      <c r="B1144" s="45"/>
      <c r="C1144" s="45" t="s">
        <v>1934</v>
      </c>
      <c r="D1144" s="28" t="s">
        <v>1933</v>
      </c>
      <c r="E1144" s="11">
        <f>Source!CA537</f>
        <v>60</v>
      </c>
      <c r="F1144" s="48"/>
      <c r="G1144" s="30"/>
      <c r="H1144" s="29">
        <f>SUM(U1140:U1145)</f>
        <v>1883.74</v>
      </c>
      <c r="I1144" s="33"/>
      <c r="J1144" s="26">
        <f>Source!AU537</f>
        <v>60</v>
      </c>
      <c r="K1144" s="29">
        <f>SUM(V1140:V1145)</f>
        <v>12357.31</v>
      </c>
      <c r="L1144" s="31"/>
    </row>
    <row r="1145" spans="1:26" ht="14.25" x14ac:dyDescent="0.2">
      <c r="A1145" s="46"/>
      <c r="B1145" s="47"/>
      <c r="C1145" s="47" t="s">
        <v>1935</v>
      </c>
      <c r="D1145" s="34" t="s">
        <v>1936</v>
      </c>
      <c r="E1145" s="35">
        <f>Source!AQ537</f>
        <v>243</v>
      </c>
      <c r="F1145" s="36"/>
      <c r="G1145" s="37" t="str">
        <f>Source!DI537</f>
        <v/>
      </c>
      <c r="H1145" s="36"/>
      <c r="I1145" s="37"/>
      <c r="J1145" s="37"/>
      <c r="K1145" s="36"/>
      <c r="L1145" s="38">
        <f>Source!U537</f>
        <v>243</v>
      </c>
    </row>
    <row r="1146" spans="1:26" ht="15" x14ac:dyDescent="0.25">
      <c r="G1146" s="63">
        <f>H1141+H1142+H1143+H1144</f>
        <v>7597.74</v>
      </c>
      <c r="H1146" s="63"/>
      <c r="J1146" s="63">
        <f>K1141+K1142+K1143+K1144</f>
        <v>49841.13</v>
      </c>
      <c r="K1146" s="63"/>
      <c r="L1146" s="39">
        <f>Source!U537</f>
        <v>243</v>
      </c>
      <c r="O1146" s="24">
        <f>G1146</f>
        <v>7597.74</v>
      </c>
      <c r="P1146" s="24">
        <f>J1146</f>
        <v>49841.13</v>
      </c>
      <c r="Q1146" s="24">
        <f>L1146</f>
        <v>243</v>
      </c>
      <c r="W1146">
        <f>IF(Source!BI537&lt;=1,H1141+H1142+H1143+H1144, 0)</f>
        <v>0</v>
      </c>
      <c r="X1146">
        <f>IF(Source!BI537=2,H1141+H1142+H1143+H1144, 0)</f>
        <v>7597.74</v>
      </c>
      <c r="Y1146">
        <f>IF(Source!BI537=3,H1141+H1142+H1143+H1144, 0)</f>
        <v>0</v>
      </c>
      <c r="Z1146">
        <f>IF(Source!BI537=4,H1141+H1142+H1143+H1144, 0)</f>
        <v>0</v>
      </c>
    </row>
    <row r="1148" spans="1:26" ht="15" x14ac:dyDescent="0.25">
      <c r="A1148" s="66" t="str">
        <f>CONCATENATE("Итого по разделу: ",IF(Source!G539&lt;&gt;"Новый раздел", Source!G539, ""))</f>
        <v>Итого по разделу: 4 Пожарная сигнализация</v>
      </c>
      <c r="B1148" s="66"/>
      <c r="C1148" s="66"/>
      <c r="D1148" s="66"/>
      <c r="E1148" s="66"/>
      <c r="F1148" s="66"/>
      <c r="G1148" s="67">
        <f>SUM(O1111:O1147)</f>
        <v>9785.16</v>
      </c>
      <c r="H1148" s="67"/>
      <c r="I1148" s="25"/>
      <c r="J1148" s="67">
        <f>SUM(P1111:P1147)</f>
        <v>64190.74</v>
      </c>
      <c r="K1148" s="67"/>
      <c r="L1148" s="39">
        <f>SUM(Q1111:Q1147)</f>
        <v>267.55520000000001</v>
      </c>
    </row>
    <row r="1149" spans="1:26" ht="16.5" x14ac:dyDescent="0.25">
      <c r="A1149" s="68" t="str">
        <f>CONCATENATE("Раздел: ",IF(Source!G568&lt;&gt;"Новый раздел", Source!G568, ""))</f>
        <v>Раздел: 5 Сети СКС</v>
      </c>
      <c r="B1149" s="68"/>
      <c r="C1149" s="68"/>
      <c r="D1149" s="68"/>
      <c r="E1149" s="68"/>
      <c r="F1149" s="68"/>
      <c r="G1149" s="68"/>
      <c r="H1149" s="68"/>
      <c r="I1149" s="68"/>
      <c r="J1149" s="68"/>
      <c r="K1149" s="68"/>
      <c r="L1149" s="68"/>
    </row>
    <row r="1150" spans="1:26" ht="28.5" x14ac:dyDescent="0.2">
      <c r="A1150" s="44" t="str">
        <f>Source!E572</f>
        <v>110</v>
      </c>
      <c r="B1150" s="45" t="str">
        <f>Source!F572</f>
        <v>м08-03-591-08</v>
      </c>
      <c r="C1150" s="45" t="str">
        <f>Source!G572</f>
        <v>Розетка штепсельная неутопленного типа при открытой проводке</v>
      </c>
      <c r="D1150" s="28" t="str">
        <f>Source!H572</f>
        <v>100 ШТ</v>
      </c>
      <c r="E1150" s="11">
        <f>Source!I572</f>
        <v>0.18</v>
      </c>
      <c r="F1150" s="29">
        <f>Source!AL572+Source!AM572+Source!AO572</f>
        <v>453.92999999999995</v>
      </c>
      <c r="G1150" s="30"/>
      <c r="H1150" s="29"/>
      <c r="I1150" s="30" t="str">
        <f>Source!BO572</f>
        <v/>
      </c>
      <c r="J1150" s="30"/>
      <c r="K1150" s="29"/>
      <c r="L1150" s="31"/>
      <c r="S1150">
        <f>ROUND((Source!FX572/100)*((ROUND(Source!AF572*Source!I572, 2)+ROUND(Source!AE572*Source!I572, 2))), 2)</f>
        <v>58.74</v>
      </c>
      <c r="T1150">
        <f>Source!X572</f>
        <v>385.31</v>
      </c>
      <c r="U1150">
        <f>ROUND((Source!FY572/100)*((ROUND(Source!AF572*Source!I572, 2)+ROUND(Source!AE572*Source!I572, 2))), 2)</f>
        <v>40.19</v>
      </c>
      <c r="V1150">
        <f>Source!Y572</f>
        <v>263.63</v>
      </c>
    </row>
    <row r="1151" spans="1:26" x14ac:dyDescent="0.2">
      <c r="C1151" s="23" t="str">
        <f>"Объем: "&amp;Source!I572&amp;"=18/"&amp;"100"</f>
        <v>Объем: 0,18=18/100</v>
      </c>
    </row>
    <row r="1152" spans="1:26" ht="14.25" x14ac:dyDescent="0.2">
      <c r="A1152" s="44"/>
      <c r="B1152" s="45"/>
      <c r="C1152" s="45" t="s">
        <v>1930</v>
      </c>
      <c r="D1152" s="28"/>
      <c r="E1152" s="11"/>
      <c r="F1152" s="29">
        <f>Source!AO572</f>
        <v>342.84</v>
      </c>
      <c r="G1152" s="30" t="str">
        <f>Source!DG572</f>
        <v/>
      </c>
      <c r="H1152" s="29">
        <f>ROUND(Source!AF572*Source!I572, 2)</f>
        <v>61.71</v>
      </c>
      <c r="I1152" s="30"/>
      <c r="J1152" s="30">
        <f>IF(Source!BA572&lt;&gt; 0, Source!BA572, 1)</f>
        <v>6.56</v>
      </c>
      <c r="K1152" s="29">
        <f>Source!S572</f>
        <v>404.83</v>
      </c>
      <c r="L1152" s="31"/>
      <c r="R1152">
        <f>H1152</f>
        <v>61.71</v>
      </c>
    </row>
    <row r="1153" spans="1:26" ht="14.25" x14ac:dyDescent="0.2">
      <c r="A1153" s="44"/>
      <c r="B1153" s="45"/>
      <c r="C1153" s="45" t="s">
        <v>151</v>
      </c>
      <c r="D1153" s="28"/>
      <c r="E1153" s="11"/>
      <c r="F1153" s="29">
        <f>Source!AM572</f>
        <v>4.67</v>
      </c>
      <c r="G1153" s="30" t="str">
        <f>Source!DE572</f>
        <v/>
      </c>
      <c r="H1153" s="29">
        <f>ROUND(Source!AD572*Source!I572, 2)</f>
        <v>0.84</v>
      </c>
      <c r="I1153" s="30"/>
      <c r="J1153" s="30">
        <f>IF(Source!BB572&lt;&gt; 0, Source!BB572, 1)</f>
        <v>6.56</v>
      </c>
      <c r="K1153" s="29">
        <f>Source!Q572</f>
        <v>5.51</v>
      </c>
      <c r="L1153" s="31"/>
    </row>
    <row r="1154" spans="1:26" ht="14.25" x14ac:dyDescent="0.2">
      <c r="A1154" s="44"/>
      <c r="B1154" s="45"/>
      <c r="C1154" s="45" t="s">
        <v>1931</v>
      </c>
      <c r="D1154" s="28"/>
      <c r="E1154" s="11"/>
      <c r="F1154" s="29">
        <f>Source!AN572</f>
        <v>0.64</v>
      </c>
      <c r="G1154" s="30" t="str">
        <f>Source!DF572</f>
        <v/>
      </c>
      <c r="H1154" s="32">
        <f>ROUND(Source!AE572*Source!I572, 2)</f>
        <v>0.12</v>
      </c>
      <c r="I1154" s="30"/>
      <c r="J1154" s="30">
        <f>IF(Source!BS572&lt;&gt; 0, Source!BS572, 1)</f>
        <v>6.56</v>
      </c>
      <c r="K1154" s="32">
        <f>Source!R572</f>
        <v>0.76</v>
      </c>
      <c r="L1154" s="31"/>
      <c r="R1154">
        <f>H1154</f>
        <v>0.12</v>
      </c>
    </row>
    <row r="1155" spans="1:26" ht="14.25" x14ac:dyDescent="0.2">
      <c r="A1155" s="44"/>
      <c r="B1155" s="45"/>
      <c r="C1155" s="45" t="s">
        <v>1937</v>
      </c>
      <c r="D1155" s="28"/>
      <c r="E1155" s="11"/>
      <c r="F1155" s="29">
        <f>Source!AL572</f>
        <v>106.42</v>
      </c>
      <c r="G1155" s="30" t="str">
        <f>Source!DD572</f>
        <v/>
      </c>
      <c r="H1155" s="29">
        <f>ROUND(Source!AC572*Source!I572, 2)</f>
        <v>19.16</v>
      </c>
      <c r="I1155" s="30"/>
      <c r="J1155" s="30">
        <f>IF(Source!BC572&lt;&gt; 0, Source!BC572, 1)</f>
        <v>6.56</v>
      </c>
      <c r="K1155" s="29">
        <f>Source!P572</f>
        <v>125.66</v>
      </c>
      <c r="L1155" s="31"/>
    </row>
    <row r="1156" spans="1:26" ht="14.25" x14ac:dyDescent="0.2">
      <c r="A1156" s="44"/>
      <c r="B1156" s="45"/>
      <c r="C1156" s="45" t="s">
        <v>1932</v>
      </c>
      <c r="D1156" s="28" t="s">
        <v>1933</v>
      </c>
      <c r="E1156" s="11">
        <f>Source!BZ572</f>
        <v>95</v>
      </c>
      <c r="F1156" s="48"/>
      <c r="G1156" s="30"/>
      <c r="H1156" s="29">
        <f>SUM(S1150:S1159)</f>
        <v>58.74</v>
      </c>
      <c r="I1156" s="33"/>
      <c r="J1156" s="26">
        <f>Source!AT572</f>
        <v>95</v>
      </c>
      <c r="K1156" s="29">
        <f>SUM(T1150:T1159)</f>
        <v>385.31</v>
      </c>
      <c r="L1156" s="31"/>
    </row>
    <row r="1157" spans="1:26" ht="14.25" x14ac:dyDescent="0.2">
      <c r="A1157" s="44"/>
      <c r="B1157" s="45"/>
      <c r="C1157" s="45" t="s">
        <v>1934</v>
      </c>
      <c r="D1157" s="28" t="s">
        <v>1933</v>
      </c>
      <c r="E1157" s="11">
        <f>Source!CA572</f>
        <v>65</v>
      </c>
      <c r="F1157" s="48"/>
      <c r="G1157" s="30"/>
      <c r="H1157" s="29">
        <f>SUM(U1150:U1159)</f>
        <v>40.19</v>
      </c>
      <c r="I1157" s="33"/>
      <c r="J1157" s="26">
        <f>Source!AU572</f>
        <v>65</v>
      </c>
      <c r="K1157" s="29">
        <f>SUM(V1150:V1159)</f>
        <v>263.63</v>
      </c>
      <c r="L1157" s="31"/>
    </row>
    <row r="1158" spans="1:26" ht="14.25" x14ac:dyDescent="0.2">
      <c r="A1158" s="44"/>
      <c r="B1158" s="45"/>
      <c r="C1158" s="45" t="s">
        <v>1935</v>
      </c>
      <c r="D1158" s="28" t="s">
        <v>1936</v>
      </c>
      <c r="E1158" s="11">
        <f>Source!AQ572</f>
        <v>34.56</v>
      </c>
      <c r="F1158" s="29"/>
      <c r="G1158" s="30" t="str">
        <f>Source!DI572</f>
        <v/>
      </c>
      <c r="H1158" s="29"/>
      <c r="I1158" s="30"/>
      <c r="J1158" s="30"/>
      <c r="K1158" s="29"/>
      <c r="L1158" s="40">
        <f>Source!U572</f>
        <v>6.2208000000000006</v>
      </c>
    </row>
    <row r="1159" spans="1:26" ht="28.5" x14ac:dyDescent="0.2">
      <c r="A1159" s="46" t="str">
        <f>Source!E573</f>
        <v>110,1</v>
      </c>
      <c r="B1159" s="47" t="str">
        <f>Source!F573</f>
        <v>20.4.03.05-0001</v>
      </c>
      <c r="C1159" s="47" t="str">
        <f>Source!G573</f>
        <v>Розетка открытой проводки RJ-45(45х45мм)</v>
      </c>
      <c r="D1159" s="34" t="str">
        <f>Source!H573</f>
        <v>100 шт.</v>
      </c>
      <c r="E1159" s="35">
        <f>Source!I573</f>
        <v>0.18</v>
      </c>
      <c r="F1159" s="36">
        <f>Source!AL573+Source!AM573+Source!AO573</f>
        <v>577</v>
      </c>
      <c r="G1159" s="42" t="s">
        <v>6</v>
      </c>
      <c r="H1159" s="36">
        <f>ROUND(Source!AC573*Source!I573, 2)+ROUND(Source!AD573*Source!I573, 2)+ROUND(Source!AF573*Source!I573, 2)</f>
        <v>103.86</v>
      </c>
      <c r="I1159" s="37"/>
      <c r="J1159" s="37">
        <f>IF(Source!BC573&lt;&gt; 0, Source!BC573, 1)</f>
        <v>6.56</v>
      </c>
      <c r="K1159" s="36">
        <f>Source!O573</f>
        <v>681.32</v>
      </c>
      <c r="L1159" s="43"/>
      <c r="S1159">
        <f>ROUND((Source!FX573/100)*((ROUND(Source!AF573*Source!I573, 2)+ROUND(Source!AE573*Source!I573, 2))), 2)</f>
        <v>0</v>
      </c>
      <c r="T1159">
        <f>Source!X573</f>
        <v>0</v>
      </c>
      <c r="U1159">
        <f>ROUND((Source!FY573/100)*((ROUND(Source!AF573*Source!I573, 2)+ROUND(Source!AE573*Source!I573, 2))), 2)</f>
        <v>0</v>
      </c>
      <c r="V1159">
        <f>Source!Y573</f>
        <v>0</v>
      </c>
      <c r="W1159">
        <f>IF(Source!BI573&lt;=1,H1159, 0)</f>
        <v>0</v>
      </c>
      <c r="X1159">
        <f>IF(Source!BI573=2,H1159, 0)</f>
        <v>103.86</v>
      </c>
      <c r="Y1159">
        <f>IF(Source!BI573=3,H1159, 0)</f>
        <v>0</v>
      </c>
      <c r="Z1159">
        <f>IF(Source!BI573=4,H1159, 0)</f>
        <v>0</v>
      </c>
    </row>
    <row r="1160" spans="1:26" ht="15" x14ac:dyDescent="0.25">
      <c r="G1160" s="63">
        <f>H1152+H1153+H1155+H1156+H1157+SUM(H1159:H1159)</f>
        <v>284.5</v>
      </c>
      <c r="H1160" s="63"/>
      <c r="J1160" s="63">
        <f>K1152+K1153+K1155+K1156+K1157+SUM(K1159:K1159)</f>
        <v>1866.2600000000002</v>
      </c>
      <c r="K1160" s="63"/>
      <c r="L1160" s="39">
        <f>Source!U572</f>
        <v>6.2208000000000006</v>
      </c>
      <c r="O1160" s="24">
        <f>G1160</f>
        <v>284.5</v>
      </c>
      <c r="P1160" s="24">
        <f>J1160</f>
        <v>1866.2600000000002</v>
      </c>
      <c r="Q1160" s="24">
        <f>L1160</f>
        <v>6.2208000000000006</v>
      </c>
      <c r="W1160">
        <f>IF(Source!BI572&lt;=1,H1152+H1153+H1155+H1156+H1157, 0)</f>
        <v>0</v>
      </c>
      <c r="X1160">
        <f>IF(Source!BI572=2,H1152+H1153+H1155+H1156+H1157, 0)</f>
        <v>180.64000000000001</v>
      </c>
      <c r="Y1160">
        <f>IF(Source!BI572=3,H1152+H1153+H1155+H1156+H1157, 0)</f>
        <v>0</v>
      </c>
      <c r="Z1160">
        <f>IF(Source!BI572=4,H1152+H1153+H1155+H1156+H1157, 0)</f>
        <v>0</v>
      </c>
    </row>
    <row r="1161" spans="1:26" ht="42.75" x14ac:dyDescent="0.2">
      <c r="A1161" s="44" t="str">
        <f>Source!E574</f>
        <v>111</v>
      </c>
      <c r="B1161" s="45" t="str">
        <f>Source!F574</f>
        <v>м10-01-053-01</v>
      </c>
      <c r="C1161" s="45" t="str">
        <f>Source!G574</f>
        <v>Прокладка кабеля или провода питания на провододержателях сечением 6 мм2</v>
      </c>
      <c r="D1161" s="28" t="str">
        <f>Source!H574</f>
        <v>100 м</v>
      </c>
      <c r="E1161" s="11">
        <f>Source!I574</f>
        <v>6.92</v>
      </c>
      <c r="F1161" s="29">
        <f>Source!AL574+Source!AM574+Source!AO574</f>
        <v>165.97</v>
      </c>
      <c r="G1161" s="30"/>
      <c r="H1161" s="29"/>
      <c r="I1161" s="30" t="str">
        <f>Source!BO574</f>
        <v/>
      </c>
      <c r="J1161" s="30"/>
      <c r="K1161" s="29"/>
      <c r="L1161" s="31"/>
      <c r="S1161">
        <f>ROUND((Source!FX574/100)*((ROUND(Source!AF574*Source!I574, 2)+ROUND(Source!AE574*Source!I574, 2))), 2)</f>
        <v>682.37</v>
      </c>
      <c r="T1161">
        <f>Source!X574</f>
        <v>4476.33</v>
      </c>
      <c r="U1161">
        <f>ROUND((Source!FY574/100)*((ROUND(Source!AF574*Source!I574, 2)+ROUND(Source!AE574*Source!I574, 2))), 2)</f>
        <v>511.78</v>
      </c>
      <c r="V1161">
        <f>Source!Y574</f>
        <v>3357.25</v>
      </c>
    </row>
    <row r="1162" spans="1:26" x14ac:dyDescent="0.2">
      <c r="C1162" s="23" t="str">
        <f>"Объем: "&amp;Source!I574&amp;"=692/"&amp;"100"</f>
        <v>Объем: 6,92=692/100</v>
      </c>
    </row>
    <row r="1163" spans="1:26" ht="14.25" x14ac:dyDescent="0.2">
      <c r="A1163" s="44"/>
      <c r="B1163" s="45"/>
      <c r="C1163" s="45" t="s">
        <v>1930</v>
      </c>
      <c r="D1163" s="28"/>
      <c r="E1163" s="11"/>
      <c r="F1163" s="29">
        <f>Source!AO574</f>
        <v>118.33</v>
      </c>
      <c r="G1163" s="30" t="str">
        <f>Source!DG574</f>
        <v/>
      </c>
      <c r="H1163" s="29">
        <f>ROUND(Source!AF574*Source!I574, 2)</f>
        <v>818.84</v>
      </c>
      <c r="I1163" s="30"/>
      <c r="J1163" s="30">
        <f>IF(Source!BA574&lt;&gt; 0, Source!BA574, 1)</f>
        <v>6.56</v>
      </c>
      <c r="K1163" s="29">
        <f>Source!S574</f>
        <v>5371.61</v>
      </c>
      <c r="L1163" s="31"/>
      <c r="R1163">
        <f>H1163</f>
        <v>818.84</v>
      </c>
    </row>
    <row r="1164" spans="1:26" ht="14.25" x14ac:dyDescent="0.2">
      <c r="A1164" s="44"/>
      <c r="B1164" s="45"/>
      <c r="C1164" s="45" t="s">
        <v>151</v>
      </c>
      <c r="D1164" s="28"/>
      <c r="E1164" s="11"/>
      <c r="F1164" s="29">
        <f>Source!AM574</f>
        <v>44.1</v>
      </c>
      <c r="G1164" s="30" t="str">
        <f>Source!DE574</f>
        <v/>
      </c>
      <c r="H1164" s="29">
        <f>ROUND(Source!AD574*Source!I574, 2)</f>
        <v>305.17</v>
      </c>
      <c r="I1164" s="30"/>
      <c r="J1164" s="30">
        <f>IF(Source!BB574&lt;&gt; 0, Source!BB574, 1)</f>
        <v>6.56</v>
      </c>
      <c r="K1164" s="29">
        <f>Source!Q574</f>
        <v>2001.93</v>
      </c>
      <c r="L1164" s="31"/>
    </row>
    <row r="1165" spans="1:26" ht="14.25" x14ac:dyDescent="0.2">
      <c r="A1165" s="44"/>
      <c r="B1165" s="45"/>
      <c r="C1165" s="45" t="s">
        <v>1931</v>
      </c>
      <c r="D1165" s="28"/>
      <c r="E1165" s="11"/>
      <c r="F1165" s="29">
        <f>Source!AN574</f>
        <v>4.93</v>
      </c>
      <c r="G1165" s="30" t="str">
        <f>Source!DF574</f>
        <v/>
      </c>
      <c r="H1165" s="32">
        <f>ROUND(Source!AE574*Source!I574, 2)</f>
        <v>34.119999999999997</v>
      </c>
      <c r="I1165" s="30"/>
      <c r="J1165" s="30">
        <f>IF(Source!BS574&lt;&gt; 0, Source!BS574, 1)</f>
        <v>6.56</v>
      </c>
      <c r="K1165" s="32">
        <f>Source!R574</f>
        <v>223.8</v>
      </c>
      <c r="L1165" s="31"/>
      <c r="R1165">
        <f>H1165</f>
        <v>34.119999999999997</v>
      </c>
    </row>
    <row r="1166" spans="1:26" ht="14.25" x14ac:dyDescent="0.2">
      <c r="A1166" s="44"/>
      <c r="B1166" s="45"/>
      <c r="C1166" s="45" t="s">
        <v>1937</v>
      </c>
      <c r="D1166" s="28"/>
      <c r="E1166" s="11"/>
      <c r="F1166" s="29">
        <f>Source!AL574</f>
        <v>3.54</v>
      </c>
      <c r="G1166" s="30" t="str">
        <f>Source!DD574</f>
        <v/>
      </c>
      <c r="H1166" s="29">
        <f>ROUND(Source!AC574*Source!I574, 2)</f>
        <v>24.5</v>
      </c>
      <c r="I1166" s="30"/>
      <c r="J1166" s="30">
        <f>IF(Source!BC574&lt;&gt; 0, Source!BC574, 1)</f>
        <v>6.56</v>
      </c>
      <c r="K1166" s="29">
        <f>Source!P574</f>
        <v>160.69999999999999</v>
      </c>
      <c r="L1166" s="31"/>
    </row>
    <row r="1167" spans="1:26" ht="14.25" x14ac:dyDescent="0.2">
      <c r="A1167" s="44"/>
      <c r="B1167" s="45"/>
      <c r="C1167" s="45" t="s">
        <v>1932</v>
      </c>
      <c r="D1167" s="28" t="s">
        <v>1933</v>
      </c>
      <c r="E1167" s="11">
        <f>Source!BZ574</f>
        <v>80</v>
      </c>
      <c r="F1167" s="48"/>
      <c r="G1167" s="30"/>
      <c r="H1167" s="29">
        <f>SUM(S1161:S1170)</f>
        <v>682.37</v>
      </c>
      <c r="I1167" s="33"/>
      <c r="J1167" s="26">
        <f>Source!AT574</f>
        <v>80</v>
      </c>
      <c r="K1167" s="29">
        <f>SUM(T1161:T1170)</f>
        <v>4476.33</v>
      </c>
      <c r="L1167" s="31"/>
    </row>
    <row r="1168" spans="1:26" ht="14.25" x14ac:dyDescent="0.2">
      <c r="A1168" s="44"/>
      <c r="B1168" s="45"/>
      <c r="C1168" s="45" t="s">
        <v>1934</v>
      </c>
      <c r="D1168" s="28" t="s">
        <v>1933</v>
      </c>
      <c r="E1168" s="11">
        <f>Source!CA574</f>
        <v>60</v>
      </c>
      <c r="F1168" s="48"/>
      <c r="G1168" s="30"/>
      <c r="H1168" s="29">
        <f>SUM(U1161:U1170)</f>
        <v>511.78</v>
      </c>
      <c r="I1168" s="33"/>
      <c r="J1168" s="26">
        <f>Source!AU574</f>
        <v>60</v>
      </c>
      <c r="K1168" s="29">
        <f>SUM(V1161:V1170)</f>
        <v>3357.25</v>
      </c>
      <c r="L1168" s="31"/>
    </row>
    <row r="1169" spans="1:26" ht="14.25" x14ac:dyDescent="0.2">
      <c r="A1169" s="44"/>
      <c r="B1169" s="45"/>
      <c r="C1169" s="45" t="s">
        <v>1935</v>
      </c>
      <c r="D1169" s="28" t="s">
        <v>1936</v>
      </c>
      <c r="E1169" s="11">
        <f>Source!AQ574</f>
        <v>12.3</v>
      </c>
      <c r="F1169" s="29"/>
      <c r="G1169" s="30" t="str">
        <f>Source!DI574</f>
        <v/>
      </c>
      <c r="H1169" s="29"/>
      <c r="I1169" s="30"/>
      <c r="J1169" s="30"/>
      <c r="K1169" s="29"/>
      <c r="L1169" s="40">
        <f>Source!U574</f>
        <v>85.116</v>
      </c>
    </row>
    <row r="1170" spans="1:26" ht="28.5" x14ac:dyDescent="0.2">
      <c r="A1170" s="46" t="str">
        <f>Source!E575</f>
        <v>111,1</v>
      </c>
      <c r="B1170" s="47" t="str">
        <f>Source!F575</f>
        <v>21.1.04.01-0004</v>
      </c>
      <c r="C1170" s="47" t="str">
        <f>Source!G575</f>
        <v>Кабель (витая пара) UTP 4x2x0,52 категория 5е</v>
      </c>
      <c r="D1170" s="34" t="str">
        <f>Source!H575</f>
        <v>1000 м</v>
      </c>
      <c r="E1170" s="35">
        <f>Source!I575</f>
        <v>0.69199999999999995</v>
      </c>
      <c r="F1170" s="36">
        <f>Source!AL575+Source!AM575+Source!AO575</f>
        <v>1150.19</v>
      </c>
      <c r="G1170" s="42" t="s">
        <v>6</v>
      </c>
      <c r="H1170" s="36">
        <f>ROUND(Source!AC575*Source!I575, 2)+ROUND(Source!AD575*Source!I575, 2)+ROUND(Source!AF575*Source!I575, 2)</f>
        <v>795.93</v>
      </c>
      <c r="I1170" s="37"/>
      <c r="J1170" s="37">
        <f>IF(Source!BC575&lt;&gt; 0, Source!BC575, 1)</f>
        <v>6.56</v>
      </c>
      <c r="K1170" s="36">
        <f>Source!O575</f>
        <v>5221.3100000000004</v>
      </c>
      <c r="L1170" s="43"/>
      <c r="S1170">
        <f>ROUND((Source!FX575/100)*((ROUND(Source!AF575*Source!I575, 2)+ROUND(Source!AE575*Source!I575, 2))), 2)</f>
        <v>0</v>
      </c>
      <c r="T1170">
        <f>Source!X575</f>
        <v>0</v>
      </c>
      <c r="U1170">
        <f>ROUND((Source!FY575/100)*((ROUND(Source!AF575*Source!I575, 2)+ROUND(Source!AE575*Source!I575, 2))), 2)</f>
        <v>0</v>
      </c>
      <c r="V1170">
        <f>Source!Y575</f>
        <v>0</v>
      </c>
      <c r="W1170">
        <f>IF(Source!BI575&lt;=1,H1170, 0)</f>
        <v>0</v>
      </c>
      <c r="X1170">
        <f>IF(Source!BI575=2,H1170, 0)</f>
        <v>795.93</v>
      </c>
      <c r="Y1170">
        <f>IF(Source!BI575=3,H1170, 0)</f>
        <v>0</v>
      </c>
      <c r="Z1170">
        <f>IF(Source!BI575=4,H1170, 0)</f>
        <v>0</v>
      </c>
    </row>
    <row r="1171" spans="1:26" ht="15" x14ac:dyDescent="0.25">
      <c r="G1171" s="63">
        <f>H1163+H1164+H1166+H1167+H1168+SUM(H1170:H1170)</f>
        <v>3138.5899999999997</v>
      </c>
      <c r="H1171" s="63"/>
      <c r="J1171" s="63">
        <f>K1163+K1164+K1166+K1167+K1168+SUM(K1170:K1170)</f>
        <v>20589.13</v>
      </c>
      <c r="K1171" s="63"/>
      <c r="L1171" s="39">
        <f>Source!U574</f>
        <v>85.116</v>
      </c>
      <c r="O1171" s="24">
        <f>G1171</f>
        <v>3138.5899999999997</v>
      </c>
      <c r="P1171" s="24">
        <f>J1171</f>
        <v>20589.13</v>
      </c>
      <c r="Q1171" s="24">
        <f>L1171</f>
        <v>85.116</v>
      </c>
      <c r="W1171">
        <f>IF(Source!BI574&lt;=1,H1163+H1164+H1166+H1167+H1168, 0)</f>
        <v>0</v>
      </c>
      <c r="X1171">
        <f>IF(Source!BI574=2,H1163+H1164+H1166+H1167+H1168, 0)</f>
        <v>2342.66</v>
      </c>
      <c r="Y1171">
        <f>IF(Source!BI574=3,H1163+H1164+H1166+H1167+H1168, 0)</f>
        <v>0</v>
      </c>
      <c r="Z1171">
        <f>IF(Source!BI574=4,H1163+H1164+H1166+H1167+H1168, 0)</f>
        <v>0</v>
      </c>
    </row>
    <row r="1172" spans="1:26" ht="57" x14ac:dyDescent="0.2">
      <c r="A1172" s="44" t="str">
        <f>Source!E576</f>
        <v>112</v>
      </c>
      <c r="B1172" s="45" t="str">
        <f>Source!F576</f>
        <v>69-2-1 прим.</v>
      </c>
      <c r="C1172" s="45" t="str">
        <f>Source!G576</f>
        <v>Сверление отверстий в кирпичных стенах электроперфоратором диаметром до 20 мм, толщина стен 0,5 кирпича</v>
      </c>
      <c r="D1172" s="28" t="str">
        <f>Source!H576</f>
        <v>100 ШТ</v>
      </c>
      <c r="E1172" s="11">
        <f>Source!I576</f>
        <v>0.15</v>
      </c>
      <c r="F1172" s="29">
        <f>Source!AL576+Source!AM576+Source!AO576</f>
        <v>46.83</v>
      </c>
      <c r="G1172" s="30"/>
      <c r="H1172" s="29"/>
      <c r="I1172" s="30" t="str">
        <f>Source!BO576</f>
        <v/>
      </c>
      <c r="J1172" s="30"/>
      <c r="K1172" s="29"/>
      <c r="L1172" s="31"/>
      <c r="S1172">
        <f>ROUND((Source!FX576/100)*((ROUND(Source!AF576*Source!I576, 2)+ROUND(Source!AE576*Source!I576, 2))), 2)</f>
        <v>5.48</v>
      </c>
      <c r="T1172">
        <f>Source!X576</f>
        <v>35.94</v>
      </c>
      <c r="U1172">
        <f>ROUND((Source!FY576/100)*((ROUND(Source!AF576*Source!I576, 2)+ROUND(Source!AE576*Source!I576, 2))), 2)</f>
        <v>3.51</v>
      </c>
      <c r="V1172">
        <f>Source!Y576</f>
        <v>23.04</v>
      </c>
    </row>
    <row r="1173" spans="1:26" x14ac:dyDescent="0.2">
      <c r="C1173" s="23" t="str">
        <f>"Объем: "&amp;Source!I576&amp;"=15/"&amp;"100"</f>
        <v>Объем: 0,15=15/100</v>
      </c>
    </row>
    <row r="1174" spans="1:26" ht="14.25" x14ac:dyDescent="0.2">
      <c r="A1174" s="44"/>
      <c r="B1174" s="45"/>
      <c r="C1174" s="45" t="s">
        <v>1930</v>
      </c>
      <c r="D1174" s="28"/>
      <c r="E1174" s="11"/>
      <c r="F1174" s="29">
        <f>Source!AO576</f>
        <v>46.83</v>
      </c>
      <c r="G1174" s="30" t="str">
        <f>Source!DG576</f>
        <v/>
      </c>
      <c r="H1174" s="29">
        <f>ROUND(Source!AF576*Source!I576, 2)</f>
        <v>7.02</v>
      </c>
      <c r="I1174" s="30"/>
      <c r="J1174" s="30">
        <f>IF(Source!BA576&lt;&gt; 0, Source!BA576, 1)</f>
        <v>6.56</v>
      </c>
      <c r="K1174" s="29">
        <f>Source!S576</f>
        <v>46.08</v>
      </c>
      <c r="L1174" s="31"/>
      <c r="R1174">
        <f>H1174</f>
        <v>7.02</v>
      </c>
    </row>
    <row r="1175" spans="1:26" ht="14.25" x14ac:dyDescent="0.2">
      <c r="A1175" s="44"/>
      <c r="B1175" s="45"/>
      <c r="C1175" s="45" t="s">
        <v>1932</v>
      </c>
      <c r="D1175" s="28" t="s">
        <v>1933</v>
      </c>
      <c r="E1175" s="11">
        <f>Source!BZ576</f>
        <v>78</v>
      </c>
      <c r="F1175" s="48"/>
      <c r="G1175" s="30"/>
      <c r="H1175" s="29">
        <f>SUM(S1172:S1177)</f>
        <v>5.48</v>
      </c>
      <c r="I1175" s="33"/>
      <c r="J1175" s="26">
        <f>Source!AT576</f>
        <v>78</v>
      </c>
      <c r="K1175" s="29">
        <f>SUM(T1172:T1177)</f>
        <v>35.94</v>
      </c>
      <c r="L1175" s="31"/>
    </row>
    <row r="1176" spans="1:26" ht="14.25" x14ac:dyDescent="0.2">
      <c r="A1176" s="44"/>
      <c r="B1176" s="45"/>
      <c r="C1176" s="45" t="s">
        <v>1934</v>
      </c>
      <c r="D1176" s="28" t="s">
        <v>1933</v>
      </c>
      <c r="E1176" s="11">
        <f>Source!CA576</f>
        <v>50</v>
      </c>
      <c r="F1176" s="48"/>
      <c r="G1176" s="30"/>
      <c r="H1176" s="29">
        <f>SUM(U1172:U1177)</f>
        <v>3.51</v>
      </c>
      <c r="I1176" s="33"/>
      <c r="J1176" s="26">
        <f>Source!AU576</f>
        <v>50</v>
      </c>
      <c r="K1176" s="29">
        <f>SUM(V1172:V1177)</f>
        <v>23.04</v>
      </c>
      <c r="L1176" s="31"/>
    </row>
    <row r="1177" spans="1:26" ht="14.25" x14ac:dyDescent="0.2">
      <c r="A1177" s="46"/>
      <c r="B1177" s="47"/>
      <c r="C1177" s="47" t="s">
        <v>1935</v>
      </c>
      <c r="D1177" s="34" t="s">
        <v>1936</v>
      </c>
      <c r="E1177" s="35">
        <f>Source!AQ576</f>
        <v>5.49</v>
      </c>
      <c r="F1177" s="36"/>
      <c r="G1177" s="37" t="str">
        <f>Source!DI576</f>
        <v/>
      </c>
      <c r="H1177" s="36"/>
      <c r="I1177" s="37"/>
      <c r="J1177" s="37"/>
      <c r="K1177" s="36"/>
      <c r="L1177" s="38">
        <f>Source!U576</f>
        <v>0.82350000000000001</v>
      </c>
    </row>
    <row r="1178" spans="1:26" ht="15" x14ac:dyDescent="0.25">
      <c r="G1178" s="63">
        <f>H1174+H1175+H1176</f>
        <v>16.009999999999998</v>
      </c>
      <c r="H1178" s="63"/>
      <c r="J1178" s="63">
        <f>K1174+K1175+K1176</f>
        <v>105.06</v>
      </c>
      <c r="K1178" s="63"/>
      <c r="L1178" s="39">
        <f>Source!U576</f>
        <v>0.82350000000000001</v>
      </c>
      <c r="O1178" s="24">
        <f>G1178</f>
        <v>16.009999999999998</v>
      </c>
      <c r="P1178" s="24">
        <f>J1178</f>
        <v>105.06</v>
      </c>
      <c r="Q1178" s="24">
        <f>L1178</f>
        <v>0.82350000000000001</v>
      </c>
      <c r="W1178">
        <f>IF(Source!BI576&lt;=1,H1174+H1175+H1176, 0)</f>
        <v>16.009999999999998</v>
      </c>
      <c r="X1178">
        <f>IF(Source!BI576=2,H1174+H1175+H1176, 0)</f>
        <v>0</v>
      </c>
      <c r="Y1178">
        <f>IF(Source!BI576=3,H1174+H1175+H1176, 0)</f>
        <v>0</v>
      </c>
      <c r="Z1178">
        <f>IF(Source!BI576=4,H1174+H1175+H1176, 0)</f>
        <v>0</v>
      </c>
    </row>
    <row r="1179" spans="1:26" ht="28.5" x14ac:dyDescent="0.2">
      <c r="A1179" s="44" t="str">
        <f>Source!E577</f>
        <v>113</v>
      </c>
      <c r="B1179" s="45" t="str">
        <f>Source!F577</f>
        <v>м08-02-410-02</v>
      </c>
      <c r="C1179" s="45" t="str">
        <f>Source!G577</f>
        <v>Труба полиэтиленовая по основанию пола, диаметр до 50 мм (гильзы) прим.</v>
      </c>
      <c r="D1179" s="28" t="str">
        <f>Source!H577</f>
        <v>100 м</v>
      </c>
      <c r="E1179" s="11">
        <f>Source!I577</f>
        <v>4.4999999999999998E-2</v>
      </c>
      <c r="F1179" s="29">
        <f>Source!AL577+Source!AM577+Source!AO577</f>
        <v>250.92</v>
      </c>
      <c r="G1179" s="30"/>
      <c r="H1179" s="29"/>
      <c r="I1179" s="30" t="str">
        <f>Source!BO577</f>
        <v/>
      </c>
      <c r="J1179" s="30"/>
      <c r="K1179" s="29"/>
      <c r="L1179" s="31"/>
      <c r="S1179">
        <f>ROUND((Source!FX577/100)*((ROUND(Source!AF577*Source!I577, 2)+ROUND(Source!AE577*Source!I577, 2))), 2)</f>
        <v>6.25</v>
      </c>
      <c r="T1179">
        <f>Source!X577</f>
        <v>41.06</v>
      </c>
      <c r="U1179">
        <f>ROUND((Source!FY577/100)*((ROUND(Source!AF577*Source!I577, 2)+ROUND(Source!AE577*Source!I577, 2))), 2)</f>
        <v>4.28</v>
      </c>
      <c r="V1179">
        <f>Source!Y577</f>
        <v>28.09</v>
      </c>
    </row>
    <row r="1180" spans="1:26" x14ac:dyDescent="0.2">
      <c r="C1180" s="23" t="str">
        <f>"Объем: "&amp;Source!I577&amp;"=4,5/"&amp;"100"</f>
        <v>Объем: 0,045=4,5/100</v>
      </c>
    </row>
    <row r="1181" spans="1:26" ht="14.25" x14ac:dyDescent="0.2">
      <c r="A1181" s="44"/>
      <c r="B1181" s="45"/>
      <c r="C1181" s="45" t="s">
        <v>1930</v>
      </c>
      <c r="D1181" s="28"/>
      <c r="E1181" s="11"/>
      <c r="F1181" s="29">
        <f>Source!AO577</f>
        <v>143.63</v>
      </c>
      <c r="G1181" s="30" t="str">
        <f>Source!DG577</f>
        <v/>
      </c>
      <c r="H1181" s="29">
        <f>ROUND(Source!AF577*Source!I577, 2)</f>
        <v>6.46</v>
      </c>
      <c r="I1181" s="30"/>
      <c r="J1181" s="30">
        <f>IF(Source!BA577&lt;&gt; 0, Source!BA577, 1)</f>
        <v>6.56</v>
      </c>
      <c r="K1181" s="29">
        <f>Source!S577</f>
        <v>42.4</v>
      </c>
      <c r="L1181" s="31"/>
      <c r="R1181">
        <f>H1181</f>
        <v>6.46</v>
      </c>
    </row>
    <row r="1182" spans="1:26" ht="14.25" x14ac:dyDescent="0.2">
      <c r="A1182" s="44"/>
      <c r="B1182" s="45"/>
      <c r="C1182" s="45" t="s">
        <v>151</v>
      </c>
      <c r="D1182" s="28"/>
      <c r="E1182" s="11"/>
      <c r="F1182" s="29">
        <f>Source!AM577</f>
        <v>19.55</v>
      </c>
      <c r="G1182" s="30" t="str">
        <f>Source!DE577</f>
        <v/>
      </c>
      <c r="H1182" s="29">
        <f>ROUND(Source!AD577*Source!I577, 2)</f>
        <v>0.88</v>
      </c>
      <c r="I1182" s="30"/>
      <c r="J1182" s="30">
        <f>IF(Source!BB577&lt;&gt; 0, Source!BB577, 1)</f>
        <v>6.56</v>
      </c>
      <c r="K1182" s="29">
        <f>Source!Q577</f>
        <v>5.77</v>
      </c>
      <c r="L1182" s="31"/>
    </row>
    <row r="1183" spans="1:26" ht="14.25" x14ac:dyDescent="0.2">
      <c r="A1183" s="44"/>
      <c r="B1183" s="45"/>
      <c r="C1183" s="45" t="s">
        <v>1931</v>
      </c>
      <c r="D1183" s="28"/>
      <c r="E1183" s="11"/>
      <c r="F1183" s="29">
        <f>Source!AN577</f>
        <v>2.77</v>
      </c>
      <c r="G1183" s="30" t="str">
        <f>Source!DF577</f>
        <v/>
      </c>
      <c r="H1183" s="32">
        <f>ROUND(Source!AE577*Source!I577, 2)</f>
        <v>0.12</v>
      </c>
      <c r="I1183" s="30"/>
      <c r="J1183" s="30">
        <f>IF(Source!BS577&lt;&gt; 0, Source!BS577, 1)</f>
        <v>6.56</v>
      </c>
      <c r="K1183" s="32">
        <f>Source!R577</f>
        <v>0.82</v>
      </c>
      <c r="L1183" s="31"/>
      <c r="R1183">
        <f>H1183</f>
        <v>0.12</v>
      </c>
    </row>
    <row r="1184" spans="1:26" ht="14.25" x14ac:dyDescent="0.2">
      <c r="A1184" s="44"/>
      <c r="B1184" s="45"/>
      <c r="C1184" s="45" t="s">
        <v>1937</v>
      </c>
      <c r="D1184" s="28"/>
      <c r="E1184" s="11"/>
      <c r="F1184" s="29">
        <f>Source!AL577</f>
        <v>87.74</v>
      </c>
      <c r="G1184" s="30" t="str">
        <f>Source!DD577</f>
        <v/>
      </c>
      <c r="H1184" s="29">
        <f>ROUND(Source!AC577*Source!I577, 2)</f>
        <v>3.95</v>
      </c>
      <c r="I1184" s="30"/>
      <c r="J1184" s="30">
        <f>IF(Source!BC577&lt;&gt; 0, Source!BC577, 1)</f>
        <v>6.56</v>
      </c>
      <c r="K1184" s="29">
        <f>Source!P577</f>
        <v>25.9</v>
      </c>
      <c r="L1184" s="31"/>
    </row>
    <row r="1185" spans="1:26" ht="14.25" x14ac:dyDescent="0.2">
      <c r="A1185" s="44"/>
      <c r="B1185" s="45"/>
      <c r="C1185" s="45" t="s">
        <v>1932</v>
      </c>
      <c r="D1185" s="28" t="s">
        <v>1933</v>
      </c>
      <c r="E1185" s="11">
        <f>Source!BZ577</f>
        <v>95</v>
      </c>
      <c r="F1185" s="48"/>
      <c r="G1185" s="30"/>
      <c r="H1185" s="29">
        <f>SUM(S1179:S1188)</f>
        <v>6.25</v>
      </c>
      <c r="I1185" s="33"/>
      <c r="J1185" s="26">
        <f>Source!AT577</f>
        <v>95</v>
      </c>
      <c r="K1185" s="29">
        <f>SUM(T1179:T1188)</f>
        <v>41.06</v>
      </c>
      <c r="L1185" s="31"/>
    </row>
    <row r="1186" spans="1:26" ht="14.25" x14ac:dyDescent="0.2">
      <c r="A1186" s="44"/>
      <c r="B1186" s="45"/>
      <c r="C1186" s="45" t="s">
        <v>1934</v>
      </c>
      <c r="D1186" s="28" t="s">
        <v>1933</v>
      </c>
      <c r="E1186" s="11">
        <f>Source!CA577</f>
        <v>65</v>
      </c>
      <c r="F1186" s="48"/>
      <c r="G1186" s="30"/>
      <c r="H1186" s="29">
        <f>SUM(U1179:U1188)</f>
        <v>4.28</v>
      </c>
      <c r="I1186" s="33"/>
      <c r="J1186" s="26">
        <f>Source!AU577</f>
        <v>65</v>
      </c>
      <c r="K1186" s="29">
        <f>SUM(V1179:V1188)</f>
        <v>28.09</v>
      </c>
      <c r="L1186" s="31"/>
    </row>
    <row r="1187" spans="1:26" ht="14.25" x14ac:dyDescent="0.2">
      <c r="A1187" s="44"/>
      <c r="B1187" s="45"/>
      <c r="C1187" s="45" t="s">
        <v>1935</v>
      </c>
      <c r="D1187" s="28" t="s">
        <v>1936</v>
      </c>
      <c r="E1187" s="11">
        <f>Source!AQ577</f>
        <v>15.28</v>
      </c>
      <c r="F1187" s="29"/>
      <c r="G1187" s="30" t="str">
        <f>Source!DI577</f>
        <v/>
      </c>
      <c r="H1187" s="29"/>
      <c r="I1187" s="30"/>
      <c r="J1187" s="30"/>
      <c r="K1187" s="29"/>
      <c r="L1187" s="40">
        <f>Source!U577</f>
        <v>0.68759999999999999</v>
      </c>
    </row>
    <row r="1188" spans="1:26" ht="42.75" x14ac:dyDescent="0.2">
      <c r="A1188" s="46" t="str">
        <f>Source!E578</f>
        <v>113,1</v>
      </c>
      <c r="B1188" s="47" t="str">
        <f>Source!F578</f>
        <v>24.3.01.03-0014</v>
      </c>
      <c r="C1188" s="47" t="str">
        <f>Source!G578</f>
        <v>Трубы жесткие гладкие легкие из самозатухающего ПВХ (IP55) серии RIG, диаметром 32 мм</v>
      </c>
      <c r="D1188" s="34" t="str">
        <f>Source!H578</f>
        <v>10 м</v>
      </c>
      <c r="E1188" s="35">
        <f>Source!I578</f>
        <v>0.44999999999999996</v>
      </c>
      <c r="F1188" s="36">
        <f>Source!AL578+Source!AM578+Source!AO578</f>
        <v>79.47</v>
      </c>
      <c r="G1188" s="42" t="s">
        <v>6</v>
      </c>
      <c r="H1188" s="36">
        <f>ROUND(Source!AC578*Source!I578, 2)+ROUND(Source!AD578*Source!I578, 2)+ROUND(Source!AF578*Source!I578, 2)</f>
        <v>35.76</v>
      </c>
      <c r="I1188" s="37"/>
      <c r="J1188" s="37">
        <f>IF(Source!BC578&lt;&gt; 0, Source!BC578, 1)</f>
        <v>6.56</v>
      </c>
      <c r="K1188" s="36">
        <f>Source!O578</f>
        <v>234.6</v>
      </c>
      <c r="L1188" s="43"/>
      <c r="S1188">
        <f>ROUND((Source!FX578/100)*((ROUND(Source!AF578*Source!I578, 2)+ROUND(Source!AE578*Source!I578, 2))), 2)</f>
        <v>0</v>
      </c>
      <c r="T1188">
        <f>Source!X578</f>
        <v>0</v>
      </c>
      <c r="U1188">
        <f>ROUND((Source!FY578/100)*((ROUND(Source!AF578*Source!I578, 2)+ROUND(Source!AE578*Source!I578, 2))), 2)</f>
        <v>0</v>
      </c>
      <c r="V1188">
        <f>Source!Y578</f>
        <v>0</v>
      </c>
      <c r="W1188">
        <f>IF(Source!BI578&lt;=1,H1188, 0)</f>
        <v>0</v>
      </c>
      <c r="X1188">
        <f>IF(Source!BI578=2,H1188, 0)</f>
        <v>35.76</v>
      </c>
      <c r="Y1188">
        <f>IF(Source!BI578=3,H1188, 0)</f>
        <v>0</v>
      </c>
      <c r="Z1188">
        <f>IF(Source!BI578=4,H1188, 0)</f>
        <v>0</v>
      </c>
    </row>
    <row r="1189" spans="1:26" ht="15" x14ac:dyDescent="0.25">
      <c r="G1189" s="63">
        <f>H1181+H1182+H1184+H1185+H1186+SUM(H1188:H1188)</f>
        <v>57.58</v>
      </c>
      <c r="H1189" s="63"/>
      <c r="J1189" s="63">
        <f>K1181+K1182+K1184+K1185+K1186+SUM(K1188:K1188)</f>
        <v>377.82</v>
      </c>
      <c r="K1189" s="63"/>
      <c r="L1189" s="39">
        <f>Source!U577</f>
        <v>0.68759999999999999</v>
      </c>
      <c r="O1189" s="24">
        <f>G1189</f>
        <v>57.58</v>
      </c>
      <c r="P1189" s="24">
        <f>J1189</f>
        <v>377.82</v>
      </c>
      <c r="Q1189" s="24">
        <f>L1189</f>
        <v>0.68759999999999999</v>
      </c>
      <c r="W1189">
        <f>IF(Source!BI577&lt;=1,H1181+H1182+H1184+H1185+H1186, 0)</f>
        <v>0</v>
      </c>
      <c r="X1189">
        <f>IF(Source!BI577=2,H1181+H1182+H1184+H1185+H1186, 0)</f>
        <v>21.82</v>
      </c>
      <c r="Y1189">
        <f>IF(Source!BI577=3,H1181+H1182+H1184+H1185+H1186, 0)</f>
        <v>0</v>
      </c>
      <c r="Z1189">
        <f>IF(Source!BI577=4,H1181+H1182+H1184+H1185+H1186, 0)</f>
        <v>0</v>
      </c>
    </row>
    <row r="1190" spans="1:26" ht="42.75" x14ac:dyDescent="0.2">
      <c r="A1190" s="44" t="str">
        <f>Source!E579</f>
        <v>114</v>
      </c>
      <c r="B1190" s="45" t="str">
        <f>Source!F579</f>
        <v>м08-02-397-01 прим.</v>
      </c>
      <c r="C1190" s="45" t="str">
        <f>Source!G579</f>
        <v>Профиль перфорированный монтажный длиной 2 м (Лоток оцинкованный перфорированый)</v>
      </c>
      <c r="D1190" s="28" t="str">
        <f>Source!H579</f>
        <v>100 м</v>
      </c>
      <c r="E1190" s="11">
        <f>Source!I579</f>
        <v>0.57999999999999996</v>
      </c>
      <c r="F1190" s="29">
        <f>Source!AL579+Source!AM579+Source!AO579</f>
        <v>582.66</v>
      </c>
      <c r="G1190" s="30"/>
      <c r="H1190" s="29"/>
      <c r="I1190" s="30" t="str">
        <f>Source!BO579</f>
        <v/>
      </c>
      <c r="J1190" s="30"/>
      <c r="K1190" s="29"/>
      <c r="L1190" s="31"/>
      <c r="S1190">
        <f>ROUND((Source!FX579/100)*((ROUND(Source!AF579*Source!I579, 2)+ROUND(Source!AE579*Source!I579, 2))), 2)</f>
        <v>57.19</v>
      </c>
      <c r="T1190">
        <f>Source!X579</f>
        <v>375.16</v>
      </c>
      <c r="U1190">
        <f>ROUND((Source!FY579/100)*((ROUND(Source!AF579*Source!I579, 2)+ROUND(Source!AE579*Source!I579, 2))), 2)</f>
        <v>39.130000000000003</v>
      </c>
      <c r="V1190">
        <f>Source!Y579</f>
        <v>256.69</v>
      </c>
    </row>
    <row r="1191" spans="1:26" x14ac:dyDescent="0.2">
      <c r="C1191" s="23" t="str">
        <f>"Объем: "&amp;Source!I579&amp;"=58/"&amp;"100"</f>
        <v>Объем: 0,58=58/100</v>
      </c>
    </row>
    <row r="1192" spans="1:26" ht="14.25" x14ac:dyDescent="0.2">
      <c r="A1192" s="44"/>
      <c r="B1192" s="45"/>
      <c r="C1192" s="45" t="s">
        <v>1930</v>
      </c>
      <c r="D1192" s="28"/>
      <c r="E1192" s="11"/>
      <c r="F1192" s="29">
        <f>Source!AO579</f>
        <v>80.459999999999994</v>
      </c>
      <c r="G1192" s="30" t="str">
        <f>Source!DG579</f>
        <v/>
      </c>
      <c r="H1192" s="29">
        <f>ROUND(Source!AF579*Source!I579, 2)</f>
        <v>46.67</v>
      </c>
      <c r="I1192" s="30"/>
      <c r="J1192" s="30">
        <f>IF(Source!BA579&lt;&gt; 0, Source!BA579, 1)</f>
        <v>6.56</v>
      </c>
      <c r="K1192" s="29">
        <f>Source!S579</f>
        <v>306.13</v>
      </c>
      <c r="L1192" s="31"/>
      <c r="R1192">
        <f>H1192</f>
        <v>46.67</v>
      </c>
    </row>
    <row r="1193" spans="1:26" ht="14.25" x14ac:dyDescent="0.2">
      <c r="A1193" s="44"/>
      <c r="B1193" s="45"/>
      <c r="C1193" s="45" t="s">
        <v>151</v>
      </c>
      <c r="D1193" s="28"/>
      <c r="E1193" s="11"/>
      <c r="F1193" s="29">
        <f>Source!AM579</f>
        <v>94.67</v>
      </c>
      <c r="G1193" s="30" t="str">
        <f>Source!DE579</f>
        <v/>
      </c>
      <c r="H1193" s="29">
        <f>ROUND(Source!AD579*Source!I579, 2)</f>
        <v>54.91</v>
      </c>
      <c r="I1193" s="30"/>
      <c r="J1193" s="30">
        <f>IF(Source!BB579&lt;&gt; 0, Source!BB579, 1)</f>
        <v>6.56</v>
      </c>
      <c r="K1193" s="29">
        <f>Source!Q579</f>
        <v>360.2</v>
      </c>
      <c r="L1193" s="31"/>
    </row>
    <row r="1194" spans="1:26" ht="14.25" x14ac:dyDescent="0.2">
      <c r="A1194" s="44"/>
      <c r="B1194" s="45"/>
      <c r="C1194" s="45" t="s">
        <v>1931</v>
      </c>
      <c r="D1194" s="28"/>
      <c r="E1194" s="11"/>
      <c r="F1194" s="29">
        <f>Source!AN579</f>
        <v>23.33</v>
      </c>
      <c r="G1194" s="30" t="str">
        <f>Source!DF579</f>
        <v/>
      </c>
      <c r="H1194" s="32">
        <f>ROUND(Source!AE579*Source!I579, 2)</f>
        <v>13.53</v>
      </c>
      <c r="I1194" s="30"/>
      <c r="J1194" s="30">
        <f>IF(Source!BS579&lt;&gt; 0, Source!BS579, 1)</f>
        <v>6.56</v>
      </c>
      <c r="K1194" s="32">
        <f>Source!R579</f>
        <v>88.77</v>
      </c>
      <c r="L1194" s="31"/>
      <c r="R1194">
        <f>H1194</f>
        <v>13.53</v>
      </c>
    </row>
    <row r="1195" spans="1:26" ht="14.25" x14ac:dyDescent="0.2">
      <c r="A1195" s="44"/>
      <c r="B1195" s="45"/>
      <c r="C1195" s="45" t="s">
        <v>1937</v>
      </c>
      <c r="D1195" s="28"/>
      <c r="E1195" s="11"/>
      <c r="F1195" s="29">
        <f>Source!AL579</f>
        <v>407.53</v>
      </c>
      <c r="G1195" s="30" t="str">
        <f>Source!DD579</f>
        <v/>
      </c>
      <c r="H1195" s="29">
        <f>ROUND(Source!AC579*Source!I579, 2)</f>
        <v>236.37</v>
      </c>
      <c r="I1195" s="30"/>
      <c r="J1195" s="30">
        <f>IF(Source!BC579&lt;&gt; 0, Source!BC579, 1)</f>
        <v>6.56</v>
      </c>
      <c r="K1195" s="29">
        <f>Source!P579</f>
        <v>1550.57</v>
      </c>
      <c r="L1195" s="31"/>
    </row>
    <row r="1196" spans="1:26" ht="14.25" x14ac:dyDescent="0.2">
      <c r="A1196" s="44"/>
      <c r="B1196" s="45"/>
      <c r="C1196" s="45" t="s">
        <v>1932</v>
      </c>
      <c r="D1196" s="28" t="s">
        <v>1933</v>
      </c>
      <c r="E1196" s="11">
        <f>Source!BZ579</f>
        <v>95</v>
      </c>
      <c r="F1196" s="48"/>
      <c r="G1196" s="30"/>
      <c r="H1196" s="29">
        <f>SUM(S1190:S1199)</f>
        <v>57.19</v>
      </c>
      <c r="I1196" s="33"/>
      <c r="J1196" s="26">
        <f>Source!AT579</f>
        <v>95</v>
      </c>
      <c r="K1196" s="29">
        <f>SUM(T1190:T1199)</f>
        <v>375.16</v>
      </c>
      <c r="L1196" s="31"/>
    </row>
    <row r="1197" spans="1:26" ht="14.25" x14ac:dyDescent="0.2">
      <c r="A1197" s="44"/>
      <c r="B1197" s="45"/>
      <c r="C1197" s="45" t="s">
        <v>1934</v>
      </c>
      <c r="D1197" s="28" t="s">
        <v>1933</v>
      </c>
      <c r="E1197" s="11">
        <f>Source!CA579</f>
        <v>65</v>
      </c>
      <c r="F1197" s="48"/>
      <c r="G1197" s="30"/>
      <c r="H1197" s="29">
        <f>SUM(U1190:U1199)</f>
        <v>39.130000000000003</v>
      </c>
      <c r="I1197" s="33"/>
      <c r="J1197" s="26">
        <f>Source!AU579</f>
        <v>65</v>
      </c>
      <c r="K1197" s="29">
        <f>SUM(V1190:V1199)</f>
        <v>256.69</v>
      </c>
      <c r="L1197" s="31"/>
    </row>
    <row r="1198" spans="1:26" ht="14.25" x14ac:dyDescent="0.2">
      <c r="A1198" s="44"/>
      <c r="B1198" s="45"/>
      <c r="C1198" s="45" t="s">
        <v>1935</v>
      </c>
      <c r="D1198" s="28" t="s">
        <v>1936</v>
      </c>
      <c r="E1198" s="11">
        <f>Source!AQ579</f>
        <v>8.56</v>
      </c>
      <c r="F1198" s="29"/>
      <c r="G1198" s="30" t="str">
        <f>Source!DI579</f>
        <v/>
      </c>
      <c r="H1198" s="29"/>
      <c r="I1198" s="30"/>
      <c r="J1198" s="30"/>
      <c r="K1198" s="29"/>
      <c r="L1198" s="40">
        <f>Source!U579</f>
        <v>4.9648000000000003</v>
      </c>
    </row>
    <row r="1199" spans="1:26" ht="42.75" x14ac:dyDescent="0.2">
      <c r="A1199" s="46" t="str">
        <f>Source!E580</f>
        <v>114,1</v>
      </c>
      <c r="B1199" s="47" t="str">
        <f>Source!F580</f>
        <v>20.2.07.06-0001</v>
      </c>
      <c r="C1199" s="47" t="str">
        <f>Source!G580</f>
        <v>Лоток кабельный проволочный оцинкованный размером 60х30 х3000мм прим.</v>
      </c>
      <c r="D1199" s="34" t="str">
        <f>Source!H580</f>
        <v>м</v>
      </c>
      <c r="E1199" s="35">
        <f>Source!I580</f>
        <v>57.999999999999993</v>
      </c>
      <c r="F1199" s="36">
        <f>Source!AL580+Source!AM580+Source!AO580</f>
        <v>22.51</v>
      </c>
      <c r="G1199" s="42" t="s">
        <v>6</v>
      </c>
      <c r="H1199" s="36">
        <f>ROUND(Source!AC580*Source!I580, 2)+ROUND(Source!AD580*Source!I580, 2)+ROUND(Source!AF580*Source!I580, 2)</f>
        <v>1305.58</v>
      </c>
      <c r="I1199" s="37"/>
      <c r="J1199" s="37">
        <f>IF(Source!BC580&lt;&gt; 0, Source!BC580, 1)</f>
        <v>6.56</v>
      </c>
      <c r="K1199" s="36">
        <f>Source!O580</f>
        <v>8564.6</v>
      </c>
      <c r="L1199" s="43"/>
      <c r="S1199">
        <f>ROUND((Source!FX580/100)*((ROUND(Source!AF580*Source!I580, 2)+ROUND(Source!AE580*Source!I580, 2))), 2)</f>
        <v>0</v>
      </c>
      <c r="T1199">
        <f>Source!X580</f>
        <v>0</v>
      </c>
      <c r="U1199">
        <f>ROUND((Source!FY580/100)*((ROUND(Source!AF580*Source!I580, 2)+ROUND(Source!AE580*Source!I580, 2))), 2)</f>
        <v>0</v>
      </c>
      <c r="V1199">
        <f>Source!Y580</f>
        <v>0</v>
      </c>
      <c r="W1199">
        <f>IF(Source!BI580&lt;=1,H1199, 0)</f>
        <v>0</v>
      </c>
      <c r="X1199">
        <f>IF(Source!BI580=2,H1199, 0)</f>
        <v>1305.58</v>
      </c>
      <c r="Y1199">
        <f>IF(Source!BI580=3,H1199, 0)</f>
        <v>0</v>
      </c>
      <c r="Z1199">
        <f>IF(Source!BI580=4,H1199, 0)</f>
        <v>0</v>
      </c>
    </row>
    <row r="1200" spans="1:26" ht="15" x14ac:dyDescent="0.25">
      <c r="G1200" s="63">
        <f>H1192+H1193+H1195+H1196+H1197+SUM(H1199:H1199)</f>
        <v>1739.85</v>
      </c>
      <c r="H1200" s="63"/>
      <c r="J1200" s="63">
        <f>K1192+K1193+K1195+K1196+K1197+SUM(K1199:K1199)</f>
        <v>11413.35</v>
      </c>
      <c r="K1200" s="63"/>
      <c r="L1200" s="39">
        <f>Source!U579</f>
        <v>4.9648000000000003</v>
      </c>
      <c r="O1200" s="24">
        <f>G1200</f>
        <v>1739.85</v>
      </c>
      <c r="P1200" s="24">
        <f>J1200</f>
        <v>11413.35</v>
      </c>
      <c r="Q1200" s="24">
        <f>L1200</f>
        <v>4.9648000000000003</v>
      </c>
      <c r="W1200">
        <f>IF(Source!BI579&lt;=1,H1192+H1193+H1195+H1196+H1197, 0)</f>
        <v>0</v>
      </c>
      <c r="X1200">
        <f>IF(Source!BI579=2,H1192+H1193+H1195+H1196+H1197, 0)</f>
        <v>434.27</v>
      </c>
      <c r="Y1200">
        <f>IF(Source!BI579=3,H1192+H1193+H1195+H1196+H1197, 0)</f>
        <v>0</v>
      </c>
      <c r="Z1200">
        <f>IF(Source!BI579=4,H1192+H1193+H1195+H1196+H1197, 0)</f>
        <v>0</v>
      </c>
    </row>
    <row r="1202" spans="1:26" ht="15" x14ac:dyDescent="0.25">
      <c r="A1202" s="66" t="str">
        <f>CONCATENATE("Итого по разделу: ",IF(Source!G582&lt;&gt;"Новый раздел", Source!G582, ""))</f>
        <v>Итого по разделу: 5 Сети СКС</v>
      </c>
      <c r="B1202" s="66"/>
      <c r="C1202" s="66"/>
      <c r="D1202" s="66"/>
      <c r="E1202" s="66"/>
      <c r="F1202" s="66"/>
      <c r="G1202" s="67">
        <f>SUM(O1149:O1201)</f>
        <v>5236.53</v>
      </c>
      <c r="H1202" s="67"/>
      <c r="I1202" s="25"/>
      <c r="J1202" s="67">
        <f>SUM(P1149:P1201)</f>
        <v>34351.620000000003</v>
      </c>
      <c r="K1202" s="67"/>
      <c r="L1202" s="39">
        <f>SUM(Q1149:Q1201)</f>
        <v>97.812699999999992</v>
      </c>
    </row>
    <row r="1203" spans="1:26" ht="16.5" x14ac:dyDescent="0.25">
      <c r="A1203" s="68" t="str">
        <f>CONCATENATE("Раздел: ",IF(Source!G611&lt;&gt;"Новый раздел", Source!G611, ""))</f>
        <v>Раздел: 6 Отопление</v>
      </c>
      <c r="B1203" s="68"/>
      <c r="C1203" s="68"/>
      <c r="D1203" s="68"/>
      <c r="E1203" s="68"/>
      <c r="F1203" s="68"/>
      <c r="G1203" s="68"/>
      <c r="H1203" s="68"/>
      <c r="I1203" s="68"/>
      <c r="J1203" s="68"/>
      <c r="K1203" s="68"/>
      <c r="L1203" s="68"/>
    </row>
    <row r="1204" spans="1:26" ht="14.25" x14ac:dyDescent="0.2">
      <c r="A1204" s="44" t="str">
        <f>Source!E615</f>
        <v>115</v>
      </c>
      <c r="B1204" s="45" t="str">
        <f>Source!F615</f>
        <v>65-19-1</v>
      </c>
      <c r="C1204" s="45" t="str">
        <f>Source!G615</f>
        <v>Демонтаж радиаторов весом до 80 кг</v>
      </c>
      <c r="D1204" s="28" t="str">
        <f>Source!H615</f>
        <v>100 ШТ</v>
      </c>
      <c r="E1204" s="11">
        <f>Source!I615</f>
        <v>0.14000000000000001</v>
      </c>
      <c r="F1204" s="29">
        <f>Source!AL615+Source!AM615+Source!AO615</f>
        <v>935.72</v>
      </c>
      <c r="G1204" s="30"/>
      <c r="H1204" s="29"/>
      <c r="I1204" s="30" t="str">
        <f>Source!BO615</f>
        <v/>
      </c>
      <c r="J1204" s="30"/>
      <c r="K1204" s="29"/>
      <c r="L1204" s="31"/>
      <c r="S1204">
        <f>ROUND((Source!FX615/100)*((ROUND(Source!AF615*Source!I615, 2)+ROUND(Source!AE615*Source!I615, 2))), 2)</f>
        <v>92.82</v>
      </c>
      <c r="T1204">
        <f>Source!X615</f>
        <v>608.89</v>
      </c>
      <c r="U1204">
        <f>ROUND((Source!FY615/100)*((ROUND(Source!AF615*Source!I615, 2)+ROUND(Source!AE615*Source!I615, 2))), 2)</f>
        <v>62.72</v>
      </c>
      <c r="V1204">
        <f>Source!Y615</f>
        <v>411.42</v>
      </c>
    </row>
    <row r="1205" spans="1:26" x14ac:dyDescent="0.2">
      <c r="C1205" s="23" t="str">
        <f>"Объем: "&amp;Source!I615&amp;"=14/"&amp;"100"</f>
        <v>Объем: 0,14=14/100</v>
      </c>
    </row>
    <row r="1206" spans="1:26" ht="14.25" x14ac:dyDescent="0.2">
      <c r="A1206" s="44"/>
      <c r="B1206" s="45"/>
      <c r="C1206" s="45" t="s">
        <v>1930</v>
      </c>
      <c r="D1206" s="28"/>
      <c r="E1206" s="11"/>
      <c r="F1206" s="29">
        <f>Source!AO615</f>
        <v>865.7</v>
      </c>
      <c r="G1206" s="30" t="str">
        <f>Source!DG615</f>
        <v/>
      </c>
      <c r="H1206" s="29">
        <f>ROUND(Source!AF615*Source!I615, 2)</f>
        <v>121.2</v>
      </c>
      <c r="I1206" s="30"/>
      <c r="J1206" s="30">
        <f>IF(Source!BA615&lt;&gt; 0, Source!BA615, 1)</f>
        <v>6.56</v>
      </c>
      <c r="K1206" s="29">
        <f>Source!S615</f>
        <v>795.06</v>
      </c>
      <c r="L1206" s="31"/>
      <c r="R1206">
        <f>H1206</f>
        <v>121.2</v>
      </c>
    </row>
    <row r="1207" spans="1:26" ht="14.25" x14ac:dyDescent="0.2">
      <c r="A1207" s="44"/>
      <c r="B1207" s="45"/>
      <c r="C1207" s="45" t="s">
        <v>151</v>
      </c>
      <c r="D1207" s="28"/>
      <c r="E1207" s="11"/>
      <c r="F1207" s="29">
        <f>Source!AM615</f>
        <v>70.02</v>
      </c>
      <c r="G1207" s="30" t="str">
        <f>Source!DE615</f>
        <v/>
      </c>
      <c r="H1207" s="29">
        <f>ROUND(Source!AD615*Source!I615, 2)</f>
        <v>9.8000000000000007</v>
      </c>
      <c r="I1207" s="30"/>
      <c r="J1207" s="30">
        <f>IF(Source!BB615&lt;&gt; 0, Source!BB615, 1)</f>
        <v>6.56</v>
      </c>
      <c r="K1207" s="29">
        <f>Source!Q615</f>
        <v>64.31</v>
      </c>
      <c r="L1207" s="31"/>
    </row>
    <row r="1208" spans="1:26" ht="14.25" x14ac:dyDescent="0.2">
      <c r="A1208" s="44"/>
      <c r="B1208" s="45"/>
      <c r="C1208" s="45" t="s">
        <v>1931</v>
      </c>
      <c r="D1208" s="28"/>
      <c r="E1208" s="11"/>
      <c r="F1208" s="29">
        <f>Source!AN615</f>
        <v>30.24</v>
      </c>
      <c r="G1208" s="30" t="str">
        <f>Source!DF615</f>
        <v/>
      </c>
      <c r="H1208" s="32">
        <f>ROUND(Source!AE615*Source!I615, 2)</f>
        <v>4.2300000000000004</v>
      </c>
      <c r="I1208" s="30"/>
      <c r="J1208" s="30">
        <f>IF(Source!BS615&lt;&gt; 0, Source!BS615, 1)</f>
        <v>6.56</v>
      </c>
      <c r="K1208" s="32">
        <f>Source!R615</f>
        <v>27.77</v>
      </c>
      <c r="L1208" s="31"/>
      <c r="R1208">
        <f>H1208</f>
        <v>4.2300000000000004</v>
      </c>
    </row>
    <row r="1209" spans="1:26" ht="14.25" x14ac:dyDescent="0.2">
      <c r="A1209" s="44"/>
      <c r="B1209" s="45"/>
      <c r="C1209" s="45" t="s">
        <v>1932</v>
      </c>
      <c r="D1209" s="28" t="s">
        <v>1933</v>
      </c>
      <c r="E1209" s="11">
        <f>Source!BZ615</f>
        <v>74</v>
      </c>
      <c r="F1209" s="48"/>
      <c r="G1209" s="30"/>
      <c r="H1209" s="29">
        <f>SUM(S1204:S1211)</f>
        <v>92.82</v>
      </c>
      <c r="I1209" s="33"/>
      <c r="J1209" s="26">
        <f>Source!AT615</f>
        <v>74</v>
      </c>
      <c r="K1209" s="29">
        <f>SUM(T1204:T1211)</f>
        <v>608.89</v>
      </c>
      <c r="L1209" s="31"/>
    </row>
    <row r="1210" spans="1:26" ht="14.25" x14ac:dyDescent="0.2">
      <c r="A1210" s="44"/>
      <c r="B1210" s="45"/>
      <c r="C1210" s="45" t="s">
        <v>1934</v>
      </c>
      <c r="D1210" s="28" t="s">
        <v>1933</v>
      </c>
      <c r="E1210" s="11">
        <f>Source!CA615</f>
        <v>50</v>
      </c>
      <c r="F1210" s="48"/>
      <c r="G1210" s="30"/>
      <c r="H1210" s="29">
        <f>SUM(U1204:U1211)</f>
        <v>62.72</v>
      </c>
      <c r="I1210" s="33"/>
      <c r="J1210" s="26">
        <f>Source!AU615</f>
        <v>50</v>
      </c>
      <c r="K1210" s="29">
        <f>SUM(V1204:V1211)</f>
        <v>411.42</v>
      </c>
      <c r="L1210" s="31"/>
    </row>
    <row r="1211" spans="1:26" ht="14.25" x14ac:dyDescent="0.2">
      <c r="A1211" s="46"/>
      <c r="B1211" s="47"/>
      <c r="C1211" s="47" t="s">
        <v>1935</v>
      </c>
      <c r="D1211" s="34" t="s">
        <v>1936</v>
      </c>
      <c r="E1211" s="35">
        <f>Source!AQ615</f>
        <v>110</v>
      </c>
      <c r="F1211" s="36"/>
      <c r="G1211" s="37" t="str">
        <f>Source!DI615</f>
        <v/>
      </c>
      <c r="H1211" s="36"/>
      <c r="I1211" s="37"/>
      <c r="J1211" s="37"/>
      <c r="K1211" s="36"/>
      <c r="L1211" s="38">
        <f>Source!U615</f>
        <v>15.400000000000002</v>
      </c>
    </row>
    <row r="1212" spans="1:26" ht="15" x14ac:dyDescent="0.25">
      <c r="G1212" s="63">
        <f>H1206+H1207+H1209+H1210</f>
        <v>286.53999999999996</v>
      </c>
      <c r="H1212" s="63"/>
      <c r="J1212" s="63">
        <f>K1206+K1207+K1209+K1210</f>
        <v>1879.6799999999998</v>
      </c>
      <c r="K1212" s="63"/>
      <c r="L1212" s="39">
        <f>Source!U615</f>
        <v>15.400000000000002</v>
      </c>
      <c r="O1212" s="24">
        <f>G1212</f>
        <v>286.53999999999996</v>
      </c>
      <c r="P1212" s="24">
        <f>J1212</f>
        <v>1879.6799999999998</v>
      </c>
      <c r="Q1212" s="24">
        <f>L1212</f>
        <v>15.400000000000002</v>
      </c>
      <c r="W1212">
        <f>IF(Source!BI615&lt;=1,H1206+H1207+H1209+H1210, 0)</f>
        <v>286.53999999999996</v>
      </c>
      <c r="X1212">
        <f>IF(Source!BI615=2,H1206+H1207+H1209+H1210, 0)</f>
        <v>0</v>
      </c>
      <c r="Y1212">
        <f>IF(Source!BI615=3,H1206+H1207+H1209+H1210, 0)</f>
        <v>0</v>
      </c>
      <c r="Z1212">
        <f>IF(Source!BI615=4,H1206+H1207+H1209+H1210, 0)</f>
        <v>0</v>
      </c>
    </row>
    <row r="1213" spans="1:26" ht="42.75" x14ac:dyDescent="0.2">
      <c r="A1213" s="44" t="str">
        <f>Source!E616</f>
        <v>116</v>
      </c>
      <c r="B1213" s="45" t="str">
        <f>Source!F616</f>
        <v>65-1-1</v>
      </c>
      <c r="C1213" s="45" t="str">
        <f>Source!G616</f>
        <v>Разборка трубопроводов из водогазопроводных труб диаметром до 32 мм</v>
      </c>
      <c r="D1213" s="28" t="str">
        <f>Source!H616</f>
        <v>100 м</v>
      </c>
      <c r="E1213" s="11">
        <f>Source!I616</f>
        <v>1.84</v>
      </c>
      <c r="F1213" s="29">
        <f>Source!AL616+Source!AM616+Source!AO616</f>
        <v>328.71</v>
      </c>
      <c r="G1213" s="30"/>
      <c r="H1213" s="29"/>
      <c r="I1213" s="30" t="str">
        <f>Source!BO616</f>
        <v/>
      </c>
      <c r="J1213" s="30"/>
      <c r="K1213" s="29"/>
      <c r="L1213" s="31"/>
      <c r="S1213">
        <f>ROUND((Source!FX616/100)*((ROUND(Source!AF616*Source!I616, 2)+ROUND(Source!AE616*Source!I616, 2))), 2)</f>
        <v>394.01</v>
      </c>
      <c r="T1213">
        <f>Source!X616</f>
        <v>2584.69</v>
      </c>
      <c r="U1213">
        <f>ROUND((Source!FY616/100)*((ROUND(Source!AF616*Source!I616, 2)+ROUND(Source!AE616*Source!I616, 2))), 2)</f>
        <v>266.22000000000003</v>
      </c>
      <c r="V1213">
        <f>Source!Y616</f>
        <v>1746.41</v>
      </c>
    </row>
    <row r="1214" spans="1:26" x14ac:dyDescent="0.2">
      <c r="C1214" s="23" t="str">
        <f>"Объем: "&amp;Source!I616&amp;"=184/"&amp;"100"</f>
        <v>Объем: 1,84=184/100</v>
      </c>
    </row>
    <row r="1215" spans="1:26" ht="14.25" x14ac:dyDescent="0.2">
      <c r="A1215" s="44"/>
      <c r="B1215" s="45"/>
      <c r="C1215" s="45" t="s">
        <v>1930</v>
      </c>
      <c r="D1215" s="28"/>
      <c r="E1215" s="11"/>
      <c r="F1215" s="29">
        <f>Source!AO616</f>
        <v>288.02</v>
      </c>
      <c r="G1215" s="30" t="str">
        <f>Source!DG616</f>
        <v/>
      </c>
      <c r="H1215" s="29">
        <f>ROUND(Source!AF616*Source!I616, 2)</f>
        <v>529.96</v>
      </c>
      <c r="I1215" s="30"/>
      <c r="J1215" s="30">
        <f>IF(Source!BA616&lt;&gt; 0, Source!BA616, 1)</f>
        <v>6.56</v>
      </c>
      <c r="K1215" s="29">
        <f>Source!S616</f>
        <v>3476.52</v>
      </c>
      <c r="L1215" s="31"/>
      <c r="R1215">
        <f>H1215</f>
        <v>529.96</v>
      </c>
    </row>
    <row r="1216" spans="1:26" ht="14.25" x14ac:dyDescent="0.2">
      <c r="A1216" s="44"/>
      <c r="B1216" s="45"/>
      <c r="C1216" s="45" t="s">
        <v>151</v>
      </c>
      <c r="D1216" s="28"/>
      <c r="E1216" s="11"/>
      <c r="F1216" s="29">
        <f>Source!AM616</f>
        <v>7.09</v>
      </c>
      <c r="G1216" s="30" t="str">
        <f>Source!DE616</f>
        <v/>
      </c>
      <c r="H1216" s="29">
        <f>ROUND(Source!AD616*Source!I616, 2)</f>
        <v>13.05</v>
      </c>
      <c r="I1216" s="30"/>
      <c r="J1216" s="30">
        <f>IF(Source!BB616&lt;&gt; 0, Source!BB616, 1)</f>
        <v>6.56</v>
      </c>
      <c r="K1216" s="29">
        <f>Source!Q616</f>
        <v>85.58</v>
      </c>
      <c r="L1216" s="31"/>
    </row>
    <row r="1217" spans="1:26" ht="14.25" x14ac:dyDescent="0.2">
      <c r="A1217" s="44"/>
      <c r="B1217" s="45"/>
      <c r="C1217" s="45" t="s">
        <v>1931</v>
      </c>
      <c r="D1217" s="28"/>
      <c r="E1217" s="11"/>
      <c r="F1217" s="29">
        <f>Source!AN616</f>
        <v>1.35</v>
      </c>
      <c r="G1217" s="30" t="str">
        <f>Source!DF616</f>
        <v/>
      </c>
      <c r="H1217" s="32">
        <f>ROUND(Source!AE616*Source!I616, 2)</f>
        <v>2.48</v>
      </c>
      <c r="I1217" s="30"/>
      <c r="J1217" s="30">
        <f>IF(Source!BS616&lt;&gt; 0, Source!BS616, 1)</f>
        <v>6.56</v>
      </c>
      <c r="K1217" s="32">
        <f>Source!R616</f>
        <v>16.3</v>
      </c>
      <c r="L1217" s="31"/>
      <c r="R1217">
        <f>H1217</f>
        <v>2.48</v>
      </c>
    </row>
    <row r="1218" spans="1:26" ht="14.25" x14ac:dyDescent="0.2">
      <c r="A1218" s="44"/>
      <c r="B1218" s="45"/>
      <c r="C1218" s="45" t="s">
        <v>1932</v>
      </c>
      <c r="D1218" s="28" t="s">
        <v>1933</v>
      </c>
      <c r="E1218" s="11">
        <f>Source!BZ616</f>
        <v>74</v>
      </c>
      <c r="F1218" s="48"/>
      <c r="G1218" s="30"/>
      <c r="H1218" s="29">
        <f>SUM(S1213:S1220)</f>
        <v>394.01</v>
      </c>
      <c r="I1218" s="33"/>
      <c r="J1218" s="26">
        <f>Source!AT616</f>
        <v>74</v>
      </c>
      <c r="K1218" s="29">
        <f>SUM(T1213:T1220)</f>
        <v>2584.69</v>
      </c>
      <c r="L1218" s="31"/>
    </row>
    <row r="1219" spans="1:26" ht="14.25" x14ac:dyDescent="0.2">
      <c r="A1219" s="44"/>
      <c r="B1219" s="45"/>
      <c r="C1219" s="45" t="s">
        <v>1934</v>
      </c>
      <c r="D1219" s="28" t="s">
        <v>1933</v>
      </c>
      <c r="E1219" s="11">
        <f>Source!CA616</f>
        <v>50</v>
      </c>
      <c r="F1219" s="48"/>
      <c r="G1219" s="30"/>
      <c r="H1219" s="29">
        <f>SUM(U1213:U1220)</f>
        <v>266.22000000000003</v>
      </c>
      <c r="I1219" s="33"/>
      <c r="J1219" s="26">
        <f>Source!AU616</f>
        <v>50</v>
      </c>
      <c r="K1219" s="29">
        <f>SUM(V1213:V1220)</f>
        <v>1746.41</v>
      </c>
      <c r="L1219" s="31"/>
    </row>
    <row r="1220" spans="1:26" ht="14.25" x14ac:dyDescent="0.2">
      <c r="A1220" s="46"/>
      <c r="B1220" s="47"/>
      <c r="C1220" s="47" t="s">
        <v>1935</v>
      </c>
      <c r="D1220" s="34" t="s">
        <v>1936</v>
      </c>
      <c r="E1220" s="35">
        <f>Source!AQ616</f>
        <v>34.659999999999997</v>
      </c>
      <c r="F1220" s="36"/>
      <c r="G1220" s="37" t="str">
        <f>Source!DI616</f>
        <v/>
      </c>
      <c r="H1220" s="36"/>
      <c r="I1220" s="37"/>
      <c r="J1220" s="37"/>
      <c r="K1220" s="36"/>
      <c r="L1220" s="38">
        <f>Source!U616</f>
        <v>63.7744</v>
      </c>
    </row>
    <row r="1221" spans="1:26" ht="15" x14ac:dyDescent="0.25">
      <c r="G1221" s="63">
        <f>H1215+H1216+H1218+H1219</f>
        <v>1203.24</v>
      </c>
      <c r="H1221" s="63"/>
      <c r="J1221" s="63">
        <f>K1215+K1216+K1218+K1219</f>
        <v>7893.2</v>
      </c>
      <c r="K1221" s="63"/>
      <c r="L1221" s="39">
        <f>Source!U616</f>
        <v>63.7744</v>
      </c>
      <c r="O1221" s="24">
        <f>G1221</f>
        <v>1203.24</v>
      </c>
      <c r="P1221" s="24">
        <f>J1221</f>
        <v>7893.2</v>
      </c>
      <c r="Q1221" s="24">
        <f>L1221</f>
        <v>63.7744</v>
      </c>
      <c r="W1221">
        <f>IF(Source!BI616&lt;=1,H1215+H1216+H1218+H1219, 0)</f>
        <v>1203.24</v>
      </c>
      <c r="X1221">
        <f>IF(Source!BI616=2,H1215+H1216+H1218+H1219, 0)</f>
        <v>0</v>
      </c>
      <c r="Y1221">
        <f>IF(Source!BI616=3,H1215+H1216+H1218+H1219, 0)</f>
        <v>0</v>
      </c>
      <c r="Z1221">
        <f>IF(Source!BI616=4,H1215+H1216+H1218+H1219, 0)</f>
        <v>0</v>
      </c>
    </row>
    <row r="1222" spans="1:26" ht="28.5" x14ac:dyDescent="0.2">
      <c r="A1222" s="44" t="str">
        <f>Source!E617</f>
        <v>117</v>
      </c>
      <c r="B1222" s="45" t="str">
        <f>Source!F617</f>
        <v>18-03-001-02</v>
      </c>
      <c r="C1222" s="45" t="str">
        <f>Source!G617</f>
        <v>Установка радиаторов стальных</v>
      </c>
      <c r="D1222" s="28" t="str">
        <f>Source!H617</f>
        <v>100 квт</v>
      </c>
      <c r="E1222" s="11">
        <f>Source!I617</f>
        <v>0.47849999999999998</v>
      </c>
      <c r="F1222" s="29">
        <f>Source!AL617+Source!AM617+Source!AO617</f>
        <v>1942.27</v>
      </c>
      <c r="G1222" s="30"/>
      <c r="H1222" s="29"/>
      <c r="I1222" s="30" t="str">
        <f>Source!BO617</f>
        <v/>
      </c>
      <c r="J1222" s="30"/>
      <c r="K1222" s="29"/>
      <c r="L1222" s="31"/>
      <c r="S1222">
        <f>ROUND((Source!FX617/100)*((ROUND(Source!AF617*Source!I617, 2)+ROUND(Source!AE617*Source!I617, 2))), 2)</f>
        <v>399.72</v>
      </c>
      <c r="T1222">
        <f>Source!X617</f>
        <v>2617.5700000000002</v>
      </c>
      <c r="U1222">
        <f>ROUND((Source!FY617/100)*((ROUND(Source!AF617*Source!I617, 2)+ROUND(Source!AE617*Source!I617, 2))), 2)</f>
        <v>244.79</v>
      </c>
      <c r="V1222">
        <f>Source!Y617</f>
        <v>1616.07</v>
      </c>
    </row>
    <row r="1223" spans="1:26" x14ac:dyDescent="0.2">
      <c r="C1223" s="23" t="str">
        <f>"Объем: "&amp;Source!I617&amp;"=47,85/"&amp;"100"</f>
        <v>Объем: 0,4785=47,85/100</v>
      </c>
    </row>
    <row r="1224" spans="1:26" ht="14.25" x14ac:dyDescent="0.2">
      <c r="A1224" s="44"/>
      <c r="B1224" s="45"/>
      <c r="C1224" s="45" t="s">
        <v>1930</v>
      </c>
      <c r="D1224" s="28"/>
      <c r="E1224" s="11"/>
      <c r="F1224" s="29">
        <f>Source!AO617</f>
        <v>588.42999999999995</v>
      </c>
      <c r="G1224" s="30" t="str">
        <f>Source!DG617</f>
        <v>)*1,15</v>
      </c>
      <c r="H1224" s="29">
        <f>ROUND(Source!AF617*Source!I617, 2)</f>
        <v>323.8</v>
      </c>
      <c r="I1224" s="30"/>
      <c r="J1224" s="30">
        <f>IF(Source!BA617&lt;&gt; 0, Source!BA617, 1)</f>
        <v>6.56</v>
      </c>
      <c r="K1224" s="29">
        <f>Source!S617</f>
        <v>2124.1</v>
      </c>
      <c r="L1224" s="31"/>
      <c r="R1224">
        <f>H1224</f>
        <v>323.8</v>
      </c>
    </row>
    <row r="1225" spans="1:26" ht="14.25" x14ac:dyDescent="0.2">
      <c r="A1225" s="44"/>
      <c r="B1225" s="45"/>
      <c r="C1225" s="45" t="s">
        <v>151</v>
      </c>
      <c r="D1225" s="28"/>
      <c r="E1225" s="11"/>
      <c r="F1225" s="29">
        <f>Source!AM617</f>
        <v>192.58</v>
      </c>
      <c r="G1225" s="30" t="str">
        <f>Source!DE617</f>
        <v>)*1,25</v>
      </c>
      <c r="H1225" s="29">
        <f>ROUND(Source!AD617*Source!I617, 2)</f>
        <v>115.19</v>
      </c>
      <c r="I1225" s="30"/>
      <c r="J1225" s="30">
        <f>IF(Source!BB617&lt;&gt; 0, Source!BB617, 1)</f>
        <v>6.56</v>
      </c>
      <c r="K1225" s="29">
        <f>Source!Q617</f>
        <v>755.64</v>
      </c>
      <c r="L1225" s="31"/>
    </row>
    <row r="1226" spans="1:26" ht="14.25" x14ac:dyDescent="0.2">
      <c r="A1226" s="44"/>
      <c r="B1226" s="45"/>
      <c r="C1226" s="45" t="s">
        <v>1931</v>
      </c>
      <c r="D1226" s="28"/>
      <c r="E1226" s="11"/>
      <c r="F1226" s="29">
        <f>Source!AN617</f>
        <v>38.75</v>
      </c>
      <c r="G1226" s="30" t="str">
        <f>Source!DF617</f>
        <v>)*1,25</v>
      </c>
      <c r="H1226" s="32">
        <f>ROUND(Source!AE617*Source!I617, 2)</f>
        <v>23.18</v>
      </c>
      <c r="I1226" s="30"/>
      <c r="J1226" s="30">
        <f>IF(Source!BS617&lt;&gt; 0, Source!BS617, 1)</f>
        <v>6.56</v>
      </c>
      <c r="K1226" s="32">
        <f>Source!R617</f>
        <v>152.05000000000001</v>
      </c>
      <c r="L1226" s="31"/>
      <c r="R1226">
        <f>H1226</f>
        <v>23.18</v>
      </c>
    </row>
    <row r="1227" spans="1:26" ht="14.25" x14ac:dyDescent="0.2">
      <c r="A1227" s="44"/>
      <c r="B1227" s="45"/>
      <c r="C1227" s="45" t="s">
        <v>1937</v>
      </c>
      <c r="D1227" s="28"/>
      <c r="E1227" s="11"/>
      <c r="F1227" s="29">
        <f>Source!AL617</f>
        <v>1161.26</v>
      </c>
      <c r="G1227" s="30" t="str">
        <f>Source!DD617</f>
        <v/>
      </c>
      <c r="H1227" s="29">
        <f>ROUND(Source!AC617*Source!I617, 2)</f>
        <v>555.66</v>
      </c>
      <c r="I1227" s="30"/>
      <c r="J1227" s="30">
        <f>IF(Source!BC617&lt;&gt; 0, Source!BC617, 1)</f>
        <v>6.56</v>
      </c>
      <c r="K1227" s="29">
        <f>Source!P617</f>
        <v>3645.15</v>
      </c>
      <c r="L1227" s="31"/>
    </row>
    <row r="1228" spans="1:26" ht="14.25" x14ac:dyDescent="0.2">
      <c r="A1228" s="44"/>
      <c r="B1228" s="45"/>
      <c r="C1228" s="45" t="s">
        <v>1932</v>
      </c>
      <c r="D1228" s="28" t="s">
        <v>1933</v>
      </c>
      <c r="E1228" s="11">
        <f>Source!BZ617</f>
        <v>128</v>
      </c>
      <c r="F1228" s="64" t="str">
        <f>CONCATENATE(" )", Source!DL617, Source!FT617, "=", Source!FX617)</f>
        <v xml:space="preserve"> )*0,9=115,2</v>
      </c>
      <c r="G1228" s="65"/>
      <c r="H1228" s="29">
        <f>SUM(S1222:S1234)</f>
        <v>399.72</v>
      </c>
      <c r="I1228" s="33"/>
      <c r="J1228" s="26">
        <f>Source!AT617</f>
        <v>115</v>
      </c>
      <c r="K1228" s="29">
        <f>SUM(T1222:T1234)</f>
        <v>2617.5700000000002</v>
      </c>
      <c r="L1228" s="31"/>
    </row>
    <row r="1229" spans="1:26" ht="14.25" x14ac:dyDescent="0.2">
      <c r="A1229" s="44"/>
      <c r="B1229" s="45"/>
      <c r="C1229" s="45" t="s">
        <v>1934</v>
      </c>
      <c r="D1229" s="28" t="s">
        <v>1933</v>
      </c>
      <c r="E1229" s="11">
        <f>Source!CA617</f>
        <v>83</v>
      </c>
      <c r="F1229" s="64" t="str">
        <f>CONCATENATE(" )", Source!DM617, Source!FU617, "=", Source!FY617)</f>
        <v xml:space="preserve"> )*0,85=70,55</v>
      </c>
      <c r="G1229" s="65"/>
      <c r="H1229" s="29">
        <f>SUM(U1222:U1234)</f>
        <v>244.79</v>
      </c>
      <c r="I1229" s="33"/>
      <c r="J1229" s="26">
        <f>Source!AU617</f>
        <v>71</v>
      </c>
      <c r="K1229" s="29">
        <f>SUM(V1222:V1234)</f>
        <v>1616.07</v>
      </c>
      <c r="L1229" s="31"/>
    </row>
    <row r="1230" spans="1:26" ht="14.25" x14ac:dyDescent="0.2">
      <c r="A1230" s="44"/>
      <c r="B1230" s="45"/>
      <c r="C1230" s="45" t="s">
        <v>1935</v>
      </c>
      <c r="D1230" s="28" t="s">
        <v>1936</v>
      </c>
      <c r="E1230" s="11">
        <f>Source!AQ617</f>
        <v>65.599999999999994</v>
      </c>
      <c r="F1230" s="29"/>
      <c r="G1230" s="30" t="str">
        <f>Source!DI617</f>
        <v>)*1,15</v>
      </c>
      <c r="H1230" s="29"/>
      <c r="I1230" s="30"/>
      <c r="J1230" s="30"/>
      <c r="K1230" s="29"/>
      <c r="L1230" s="40">
        <f>Source!U617</f>
        <v>36.09803999999999</v>
      </c>
    </row>
    <row r="1231" spans="1:26" ht="42.75" x14ac:dyDescent="0.2">
      <c r="A1231" s="44" t="str">
        <f>Source!E618</f>
        <v>117,1</v>
      </c>
      <c r="B1231" s="45" t="str">
        <f>Source!F618</f>
        <v>18.5.10.05-0008</v>
      </c>
      <c r="C1231" s="45" t="str">
        <f>Source!G618</f>
        <v>Радиаторы биметаллические, марка «Rifar-Монолит A 500», количество секций 10, мощность 1650 Втприм.</v>
      </c>
      <c r="D1231" s="28" t="str">
        <f>Source!H618</f>
        <v>шт.</v>
      </c>
      <c r="E1231" s="11">
        <f>Source!I618</f>
        <v>13</v>
      </c>
      <c r="F1231" s="29">
        <f>Source!AL618+Source!AM618+Source!AO618</f>
        <v>1367</v>
      </c>
      <c r="G1231" s="41" t="s">
        <v>6</v>
      </c>
      <c r="H1231" s="29">
        <f>ROUND(Source!AC618*Source!I618, 2)+ROUND(Source!AD618*Source!I618, 2)+ROUND(Source!AF618*Source!I618, 2)</f>
        <v>17771</v>
      </c>
      <c r="I1231" s="30"/>
      <c r="J1231" s="30">
        <f>IF(Source!BC618&lt;&gt; 0, Source!BC618, 1)</f>
        <v>6.56</v>
      </c>
      <c r="K1231" s="29">
        <f>Source!O618</f>
        <v>116577.76</v>
      </c>
      <c r="L1231" s="31"/>
      <c r="S1231">
        <f>ROUND((Source!FX618/100)*((ROUND(Source!AF618*Source!I618, 2)+ROUND(Source!AE618*Source!I618, 2))), 2)</f>
        <v>0</v>
      </c>
      <c r="T1231">
        <f>Source!X618</f>
        <v>0</v>
      </c>
      <c r="U1231">
        <f>ROUND((Source!FY618/100)*((ROUND(Source!AF618*Source!I618, 2)+ROUND(Source!AE618*Source!I618, 2))), 2)</f>
        <v>0</v>
      </c>
      <c r="V1231">
        <f>Source!Y618</f>
        <v>0</v>
      </c>
      <c r="W1231">
        <f>IF(Source!BI618&lt;=1,H1231, 0)</f>
        <v>17771</v>
      </c>
      <c r="X1231">
        <f>IF(Source!BI618=2,H1231, 0)</f>
        <v>0</v>
      </c>
      <c r="Y1231">
        <f>IF(Source!BI618=3,H1231, 0)</f>
        <v>0</v>
      </c>
      <c r="Z1231">
        <f>IF(Source!BI618=4,H1231, 0)</f>
        <v>0</v>
      </c>
    </row>
    <row r="1232" spans="1:26" ht="42.75" x14ac:dyDescent="0.2">
      <c r="A1232" s="44" t="str">
        <f>Source!E619</f>
        <v>117,2</v>
      </c>
      <c r="B1232" s="45" t="str">
        <f>Source!F619</f>
        <v>18.5.10.05-0006</v>
      </c>
      <c r="C1232" s="45" t="str">
        <f>Source!G619</f>
        <v>Радиаторы биметаллические, марка «Rifar-Монолит A 500», количество секций 8, мощность 1320 Вт прим.</v>
      </c>
      <c r="D1232" s="28" t="str">
        <f>Source!H619</f>
        <v>шт.</v>
      </c>
      <c r="E1232" s="11">
        <f>Source!I619</f>
        <v>3.9999999999999996</v>
      </c>
      <c r="F1232" s="29">
        <f>Source!AL619+Source!AM619+Source!AO619</f>
        <v>1093.5999999999999</v>
      </c>
      <c r="G1232" s="41" t="s">
        <v>6</v>
      </c>
      <c r="H1232" s="29">
        <f>ROUND(Source!AC619*Source!I619, 2)+ROUND(Source!AD619*Source!I619, 2)+ROUND(Source!AF619*Source!I619, 2)</f>
        <v>4374.3999999999996</v>
      </c>
      <c r="I1232" s="30"/>
      <c r="J1232" s="30">
        <f>IF(Source!BC619&lt;&gt; 0, Source!BC619, 1)</f>
        <v>6.56</v>
      </c>
      <c r="K1232" s="29">
        <f>Source!O619</f>
        <v>28696.06</v>
      </c>
      <c r="L1232" s="31"/>
      <c r="S1232">
        <f>ROUND((Source!FX619/100)*((ROUND(Source!AF619*Source!I619, 2)+ROUND(Source!AE619*Source!I619, 2))), 2)</f>
        <v>0</v>
      </c>
      <c r="T1232">
        <f>Source!X619</f>
        <v>0</v>
      </c>
      <c r="U1232">
        <f>ROUND((Source!FY619/100)*((ROUND(Source!AF619*Source!I619, 2)+ROUND(Source!AE619*Source!I619, 2))), 2)</f>
        <v>0</v>
      </c>
      <c r="V1232">
        <f>Source!Y619</f>
        <v>0</v>
      </c>
      <c r="W1232">
        <f>IF(Source!BI619&lt;=1,H1232, 0)</f>
        <v>4374.3999999999996</v>
      </c>
      <c r="X1232">
        <f>IF(Source!BI619=2,H1232, 0)</f>
        <v>0</v>
      </c>
      <c r="Y1232">
        <f>IF(Source!BI619=3,H1232, 0)</f>
        <v>0</v>
      </c>
      <c r="Z1232">
        <f>IF(Source!BI619=4,H1232, 0)</f>
        <v>0</v>
      </c>
    </row>
    <row r="1233" spans="1:26" ht="42.75" x14ac:dyDescent="0.2">
      <c r="A1233" s="44" t="str">
        <f>Source!E620</f>
        <v>117,3</v>
      </c>
      <c r="B1233" s="45" t="str">
        <f>Source!F620</f>
        <v>18.5.10.05-0009</v>
      </c>
      <c r="C1233" s="45" t="str">
        <f>Source!G620</f>
        <v>Радиаторы биметаллические, марка «Rifar-Монолит A 500», количество секций 14, мощность 1815 Вт прим.</v>
      </c>
      <c r="D1233" s="28" t="str">
        <f>Source!H620</f>
        <v>шт.</v>
      </c>
      <c r="E1233" s="11">
        <f>Source!I620</f>
        <v>9</v>
      </c>
      <c r="F1233" s="29">
        <f>Source!AL620+Source!AM620+Source!AO620</f>
        <v>1503.69</v>
      </c>
      <c r="G1233" s="41" t="s">
        <v>6</v>
      </c>
      <c r="H1233" s="29">
        <f>ROUND(Source!AC620*Source!I620, 2)+ROUND(Source!AD620*Source!I620, 2)+ROUND(Source!AF620*Source!I620, 2)</f>
        <v>13533.21</v>
      </c>
      <c r="I1233" s="30"/>
      <c r="J1233" s="30">
        <f>IF(Source!BC620&lt;&gt; 0, Source!BC620, 1)</f>
        <v>6.56</v>
      </c>
      <c r="K1233" s="29">
        <f>Source!O620</f>
        <v>88777.86</v>
      </c>
      <c r="L1233" s="31"/>
      <c r="S1233">
        <f>ROUND((Source!FX620/100)*((ROUND(Source!AF620*Source!I620, 2)+ROUND(Source!AE620*Source!I620, 2))), 2)</f>
        <v>0</v>
      </c>
      <c r="T1233">
        <f>Source!X620</f>
        <v>0</v>
      </c>
      <c r="U1233">
        <f>ROUND((Source!FY620/100)*((ROUND(Source!AF620*Source!I620, 2)+ROUND(Source!AE620*Source!I620, 2))), 2)</f>
        <v>0</v>
      </c>
      <c r="V1233">
        <f>Source!Y620</f>
        <v>0</v>
      </c>
      <c r="W1233">
        <f>IF(Source!BI620&lt;=1,H1233, 0)</f>
        <v>13533.21</v>
      </c>
      <c r="X1233">
        <f>IF(Source!BI620=2,H1233, 0)</f>
        <v>0</v>
      </c>
      <c r="Y1233">
        <f>IF(Source!BI620=3,H1233, 0)</f>
        <v>0</v>
      </c>
      <c r="Z1233">
        <f>IF(Source!BI620=4,H1233, 0)</f>
        <v>0</v>
      </c>
    </row>
    <row r="1234" spans="1:26" ht="14.25" x14ac:dyDescent="0.2">
      <c r="A1234" s="46" t="str">
        <f>Source!E621</f>
        <v>117,4</v>
      </c>
      <c r="B1234" s="47" t="str">
        <f>Source!F621</f>
        <v>18.5.10.06</v>
      </c>
      <c r="C1234" s="47" t="str">
        <f>Source!G621</f>
        <v>Радиаторы</v>
      </c>
      <c r="D1234" s="34" t="str">
        <f>Source!H621</f>
        <v>квт</v>
      </c>
      <c r="E1234" s="35">
        <f>Source!I621</f>
        <v>47.85</v>
      </c>
      <c r="F1234" s="36">
        <f>Source!AL621+Source!AM621+Source!AO621</f>
        <v>0</v>
      </c>
      <c r="G1234" s="42" t="s">
        <v>6</v>
      </c>
      <c r="H1234" s="36">
        <f>ROUND(Source!AC621*Source!I621, 2)+ROUND(Source!AD621*Source!I621, 2)+ROUND(Source!AF621*Source!I621, 2)</f>
        <v>0</v>
      </c>
      <c r="I1234" s="37"/>
      <c r="J1234" s="37">
        <f>IF(Source!BC621&lt;&gt; 0, Source!BC621, 1)</f>
        <v>6.56</v>
      </c>
      <c r="K1234" s="36">
        <f>Source!O621</f>
        <v>0</v>
      </c>
      <c r="L1234" s="43"/>
      <c r="S1234">
        <f>ROUND((Source!FX621/100)*((ROUND(Source!AF621*Source!I621, 2)+ROUND(Source!AE621*Source!I621, 2))), 2)</f>
        <v>0</v>
      </c>
      <c r="T1234">
        <f>Source!X621</f>
        <v>0</v>
      </c>
      <c r="U1234">
        <f>ROUND((Source!FY621/100)*((ROUND(Source!AF621*Source!I621, 2)+ROUND(Source!AE621*Source!I621, 2))), 2)</f>
        <v>0</v>
      </c>
      <c r="V1234">
        <f>Source!Y621</f>
        <v>0</v>
      </c>
      <c r="W1234">
        <f>IF(Source!BI621&lt;=1,H1234, 0)</f>
        <v>0</v>
      </c>
      <c r="X1234">
        <f>IF(Source!BI621=2,H1234, 0)</f>
        <v>0</v>
      </c>
      <c r="Y1234">
        <f>IF(Source!BI621=3,H1234, 0)</f>
        <v>0</v>
      </c>
      <c r="Z1234">
        <f>IF(Source!BI621=4,H1234, 0)</f>
        <v>0</v>
      </c>
    </row>
    <row r="1235" spans="1:26" ht="15" x14ac:dyDescent="0.25">
      <c r="G1235" s="63">
        <f>H1224+H1225+H1227+H1228+H1229+SUM(H1231:H1234)</f>
        <v>37317.770000000004</v>
      </c>
      <c r="H1235" s="63"/>
      <c r="J1235" s="63">
        <f>K1224+K1225+K1227+K1228+K1229+SUM(K1231:K1234)</f>
        <v>244810.21</v>
      </c>
      <c r="K1235" s="63"/>
      <c r="L1235" s="39">
        <f>Source!U617</f>
        <v>36.09803999999999</v>
      </c>
      <c r="O1235" s="24">
        <f>G1235</f>
        <v>37317.770000000004</v>
      </c>
      <c r="P1235" s="24">
        <f>J1235</f>
        <v>244810.21</v>
      </c>
      <c r="Q1235" s="24">
        <f>L1235</f>
        <v>36.09803999999999</v>
      </c>
      <c r="W1235">
        <f>IF(Source!BI617&lt;=1,H1224+H1225+H1227+H1228+H1229, 0)</f>
        <v>1639.1599999999999</v>
      </c>
      <c r="X1235">
        <f>IF(Source!BI617=2,H1224+H1225+H1227+H1228+H1229, 0)</f>
        <v>0</v>
      </c>
      <c r="Y1235">
        <f>IF(Source!BI617=3,H1224+H1225+H1227+H1228+H1229, 0)</f>
        <v>0</v>
      </c>
      <c r="Z1235">
        <f>IF(Source!BI617=4,H1224+H1225+H1227+H1228+H1229, 0)</f>
        <v>0</v>
      </c>
    </row>
    <row r="1236" spans="1:26" ht="57" x14ac:dyDescent="0.2">
      <c r="A1236" s="44" t="str">
        <f>Source!E622</f>
        <v>118</v>
      </c>
      <c r="B1236" s="45" t="str">
        <f>Source!F622</f>
        <v>16-02-001-02</v>
      </c>
      <c r="C1236" s="45" t="str">
        <f>Source!G622</f>
        <v>Прокладка трубопроводов отопления из стальных водогазопроводных неоцинкованных труб диаметром 20 мм</v>
      </c>
      <c r="D1236" s="28" t="str">
        <f>Source!H622</f>
        <v>100 м</v>
      </c>
      <c r="E1236" s="11">
        <f>Source!I622</f>
        <v>2</v>
      </c>
      <c r="F1236" s="29">
        <f>Source!AL622+Source!AM622+Source!AO622</f>
        <v>383.57000000000005</v>
      </c>
      <c r="G1236" s="30"/>
      <c r="H1236" s="29"/>
      <c r="I1236" s="30" t="str">
        <f>Source!BO622</f>
        <v/>
      </c>
      <c r="J1236" s="30"/>
      <c r="K1236" s="29"/>
      <c r="L1236" s="31"/>
      <c r="S1236">
        <f>ROUND((Source!FX622/100)*((ROUND(Source!AF622*Source!I622, 2)+ROUND(Source!AE622*Source!I622, 2))), 2)</f>
        <v>857.92</v>
      </c>
      <c r="T1236">
        <f>Source!X622</f>
        <v>5618.16</v>
      </c>
      <c r="U1236">
        <f>ROUND((Source!FY622/100)*((ROUND(Source!AF622*Source!I622, 2)+ROUND(Source!AE622*Source!I622, 2))), 2)</f>
        <v>525.4</v>
      </c>
      <c r="V1236">
        <f>Source!Y622</f>
        <v>3468.61</v>
      </c>
    </row>
    <row r="1237" spans="1:26" x14ac:dyDescent="0.2">
      <c r="C1237" s="23" t="str">
        <f>"Объем: "&amp;Source!I622&amp;"=200/"&amp;"100"</f>
        <v>Объем: 2=200/100</v>
      </c>
    </row>
    <row r="1238" spans="1:26" ht="14.25" x14ac:dyDescent="0.2">
      <c r="A1238" s="44"/>
      <c r="B1238" s="45"/>
      <c r="C1238" s="45" t="s">
        <v>1930</v>
      </c>
      <c r="D1238" s="28"/>
      <c r="E1238" s="11"/>
      <c r="F1238" s="29">
        <f>Source!AO622</f>
        <v>317.17</v>
      </c>
      <c r="G1238" s="30" t="str">
        <f>Source!DG622</f>
        <v>)*1,15</v>
      </c>
      <c r="H1238" s="29">
        <f>ROUND(Source!AF622*Source!I622, 2)</f>
        <v>729.5</v>
      </c>
      <c r="I1238" s="30"/>
      <c r="J1238" s="30">
        <f>IF(Source!BA622&lt;&gt; 0, Source!BA622, 1)</f>
        <v>6.56</v>
      </c>
      <c r="K1238" s="29">
        <f>Source!S622</f>
        <v>4785.5200000000004</v>
      </c>
      <c r="L1238" s="31"/>
      <c r="R1238">
        <f>H1238</f>
        <v>729.5</v>
      </c>
    </row>
    <row r="1239" spans="1:26" ht="14.25" x14ac:dyDescent="0.2">
      <c r="A1239" s="44"/>
      <c r="B1239" s="45"/>
      <c r="C1239" s="45" t="s">
        <v>151</v>
      </c>
      <c r="D1239" s="28"/>
      <c r="E1239" s="11"/>
      <c r="F1239" s="29">
        <f>Source!AM622</f>
        <v>39.130000000000003</v>
      </c>
      <c r="G1239" s="30" t="str">
        <f>Source!DE622</f>
        <v>)*1,25</v>
      </c>
      <c r="H1239" s="29">
        <f>ROUND(Source!AD622*Source!I622, 2)</f>
        <v>97.82</v>
      </c>
      <c r="I1239" s="30"/>
      <c r="J1239" s="30">
        <f>IF(Source!BB622&lt;&gt; 0, Source!BB622, 1)</f>
        <v>6.56</v>
      </c>
      <c r="K1239" s="29">
        <f>Source!Q622</f>
        <v>641.70000000000005</v>
      </c>
      <c r="L1239" s="31"/>
    </row>
    <row r="1240" spans="1:26" ht="14.25" x14ac:dyDescent="0.2">
      <c r="A1240" s="44"/>
      <c r="B1240" s="45"/>
      <c r="C1240" s="45" t="s">
        <v>1931</v>
      </c>
      <c r="D1240" s="28"/>
      <c r="E1240" s="11"/>
      <c r="F1240" s="29">
        <f>Source!AN622</f>
        <v>6.09</v>
      </c>
      <c r="G1240" s="30" t="str">
        <f>Source!DF622</f>
        <v>)*1,25</v>
      </c>
      <c r="H1240" s="32">
        <f>ROUND(Source!AE622*Source!I622, 2)</f>
        <v>15.22</v>
      </c>
      <c r="I1240" s="30"/>
      <c r="J1240" s="30">
        <f>IF(Source!BS622&lt;&gt; 0, Source!BS622, 1)</f>
        <v>6.56</v>
      </c>
      <c r="K1240" s="32">
        <f>Source!R622</f>
        <v>99.84</v>
      </c>
      <c r="L1240" s="31"/>
      <c r="R1240">
        <f>H1240</f>
        <v>15.22</v>
      </c>
    </row>
    <row r="1241" spans="1:26" ht="14.25" x14ac:dyDescent="0.2">
      <c r="A1241" s="44"/>
      <c r="B1241" s="45"/>
      <c r="C1241" s="45" t="s">
        <v>1937</v>
      </c>
      <c r="D1241" s="28"/>
      <c r="E1241" s="11"/>
      <c r="F1241" s="29">
        <f>Source!AL622</f>
        <v>27.27</v>
      </c>
      <c r="G1241" s="30" t="str">
        <f>Source!DD622</f>
        <v/>
      </c>
      <c r="H1241" s="29">
        <f>ROUND(Source!AC622*Source!I622, 2)</f>
        <v>54.54</v>
      </c>
      <c r="I1241" s="30"/>
      <c r="J1241" s="30">
        <f>IF(Source!BC622&lt;&gt; 0, Source!BC622, 1)</f>
        <v>6.56</v>
      </c>
      <c r="K1241" s="29">
        <f>Source!P622</f>
        <v>357.78</v>
      </c>
      <c r="L1241" s="31"/>
    </row>
    <row r="1242" spans="1:26" ht="14.25" x14ac:dyDescent="0.2">
      <c r="A1242" s="44"/>
      <c r="B1242" s="45"/>
      <c r="C1242" s="45" t="s">
        <v>1932</v>
      </c>
      <c r="D1242" s="28" t="s">
        <v>1933</v>
      </c>
      <c r="E1242" s="11">
        <f>Source!BZ622</f>
        <v>128</v>
      </c>
      <c r="F1242" s="64" t="str">
        <f>CONCATENATE(" )", Source!DL622, Source!FT622, "=", Source!FX622)</f>
        <v xml:space="preserve"> )*0,9=115,2</v>
      </c>
      <c r="G1242" s="65"/>
      <c r="H1242" s="29">
        <f>SUM(S1236:S1247)</f>
        <v>857.92</v>
      </c>
      <c r="I1242" s="33"/>
      <c r="J1242" s="26">
        <f>Source!AT622</f>
        <v>115</v>
      </c>
      <c r="K1242" s="29">
        <f>SUM(T1236:T1247)</f>
        <v>5618.16</v>
      </c>
      <c r="L1242" s="31"/>
    </row>
    <row r="1243" spans="1:26" ht="14.25" x14ac:dyDescent="0.2">
      <c r="A1243" s="44"/>
      <c r="B1243" s="45"/>
      <c r="C1243" s="45" t="s">
        <v>1934</v>
      </c>
      <c r="D1243" s="28" t="s">
        <v>1933</v>
      </c>
      <c r="E1243" s="11">
        <f>Source!CA622</f>
        <v>83</v>
      </c>
      <c r="F1243" s="64" t="str">
        <f>CONCATENATE(" )", Source!DM622, Source!FU622, "=", Source!FY622)</f>
        <v xml:space="preserve"> )*0,85=70,55</v>
      </c>
      <c r="G1243" s="65"/>
      <c r="H1243" s="29">
        <f>SUM(U1236:U1247)</f>
        <v>525.4</v>
      </c>
      <c r="I1243" s="33"/>
      <c r="J1243" s="26">
        <f>Source!AU622</f>
        <v>71</v>
      </c>
      <c r="K1243" s="29">
        <f>SUM(V1236:V1247)</f>
        <v>3468.61</v>
      </c>
      <c r="L1243" s="31"/>
    </row>
    <row r="1244" spans="1:26" ht="14.25" x14ac:dyDescent="0.2">
      <c r="A1244" s="44"/>
      <c r="B1244" s="45"/>
      <c r="C1244" s="45" t="s">
        <v>1935</v>
      </c>
      <c r="D1244" s="28" t="s">
        <v>1936</v>
      </c>
      <c r="E1244" s="11">
        <f>Source!AQ622</f>
        <v>32.97</v>
      </c>
      <c r="F1244" s="29"/>
      <c r="G1244" s="30" t="str">
        <f>Source!DI622</f>
        <v>)*1,15</v>
      </c>
      <c r="H1244" s="29"/>
      <c r="I1244" s="30"/>
      <c r="J1244" s="30"/>
      <c r="K1244" s="29"/>
      <c r="L1244" s="40">
        <f>Source!U622</f>
        <v>75.830999999999989</v>
      </c>
    </row>
    <row r="1245" spans="1:26" ht="42.75" x14ac:dyDescent="0.2">
      <c r="A1245" s="44" t="str">
        <f>Source!E623</f>
        <v>118,1</v>
      </c>
      <c r="B1245" s="45" t="str">
        <f>Source!F623</f>
        <v>18.1.09.08-0276</v>
      </c>
      <c r="C1245" s="45" t="str">
        <f>Source!G623</f>
        <v>Краны шаровые BUGATTI для воды и пара стандартные ВВ с размером резьбы 3/4"</v>
      </c>
      <c r="D1245" s="28" t="str">
        <f>Source!H623</f>
        <v>шт.</v>
      </c>
      <c r="E1245" s="11">
        <f>Source!I623</f>
        <v>40</v>
      </c>
      <c r="F1245" s="29">
        <f>Source!AL623+Source!AM623+Source!AO623</f>
        <v>41.41</v>
      </c>
      <c r="G1245" s="41" t="s">
        <v>6</v>
      </c>
      <c r="H1245" s="29">
        <f>ROUND(Source!AC623*Source!I623, 2)+ROUND(Source!AD623*Source!I623, 2)+ROUND(Source!AF623*Source!I623, 2)</f>
        <v>1656.4</v>
      </c>
      <c r="I1245" s="30"/>
      <c r="J1245" s="30">
        <f>IF(Source!BC623&lt;&gt; 0, Source!BC623, 1)</f>
        <v>6.56</v>
      </c>
      <c r="K1245" s="29">
        <f>Source!O623</f>
        <v>10865.98</v>
      </c>
      <c r="L1245" s="31"/>
      <c r="S1245">
        <f>ROUND((Source!FX623/100)*((ROUND(Source!AF623*Source!I623, 2)+ROUND(Source!AE623*Source!I623, 2))), 2)</f>
        <v>0</v>
      </c>
      <c r="T1245">
        <f>Source!X623</f>
        <v>0</v>
      </c>
      <c r="U1245">
        <f>ROUND((Source!FY623/100)*((ROUND(Source!AF623*Source!I623, 2)+ROUND(Source!AE623*Source!I623, 2))), 2)</f>
        <v>0</v>
      </c>
      <c r="V1245">
        <f>Source!Y623</f>
        <v>0</v>
      </c>
      <c r="W1245">
        <f>IF(Source!BI623&lt;=1,H1245, 0)</f>
        <v>1656.4</v>
      </c>
      <c r="X1245">
        <f>IF(Source!BI623=2,H1245, 0)</f>
        <v>0</v>
      </c>
      <c r="Y1245">
        <f>IF(Source!BI623=3,H1245, 0)</f>
        <v>0</v>
      </c>
      <c r="Z1245">
        <f>IF(Source!BI623=4,H1245, 0)</f>
        <v>0</v>
      </c>
    </row>
    <row r="1246" spans="1:26" ht="42.75" x14ac:dyDescent="0.2">
      <c r="A1246" s="44" t="str">
        <f>Source!E624</f>
        <v>118,2</v>
      </c>
      <c r="B1246" s="45" t="str">
        <f>Source!F624</f>
        <v>23.1.02.06-0042</v>
      </c>
      <c r="C1246" s="45" t="str">
        <f>Source!G624</f>
        <v>Хомут стальной оцинкованный с саморезом и резиновой прокладкой для крепления труб диаметром 20 мм</v>
      </c>
      <c r="D1246" s="28" t="str">
        <f>Source!H624</f>
        <v>10 шт.</v>
      </c>
      <c r="E1246" s="11">
        <f>Source!I624</f>
        <v>0.6</v>
      </c>
      <c r="F1246" s="29">
        <f>Source!AL624+Source!AM624+Source!AO624</f>
        <v>57.5</v>
      </c>
      <c r="G1246" s="41" t="s">
        <v>6</v>
      </c>
      <c r="H1246" s="29">
        <f>ROUND(Source!AC624*Source!I624, 2)+ROUND(Source!AD624*Source!I624, 2)+ROUND(Source!AF624*Source!I624, 2)</f>
        <v>34.5</v>
      </c>
      <c r="I1246" s="30"/>
      <c r="J1246" s="30">
        <f>IF(Source!BC624&lt;&gt; 0, Source!BC624, 1)</f>
        <v>6.56</v>
      </c>
      <c r="K1246" s="29">
        <f>Source!O624</f>
        <v>226.32</v>
      </c>
      <c r="L1246" s="31"/>
      <c r="S1246">
        <f>ROUND((Source!FX624/100)*((ROUND(Source!AF624*Source!I624, 2)+ROUND(Source!AE624*Source!I624, 2))), 2)</f>
        <v>0</v>
      </c>
      <c r="T1246">
        <f>Source!X624</f>
        <v>0</v>
      </c>
      <c r="U1246">
        <f>ROUND((Source!FY624/100)*((ROUND(Source!AF624*Source!I624, 2)+ROUND(Source!AE624*Source!I624, 2))), 2)</f>
        <v>0</v>
      </c>
      <c r="V1246">
        <f>Source!Y624</f>
        <v>0</v>
      </c>
      <c r="W1246">
        <f>IF(Source!BI624&lt;=1,H1246, 0)</f>
        <v>34.5</v>
      </c>
      <c r="X1246">
        <f>IF(Source!BI624=2,H1246, 0)</f>
        <v>0</v>
      </c>
      <c r="Y1246">
        <f>IF(Source!BI624=3,H1246, 0)</f>
        <v>0</v>
      </c>
      <c r="Z1246">
        <f>IF(Source!BI624=4,H1246, 0)</f>
        <v>0</v>
      </c>
    </row>
    <row r="1247" spans="1:26" ht="71.25" x14ac:dyDescent="0.2">
      <c r="A1247" s="46" t="str">
        <f>Source!E625</f>
        <v>118,3</v>
      </c>
      <c r="B1247" s="47" t="str">
        <f>Source!F625</f>
        <v>23.3.06.06-0002</v>
      </c>
      <c r="C1247" s="47" t="str">
        <f>Source!G625</f>
        <v>Трубы стальные сварные водогазопроводные с резьбой черные усиленные (неоцинкованные), диаметр условного прохода 20 мм, толщина стенки 3,2 мм</v>
      </c>
      <c r="D1247" s="34" t="str">
        <f>Source!H625</f>
        <v>м</v>
      </c>
      <c r="E1247" s="35">
        <f>Source!I625</f>
        <v>200</v>
      </c>
      <c r="F1247" s="36">
        <f>Source!AL625+Source!AM625+Source!AO625</f>
        <v>12.93</v>
      </c>
      <c r="G1247" s="42" t="s">
        <v>6</v>
      </c>
      <c r="H1247" s="36">
        <f>ROUND(Source!AC625*Source!I625, 2)+ROUND(Source!AD625*Source!I625, 2)+ROUND(Source!AF625*Source!I625, 2)</f>
        <v>2586</v>
      </c>
      <c r="I1247" s="37"/>
      <c r="J1247" s="37">
        <f>IF(Source!BC625&lt;&gt; 0, Source!BC625, 1)</f>
        <v>6.56</v>
      </c>
      <c r="K1247" s="36">
        <f>Source!O625</f>
        <v>16964.16</v>
      </c>
      <c r="L1247" s="43"/>
      <c r="S1247">
        <f>ROUND((Source!FX625/100)*((ROUND(Source!AF625*Source!I625, 2)+ROUND(Source!AE625*Source!I625, 2))), 2)</f>
        <v>0</v>
      </c>
      <c r="T1247">
        <f>Source!X625</f>
        <v>0</v>
      </c>
      <c r="U1247">
        <f>ROUND((Source!FY625/100)*((ROUND(Source!AF625*Source!I625, 2)+ROUND(Source!AE625*Source!I625, 2))), 2)</f>
        <v>0</v>
      </c>
      <c r="V1247">
        <f>Source!Y625</f>
        <v>0</v>
      </c>
      <c r="W1247">
        <f>IF(Source!BI625&lt;=1,H1247, 0)</f>
        <v>2586</v>
      </c>
      <c r="X1247">
        <f>IF(Source!BI625=2,H1247, 0)</f>
        <v>0</v>
      </c>
      <c r="Y1247">
        <f>IF(Source!BI625=3,H1247, 0)</f>
        <v>0</v>
      </c>
      <c r="Z1247">
        <f>IF(Source!BI625=4,H1247, 0)</f>
        <v>0</v>
      </c>
    </row>
    <row r="1248" spans="1:26" ht="15" x14ac:dyDescent="0.25">
      <c r="G1248" s="63">
        <f>H1238+H1239+H1241+H1242+H1243+SUM(H1245:H1247)</f>
        <v>6542.08</v>
      </c>
      <c r="H1248" s="63"/>
      <c r="J1248" s="63">
        <f>K1238+K1239+K1241+K1242+K1243+SUM(K1245:K1247)</f>
        <v>42928.229999999996</v>
      </c>
      <c r="K1248" s="63"/>
      <c r="L1248" s="39">
        <f>Source!U622</f>
        <v>75.830999999999989</v>
      </c>
      <c r="O1248" s="24">
        <f>G1248</f>
        <v>6542.08</v>
      </c>
      <c r="P1248" s="24">
        <f>J1248</f>
        <v>42928.229999999996</v>
      </c>
      <c r="Q1248" s="24">
        <f>L1248</f>
        <v>75.830999999999989</v>
      </c>
      <c r="W1248">
        <f>IF(Source!BI622&lt;=1,H1238+H1239+H1241+H1242+H1243, 0)</f>
        <v>2265.1799999999998</v>
      </c>
      <c r="X1248">
        <f>IF(Source!BI622=2,H1238+H1239+H1241+H1242+H1243, 0)</f>
        <v>0</v>
      </c>
      <c r="Y1248">
        <f>IF(Source!BI622=3,H1238+H1239+H1241+H1242+H1243, 0)</f>
        <v>0</v>
      </c>
      <c r="Z1248">
        <f>IF(Source!BI622=4,H1238+H1239+H1241+H1242+H1243, 0)</f>
        <v>0</v>
      </c>
    </row>
    <row r="1249" spans="1:26" ht="57" x14ac:dyDescent="0.2">
      <c r="A1249" s="44" t="str">
        <f>Source!E626</f>
        <v>119</v>
      </c>
      <c r="B1249" s="45" t="str">
        <f>Source!F626</f>
        <v>46-03-013-03</v>
      </c>
      <c r="C1249" s="45" t="str">
        <f>Source!G626</f>
        <v>Сверление вертикальных отверстий в бетонных конструкциях полов перфоратором глубиной 200 мм диаметром 32 мм</v>
      </c>
      <c r="D1249" s="28" t="str">
        <f>Source!H626</f>
        <v>100 ШТ</v>
      </c>
      <c r="E1249" s="11">
        <f>Source!I626</f>
        <v>0.12</v>
      </c>
      <c r="F1249" s="29">
        <f>Source!AL626+Source!AM626+Source!AO626</f>
        <v>62.1</v>
      </c>
      <c r="G1249" s="30"/>
      <c r="H1249" s="29"/>
      <c r="I1249" s="30" t="str">
        <f>Source!BO626</f>
        <v/>
      </c>
      <c r="J1249" s="30"/>
      <c r="K1249" s="29"/>
      <c r="L1249" s="31"/>
      <c r="S1249">
        <f>ROUND((Source!FX626/100)*((ROUND(Source!AF626*Source!I626, 2)+ROUND(Source!AE626*Source!I626, 2))), 2)</f>
        <v>7.38</v>
      </c>
      <c r="T1249">
        <f>Source!X626</f>
        <v>48.4</v>
      </c>
      <c r="U1249">
        <f>ROUND((Source!FY626/100)*((ROUND(Source!AF626*Source!I626, 2)+ROUND(Source!AE626*Source!I626, 2))), 2)</f>
        <v>4.43</v>
      </c>
      <c r="V1249">
        <f>Source!Y626</f>
        <v>29.33</v>
      </c>
    </row>
    <row r="1250" spans="1:26" x14ac:dyDescent="0.2">
      <c r="C1250" s="23" t="str">
        <f>"Объем: "&amp;Source!I626&amp;"=12/"&amp;"100"</f>
        <v>Объем: 0,12=12/100</v>
      </c>
    </row>
    <row r="1251" spans="1:26" ht="14.25" x14ac:dyDescent="0.2">
      <c r="A1251" s="44"/>
      <c r="B1251" s="45"/>
      <c r="C1251" s="45" t="s">
        <v>1930</v>
      </c>
      <c r="D1251" s="28"/>
      <c r="E1251" s="11"/>
      <c r="F1251" s="29">
        <f>Source!AO626</f>
        <v>62.1</v>
      </c>
      <c r="G1251" s="30" t="str">
        <f>Source!DG626</f>
        <v/>
      </c>
      <c r="H1251" s="29">
        <f>ROUND(Source!AF626*Source!I626, 2)</f>
        <v>7.45</v>
      </c>
      <c r="I1251" s="30"/>
      <c r="J1251" s="30">
        <f>IF(Source!BA626&lt;&gt; 0, Source!BA626, 1)</f>
        <v>6.56</v>
      </c>
      <c r="K1251" s="29">
        <f>Source!S626</f>
        <v>48.89</v>
      </c>
      <c r="L1251" s="31"/>
      <c r="R1251">
        <f>H1251</f>
        <v>7.45</v>
      </c>
    </row>
    <row r="1252" spans="1:26" ht="14.25" x14ac:dyDescent="0.2">
      <c r="A1252" s="44"/>
      <c r="B1252" s="45"/>
      <c r="C1252" s="45" t="s">
        <v>1932</v>
      </c>
      <c r="D1252" s="28" t="s">
        <v>1933</v>
      </c>
      <c r="E1252" s="11">
        <f>Source!BZ626</f>
        <v>110</v>
      </c>
      <c r="F1252" s="64" t="str">
        <f>CONCATENATE(" )", Source!DL626, Source!FT626, "=", Source!FX626)</f>
        <v xml:space="preserve"> )*0,9=99</v>
      </c>
      <c r="G1252" s="65"/>
      <c r="H1252" s="29">
        <f>SUM(S1249:S1254)</f>
        <v>7.38</v>
      </c>
      <c r="I1252" s="33"/>
      <c r="J1252" s="26">
        <f>Source!AT626</f>
        <v>99</v>
      </c>
      <c r="K1252" s="29">
        <f>SUM(T1249:T1254)</f>
        <v>48.4</v>
      </c>
      <c r="L1252" s="31"/>
    </row>
    <row r="1253" spans="1:26" ht="14.25" x14ac:dyDescent="0.2">
      <c r="A1253" s="44"/>
      <c r="B1253" s="45"/>
      <c r="C1253" s="45" t="s">
        <v>1934</v>
      </c>
      <c r="D1253" s="28" t="s">
        <v>1933</v>
      </c>
      <c r="E1253" s="11">
        <f>Source!CA626</f>
        <v>70</v>
      </c>
      <c r="F1253" s="64" t="str">
        <f>CONCATENATE(" )", Source!DM626, Source!FU626, "=", Source!FY626)</f>
        <v xml:space="preserve"> )*0,85=59,5</v>
      </c>
      <c r="G1253" s="65"/>
      <c r="H1253" s="29">
        <f>SUM(U1249:U1254)</f>
        <v>4.43</v>
      </c>
      <c r="I1253" s="33"/>
      <c r="J1253" s="26">
        <f>Source!AU626</f>
        <v>60</v>
      </c>
      <c r="K1253" s="29">
        <f>SUM(V1249:V1254)</f>
        <v>29.33</v>
      </c>
      <c r="L1253" s="31"/>
    </row>
    <row r="1254" spans="1:26" ht="14.25" x14ac:dyDescent="0.2">
      <c r="A1254" s="46"/>
      <c r="B1254" s="47"/>
      <c r="C1254" s="47" t="s">
        <v>1935</v>
      </c>
      <c r="D1254" s="34" t="s">
        <v>1936</v>
      </c>
      <c r="E1254" s="35">
        <f>Source!AQ626</f>
        <v>7.28</v>
      </c>
      <c r="F1254" s="36"/>
      <c r="G1254" s="37" t="str">
        <f>Source!DI626</f>
        <v/>
      </c>
      <c r="H1254" s="36"/>
      <c r="I1254" s="37"/>
      <c r="J1254" s="37"/>
      <c r="K1254" s="36"/>
      <c r="L1254" s="38">
        <f>Source!U626</f>
        <v>0.87360000000000004</v>
      </c>
    </row>
    <row r="1255" spans="1:26" ht="15" x14ac:dyDescent="0.25">
      <c r="G1255" s="63">
        <f>H1251+H1252+H1253</f>
        <v>19.259999999999998</v>
      </c>
      <c r="H1255" s="63"/>
      <c r="J1255" s="63">
        <f>K1251+K1252+K1253</f>
        <v>126.61999999999999</v>
      </c>
      <c r="K1255" s="63"/>
      <c r="L1255" s="39">
        <f>Source!U626</f>
        <v>0.87360000000000004</v>
      </c>
      <c r="O1255" s="24">
        <f>G1255</f>
        <v>19.259999999999998</v>
      </c>
      <c r="P1255" s="24">
        <f>J1255</f>
        <v>126.61999999999999</v>
      </c>
      <c r="Q1255" s="24">
        <f>L1255</f>
        <v>0.87360000000000004</v>
      </c>
      <c r="W1255">
        <f>IF(Source!BI626&lt;=1,H1251+H1252+H1253, 0)</f>
        <v>19.259999999999998</v>
      </c>
      <c r="X1255">
        <f>IF(Source!BI626=2,H1251+H1252+H1253, 0)</f>
        <v>0</v>
      </c>
      <c r="Y1255">
        <f>IF(Source!BI626=3,H1251+H1252+H1253, 0)</f>
        <v>0</v>
      </c>
      <c r="Z1255">
        <f>IF(Source!BI626=4,H1251+H1252+H1253, 0)</f>
        <v>0</v>
      </c>
    </row>
    <row r="1256" spans="1:26" ht="57" x14ac:dyDescent="0.2">
      <c r="A1256" s="44" t="str">
        <f>Source!E627</f>
        <v>120</v>
      </c>
      <c r="B1256" s="45" t="str">
        <f>Source!F627</f>
        <v>16-02-001-04 прим.</v>
      </c>
      <c r="C1256" s="45" t="str">
        <f>Source!G627</f>
        <v>Прокладка трубопроводов отопления из стальных водогазопроводных неоцинкованных труб диаметром 32 мм (гильзы)</v>
      </c>
      <c r="D1256" s="28" t="str">
        <f>Source!H627</f>
        <v>100 м</v>
      </c>
      <c r="E1256" s="11">
        <f>Source!I627</f>
        <v>0.14399999999999999</v>
      </c>
      <c r="F1256" s="29">
        <f>Source!AL627+Source!AM627+Source!AO627</f>
        <v>385.27</v>
      </c>
      <c r="G1256" s="30"/>
      <c r="H1256" s="29"/>
      <c r="I1256" s="30" t="str">
        <f>Source!BO627</f>
        <v/>
      </c>
      <c r="J1256" s="30"/>
      <c r="K1256" s="29"/>
      <c r="L1256" s="31"/>
      <c r="S1256">
        <f>ROUND((Source!FX627/100)*((ROUND(Source!AF627*Source!I627, 2)+ROUND(Source!AE627*Source!I627, 2))), 2)</f>
        <v>61.77</v>
      </c>
      <c r="T1256">
        <f>Source!X627</f>
        <v>404.51</v>
      </c>
      <c r="U1256">
        <f>ROUND((Source!FY627/100)*((ROUND(Source!AF627*Source!I627, 2)+ROUND(Source!AE627*Source!I627, 2))), 2)</f>
        <v>37.83</v>
      </c>
      <c r="V1256">
        <f>Source!Y627</f>
        <v>249.74</v>
      </c>
    </row>
    <row r="1257" spans="1:26" x14ac:dyDescent="0.2">
      <c r="C1257" s="23" t="str">
        <f>"Объем: "&amp;Source!I627&amp;"=14,4/"&amp;"100"</f>
        <v>Объем: 0,144=14,4/100</v>
      </c>
    </row>
    <row r="1258" spans="1:26" ht="14.25" x14ac:dyDescent="0.2">
      <c r="A1258" s="44"/>
      <c r="B1258" s="45"/>
      <c r="C1258" s="45" t="s">
        <v>1930</v>
      </c>
      <c r="D1258" s="28"/>
      <c r="E1258" s="11"/>
      <c r="F1258" s="29">
        <f>Source!AO627</f>
        <v>317.17</v>
      </c>
      <c r="G1258" s="30" t="str">
        <f>Source!DG627</f>
        <v>)*1,15</v>
      </c>
      <c r="H1258" s="29">
        <f>ROUND(Source!AF627*Source!I627, 2)</f>
        <v>52.52</v>
      </c>
      <c r="I1258" s="30"/>
      <c r="J1258" s="30">
        <f>IF(Source!BA627&lt;&gt; 0, Source!BA627, 1)</f>
        <v>6.56</v>
      </c>
      <c r="K1258" s="29">
        <f>Source!S627</f>
        <v>344.56</v>
      </c>
      <c r="L1258" s="31"/>
      <c r="R1258">
        <f>H1258</f>
        <v>52.52</v>
      </c>
    </row>
    <row r="1259" spans="1:26" ht="14.25" x14ac:dyDescent="0.2">
      <c r="A1259" s="44"/>
      <c r="B1259" s="45"/>
      <c r="C1259" s="45" t="s">
        <v>151</v>
      </c>
      <c r="D1259" s="28"/>
      <c r="E1259" s="11"/>
      <c r="F1259" s="29">
        <f>Source!AM627</f>
        <v>39.130000000000003</v>
      </c>
      <c r="G1259" s="30" t="str">
        <f>Source!DE627</f>
        <v>)*1,25</v>
      </c>
      <c r="H1259" s="29">
        <f>ROUND(Source!AD627*Source!I627, 2)</f>
        <v>7.04</v>
      </c>
      <c r="I1259" s="30"/>
      <c r="J1259" s="30">
        <f>IF(Source!BB627&lt;&gt; 0, Source!BB627, 1)</f>
        <v>6.56</v>
      </c>
      <c r="K1259" s="29">
        <f>Source!Q627</f>
        <v>46.2</v>
      </c>
      <c r="L1259" s="31"/>
    </row>
    <row r="1260" spans="1:26" ht="14.25" x14ac:dyDescent="0.2">
      <c r="A1260" s="44"/>
      <c r="B1260" s="45"/>
      <c r="C1260" s="45" t="s">
        <v>1931</v>
      </c>
      <c r="D1260" s="28"/>
      <c r="E1260" s="11"/>
      <c r="F1260" s="29">
        <f>Source!AN627</f>
        <v>6.09</v>
      </c>
      <c r="G1260" s="30" t="str">
        <f>Source!DF627</f>
        <v>)*1,25</v>
      </c>
      <c r="H1260" s="32">
        <f>ROUND(Source!AE627*Source!I627, 2)</f>
        <v>1.1000000000000001</v>
      </c>
      <c r="I1260" s="30"/>
      <c r="J1260" s="30">
        <f>IF(Source!BS627&lt;&gt; 0, Source!BS627, 1)</f>
        <v>6.56</v>
      </c>
      <c r="K1260" s="32">
        <f>Source!R627</f>
        <v>7.19</v>
      </c>
      <c r="L1260" s="31"/>
      <c r="R1260">
        <f>H1260</f>
        <v>1.1000000000000001</v>
      </c>
    </row>
    <row r="1261" spans="1:26" ht="14.25" x14ac:dyDescent="0.2">
      <c r="A1261" s="44"/>
      <c r="B1261" s="45"/>
      <c r="C1261" s="45" t="s">
        <v>1937</v>
      </c>
      <c r="D1261" s="28"/>
      <c r="E1261" s="11"/>
      <c r="F1261" s="29">
        <f>Source!AL627</f>
        <v>28.97</v>
      </c>
      <c r="G1261" s="30" t="str">
        <f>Source!DD627</f>
        <v/>
      </c>
      <c r="H1261" s="29">
        <f>ROUND(Source!AC627*Source!I627, 2)</f>
        <v>4.17</v>
      </c>
      <c r="I1261" s="30"/>
      <c r="J1261" s="30">
        <f>IF(Source!BC627&lt;&gt; 0, Source!BC627, 1)</f>
        <v>6.56</v>
      </c>
      <c r="K1261" s="29">
        <f>Source!P627</f>
        <v>27.37</v>
      </c>
      <c r="L1261" s="31"/>
    </row>
    <row r="1262" spans="1:26" ht="14.25" x14ac:dyDescent="0.2">
      <c r="A1262" s="44"/>
      <c r="B1262" s="45"/>
      <c r="C1262" s="45" t="s">
        <v>1932</v>
      </c>
      <c r="D1262" s="28" t="s">
        <v>1933</v>
      </c>
      <c r="E1262" s="11">
        <f>Source!BZ627</f>
        <v>128</v>
      </c>
      <c r="F1262" s="64" t="str">
        <f>CONCATENATE(" )", Source!DL627, Source!FT627, "=", Source!FX627)</f>
        <v xml:space="preserve"> )*0,9=115,2</v>
      </c>
      <c r="G1262" s="65"/>
      <c r="H1262" s="29">
        <f>SUM(S1256:S1265)</f>
        <v>61.77</v>
      </c>
      <c r="I1262" s="33"/>
      <c r="J1262" s="26">
        <f>Source!AT627</f>
        <v>115</v>
      </c>
      <c r="K1262" s="29">
        <f>SUM(T1256:T1265)</f>
        <v>404.51</v>
      </c>
      <c r="L1262" s="31"/>
    </row>
    <row r="1263" spans="1:26" ht="14.25" x14ac:dyDescent="0.2">
      <c r="A1263" s="44"/>
      <c r="B1263" s="45"/>
      <c r="C1263" s="45" t="s">
        <v>1934</v>
      </c>
      <c r="D1263" s="28" t="s">
        <v>1933</v>
      </c>
      <c r="E1263" s="11">
        <f>Source!CA627</f>
        <v>83</v>
      </c>
      <c r="F1263" s="64" t="str">
        <f>CONCATENATE(" )", Source!DM627, Source!FU627, "=", Source!FY627)</f>
        <v xml:space="preserve"> )*0,85=70,55</v>
      </c>
      <c r="G1263" s="65"/>
      <c r="H1263" s="29">
        <f>SUM(U1256:U1265)</f>
        <v>37.83</v>
      </c>
      <c r="I1263" s="33"/>
      <c r="J1263" s="26">
        <f>Source!AU627</f>
        <v>71</v>
      </c>
      <c r="K1263" s="29">
        <f>SUM(V1256:V1265)</f>
        <v>249.74</v>
      </c>
      <c r="L1263" s="31"/>
    </row>
    <row r="1264" spans="1:26" ht="14.25" x14ac:dyDescent="0.2">
      <c r="A1264" s="44"/>
      <c r="B1264" s="45"/>
      <c r="C1264" s="45" t="s">
        <v>1935</v>
      </c>
      <c r="D1264" s="28" t="s">
        <v>1936</v>
      </c>
      <c r="E1264" s="11">
        <f>Source!AQ627</f>
        <v>32.97</v>
      </c>
      <c r="F1264" s="29"/>
      <c r="G1264" s="30" t="str">
        <f>Source!DI627</f>
        <v>)*1,15</v>
      </c>
      <c r="H1264" s="29"/>
      <c r="I1264" s="30"/>
      <c r="J1264" s="30"/>
      <c r="K1264" s="29"/>
      <c r="L1264" s="40">
        <f>Source!U627</f>
        <v>5.4598319999999987</v>
      </c>
    </row>
    <row r="1265" spans="1:26" ht="85.5" x14ac:dyDescent="0.2">
      <c r="A1265" s="46" t="str">
        <f>Source!E628</f>
        <v>120,1</v>
      </c>
      <c r="B1265" s="47" t="str">
        <f>Source!F628</f>
        <v>23.3.06.04-0009</v>
      </c>
      <c r="C1265" s="47" t="str">
        <f>Source!G628</f>
        <v>Трубы стальные сварные водогазопроводные с резьбой черные легкие (неоцинкованные) диаметр условного прохода 32 мм, толщина стенки 2,8 мм( Гильзы стальные ) прим.</v>
      </c>
      <c r="D1265" s="34" t="str">
        <f>Source!H628</f>
        <v>м</v>
      </c>
      <c r="E1265" s="35">
        <f>Source!I628</f>
        <v>14.4</v>
      </c>
      <c r="F1265" s="36">
        <f>Source!AL628+Source!AM628+Source!AO628</f>
        <v>20.32</v>
      </c>
      <c r="G1265" s="42" t="s">
        <v>6</v>
      </c>
      <c r="H1265" s="36">
        <f>ROUND(Source!AC628*Source!I628, 2)+ROUND(Source!AD628*Source!I628, 2)+ROUND(Source!AF628*Source!I628, 2)</f>
        <v>292.61</v>
      </c>
      <c r="I1265" s="37"/>
      <c r="J1265" s="37">
        <f>IF(Source!BC628&lt;&gt; 0, Source!BC628, 1)</f>
        <v>6.56</v>
      </c>
      <c r="K1265" s="36">
        <f>Source!O628</f>
        <v>1919.51</v>
      </c>
      <c r="L1265" s="43"/>
      <c r="S1265">
        <f>ROUND((Source!FX628/100)*((ROUND(Source!AF628*Source!I628, 2)+ROUND(Source!AE628*Source!I628, 2))), 2)</f>
        <v>0</v>
      </c>
      <c r="T1265">
        <f>Source!X628</f>
        <v>0</v>
      </c>
      <c r="U1265">
        <f>ROUND((Source!FY628/100)*((ROUND(Source!AF628*Source!I628, 2)+ROUND(Source!AE628*Source!I628, 2))), 2)</f>
        <v>0</v>
      </c>
      <c r="V1265">
        <f>Source!Y628</f>
        <v>0</v>
      </c>
      <c r="W1265">
        <f>IF(Source!BI628&lt;=1,H1265, 0)</f>
        <v>292.61</v>
      </c>
      <c r="X1265">
        <f>IF(Source!BI628=2,H1265, 0)</f>
        <v>0</v>
      </c>
      <c r="Y1265">
        <f>IF(Source!BI628=3,H1265, 0)</f>
        <v>0</v>
      </c>
      <c r="Z1265">
        <f>IF(Source!BI628=4,H1265, 0)</f>
        <v>0</v>
      </c>
    </row>
    <row r="1266" spans="1:26" ht="15" x14ac:dyDescent="0.25">
      <c r="G1266" s="63">
        <f>H1258+H1259+H1261+H1262+H1263+SUM(H1265:H1265)</f>
        <v>455.94</v>
      </c>
      <c r="H1266" s="63"/>
      <c r="J1266" s="63">
        <f>K1258+K1259+K1261+K1262+K1263+SUM(K1265:K1265)</f>
        <v>2991.8900000000003</v>
      </c>
      <c r="K1266" s="63"/>
      <c r="L1266" s="39">
        <f>Source!U627</f>
        <v>5.4598319999999987</v>
      </c>
      <c r="O1266" s="24">
        <f>G1266</f>
        <v>455.94</v>
      </c>
      <c r="P1266" s="24">
        <f>J1266</f>
        <v>2991.8900000000003</v>
      </c>
      <c r="Q1266" s="24">
        <f>L1266</f>
        <v>5.4598319999999987</v>
      </c>
      <c r="W1266">
        <f>IF(Source!BI627&lt;=1,H1258+H1259+H1261+H1262+H1263, 0)</f>
        <v>163.32999999999998</v>
      </c>
      <c r="X1266">
        <f>IF(Source!BI627=2,H1258+H1259+H1261+H1262+H1263, 0)</f>
        <v>0</v>
      </c>
      <c r="Y1266">
        <f>IF(Source!BI627=3,H1258+H1259+H1261+H1262+H1263, 0)</f>
        <v>0</v>
      </c>
      <c r="Z1266">
        <f>IF(Source!BI627=4,H1258+H1259+H1261+H1262+H1263, 0)</f>
        <v>0</v>
      </c>
    </row>
    <row r="1267" spans="1:26" ht="42.75" x14ac:dyDescent="0.2">
      <c r="A1267" s="44" t="str">
        <f>Source!E629</f>
        <v>121</v>
      </c>
      <c r="B1267" s="45" t="str">
        <f>Source!F629</f>
        <v>16-07-003-02</v>
      </c>
      <c r="C1267" s="45" t="str">
        <f>Source!G629</f>
        <v>Врезка в действующие внутренние сети трубопроводов отопления и водоснабжения диаметром 20 мм</v>
      </c>
      <c r="D1267" s="28" t="str">
        <f>Source!H629</f>
        <v>ШТ</v>
      </c>
      <c r="E1267" s="11">
        <f>Source!I629</f>
        <v>7</v>
      </c>
      <c r="F1267" s="29">
        <f>Source!AL629+Source!AM629+Source!AO629</f>
        <v>61.11</v>
      </c>
      <c r="G1267" s="30"/>
      <c r="H1267" s="29"/>
      <c r="I1267" s="30" t="str">
        <f>Source!BO629</f>
        <v/>
      </c>
      <c r="J1267" s="30"/>
      <c r="K1267" s="29"/>
      <c r="L1267" s="31"/>
      <c r="S1267">
        <f>ROUND((Source!FX629/100)*((ROUND(Source!AF629*Source!I629, 2)+ROUND(Source!AE629*Source!I629, 2))), 2)</f>
        <v>357.72</v>
      </c>
      <c r="T1267">
        <f>Source!X629</f>
        <v>2342.56</v>
      </c>
      <c r="U1267">
        <f>ROUND((Source!FY629/100)*((ROUND(Source!AF629*Source!I629, 2)+ROUND(Source!AE629*Source!I629, 2))), 2)</f>
        <v>219.07</v>
      </c>
      <c r="V1267">
        <f>Source!Y629</f>
        <v>1446.28</v>
      </c>
    </row>
    <row r="1268" spans="1:26" ht="14.25" x14ac:dyDescent="0.2">
      <c r="A1268" s="44"/>
      <c r="B1268" s="45"/>
      <c r="C1268" s="45" t="s">
        <v>1930</v>
      </c>
      <c r="D1268" s="28"/>
      <c r="E1268" s="11"/>
      <c r="F1268" s="29">
        <f>Source!AO629</f>
        <v>44.24</v>
      </c>
      <c r="G1268" s="30" t="str">
        <f>Source!DG629</f>
        <v/>
      </c>
      <c r="H1268" s="29">
        <f>ROUND(Source!AF629*Source!I629, 2)</f>
        <v>309.68</v>
      </c>
      <c r="I1268" s="30"/>
      <c r="J1268" s="30">
        <f>IF(Source!BA629&lt;&gt; 0, Source!BA629, 1)</f>
        <v>6.56</v>
      </c>
      <c r="K1268" s="29">
        <f>Source!S629</f>
        <v>2031.5</v>
      </c>
      <c r="L1268" s="31"/>
      <c r="R1268">
        <f>H1268</f>
        <v>309.68</v>
      </c>
    </row>
    <row r="1269" spans="1:26" ht="14.25" x14ac:dyDescent="0.2">
      <c r="A1269" s="44"/>
      <c r="B1269" s="45"/>
      <c r="C1269" s="45" t="s">
        <v>151</v>
      </c>
      <c r="D1269" s="28"/>
      <c r="E1269" s="11"/>
      <c r="F1269" s="29">
        <f>Source!AM629</f>
        <v>4.7300000000000004</v>
      </c>
      <c r="G1269" s="30" t="str">
        <f>Source!DE629</f>
        <v/>
      </c>
      <c r="H1269" s="29">
        <f>ROUND(Source!AD629*Source!I629, 2)</f>
        <v>33.11</v>
      </c>
      <c r="I1269" s="30"/>
      <c r="J1269" s="30">
        <f>IF(Source!BB629&lt;&gt; 0, Source!BB629, 1)</f>
        <v>6.56</v>
      </c>
      <c r="K1269" s="29">
        <f>Source!Q629</f>
        <v>217.2</v>
      </c>
      <c r="L1269" s="31"/>
    </row>
    <row r="1270" spans="1:26" ht="14.25" x14ac:dyDescent="0.2">
      <c r="A1270" s="44"/>
      <c r="B1270" s="45"/>
      <c r="C1270" s="45" t="s">
        <v>1931</v>
      </c>
      <c r="D1270" s="28"/>
      <c r="E1270" s="11"/>
      <c r="F1270" s="29">
        <f>Source!AN629</f>
        <v>0.12</v>
      </c>
      <c r="G1270" s="30" t="str">
        <f>Source!DF629</f>
        <v/>
      </c>
      <c r="H1270" s="32">
        <f>ROUND(Source!AE629*Source!I629, 2)</f>
        <v>0.84</v>
      </c>
      <c r="I1270" s="30"/>
      <c r="J1270" s="30">
        <f>IF(Source!BS629&lt;&gt; 0, Source!BS629, 1)</f>
        <v>6.56</v>
      </c>
      <c r="K1270" s="32">
        <f>Source!R629</f>
        <v>5.51</v>
      </c>
      <c r="L1270" s="31"/>
      <c r="R1270">
        <f>H1270</f>
        <v>0.84</v>
      </c>
    </row>
    <row r="1271" spans="1:26" ht="14.25" x14ac:dyDescent="0.2">
      <c r="A1271" s="44"/>
      <c r="B1271" s="45"/>
      <c r="C1271" s="45" t="s">
        <v>1937</v>
      </c>
      <c r="D1271" s="28"/>
      <c r="E1271" s="11"/>
      <c r="F1271" s="29">
        <f>Source!AL629</f>
        <v>12.14</v>
      </c>
      <c r="G1271" s="30" t="str">
        <f>Source!DD629</f>
        <v/>
      </c>
      <c r="H1271" s="29">
        <f>ROUND(Source!AC629*Source!I629, 2)</f>
        <v>84.98</v>
      </c>
      <c r="I1271" s="30"/>
      <c r="J1271" s="30">
        <f>IF(Source!BC629&lt;&gt; 0, Source!BC629, 1)</f>
        <v>6.56</v>
      </c>
      <c r="K1271" s="29">
        <f>Source!P629</f>
        <v>557.47</v>
      </c>
      <c r="L1271" s="31"/>
    </row>
    <row r="1272" spans="1:26" ht="14.25" x14ac:dyDescent="0.2">
      <c r="A1272" s="44"/>
      <c r="B1272" s="45"/>
      <c r="C1272" s="45" t="s">
        <v>1932</v>
      </c>
      <c r="D1272" s="28" t="s">
        <v>1933</v>
      </c>
      <c r="E1272" s="11">
        <f>Source!BZ629</f>
        <v>128</v>
      </c>
      <c r="F1272" s="64" t="str">
        <f>CONCATENATE(" )", Source!DL629, Source!FT629, "=", Source!FX629)</f>
        <v xml:space="preserve"> )*0,9=115,2</v>
      </c>
      <c r="G1272" s="65"/>
      <c r="H1272" s="29">
        <f>SUM(S1267:S1274)</f>
        <v>357.72</v>
      </c>
      <c r="I1272" s="33"/>
      <c r="J1272" s="26">
        <f>Source!AT629</f>
        <v>115</v>
      </c>
      <c r="K1272" s="29">
        <f>SUM(T1267:T1274)</f>
        <v>2342.56</v>
      </c>
      <c r="L1272" s="31"/>
    </row>
    <row r="1273" spans="1:26" ht="14.25" x14ac:dyDescent="0.2">
      <c r="A1273" s="44"/>
      <c r="B1273" s="45"/>
      <c r="C1273" s="45" t="s">
        <v>1934</v>
      </c>
      <c r="D1273" s="28" t="s">
        <v>1933</v>
      </c>
      <c r="E1273" s="11">
        <f>Source!CA629</f>
        <v>83</v>
      </c>
      <c r="F1273" s="64" t="str">
        <f>CONCATENATE(" )", Source!DM629, Source!FU629, "=", Source!FY629)</f>
        <v xml:space="preserve"> )*0,85=70,55</v>
      </c>
      <c r="G1273" s="65"/>
      <c r="H1273" s="29">
        <f>SUM(U1267:U1274)</f>
        <v>219.07</v>
      </c>
      <c r="I1273" s="33"/>
      <c r="J1273" s="26">
        <f>Source!AU629</f>
        <v>71</v>
      </c>
      <c r="K1273" s="29">
        <f>SUM(V1267:V1274)</f>
        <v>1446.28</v>
      </c>
      <c r="L1273" s="31"/>
    </row>
    <row r="1274" spans="1:26" ht="14.25" x14ac:dyDescent="0.2">
      <c r="A1274" s="46"/>
      <c r="B1274" s="47"/>
      <c r="C1274" s="47" t="s">
        <v>1935</v>
      </c>
      <c r="D1274" s="34" t="s">
        <v>1936</v>
      </c>
      <c r="E1274" s="35">
        <f>Source!AQ629</f>
        <v>4.46</v>
      </c>
      <c r="F1274" s="36"/>
      <c r="G1274" s="37" t="str">
        <f>Source!DI629</f>
        <v/>
      </c>
      <c r="H1274" s="36"/>
      <c r="I1274" s="37"/>
      <c r="J1274" s="37"/>
      <c r="K1274" s="36"/>
      <c r="L1274" s="38">
        <f>Source!U629</f>
        <v>31.22</v>
      </c>
    </row>
    <row r="1275" spans="1:26" ht="15" x14ac:dyDescent="0.25">
      <c r="G1275" s="63">
        <f>H1268+H1269+H1271+H1272+H1273</f>
        <v>1004.56</v>
      </c>
      <c r="H1275" s="63"/>
      <c r="J1275" s="63">
        <f>K1268+K1269+K1271+K1272+K1273</f>
        <v>6595.0099999999993</v>
      </c>
      <c r="K1275" s="63"/>
      <c r="L1275" s="39">
        <f>Source!U629</f>
        <v>31.22</v>
      </c>
      <c r="O1275" s="24">
        <f>G1275</f>
        <v>1004.56</v>
      </c>
      <c r="P1275" s="24">
        <f>J1275</f>
        <v>6595.0099999999993</v>
      </c>
      <c r="Q1275" s="24">
        <f>L1275</f>
        <v>31.22</v>
      </c>
      <c r="W1275">
        <f>IF(Source!BI629&lt;=1,H1268+H1269+H1271+H1272+H1273, 0)</f>
        <v>1004.56</v>
      </c>
      <c r="X1275">
        <f>IF(Source!BI629=2,H1268+H1269+H1271+H1272+H1273, 0)</f>
        <v>0</v>
      </c>
      <c r="Y1275">
        <f>IF(Source!BI629=3,H1268+H1269+H1271+H1272+H1273, 0)</f>
        <v>0</v>
      </c>
      <c r="Z1275">
        <f>IF(Source!BI629=4,H1268+H1269+H1271+H1272+H1273, 0)</f>
        <v>0</v>
      </c>
    </row>
    <row r="1276" spans="1:26" ht="57" x14ac:dyDescent="0.2">
      <c r="A1276" s="44" t="str">
        <f>Source!E630</f>
        <v>122</v>
      </c>
      <c r="B1276" s="45" t="str">
        <f>Source!F630</f>
        <v>15-04-030-04</v>
      </c>
      <c r="C1276" s="45" t="str">
        <f>Source!G630</f>
        <v>Масляная окраска металлических поверхностей решеток, переплетов, труб диаметром менее 50 мм и т.п., количество окрасок 2 (0,13х608м)</v>
      </c>
      <c r="D1276" s="28" t="str">
        <f>Source!H630</f>
        <v>100 м2</v>
      </c>
      <c r="E1276" s="11">
        <f>Source!I630</f>
        <v>0.23719999999999999</v>
      </c>
      <c r="F1276" s="29">
        <f>Source!AL630+Source!AM630+Source!AO630</f>
        <v>720.44</v>
      </c>
      <c r="G1276" s="30"/>
      <c r="H1276" s="29"/>
      <c r="I1276" s="30" t="str">
        <f>Source!BO630</f>
        <v/>
      </c>
      <c r="J1276" s="30"/>
      <c r="K1276" s="29"/>
      <c r="L1276" s="31"/>
      <c r="S1276">
        <f>ROUND((Source!FX630/100)*((ROUND(Source!AF630*Source!I630, 2)+ROUND(Source!AE630*Source!I630, 2))), 2)</f>
        <v>162.43</v>
      </c>
      <c r="T1276">
        <f>Source!X630</f>
        <v>1071.18</v>
      </c>
      <c r="U1276">
        <f>ROUND((Source!FY630/100)*((ROUND(Source!AF630*Source!I630, 2)+ROUND(Source!AE630*Source!I630, 2))), 2)</f>
        <v>80.349999999999994</v>
      </c>
      <c r="V1276">
        <f>Source!Y630</f>
        <v>529.95000000000005</v>
      </c>
    </row>
    <row r="1277" spans="1:26" x14ac:dyDescent="0.2">
      <c r="C1277" s="23" t="str">
        <f>"Объем: "&amp;Source!I630&amp;"=23,72/"&amp;"100"</f>
        <v>Объем: 0,2372=23,72/100</v>
      </c>
    </row>
    <row r="1278" spans="1:26" ht="14.25" x14ac:dyDescent="0.2">
      <c r="A1278" s="44"/>
      <c r="B1278" s="45"/>
      <c r="C1278" s="45" t="s">
        <v>1930</v>
      </c>
      <c r="D1278" s="28"/>
      <c r="E1278" s="11"/>
      <c r="F1278" s="29">
        <f>Source!AO630</f>
        <v>629.59</v>
      </c>
      <c r="G1278" s="30" t="str">
        <f>Source!DG630</f>
        <v>)*1,15</v>
      </c>
      <c r="H1278" s="29">
        <f>ROUND(Source!AF630*Source!I630, 2)</f>
        <v>171.74</v>
      </c>
      <c r="I1278" s="30"/>
      <c r="J1278" s="30">
        <f>IF(Source!BA630&lt;&gt; 0, Source!BA630, 1)</f>
        <v>6.56</v>
      </c>
      <c r="K1278" s="29">
        <f>Source!S630</f>
        <v>1126.6099999999999</v>
      </c>
      <c r="L1278" s="31"/>
      <c r="R1278">
        <f>H1278</f>
        <v>171.74</v>
      </c>
    </row>
    <row r="1279" spans="1:26" ht="14.25" x14ac:dyDescent="0.2">
      <c r="A1279" s="44"/>
      <c r="B1279" s="45"/>
      <c r="C1279" s="45" t="s">
        <v>151</v>
      </c>
      <c r="D1279" s="28"/>
      <c r="E1279" s="11"/>
      <c r="F1279" s="29">
        <f>Source!AM630</f>
        <v>2.2799999999999998</v>
      </c>
      <c r="G1279" s="30" t="str">
        <f>Source!DE630</f>
        <v>)*1,25</v>
      </c>
      <c r="H1279" s="29">
        <f>ROUND(Source!AD630*Source!I630, 2)</f>
        <v>0.68</v>
      </c>
      <c r="I1279" s="30"/>
      <c r="J1279" s="30">
        <f>IF(Source!BB630&lt;&gt; 0, Source!BB630, 1)</f>
        <v>6.56</v>
      </c>
      <c r="K1279" s="29">
        <f>Source!Q630</f>
        <v>4.43</v>
      </c>
      <c r="L1279" s="31"/>
    </row>
    <row r="1280" spans="1:26" ht="14.25" x14ac:dyDescent="0.2">
      <c r="A1280" s="44"/>
      <c r="B1280" s="45"/>
      <c r="C1280" s="45" t="s">
        <v>1931</v>
      </c>
      <c r="D1280" s="28"/>
      <c r="E1280" s="11"/>
      <c r="F1280" s="29">
        <f>Source!AN630</f>
        <v>0.49</v>
      </c>
      <c r="G1280" s="30" t="str">
        <f>Source!DF630</f>
        <v>)*1,25</v>
      </c>
      <c r="H1280" s="32">
        <f>ROUND(Source!AE630*Source!I630, 2)</f>
        <v>0.14000000000000001</v>
      </c>
      <c r="I1280" s="30"/>
      <c r="J1280" s="30">
        <f>IF(Source!BS630&lt;&gt; 0, Source!BS630, 1)</f>
        <v>6.56</v>
      </c>
      <c r="K1280" s="32">
        <f>Source!R630</f>
        <v>0.95</v>
      </c>
      <c r="L1280" s="31"/>
      <c r="R1280">
        <f>H1280</f>
        <v>0.14000000000000001</v>
      </c>
    </row>
    <row r="1281" spans="1:26" ht="14.25" x14ac:dyDescent="0.2">
      <c r="A1281" s="44"/>
      <c r="B1281" s="45"/>
      <c r="C1281" s="45" t="s">
        <v>1937</v>
      </c>
      <c r="D1281" s="28"/>
      <c r="E1281" s="11"/>
      <c r="F1281" s="29">
        <f>Source!AL630</f>
        <v>88.57</v>
      </c>
      <c r="G1281" s="30" t="str">
        <f>Source!DD630</f>
        <v/>
      </c>
      <c r="H1281" s="29">
        <f>ROUND(Source!AC630*Source!I630, 2)</f>
        <v>21.01</v>
      </c>
      <c r="I1281" s="30"/>
      <c r="J1281" s="30">
        <f>IF(Source!BC630&lt;&gt; 0, Source!BC630, 1)</f>
        <v>6.56</v>
      </c>
      <c r="K1281" s="29">
        <f>Source!P630</f>
        <v>137.82</v>
      </c>
      <c r="L1281" s="31"/>
    </row>
    <row r="1282" spans="1:26" ht="14.25" x14ac:dyDescent="0.2">
      <c r="A1282" s="44"/>
      <c r="B1282" s="45"/>
      <c r="C1282" s="45" t="s">
        <v>1932</v>
      </c>
      <c r="D1282" s="28" t="s">
        <v>1933</v>
      </c>
      <c r="E1282" s="11">
        <f>Source!BZ630</f>
        <v>105</v>
      </c>
      <c r="F1282" s="64" t="str">
        <f>CONCATENATE(" )", Source!DL630, Source!FT630, "=", Source!FX630)</f>
        <v xml:space="preserve"> )*0,9=94,5</v>
      </c>
      <c r="G1282" s="65"/>
      <c r="H1282" s="29">
        <f>SUM(S1276:S1286)</f>
        <v>162.43</v>
      </c>
      <c r="I1282" s="33"/>
      <c r="J1282" s="26">
        <f>Source!AT630</f>
        <v>95</v>
      </c>
      <c r="K1282" s="29">
        <f>SUM(T1276:T1286)</f>
        <v>1071.18</v>
      </c>
      <c r="L1282" s="31"/>
    </row>
    <row r="1283" spans="1:26" ht="14.25" x14ac:dyDescent="0.2">
      <c r="A1283" s="44"/>
      <c r="B1283" s="45"/>
      <c r="C1283" s="45" t="s">
        <v>1934</v>
      </c>
      <c r="D1283" s="28" t="s">
        <v>1933</v>
      </c>
      <c r="E1283" s="11">
        <f>Source!CA630</f>
        <v>55</v>
      </c>
      <c r="F1283" s="64" t="str">
        <f>CONCATENATE(" )", Source!DM630, Source!FU630, "=", Source!FY630)</f>
        <v xml:space="preserve"> )*0,85=46,75</v>
      </c>
      <c r="G1283" s="65"/>
      <c r="H1283" s="29">
        <f>SUM(U1276:U1286)</f>
        <v>80.349999999999994</v>
      </c>
      <c r="I1283" s="33"/>
      <c r="J1283" s="26">
        <f>Source!AU630</f>
        <v>47</v>
      </c>
      <c r="K1283" s="29">
        <f>SUM(V1276:V1286)</f>
        <v>529.95000000000005</v>
      </c>
      <c r="L1283" s="31"/>
    </row>
    <row r="1284" spans="1:26" ht="14.25" x14ac:dyDescent="0.2">
      <c r="A1284" s="44"/>
      <c r="B1284" s="45"/>
      <c r="C1284" s="45" t="s">
        <v>1935</v>
      </c>
      <c r="D1284" s="28" t="s">
        <v>1936</v>
      </c>
      <c r="E1284" s="11">
        <f>Source!AQ630</f>
        <v>71.06</v>
      </c>
      <c r="F1284" s="29"/>
      <c r="G1284" s="30" t="str">
        <f>Source!DI630</f>
        <v>)*1,15</v>
      </c>
      <c r="H1284" s="29"/>
      <c r="I1284" s="30"/>
      <c r="J1284" s="30"/>
      <c r="K1284" s="29"/>
      <c r="L1284" s="40">
        <f>Source!U630</f>
        <v>19.383746799999997</v>
      </c>
    </row>
    <row r="1285" spans="1:26" ht="42.75" x14ac:dyDescent="0.2">
      <c r="A1285" s="44" t="str">
        <f>Source!E631</f>
        <v>122,1</v>
      </c>
      <c r="B1285" s="45" t="str">
        <f>Source!F631</f>
        <v>14.4.02.04-0101</v>
      </c>
      <c r="C1285" s="45" t="str">
        <f>Source!G631</f>
        <v>Краски для внутренних работ масляные готовые к применению МА-15 БИО</v>
      </c>
      <c r="D1285" s="28" t="str">
        <f>Source!H631</f>
        <v>т</v>
      </c>
      <c r="E1285" s="11">
        <f>Source!I631</f>
        <v>5.8349999999999999E-3</v>
      </c>
      <c r="F1285" s="29">
        <f>Source!AL631+Source!AM631+Source!AO631</f>
        <v>42508.19</v>
      </c>
      <c r="G1285" s="41" t="s">
        <v>6</v>
      </c>
      <c r="H1285" s="29">
        <f>ROUND(Source!AC631*Source!I631, 2)+ROUND(Source!AD631*Source!I631, 2)+ROUND(Source!AF631*Source!I631, 2)</f>
        <v>248.04</v>
      </c>
      <c r="I1285" s="30"/>
      <c r="J1285" s="30">
        <f>IF(Source!BC631&lt;&gt; 0, Source!BC631, 1)</f>
        <v>6.56</v>
      </c>
      <c r="K1285" s="29">
        <f>Source!O631</f>
        <v>1627.11</v>
      </c>
      <c r="L1285" s="31"/>
      <c r="S1285">
        <f>ROUND((Source!FX631/100)*((ROUND(Source!AF631*Source!I631, 2)+ROUND(Source!AE631*Source!I631, 2))), 2)</f>
        <v>0</v>
      </c>
      <c r="T1285">
        <f>Source!X631</f>
        <v>0</v>
      </c>
      <c r="U1285">
        <f>ROUND((Source!FY631/100)*((ROUND(Source!AF631*Source!I631, 2)+ROUND(Source!AE631*Source!I631, 2))), 2)</f>
        <v>0</v>
      </c>
      <c r="V1285">
        <f>Source!Y631</f>
        <v>0</v>
      </c>
      <c r="W1285">
        <f>IF(Source!BI631&lt;=1,H1285, 0)</f>
        <v>248.04</v>
      </c>
      <c r="X1285">
        <f>IF(Source!BI631=2,H1285, 0)</f>
        <v>0</v>
      </c>
      <c r="Y1285">
        <f>IF(Source!BI631=3,H1285, 0)</f>
        <v>0</v>
      </c>
      <c r="Z1285">
        <f>IF(Source!BI631=4,H1285, 0)</f>
        <v>0</v>
      </c>
    </row>
    <row r="1286" spans="1:26" ht="28.5" x14ac:dyDescent="0.2">
      <c r="A1286" s="46" t="str">
        <f>Source!E632</f>
        <v>122,2</v>
      </c>
      <c r="B1286" s="47" t="str">
        <f>Source!F632</f>
        <v>14.4.02.04</v>
      </c>
      <c r="C1286" s="47" t="str">
        <f>Source!G632</f>
        <v>Краски для внутренних работ масляные готовые к применению</v>
      </c>
      <c r="D1286" s="34" t="str">
        <f>Source!H632</f>
        <v>т</v>
      </c>
      <c r="E1286" s="35">
        <f>Source!I632</f>
        <v>5.8349999999999999E-3</v>
      </c>
      <c r="F1286" s="36">
        <f>Source!AL632+Source!AM632+Source!AO632</f>
        <v>0</v>
      </c>
      <c r="G1286" s="42" t="s">
        <v>6</v>
      </c>
      <c r="H1286" s="36">
        <f>ROUND(Source!AC632*Source!I632, 2)+ROUND(Source!AD632*Source!I632, 2)+ROUND(Source!AF632*Source!I632, 2)</f>
        <v>0</v>
      </c>
      <c r="I1286" s="37"/>
      <c r="J1286" s="37">
        <f>IF(Source!BC632&lt;&gt; 0, Source!BC632, 1)</f>
        <v>6.56</v>
      </c>
      <c r="K1286" s="36">
        <f>Source!O632</f>
        <v>0</v>
      </c>
      <c r="L1286" s="43"/>
      <c r="S1286">
        <f>ROUND((Source!FX632/100)*((ROUND(Source!AF632*Source!I632, 2)+ROUND(Source!AE632*Source!I632, 2))), 2)</f>
        <v>0</v>
      </c>
      <c r="T1286">
        <f>Source!X632</f>
        <v>0</v>
      </c>
      <c r="U1286">
        <f>ROUND((Source!FY632/100)*((ROUND(Source!AF632*Source!I632, 2)+ROUND(Source!AE632*Source!I632, 2))), 2)</f>
        <v>0</v>
      </c>
      <c r="V1286">
        <f>Source!Y632</f>
        <v>0</v>
      </c>
      <c r="W1286">
        <f>IF(Source!BI632&lt;=1,H1286, 0)</f>
        <v>0</v>
      </c>
      <c r="X1286">
        <f>IF(Source!BI632=2,H1286, 0)</f>
        <v>0</v>
      </c>
      <c r="Y1286">
        <f>IF(Source!BI632=3,H1286, 0)</f>
        <v>0</v>
      </c>
      <c r="Z1286">
        <f>IF(Source!BI632=4,H1286, 0)</f>
        <v>0</v>
      </c>
    </row>
    <row r="1287" spans="1:26" ht="15" x14ac:dyDescent="0.25">
      <c r="G1287" s="63">
        <f>H1278+H1279+H1281+H1282+H1283+SUM(H1285:H1286)</f>
        <v>684.25</v>
      </c>
      <c r="H1287" s="63"/>
      <c r="J1287" s="63">
        <f>K1278+K1279+K1281+K1282+K1283+SUM(K1285:K1286)</f>
        <v>4497.0999999999995</v>
      </c>
      <c r="K1287" s="63"/>
      <c r="L1287" s="39">
        <f>Source!U630</f>
        <v>19.383746799999997</v>
      </c>
      <c r="O1287" s="24">
        <f>G1287</f>
        <v>684.25</v>
      </c>
      <c r="P1287" s="24">
        <f>J1287</f>
        <v>4497.0999999999995</v>
      </c>
      <c r="Q1287" s="24">
        <f>L1287</f>
        <v>19.383746799999997</v>
      </c>
      <c r="W1287">
        <f>IF(Source!BI630&lt;=1,H1278+H1279+H1281+H1282+H1283, 0)</f>
        <v>436.21000000000004</v>
      </c>
      <c r="X1287">
        <f>IF(Source!BI630=2,H1278+H1279+H1281+H1282+H1283, 0)</f>
        <v>0</v>
      </c>
      <c r="Y1287">
        <f>IF(Source!BI630=3,H1278+H1279+H1281+H1282+H1283, 0)</f>
        <v>0</v>
      </c>
      <c r="Z1287">
        <f>IF(Source!BI630=4,H1278+H1279+H1281+H1282+H1283, 0)</f>
        <v>0</v>
      </c>
    </row>
    <row r="1288" spans="1:26" ht="57" x14ac:dyDescent="0.2">
      <c r="A1288" s="44" t="str">
        <f>Source!E633</f>
        <v>123</v>
      </c>
      <c r="B1288" s="45" t="str">
        <f>Source!F633</f>
        <v>16-07-005-01</v>
      </c>
      <c r="C1288" s="45" t="str">
        <f>Source!G633</f>
        <v>Гидравлическое испытание трубопроводов систем отопления, водопровода и горячего водоснабжения диаметром до 50 мм</v>
      </c>
      <c r="D1288" s="28" t="str">
        <f>Source!H633</f>
        <v>100 м</v>
      </c>
      <c r="E1288" s="11">
        <f>Source!I633</f>
        <v>2</v>
      </c>
      <c r="F1288" s="29">
        <f>Source!AL633+Source!AM633+Source!AO633</f>
        <v>107.12</v>
      </c>
      <c r="G1288" s="30"/>
      <c r="H1288" s="29"/>
      <c r="I1288" s="30" t="str">
        <f>Source!BO633</f>
        <v/>
      </c>
      <c r="J1288" s="30"/>
      <c r="K1288" s="29"/>
      <c r="L1288" s="31"/>
      <c r="S1288">
        <f>ROUND((Source!FX633/100)*((ROUND(Source!AF633*Source!I633, 2)+ROUND(Source!AE633*Source!I633, 2))), 2)</f>
        <v>154.53</v>
      </c>
      <c r="T1288">
        <f>Source!X633</f>
        <v>1011.95</v>
      </c>
      <c r="U1288">
        <f>ROUND((Source!FY633/100)*((ROUND(Source!AF633*Source!I633, 2)+ROUND(Source!AE633*Source!I633, 2))), 2)</f>
        <v>94.64</v>
      </c>
      <c r="V1288">
        <f>Source!Y633</f>
        <v>624.77</v>
      </c>
    </row>
    <row r="1289" spans="1:26" x14ac:dyDescent="0.2">
      <c r="C1289" s="23" t="str">
        <f>"Объем: "&amp;Source!I633&amp;"=200/"&amp;"100"</f>
        <v>Объем: 2=200/100</v>
      </c>
    </row>
    <row r="1290" spans="1:26" ht="14.25" x14ac:dyDescent="0.2">
      <c r="A1290" s="44"/>
      <c r="B1290" s="45"/>
      <c r="C1290" s="45" t="s">
        <v>1930</v>
      </c>
      <c r="D1290" s="28"/>
      <c r="E1290" s="11"/>
      <c r="F1290" s="29">
        <f>Source!AO633</f>
        <v>58.32</v>
      </c>
      <c r="G1290" s="30" t="str">
        <f>Source!DG633</f>
        <v>)*1,15</v>
      </c>
      <c r="H1290" s="29">
        <f>ROUND(Source!AF633*Source!I633, 2)</f>
        <v>134.13999999999999</v>
      </c>
      <c r="I1290" s="30"/>
      <c r="J1290" s="30">
        <f>IF(Source!BA633&lt;&gt; 0, Source!BA633, 1)</f>
        <v>6.56</v>
      </c>
      <c r="K1290" s="29">
        <f>Source!S633</f>
        <v>879.96</v>
      </c>
      <c r="L1290" s="31"/>
      <c r="R1290">
        <f>H1290</f>
        <v>134.13999999999999</v>
      </c>
    </row>
    <row r="1291" spans="1:26" ht="14.25" x14ac:dyDescent="0.2">
      <c r="A1291" s="44"/>
      <c r="B1291" s="45"/>
      <c r="C1291" s="45" t="s">
        <v>151</v>
      </c>
      <c r="D1291" s="28"/>
      <c r="E1291" s="11"/>
      <c r="F1291" s="29">
        <f>Source!AM633</f>
        <v>44.51</v>
      </c>
      <c r="G1291" s="30" t="str">
        <f>Source!DE633</f>
        <v>)*1,25</v>
      </c>
      <c r="H1291" s="29">
        <f>ROUND(Source!AD633*Source!I633, 2)</f>
        <v>111.28</v>
      </c>
      <c r="I1291" s="30"/>
      <c r="J1291" s="30">
        <f>IF(Source!BB633&lt;&gt; 0, Source!BB633, 1)</f>
        <v>6.56</v>
      </c>
      <c r="K1291" s="29">
        <f>Source!Q633</f>
        <v>730</v>
      </c>
      <c r="L1291" s="31"/>
    </row>
    <row r="1292" spans="1:26" ht="14.25" x14ac:dyDescent="0.2">
      <c r="A1292" s="44"/>
      <c r="B1292" s="45"/>
      <c r="C1292" s="45" t="s">
        <v>1937</v>
      </c>
      <c r="D1292" s="28"/>
      <c r="E1292" s="11"/>
      <c r="F1292" s="29">
        <f>Source!AL633</f>
        <v>4.29</v>
      </c>
      <c r="G1292" s="30" t="str">
        <f>Source!DD633</f>
        <v/>
      </c>
      <c r="H1292" s="29">
        <f>ROUND(Source!AC633*Source!I633, 2)</f>
        <v>8.58</v>
      </c>
      <c r="I1292" s="30"/>
      <c r="J1292" s="30">
        <f>IF(Source!BC633&lt;&gt; 0, Source!BC633, 1)</f>
        <v>6.56</v>
      </c>
      <c r="K1292" s="29">
        <f>Source!P633</f>
        <v>56.28</v>
      </c>
      <c r="L1292" s="31"/>
    </row>
    <row r="1293" spans="1:26" ht="14.25" x14ac:dyDescent="0.2">
      <c r="A1293" s="44"/>
      <c r="B1293" s="45"/>
      <c r="C1293" s="45" t="s">
        <v>1932</v>
      </c>
      <c r="D1293" s="28" t="s">
        <v>1933</v>
      </c>
      <c r="E1293" s="11">
        <f>Source!BZ633</f>
        <v>128</v>
      </c>
      <c r="F1293" s="64" t="str">
        <f>CONCATENATE(" )", Source!DL633, Source!FT633, "=", Source!FX633)</f>
        <v xml:space="preserve"> )*0,9=115,2</v>
      </c>
      <c r="G1293" s="65"/>
      <c r="H1293" s="29">
        <f>SUM(S1288:S1295)</f>
        <v>154.53</v>
      </c>
      <c r="I1293" s="33"/>
      <c r="J1293" s="26">
        <f>Source!AT633</f>
        <v>115</v>
      </c>
      <c r="K1293" s="29">
        <f>SUM(T1288:T1295)</f>
        <v>1011.95</v>
      </c>
      <c r="L1293" s="31"/>
    </row>
    <row r="1294" spans="1:26" ht="14.25" x14ac:dyDescent="0.2">
      <c r="A1294" s="44"/>
      <c r="B1294" s="45"/>
      <c r="C1294" s="45" t="s">
        <v>1934</v>
      </c>
      <c r="D1294" s="28" t="s">
        <v>1933</v>
      </c>
      <c r="E1294" s="11">
        <f>Source!CA633</f>
        <v>83</v>
      </c>
      <c r="F1294" s="64" t="str">
        <f>CONCATENATE(" )", Source!DM633, Source!FU633, "=", Source!FY633)</f>
        <v xml:space="preserve"> )*0,85=70,55</v>
      </c>
      <c r="G1294" s="65"/>
      <c r="H1294" s="29">
        <f>SUM(U1288:U1295)</f>
        <v>94.64</v>
      </c>
      <c r="I1294" s="33"/>
      <c r="J1294" s="26">
        <f>Source!AU633</f>
        <v>71</v>
      </c>
      <c r="K1294" s="29">
        <f>SUM(V1288:V1295)</f>
        <v>624.77</v>
      </c>
      <c r="L1294" s="31"/>
    </row>
    <row r="1295" spans="1:26" ht="14.25" x14ac:dyDescent="0.2">
      <c r="A1295" s="46"/>
      <c r="B1295" s="47"/>
      <c r="C1295" s="47" t="s">
        <v>1935</v>
      </c>
      <c r="D1295" s="34" t="s">
        <v>1936</v>
      </c>
      <c r="E1295" s="35">
        <f>Source!AQ633</f>
        <v>5.01</v>
      </c>
      <c r="F1295" s="36"/>
      <c r="G1295" s="37" t="str">
        <f>Source!DI633</f>
        <v>)*1,15</v>
      </c>
      <c r="H1295" s="36"/>
      <c r="I1295" s="37"/>
      <c r="J1295" s="37"/>
      <c r="K1295" s="36"/>
      <c r="L1295" s="38">
        <f>Source!U633</f>
        <v>11.522999999999998</v>
      </c>
    </row>
    <row r="1296" spans="1:26" ht="15" x14ac:dyDescent="0.25">
      <c r="G1296" s="63">
        <f>H1290+H1291+H1292+H1293+H1294</f>
        <v>503.16999999999996</v>
      </c>
      <c r="H1296" s="63"/>
      <c r="J1296" s="63">
        <f>K1290+K1291+K1292+K1293+K1294</f>
        <v>3302.96</v>
      </c>
      <c r="K1296" s="63"/>
      <c r="L1296" s="39">
        <f>Source!U633</f>
        <v>11.522999999999998</v>
      </c>
      <c r="O1296" s="24">
        <f>G1296</f>
        <v>503.16999999999996</v>
      </c>
      <c r="P1296" s="24">
        <f>J1296</f>
        <v>3302.96</v>
      </c>
      <c r="Q1296" s="24">
        <f>L1296</f>
        <v>11.522999999999998</v>
      </c>
      <c r="W1296">
        <f>IF(Source!BI633&lt;=1,H1290+H1291+H1292+H1293+H1294, 0)</f>
        <v>503.16999999999996</v>
      </c>
      <c r="X1296">
        <f>IF(Source!BI633=2,H1290+H1291+H1292+H1293+H1294, 0)</f>
        <v>0</v>
      </c>
      <c r="Y1296">
        <f>IF(Source!BI633=3,H1290+H1291+H1292+H1293+H1294, 0)</f>
        <v>0</v>
      </c>
      <c r="Z1296">
        <f>IF(Source!BI633=4,H1290+H1291+H1292+H1293+H1294, 0)</f>
        <v>0</v>
      </c>
    </row>
    <row r="1298" spans="1:26" ht="15" x14ac:dyDescent="0.25">
      <c r="A1298" s="66" t="str">
        <f>CONCATENATE("Итого по разделу: ",IF(Source!G635&lt;&gt;"Новый раздел", Source!G635, ""))</f>
        <v>Итого по разделу: 6 Отопление</v>
      </c>
      <c r="B1298" s="66"/>
      <c r="C1298" s="66"/>
      <c r="D1298" s="66"/>
      <c r="E1298" s="66"/>
      <c r="F1298" s="66"/>
      <c r="G1298" s="67">
        <f>SUM(O1203:O1297)</f>
        <v>48016.810000000005</v>
      </c>
      <c r="H1298" s="67"/>
      <c r="I1298" s="25"/>
      <c r="J1298" s="67">
        <f>SUM(P1203:P1297)</f>
        <v>315024.90000000002</v>
      </c>
      <c r="K1298" s="67"/>
      <c r="L1298" s="39">
        <f>SUM(Q1203:Q1297)</f>
        <v>259.56361880000003</v>
      </c>
    </row>
    <row r="1299" spans="1:26" ht="16.5" x14ac:dyDescent="0.25">
      <c r="A1299" s="68" t="str">
        <f>CONCATENATE("Раздел: ",IF(Source!G664&lt;&gt;"Новый раздел", Source!G664, ""))</f>
        <v>Раздел: 7 Система горячего и холодного водоснабжения</v>
      </c>
      <c r="B1299" s="68"/>
      <c r="C1299" s="68"/>
      <c r="D1299" s="68"/>
      <c r="E1299" s="68"/>
      <c r="F1299" s="68"/>
      <c r="G1299" s="68"/>
      <c r="H1299" s="68"/>
      <c r="I1299" s="68"/>
      <c r="J1299" s="68"/>
      <c r="K1299" s="68"/>
      <c r="L1299" s="68"/>
    </row>
    <row r="1300" spans="1:26" ht="42.75" x14ac:dyDescent="0.2">
      <c r="A1300" s="44" t="str">
        <f>Source!E668</f>
        <v>124</v>
      </c>
      <c r="B1300" s="45" t="str">
        <f>Source!F668</f>
        <v>65-1-1</v>
      </c>
      <c r="C1300" s="45" t="str">
        <f>Source!G668</f>
        <v>Разборка трубопроводов из водогазопроводных труб диаметром до 32 мм</v>
      </c>
      <c r="D1300" s="28" t="str">
        <f>Source!H668</f>
        <v>100 м</v>
      </c>
      <c r="E1300" s="11">
        <f>Source!I668</f>
        <v>0.48</v>
      </c>
      <c r="F1300" s="29">
        <f>Source!AL668+Source!AM668+Source!AO668</f>
        <v>328.71</v>
      </c>
      <c r="G1300" s="30"/>
      <c r="H1300" s="29"/>
      <c r="I1300" s="30" t="str">
        <f>Source!BO668</f>
        <v/>
      </c>
      <c r="J1300" s="30"/>
      <c r="K1300" s="29"/>
      <c r="L1300" s="31"/>
      <c r="S1300">
        <f>ROUND((Source!FX668/100)*((ROUND(Source!AF668*Source!I668, 2)+ROUND(Source!AE668*Source!I668, 2))), 2)</f>
        <v>102.79</v>
      </c>
      <c r="T1300">
        <f>Source!X668</f>
        <v>674.27</v>
      </c>
      <c r="U1300">
        <f>ROUND((Source!FY668/100)*((ROUND(Source!AF668*Source!I668, 2)+ROUND(Source!AE668*Source!I668, 2))), 2)</f>
        <v>69.45</v>
      </c>
      <c r="V1300">
        <f>Source!Y668</f>
        <v>455.59</v>
      </c>
    </row>
    <row r="1301" spans="1:26" x14ac:dyDescent="0.2">
      <c r="C1301" s="23" t="str">
        <f>"Объем: "&amp;Source!I668&amp;"=48/"&amp;"100"</f>
        <v>Объем: 0,48=48/100</v>
      </c>
    </row>
    <row r="1302" spans="1:26" ht="14.25" x14ac:dyDescent="0.2">
      <c r="A1302" s="44"/>
      <c r="B1302" s="45"/>
      <c r="C1302" s="45" t="s">
        <v>1930</v>
      </c>
      <c r="D1302" s="28"/>
      <c r="E1302" s="11"/>
      <c r="F1302" s="29">
        <f>Source!AO668</f>
        <v>288.02</v>
      </c>
      <c r="G1302" s="30" t="str">
        <f>Source!DG668</f>
        <v/>
      </c>
      <c r="H1302" s="29">
        <f>ROUND(Source!AF668*Source!I668, 2)</f>
        <v>138.25</v>
      </c>
      <c r="I1302" s="30"/>
      <c r="J1302" s="30">
        <f>IF(Source!BA668&lt;&gt; 0, Source!BA668, 1)</f>
        <v>6.56</v>
      </c>
      <c r="K1302" s="29">
        <f>Source!S668</f>
        <v>906.92</v>
      </c>
      <c r="L1302" s="31"/>
      <c r="R1302">
        <f>H1302</f>
        <v>138.25</v>
      </c>
    </row>
    <row r="1303" spans="1:26" ht="14.25" x14ac:dyDescent="0.2">
      <c r="A1303" s="44"/>
      <c r="B1303" s="45"/>
      <c r="C1303" s="45" t="s">
        <v>151</v>
      </c>
      <c r="D1303" s="28"/>
      <c r="E1303" s="11"/>
      <c r="F1303" s="29">
        <f>Source!AM668</f>
        <v>7.09</v>
      </c>
      <c r="G1303" s="30" t="str">
        <f>Source!DE668</f>
        <v/>
      </c>
      <c r="H1303" s="29">
        <f>ROUND(Source!AD668*Source!I668, 2)</f>
        <v>3.4</v>
      </c>
      <c r="I1303" s="30"/>
      <c r="J1303" s="30">
        <f>IF(Source!BB668&lt;&gt; 0, Source!BB668, 1)</f>
        <v>6.56</v>
      </c>
      <c r="K1303" s="29">
        <f>Source!Q668</f>
        <v>22.32</v>
      </c>
      <c r="L1303" s="31"/>
    </row>
    <row r="1304" spans="1:26" ht="14.25" x14ac:dyDescent="0.2">
      <c r="A1304" s="44"/>
      <c r="B1304" s="45"/>
      <c r="C1304" s="45" t="s">
        <v>1931</v>
      </c>
      <c r="D1304" s="28"/>
      <c r="E1304" s="11"/>
      <c r="F1304" s="29">
        <f>Source!AN668</f>
        <v>1.35</v>
      </c>
      <c r="G1304" s="30" t="str">
        <f>Source!DF668</f>
        <v/>
      </c>
      <c r="H1304" s="32">
        <f>ROUND(Source!AE668*Source!I668, 2)</f>
        <v>0.65</v>
      </c>
      <c r="I1304" s="30"/>
      <c r="J1304" s="30">
        <f>IF(Source!BS668&lt;&gt; 0, Source!BS668, 1)</f>
        <v>6.56</v>
      </c>
      <c r="K1304" s="32">
        <f>Source!R668</f>
        <v>4.25</v>
      </c>
      <c r="L1304" s="31"/>
      <c r="R1304">
        <f>H1304</f>
        <v>0.65</v>
      </c>
    </row>
    <row r="1305" spans="1:26" ht="14.25" x14ac:dyDescent="0.2">
      <c r="A1305" s="44"/>
      <c r="B1305" s="45"/>
      <c r="C1305" s="45" t="s">
        <v>1932</v>
      </c>
      <c r="D1305" s="28" t="s">
        <v>1933</v>
      </c>
      <c r="E1305" s="11">
        <f>Source!BZ668</f>
        <v>74</v>
      </c>
      <c r="F1305" s="48"/>
      <c r="G1305" s="30"/>
      <c r="H1305" s="29">
        <f>SUM(S1300:S1307)</f>
        <v>102.79</v>
      </c>
      <c r="I1305" s="33"/>
      <c r="J1305" s="26">
        <f>Source!AT668</f>
        <v>74</v>
      </c>
      <c r="K1305" s="29">
        <f>SUM(T1300:T1307)</f>
        <v>674.27</v>
      </c>
      <c r="L1305" s="31"/>
    </row>
    <row r="1306" spans="1:26" ht="14.25" x14ac:dyDescent="0.2">
      <c r="A1306" s="44"/>
      <c r="B1306" s="45"/>
      <c r="C1306" s="45" t="s">
        <v>1934</v>
      </c>
      <c r="D1306" s="28" t="s">
        <v>1933</v>
      </c>
      <c r="E1306" s="11">
        <f>Source!CA668</f>
        <v>50</v>
      </c>
      <c r="F1306" s="48"/>
      <c r="G1306" s="30"/>
      <c r="H1306" s="29">
        <f>SUM(U1300:U1307)</f>
        <v>69.45</v>
      </c>
      <c r="I1306" s="33"/>
      <c r="J1306" s="26">
        <f>Source!AU668</f>
        <v>50</v>
      </c>
      <c r="K1306" s="29">
        <f>SUM(V1300:V1307)</f>
        <v>455.59</v>
      </c>
      <c r="L1306" s="31"/>
    </row>
    <row r="1307" spans="1:26" ht="14.25" x14ac:dyDescent="0.2">
      <c r="A1307" s="46"/>
      <c r="B1307" s="47"/>
      <c r="C1307" s="47" t="s">
        <v>1935</v>
      </c>
      <c r="D1307" s="34" t="s">
        <v>1936</v>
      </c>
      <c r="E1307" s="35">
        <f>Source!AQ668</f>
        <v>34.659999999999997</v>
      </c>
      <c r="F1307" s="36"/>
      <c r="G1307" s="37" t="str">
        <f>Source!DI668</f>
        <v/>
      </c>
      <c r="H1307" s="36"/>
      <c r="I1307" s="37"/>
      <c r="J1307" s="37"/>
      <c r="K1307" s="36"/>
      <c r="L1307" s="38">
        <f>Source!U668</f>
        <v>16.636799999999997</v>
      </c>
    </row>
    <row r="1308" spans="1:26" ht="15" x14ac:dyDescent="0.25">
      <c r="G1308" s="63">
        <f>H1302+H1303+H1305+H1306</f>
        <v>313.89</v>
      </c>
      <c r="H1308" s="63"/>
      <c r="J1308" s="63">
        <f>K1302+K1303+K1305+K1306</f>
        <v>2059.1</v>
      </c>
      <c r="K1308" s="63"/>
      <c r="L1308" s="39">
        <f>Source!U668</f>
        <v>16.636799999999997</v>
      </c>
      <c r="O1308" s="24">
        <f>G1308</f>
        <v>313.89</v>
      </c>
      <c r="P1308" s="24">
        <f>J1308</f>
        <v>2059.1</v>
      </c>
      <c r="Q1308" s="24">
        <f>L1308</f>
        <v>16.636799999999997</v>
      </c>
      <c r="W1308">
        <f>IF(Source!BI668&lt;=1,H1302+H1303+H1305+H1306, 0)</f>
        <v>313.89</v>
      </c>
      <c r="X1308">
        <f>IF(Source!BI668=2,H1302+H1303+H1305+H1306, 0)</f>
        <v>0</v>
      </c>
      <c r="Y1308">
        <f>IF(Source!BI668=3,H1302+H1303+H1305+H1306, 0)</f>
        <v>0</v>
      </c>
      <c r="Z1308">
        <f>IF(Source!BI668=4,H1302+H1303+H1305+H1306, 0)</f>
        <v>0</v>
      </c>
    </row>
    <row r="1309" spans="1:26" ht="14.25" x14ac:dyDescent="0.2">
      <c r="A1309" s="44" t="str">
        <f>Source!E669</f>
        <v>125</v>
      </c>
      <c r="B1309" s="45" t="str">
        <f>Source!F669</f>
        <v>65-4-1</v>
      </c>
      <c r="C1309" s="45" t="str">
        <f>Source!G669</f>
        <v>Демонтаж умывальников и раковин</v>
      </c>
      <c r="D1309" s="28" t="str">
        <f>Source!H669</f>
        <v>100 ШТ</v>
      </c>
      <c r="E1309" s="11">
        <f>Source!I669</f>
        <v>0.02</v>
      </c>
      <c r="F1309" s="29">
        <f>Source!AL669+Source!AM669+Source!AO669</f>
        <v>445.71999999999997</v>
      </c>
      <c r="G1309" s="30"/>
      <c r="H1309" s="29"/>
      <c r="I1309" s="30" t="str">
        <f>Source!BO669</f>
        <v/>
      </c>
      <c r="J1309" s="30"/>
      <c r="K1309" s="29"/>
      <c r="L1309" s="31"/>
      <c r="S1309">
        <f>ROUND((Source!FX669/100)*((ROUND(Source!AF669*Source!I669, 2)+ROUND(Source!AE669*Source!I669, 2))), 2)</f>
        <v>6.53</v>
      </c>
      <c r="T1309">
        <f>Source!X669</f>
        <v>42.82</v>
      </c>
      <c r="U1309">
        <f>ROUND((Source!FY669/100)*((ROUND(Source!AF669*Source!I669, 2)+ROUND(Source!AE669*Source!I669, 2))), 2)</f>
        <v>4.41</v>
      </c>
      <c r="V1309">
        <f>Source!Y669</f>
        <v>28.94</v>
      </c>
    </row>
    <row r="1310" spans="1:26" x14ac:dyDescent="0.2">
      <c r="C1310" s="23" t="str">
        <f>"Объем: "&amp;Source!I669&amp;"=2/"&amp;"100"</f>
        <v>Объем: 0,02=2/100</v>
      </c>
    </row>
    <row r="1311" spans="1:26" ht="14.25" x14ac:dyDescent="0.2">
      <c r="A1311" s="44"/>
      <c r="B1311" s="45"/>
      <c r="C1311" s="45" t="s">
        <v>1930</v>
      </c>
      <c r="D1311" s="28"/>
      <c r="E1311" s="11"/>
      <c r="F1311" s="29">
        <f>Source!AO669</f>
        <v>437.59</v>
      </c>
      <c r="G1311" s="30" t="str">
        <f>Source!DG669</f>
        <v/>
      </c>
      <c r="H1311" s="29">
        <f>ROUND(Source!AF669*Source!I669, 2)</f>
        <v>8.75</v>
      </c>
      <c r="I1311" s="30"/>
      <c r="J1311" s="30">
        <f>IF(Source!BA669&lt;&gt; 0, Source!BA669, 1)</f>
        <v>6.56</v>
      </c>
      <c r="K1311" s="29">
        <f>Source!S669</f>
        <v>57.41</v>
      </c>
      <c r="L1311" s="31"/>
      <c r="R1311">
        <f>H1311</f>
        <v>8.75</v>
      </c>
    </row>
    <row r="1312" spans="1:26" ht="14.25" x14ac:dyDescent="0.2">
      <c r="A1312" s="44"/>
      <c r="B1312" s="45"/>
      <c r="C1312" s="45" t="s">
        <v>151</v>
      </c>
      <c r="D1312" s="28"/>
      <c r="E1312" s="11"/>
      <c r="F1312" s="29">
        <f>Source!AM669</f>
        <v>8.1300000000000008</v>
      </c>
      <c r="G1312" s="30" t="str">
        <f>Source!DE669</f>
        <v/>
      </c>
      <c r="H1312" s="29">
        <f>ROUND(Source!AD669*Source!I669, 2)</f>
        <v>0.16</v>
      </c>
      <c r="I1312" s="30"/>
      <c r="J1312" s="30">
        <f>IF(Source!BB669&lt;&gt; 0, Source!BB669, 1)</f>
        <v>6.56</v>
      </c>
      <c r="K1312" s="29">
        <f>Source!Q669</f>
        <v>1.07</v>
      </c>
      <c r="L1312" s="31"/>
    </row>
    <row r="1313" spans="1:26" ht="14.25" x14ac:dyDescent="0.2">
      <c r="A1313" s="44"/>
      <c r="B1313" s="45"/>
      <c r="C1313" s="45" t="s">
        <v>1931</v>
      </c>
      <c r="D1313" s="28"/>
      <c r="E1313" s="11"/>
      <c r="F1313" s="29">
        <f>Source!AN669</f>
        <v>3.51</v>
      </c>
      <c r="G1313" s="30" t="str">
        <f>Source!DF669</f>
        <v/>
      </c>
      <c r="H1313" s="32">
        <f>ROUND(Source!AE669*Source!I669, 2)</f>
        <v>7.0000000000000007E-2</v>
      </c>
      <c r="I1313" s="30"/>
      <c r="J1313" s="30">
        <f>IF(Source!BS669&lt;&gt; 0, Source!BS669, 1)</f>
        <v>6.56</v>
      </c>
      <c r="K1313" s="32">
        <f>Source!R669</f>
        <v>0.46</v>
      </c>
      <c r="L1313" s="31"/>
      <c r="R1313">
        <f>H1313</f>
        <v>7.0000000000000007E-2</v>
      </c>
    </row>
    <row r="1314" spans="1:26" ht="14.25" x14ac:dyDescent="0.2">
      <c r="A1314" s="44"/>
      <c r="B1314" s="45"/>
      <c r="C1314" s="45" t="s">
        <v>1932</v>
      </c>
      <c r="D1314" s="28" t="s">
        <v>1933</v>
      </c>
      <c r="E1314" s="11">
        <f>Source!BZ669</f>
        <v>74</v>
      </c>
      <c r="F1314" s="48"/>
      <c r="G1314" s="30"/>
      <c r="H1314" s="29">
        <f>SUM(S1309:S1316)</f>
        <v>6.53</v>
      </c>
      <c r="I1314" s="33"/>
      <c r="J1314" s="26">
        <f>Source!AT669</f>
        <v>74</v>
      </c>
      <c r="K1314" s="29">
        <f>SUM(T1309:T1316)</f>
        <v>42.82</v>
      </c>
      <c r="L1314" s="31"/>
    </row>
    <row r="1315" spans="1:26" ht="14.25" x14ac:dyDescent="0.2">
      <c r="A1315" s="44"/>
      <c r="B1315" s="45"/>
      <c r="C1315" s="45" t="s">
        <v>1934</v>
      </c>
      <c r="D1315" s="28" t="s">
        <v>1933</v>
      </c>
      <c r="E1315" s="11">
        <f>Source!CA669</f>
        <v>50</v>
      </c>
      <c r="F1315" s="48"/>
      <c r="G1315" s="30"/>
      <c r="H1315" s="29">
        <f>SUM(U1309:U1316)</f>
        <v>4.41</v>
      </c>
      <c r="I1315" s="33"/>
      <c r="J1315" s="26">
        <f>Source!AU669</f>
        <v>50</v>
      </c>
      <c r="K1315" s="29">
        <f>SUM(V1309:V1316)</f>
        <v>28.94</v>
      </c>
      <c r="L1315" s="31"/>
    </row>
    <row r="1316" spans="1:26" ht="14.25" x14ac:dyDescent="0.2">
      <c r="A1316" s="46"/>
      <c r="B1316" s="47"/>
      <c r="C1316" s="47" t="s">
        <v>1935</v>
      </c>
      <c r="D1316" s="34" t="s">
        <v>1936</v>
      </c>
      <c r="E1316" s="35">
        <f>Source!AQ669</f>
        <v>51.3</v>
      </c>
      <c r="F1316" s="36"/>
      <c r="G1316" s="37" t="str">
        <f>Source!DI669</f>
        <v/>
      </c>
      <c r="H1316" s="36"/>
      <c r="I1316" s="37"/>
      <c r="J1316" s="37"/>
      <c r="K1316" s="36"/>
      <c r="L1316" s="38">
        <f>Source!U669</f>
        <v>1.026</v>
      </c>
    </row>
    <row r="1317" spans="1:26" ht="15" x14ac:dyDescent="0.25">
      <c r="G1317" s="63">
        <f>H1311+H1312+H1314+H1315</f>
        <v>19.850000000000001</v>
      </c>
      <c r="H1317" s="63"/>
      <c r="J1317" s="63">
        <f>K1311+K1312+K1314+K1315</f>
        <v>130.24</v>
      </c>
      <c r="K1317" s="63"/>
      <c r="L1317" s="39">
        <f>Source!U669</f>
        <v>1.026</v>
      </c>
      <c r="O1317" s="24">
        <f>G1317</f>
        <v>19.850000000000001</v>
      </c>
      <c r="P1317" s="24">
        <f>J1317</f>
        <v>130.24</v>
      </c>
      <c r="Q1317" s="24">
        <f>L1317</f>
        <v>1.026</v>
      </c>
      <c r="W1317">
        <f>IF(Source!BI669&lt;=1,H1311+H1312+H1314+H1315, 0)</f>
        <v>19.850000000000001</v>
      </c>
      <c r="X1317">
        <f>IF(Source!BI669=2,H1311+H1312+H1314+H1315, 0)</f>
        <v>0</v>
      </c>
      <c r="Y1317">
        <f>IF(Source!BI669=3,H1311+H1312+H1314+H1315, 0)</f>
        <v>0</v>
      </c>
      <c r="Z1317">
        <f>IF(Source!BI669=4,H1311+H1312+H1314+H1315, 0)</f>
        <v>0</v>
      </c>
    </row>
    <row r="1318" spans="1:26" ht="57" x14ac:dyDescent="0.2">
      <c r="A1318" s="44" t="str">
        <f>Source!E670</f>
        <v>126</v>
      </c>
      <c r="B1318" s="45" t="str">
        <f>Source!F670</f>
        <v>16-04-002-01</v>
      </c>
      <c r="C1318" s="45" t="str">
        <f>Source!G670</f>
        <v>Прокладка трубопроводов водоснабжения из напорных полиэтиленовых труб наружным диаметром 20 мм</v>
      </c>
      <c r="D1318" s="28" t="str">
        <f>Source!H670</f>
        <v>100 м</v>
      </c>
      <c r="E1318" s="11">
        <f>Source!I670</f>
        <v>0.68600000000000005</v>
      </c>
      <c r="F1318" s="29">
        <f>Source!AL670+Source!AM670+Source!AO670</f>
        <v>3300.53</v>
      </c>
      <c r="G1318" s="30"/>
      <c r="H1318" s="29"/>
      <c r="I1318" s="30" t="str">
        <f>Source!BO670</f>
        <v/>
      </c>
      <c r="J1318" s="30"/>
      <c r="K1318" s="29"/>
      <c r="L1318" s="31"/>
      <c r="S1318">
        <f>ROUND((Source!FX670/100)*((ROUND(Source!AF670*Source!I670, 2)+ROUND(Source!AE670*Source!I670, 2))), 2)</f>
        <v>1896.6</v>
      </c>
      <c r="T1318">
        <f>Source!X670</f>
        <v>12420.03</v>
      </c>
      <c r="U1318">
        <f>ROUND((Source!FY670/100)*((ROUND(Source!AF670*Source!I670, 2)+ROUND(Source!AE670*Source!I670, 2))), 2)</f>
        <v>1161.5</v>
      </c>
      <c r="V1318">
        <f>Source!Y670</f>
        <v>7668.02</v>
      </c>
    </row>
    <row r="1319" spans="1:26" x14ac:dyDescent="0.2">
      <c r="C1319" s="23" t="str">
        <f>"Объем: "&amp;Source!I670&amp;"=68,6/"&amp;"100"</f>
        <v>Объем: 0,686=68,6/100</v>
      </c>
    </row>
    <row r="1320" spans="1:26" ht="14.25" x14ac:dyDescent="0.2">
      <c r="A1320" s="44"/>
      <c r="B1320" s="45"/>
      <c r="C1320" s="45" t="s">
        <v>1930</v>
      </c>
      <c r="D1320" s="28"/>
      <c r="E1320" s="11"/>
      <c r="F1320" s="29">
        <f>Source!AO670</f>
        <v>1887.18</v>
      </c>
      <c r="G1320" s="30" t="str">
        <f>Source!DG670</f>
        <v>)*1,15</v>
      </c>
      <c r="H1320" s="29">
        <f>ROUND(Source!AF670*Source!I670, 2)</f>
        <v>1488.8</v>
      </c>
      <c r="I1320" s="30"/>
      <c r="J1320" s="30">
        <f>IF(Source!BA670&lt;&gt; 0, Source!BA670, 1)</f>
        <v>6.56</v>
      </c>
      <c r="K1320" s="29">
        <f>Source!S670</f>
        <v>9766.52</v>
      </c>
      <c r="L1320" s="31"/>
      <c r="R1320">
        <f>H1320</f>
        <v>1488.8</v>
      </c>
    </row>
    <row r="1321" spans="1:26" ht="14.25" x14ac:dyDescent="0.2">
      <c r="A1321" s="44"/>
      <c r="B1321" s="45"/>
      <c r="C1321" s="45" t="s">
        <v>151</v>
      </c>
      <c r="D1321" s="28"/>
      <c r="E1321" s="11"/>
      <c r="F1321" s="29">
        <f>Source!AM670</f>
        <v>1357.47</v>
      </c>
      <c r="G1321" s="30" t="str">
        <f>Source!DE670</f>
        <v>)*1,25</v>
      </c>
      <c r="H1321" s="29">
        <f>ROUND(Source!AD670*Source!I670, 2)</f>
        <v>1164.03</v>
      </c>
      <c r="I1321" s="30"/>
      <c r="J1321" s="30">
        <f>IF(Source!BB670&lt;&gt; 0, Source!BB670, 1)</f>
        <v>6.56</v>
      </c>
      <c r="K1321" s="29">
        <f>Source!Q670</f>
        <v>7636.05</v>
      </c>
      <c r="L1321" s="31"/>
    </row>
    <row r="1322" spans="1:26" ht="14.25" x14ac:dyDescent="0.2">
      <c r="A1322" s="44"/>
      <c r="B1322" s="45"/>
      <c r="C1322" s="45" t="s">
        <v>1931</v>
      </c>
      <c r="D1322" s="28"/>
      <c r="E1322" s="11"/>
      <c r="F1322" s="29">
        <f>Source!AN670</f>
        <v>183.73</v>
      </c>
      <c r="G1322" s="30" t="str">
        <f>Source!DF670</f>
        <v>)*1,25</v>
      </c>
      <c r="H1322" s="32">
        <f>ROUND(Source!AE670*Source!I670, 2)</f>
        <v>157.55000000000001</v>
      </c>
      <c r="I1322" s="30"/>
      <c r="J1322" s="30">
        <f>IF(Source!BS670&lt;&gt; 0, Source!BS670, 1)</f>
        <v>6.56</v>
      </c>
      <c r="K1322" s="32">
        <f>Source!R670</f>
        <v>1033.51</v>
      </c>
      <c r="L1322" s="31"/>
      <c r="R1322">
        <f>H1322</f>
        <v>157.55000000000001</v>
      </c>
    </row>
    <row r="1323" spans="1:26" ht="14.25" x14ac:dyDescent="0.2">
      <c r="A1323" s="44"/>
      <c r="B1323" s="45"/>
      <c r="C1323" s="45" t="s">
        <v>1937</v>
      </c>
      <c r="D1323" s="28"/>
      <c r="E1323" s="11"/>
      <c r="F1323" s="29">
        <f>Source!AL670</f>
        <v>55.88</v>
      </c>
      <c r="G1323" s="30" t="str">
        <f>Source!DD670</f>
        <v/>
      </c>
      <c r="H1323" s="29">
        <f>ROUND(Source!AC670*Source!I670, 2)</f>
        <v>38.33</v>
      </c>
      <c r="I1323" s="30"/>
      <c r="J1323" s="30">
        <f>IF(Source!BC670&lt;&gt; 0, Source!BC670, 1)</f>
        <v>6.56</v>
      </c>
      <c r="K1323" s="29">
        <f>Source!P670</f>
        <v>251.47</v>
      </c>
      <c r="L1323" s="31"/>
    </row>
    <row r="1324" spans="1:26" ht="14.25" x14ac:dyDescent="0.2">
      <c r="A1324" s="44"/>
      <c r="B1324" s="45"/>
      <c r="C1324" s="45" t="s">
        <v>1932</v>
      </c>
      <c r="D1324" s="28" t="s">
        <v>1933</v>
      </c>
      <c r="E1324" s="11">
        <f>Source!BZ670</f>
        <v>128</v>
      </c>
      <c r="F1324" s="64" t="str">
        <f>CONCATENATE(" )", Source!DL670, Source!FT670, "=", Source!FX670)</f>
        <v xml:space="preserve"> )*0,9=115,2</v>
      </c>
      <c r="G1324" s="65"/>
      <c r="H1324" s="29">
        <f>SUM(S1318:S1329)</f>
        <v>1896.6</v>
      </c>
      <c r="I1324" s="33"/>
      <c r="J1324" s="26">
        <f>Source!AT670</f>
        <v>115</v>
      </c>
      <c r="K1324" s="29">
        <f>SUM(T1318:T1329)</f>
        <v>12420.03</v>
      </c>
      <c r="L1324" s="31"/>
    </row>
    <row r="1325" spans="1:26" ht="14.25" x14ac:dyDescent="0.2">
      <c r="A1325" s="44"/>
      <c r="B1325" s="45"/>
      <c r="C1325" s="45" t="s">
        <v>1934</v>
      </c>
      <c r="D1325" s="28" t="s">
        <v>1933</v>
      </c>
      <c r="E1325" s="11">
        <f>Source!CA670</f>
        <v>83</v>
      </c>
      <c r="F1325" s="64" t="str">
        <f>CONCATENATE(" )", Source!DM670, Source!FU670, "=", Source!FY670)</f>
        <v xml:space="preserve"> )*0,85=70,55</v>
      </c>
      <c r="G1325" s="65"/>
      <c r="H1325" s="29">
        <f>SUM(U1318:U1329)</f>
        <v>1161.5</v>
      </c>
      <c r="I1325" s="33"/>
      <c r="J1325" s="26">
        <f>Source!AU670</f>
        <v>71</v>
      </c>
      <c r="K1325" s="29">
        <f>SUM(V1318:V1329)</f>
        <v>7668.02</v>
      </c>
      <c r="L1325" s="31"/>
    </row>
    <row r="1326" spans="1:26" ht="14.25" x14ac:dyDescent="0.2">
      <c r="A1326" s="44"/>
      <c r="B1326" s="45"/>
      <c r="C1326" s="45" t="s">
        <v>1935</v>
      </c>
      <c r="D1326" s="28" t="s">
        <v>1936</v>
      </c>
      <c r="E1326" s="11">
        <f>Source!AQ670</f>
        <v>190.24</v>
      </c>
      <c r="F1326" s="29"/>
      <c r="G1326" s="30" t="str">
        <f>Source!DI670</f>
        <v>)*1,15</v>
      </c>
      <c r="H1326" s="29"/>
      <c r="I1326" s="30"/>
      <c r="J1326" s="30"/>
      <c r="K1326" s="29"/>
      <c r="L1326" s="40">
        <f>Source!U670</f>
        <v>150.08033599999999</v>
      </c>
    </row>
    <row r="1327" spans="1:26" ht="42.75" x14ac:dyDescent="0.2">
      <c r="A1327" s="44" t="str">
        <f>Source!E671</f>
        <v>126,1</v>
      </c>
      <c r="B1327" s="45" t="str">
        <f>Source!F671</f>
        <v>18.1.09.08-0276</v>
      </c>
      <c r="C1327" s="45" t="str">
        <f>Source!G671</f>
        <v>Краны шаровые BUGATTI New Jerseyдля воды и пара стандартные ВВ с размером резьбы 3/4" прим.</v>
      </c>
      <c r="D1327" s="28" t="str">
        <f>Source!H671</f>
        <v>шт.</v>
      </c>
      <c r="E1327" s="11">
        <f>Source!I671</f>
        <v>11.999999999999998</v>
      </c>
      <c r="F1327" s="29">
        <f>Source!AL671+Source!AM671+Source!AO671</f>
        <v>41.41</v>
      </c>
      <c r="G1327" s="41" t="s">
        <v>6</v>
      </c>
      <c r="H1327" s="29">
        <f>ROUND(Source!AC671*Source!I671, 2)+ROUND(Source!AD671*Source!I671, 2)+ROUND(Source!AF671*Source!I671, 2)</f>
        <v>496.92</v>
      </c>
      <c r="I1327" s="30"/>
      <c r="J1327" s="30">
        <f>IF(Source!BC671&lt;&gt; 0, Source!BC671, 1)</f>
        <v>6.56</v>
      </c>
      <c r="K1327" s="29">
        <f>Source!O671</f>
        <v>3259.8</v>
      </c>
      <c r="L1327" s="31"/>
      <c r="S1327">
        <f>ROUND((Source!FX671/100)*((ROUND(Source!AF671*Source!I671, 2)+ROUND(Source!AE671*Source!I671, 2))), 2)</f>
        <v>0</v>
      </c>
      <c r="T1327">
        <f>Source!X671</f>
        <v>0</v>
      </c>
      <c r="U1327">
        <f>ROUND((Source!FY671/100)*((ROUND(Source!AF671*Source!I671, 2)+ROUND(Source!AE671*Source!I671, 2))), 2)</f>
        <v>0</v>
      </c>
      <c r="V1327">
        <f>Source!Y671</f>
        <v>0</v>
      </c>
      <c r="W1327">
        <f>IF(Source!BI671&lt;=1,H1327, 0)</f>
        <v>496.92</v>
      </c>
      <c r="X1327">
        <f>IF(Source!BI671=2,H1327, 0)</f>
        <v>0</v>
      </c>
      <c r="Y1327">
        <f>IF(Source!BI671=3,H1327, 0)</f>
        <v>0</v>
      </c>
      <c r="Z1327">
        <f>IF(Source!BI671=4,H1327, 0)</f>
        <v>0</v>
      </c>
    </row>
    <row r="1328" spans="1:26" ht="85.5" x14ac:dyDescent="0.2">
      <c r="A1328" s="44" t="str">
        <f>Source!E672</f>
        <v>126,2</v>
      </c>
      <c r="B1328" s="45" t="str">
        <f>Source!F672</f>
        <v>24.3.02.01-0002</v>
      </c>
      <c r="C1328" s="45" t="str">
        <f>Source!G672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1328" s="28" t="str">
        <f>Source!H672</f>
        <v>м</v>
      </c>
      <c r="E1328" s="11">
        <f>Source!I672</f>
        <v>23.999999999999996</v>
      </c>
      <c r="F1328" s="29">
        <f>Source!AL672+Source!AM672+Source!AO672</f>
        <v>4.5999999999999996</v>
      </c>
      <c r="G1328" s="41" t="s">
        <v>6</v>
      </c>
      <c r="H1328" s="29">
        <f>ROUND(Source!AC672*Source!I672, 2)+ROUND(Source!AD672*Source!I672, 2)+ROUND(Source!AF672*Source!I672, 2)</f>
        <v>110.4</v>
      </c>
      <c r="I1328" s="30"/>
      <c r="J1328" s="30">
        <f>IF(Source!BC672&lt;&gt; 0, Source!BC672, 1)</f>
        <v>6.56</v>
      </c>
      <c r="K1328" s="29">
        <f>Source!O672</f>
        <v>724.22</v>
      </c>
      <c r="L1328" s="31"/>
      <c r="S1328">
        <f>ROUND((Source!FX672/100)*((ROUND(Source!AF672*Source!I672, 2)+ROUND(Source!AE672*Source!I672, 2))), 2)</f>
        <v>0</v>
      </c>
      <c r="T1328">
        <f>Source!X672</f>
        <v>0</v>
      </c>
      <c r="U1328">
        <f>ROUND((Source!FY672/100)*((ROUND(Source!AF672*Source!I672, 2)+ROUND(Source!AE672*Source!I672, 2))), 2)</f>
        <v>0</v>
      </c>
      <c r="V1328">
        <f>Source!Y672</f>
        <v>0</v>
      </c>
      <c r="W1328">
        <f>IF(Source!BI672&lt;=1,H1328, 0)</f>
        <v>110.4</v>
      </c>
      <c r="X1328">
        <f>IF(Source!BI672=2,H1328, 0)</f>
        <v>0</v>
      </c>
      <c r="Y1328">
        <f>IF(Source!BI672=3,H1328, 0)</f>
        <v>0</v>
      </c>
      <c r="Z1328">
        <f>IF(Source!BI672=4,H1328, 0)</f>
        <v>0</v>
      </c>
    </row>
    <row r="1329" spans="1:26" ht="85.5" x14ac:dyDescent="0.2">
      <c r="A1329" s="46" t="str">
        <f>Source!E673</f>
        <v>126,3</v>
      </c>
      <c r="B1329" s="47" t="str">
        <f>Source!F673</f>
        <v>24.3.02.01-0012</v>
      </c>
      <c r="C1329" s="47" t="str">
        <f>Source!G673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329" s="34" t="str">
        <f>Source!H673</f>
        <v>м</v>
      </c>
      <c r="E1329" s="35">
        <f>Source!I673</f>
        <v>44.6</v>
      </c>
      <c r="F1329" s="36">
        <f>Source!AL673+Source!AM673+Source!AO673</f>
        <v>9.7899999999999991</v>
      </c>
      <c r="G1329" s="42" t="s">
        <v>6</v>
      </c>
      <c r="H1329" s="36">
        <f>ROUND(Source!AC673*Source!I673, 2)+ROUND(Source!AD673*Source!I673, 2)+ROUND(Source!AF673*Source!I673, 2)</f>
        <v>436.63</v>
      </c>
      <c r="I1329" s="37"/>
      <c r="J1329" s="37">
        <f>IF(Source!BC673&lt;&gt; 0, Source!BC673, 1)</f>
        <v>6.56</v>
      </c>
      <c r="K1329" s="36">
        <f>Source!O673</f>
        <v>2864.32</v>
      </c>
      <c r="L1329" s="43"/>
      <c r="S1329">
        <f>ROUND((Source!FX673/100)*((ROUND(Source!AF673*Source!I673, 2)+ROUND(Source!AE673*Source!I673, 2))), 2)</f>
        <v>0</v>
      </c>
      <c r="T1329">
        <f>Source!X673</f>
        <v>0</v>
      </c>
      <c r="U1329">
        <f>ROUND((Source!FY673/100)*((ROUND(Source!AF673*Source!I673, 2)+ROUND(Source!AE673*Source!I673, 2))), 2)</f>
        <v>0</v>
      </c>
      <c r="V1329">
        <f>Source!Y673</f>
        <v>0</v>
      </c>
      <c r="W1329">
        <f>IF(Source!BI673&lt;=1,H1329, 0)</f>
        <v>436.63</v>
      </c>
      <c r="X1329">
        <f>IF(Source!BI673=2,H1329, 0)</f>
        <v>0</v>
      </c>
      <c r="Y1329">
        <f>IF(Source!BI673=3,H1329, 0)</f>
        <v>0</v>
      </c>
      <c r="Z1329">
        <f>IF(Source!BI673=4,H1329, 0)</f>
        <v>0</v>
      </c>
    </row>
    <row r="1330" spans="1:26" ht="15" x14ac:dyDescent="0.25">
      <c r="G1330" s="63">
        <f>H1320+H1321+H1323+H1324+H1325+SUM(H1327:H1329)</f>
        <v>6793.21</v>
      </c>
      <c r="H1330" s="63"/>
      <c r="J1330" s="63">
        <f>K1320+K1321+K1323+K1324+K1325+SUM(K1327:K1329)</f>
        <v>44590.429999999993</v>
      </c>
      <c r="K1330" s="63"/>
      <c r="L1330" s="39">
        <f>Source!U670</f>
        <v>150.08033599999999</v>
      </c>
      <c r="O1330" s="24">
        <f>G1330</f>
        <v>6793.21</v>
      </c>
      <c r="P1330" s="24">
        <f>J1330</f>
        <v>44590.429999999993</v>
      </c>
      <c r="Q1330" s="24">
        <f>L1330</f>
        <v>150.08033599999999</v>
      </c>
      <c r="W1330">
        <f>IF(Source!BI670&lt;=1,H1320+H1321+H1323+H1324+H1325, 0)</f>
        <v>5749.26</v>
      </c>
      <c r="X1330">
        <f>IF(Source!BI670=2,H1320+H1321+H1323+H1324+H1325, 0)</f>
        <v>0</v>
      </c>
      <c r="Y1330">
        <f>IF(Source!BI670=3,H1320+H1321+H1323+H1324+H1325, 0)</f>
        <v>0</v>
      </c>
      <c r="Z1330">
        <f>IF(Source!BI670=4,H1320+H1321+H1323+H1324+H1325, 0)</f>
        <v>0</v>
      </c>
    </row>
    <row r="1331" spans="1:26" ht="28.5" x14ac:dyDescent="0.2">
      <c r="A1331" s="44" t="str">
        <f>Source!E674</f>
        <v>127</v>
      </c>
      <c r="B1331" s="45" t="str">
        <f>Source!F674</f>
        <v>17-01-005-04</v>
      </c>
      <c r="C1331" s="45" t="str">
        <f>Source!G674</f>
        <v>Установка раковин</v>
      </c>
      <c r="D1331" s="28" t="str">
        <f>Source!H674</f>
        <v>10 компл</v>
      </c>
      <c r="E1331" s="11">
        <f>Source!I674</f>
        <v>0.4</v>
      </c>
      <c r="F1331" s="29">
        <f>Source!AL674+Source!AM674+Source!AO674</f>
        <v>153.76999999999998</v>
      </c>
      <c r="G1331" s="30"/>
      <c r="H1331" s="29"/>
      <c r="I1331" s="30" t="str">
        <f>Source!BO674</f>
        <v/>
      </c>
      <c r="J1331" s="30"/>
      <c r="K1331" s="29"/>
      <c r="L1331" s="31"/>
      <c r="S1331">
        <f>ROUND((Source!FX674/100)*((ROUND(Source!AF674*Source!I674, 2)+ROUND(Source!AE674*Source!I674, 2))), 2)</f>
        <v>47.3</v>
      </c>
      <c r="T1331">
        <f>Source!X674</f>
        <v>309.79000000000002</v>
      </c>
      <c r="U1331">
        <f>ROUND((Source!FY674/100)*((ROUND(Source!AF674*Source!I674, 2)+ROUND(Source!AE674*Source!I674, 2))), 2)</f>
        <v>28.97</v>
      </c>
      <c r="V1331">
        <f>Source!Y674</f>
        <v>191.26</v>
      </c>
    </row>
    <row r="1332" spans="1:26" x14ac:dyDescent="0.2">
      <c r="C1332" s="23" t="str">
        <f>"Объем: "&amp;Source!I674&amp;"=4/"&amp;"10"</f>
        <v>Объем: 0,4=4/10</v>
      </c>
    </row>
    <row r="1333" spans="1:26" ht="14.25" x14ac:dyDescent="0.2">
      <c r="A1333" s="44"/>
      <c r="B1333" s="45"/>
      <c r="C1333" s="45" t="s">
        <v>1930</v>
      </c>
      <c r="D1333" s="28"/>
      <c r="E1333" s="11"/>
      <c r="F1333" s="29">
        <f>Source!AO674</f>
        <v>86.48</v>
      </c>
      <c r="G1333" s="30" t="str">
        <f>Source!DG674</f>
        <v>)*1,15</v>
      </c>
      <c r="H1333" s="29">
        <f>ROUND(Source!AF674*Source!I674, 2)</f>
        <v>39.78</v>
      </c>
      <c r="I1333" s="30"/>
      <c r="J1333" s="30">
        <f>IF(Source!BA674&lt;&gt; 0, Source!BA674, 1)</f>
        <v>6.56</v>
      </c>
      <c r="K1333" s="29">
        <f>Source!S674</f>
        <v>260.95999999999998</v>
      </c>
      <c r="L1333" s="31"/>
      <c r="R1333">
        <f>H1333</f>
        <v>39.78</v>
      </c>
    </row>
    <row r="1334" spans="1:26" ht="14.25" x14ac:dyDescent="0.2">
      <c r="A1334" s="44"/>
      <c r="B1334" s="45"/>
      <c r="C1334" s="45" t="s">
        <v>151</v>
      </c>
      <c r="D1334" s="28"/>
      <c r="E1334" s="11"/>
      <c r="F1334" s="29">
        <f>Source!AM674</f>
        <v>11.39</v>
      </c>
      <c r="G1334" s="30" t="str">
        <f>Source!DE674</f>
        <v>)*1,25</v>
      </c>
      <c r="H1334" s="29">
        <f>ROUND(Source!AD674*Source!I674, 2)</f>
        <v>5.7</v>
      </c>
      <c r="I1334" s="30"/>
      <c r="J1334" s="30">
        <f>IF(Source!BB674&lt;&gt; 0, Source!BB674, 1)</f>
        <v>6.56</v>
      </c>
      <c r="K1334" s="29">
        <f>Source!Q674</f>
        <v>37.369999999999997</v>
      </c>
      <c r="L1334" s="31"/>
    </row>
    <row r="1335" spans="1:26" ht="14.25" x14ac:dyDescent="0.2">
      <c r="A1335" s="44"/>
      <c r="B1335" s="45"/>
      <c r="C1335" s="45" t="s">
        <v>1931</v>
      </c>
      <c r="D1335" s="28"/>
      <c r="E1335" s="11"/>
      <c r="F1335" s="29">
        <f>Source!AN674</f>
        <v>2.57</v>
      </c>
      <c r="G1335" s="30" t="str">
        <f>Source!DF674</f>
        <v>)*1,25</v>
      </c>
      <c r="H1335" s="32">
        <f>ROUND(Source!AE674*Source!I674, 2)</f>
        <v>1.28</v>
      </c>
      <c r="I1335" s="30"/>
      <c r="J1335" s="30">
        <f>IF(Source!BS674&lt;&gt; 0, Source!BS674, 1)</f>
        <v>6.56</v>
      </c>
      <c r="K1335" s="32">
        <f>Source!R674</f>
        <v>8.42</v>
      </c>
      <c r="L1335" s="31"/>
      <c r="R1335">
        <f>H1335</f>
        <v>1.28</v>
      </c>
    </row>
    <row r="1336" spans="1:26" ht="14.25" x14ac:dyDescent="0.2">
      <c r="A1336" s="44"/>
      <c r="B1336" s="45"/>
      <c r="C1336" s="45" t="s">
        <v>1937</v>
      </c>
      <c r="D1336" s="28"/>
      <c r="E1336" s="11"/>
      <c r="F1336" s="29">
        <f>Source!AL674</f>
        <v>55.9</v>
      </c>
      <c r="G1336" s="30" t="str">
        <f>Source!DD674</f>
        <v/>
      </c>
      <c r="H1336" s="29">
        <f>ROUND(Source!AC674*Source!I674, 2)</f>
        <v>22.36</v>
      </c>
      <c r="I1336" s="30"/>
      <c r="J1336" s="30">
        <f>IF(Source!BC674&lt;&gt; 0, Source!BC674, 1)</f>
        <v>6.56</v>
      </c>
      <c r="K1336" s="29">
        <f>Source!P674</f>
        <v>146.68</v>
      </c>
      <c r="L1336" s="31"/>
    </row>
    <row r="1337" spans="1:26" ht="14.25" x14ac:dyDescent="0.2">
      <c r="A1337" s="44"/>
      <c r="B1337" s="45"/>
      <c r="C1337" s="45" t="s">
        <v>1932</v>
      </c>
      <c r="D1337" s="28" t="s">
        <v>1933</v>
      </c>
      <c r="E1337" s="11">
        <f>Source!BZ674</f>
        <v>128</v>
      </c>
      <c r="F1337" s="64" t="str">
        <f>CONCATENATE(" )", Source!DL674, Source!FT674, "=", Source!FX674)</f>
        <v xml:space="preserve"> )*0,9=115,2</v>
      </c>
      <c r="G1337" s="65"/>
      <c r="H1337" s="29">
        <f>SUM(S1331:S1342)</f>
        <v>47.3</v>
      </c>
      <c r="I1337" s="33"/>
      <c r="J1337" s="26">
        <f>Source!AT674</f>
        <v>115</v>
      </c>
      <c r="K1337" s="29">
        <f>SUM(T1331:T1342)</f>
        <v>309.79000000000002</v>
      </c>
      <c r="L1337" s="31"/>
    </row>
    <row r="1338" spans="1:26" ht="14.25" x14ac:dyDescent="0.2">
      <c r="A1338" s="44"/>
      <c r="B1338" s="45"/>
      <c r="C1338" s="45" t="s">
        <v>1934</v>
      </c>
      <c r="D1338" s="28" t="s">
        <v>1933</v>
      </c>
      <c r="E1338" s="11">
        <f>Source!CA674</f>
        <v>83</v>
      </c>
      <c r="F1338" s="64" t="str">
        <f>CONCATENATE(" )", Source!DM674, Source!FU674, "=", Source!FY674)</f>
        <v xml:space="preserve"> )*0,85=70,55</v>
      </c>
      <c r="G1338" s="65"/>
      <c r="H1338" s="29">
        <f>SUM(U1331:U1342)</f>
        <v>28.97</v>
      </c>
      <c r="I1338" s="33"/>
      <c r="J1338" s="26">
        <f>Source!AU674</f>
        <v>71</v>
      </c>
      <c r="K1338" s="29">
        <f>SUM(V1331:V1342)</f>
        <v>191.26</v>
      </c>
      <c r="L1338" s="31"/>
    </row>
    <row r="1339" spans="1:26" ht="14.25" x14ac:dyDescent="0.2">
      <c r="A1339" s="44"/>
      <c r="B1339" s="45"/>
      <c r="C1339" s="45" t="s">
        <v>1935</v>
      </c>
      <c r="D1339" s="28" t="s">
        <v>1936</v>
      </c>
      <c r="E1339" s="11">
        <f>Source!AQ674</f>
        <v>8.99</v>
      </c>
      <c r="F1339" s="29"/>
      <c r="G1339" s="30" t="str">
        <f>Source!DI674</f>
        <v>)*1,15</v>
      </c>
      <c r="H1339" s="29"/>
      <c r="I1339" s="30"/>
      <c r="J1339" s="30"/>
      <c r="K1339" s="29"/>
      <c r="L1339" s="40">
        <f>Source!U674</f>
        <v>4.1353999999999997</v>
      </c>
    </row>
    <row r="1340" spans="1:26" ht="28.5" x14ac:dyDescent="0.2">
      <c r="A1340" s="44" t="str">
        <f>Source!E675</f>
        <v>127,1</v>
      </c>
      <c r="B1340" s="45" t="str">
        <f>Source!F675</f>
        <v>18.2.06.12-0021</v>
      </c>
      <c r="C1340" s="45" t="str">
        <f>Source!G675</f>
        <v>Пьедесталы для раковины Santek Бореаль WH110591 прим.</v>
      </c>
      <c r="D1340" s="28" t="str">
        <f>Source!H675</f>
        <v>шт.</v>
      </c>
      <c r="E1340" s="11">
        <f>Source!I675</f>
        <v>4</v>
      </c>
      <c r="F1340" s="29">
        <f>Source!AL675+Source!AM675+Source!AO675</f>
        <v>130.53</v>
      </c>
      <c r="G1340" s="41" t="s">
        <v>6</v>
      </c>
      <c r="H1340" s="29">
        <f>ROUND(Source!AC675*Source!I675, 2)+ROUND(Source!AD675*Source!I675, 2)+ROUND(Source!AF675*Source!I675, 2)</f>
        <v>522.12</v>
      </c>
      <c r="I1340" s="30"/>
      <c r="J1340" s="30">
        <f>IF(Source!BC675&lt;&gt; 0, Source!BC675, 1)</f>
        <v>6.56</v>
      </c>
      <c r="K1340" s="29">
        <f>Source!O675</f>
        <v>3425.11</v>
      </c>
      <c r="L1340" s="31"/>
      <c r="S1340">
        <f>ROUND((Source!FX675/100)*((ROUND(Source!AF675*Source!I675, 2)+ROUND(Source!AE675*Source!I675, 2))), 2)</f>
        <v>0</v>
      </c>
      <c r="T1340">
        <f>Source!X675</f>
        <v>0</v>
      </c>
      <c r="U1340">
        <f>ROUND((Source!FY675/100)*((ROUND(Source!AF675*Source!I675, 2)+ROUND(Source!AE675*Source!I675, 2))), 2)</f>
        <v>0</v>
      </c>
      <c r="V1340">
        <f>Source!Y675</f>
        <v>0</v>
      </c>
      <c r="W1340">
        <f>IF(Source!BI675&lt;=1,H1340, 0)</f>
        <v>522.12</v>
      </c>
      <c r="X1340">
        <f>IF(Source!BI675=2,H1340, 0)</f>
        <v>0</v>
      </c>
      <c r="Y1340">
        <f>IF(Source!BI675=3,H1340, 0)</f>
        <v>0</v>
      </c>
      <c r="Z1340">
        <f>IF(Source!BI675=4,H1340, 0)</f>
        <v>0</v>
      </c>
    </row>
    <row r="1341" spans="1:26" ht="85.5" x14ac:dyDescent="0.2">
      <c r="A1341" s="44" t="str">
        <f>Source!E676</f>
        <v>127,2</v>
      </c>
      <c r="B1341" s="45" t="str">
        <f>Source!F676</f>
        <v>18.2.01.05-0189</v>
      </c>
      <c r="C1341" s="45" t="str">
        <f>Source!G676</f>
        <v>Раковины Santek Бореаль 60 с смесителем  Bravat Fit F 1233188 CPс нижней камерой смешивания, кронштейнами, сифоном  для раковины Alkaplast A41 Flexi латунным и выпуском  прим.</v>
      </c>
      <c r="D1341" s="28" t="str">
        <f>Source!H676</f>
        <v>компл.</v>
      </c>
      <c r="E1341" s="11">
        <f>Source!I676</f>
        <v>4</v>
      </c>
      <c r="F1341" s="29">
        <f>Source!AL676+Source!AM676+Source!AO676</f>
        <v>357</v>
      </c>
      <c r="G1341" s="41" t="s">
        <v>6</v>
      </c>
      <c r="H1341" s="29">
        <f>ROUND(Source!AC676*Source!I676, 2)+ROUND(Source!AD676*Source!I676, 2)+ROUND(Source!AF676*Source!I676, 2)</f>
        <v>1428</v>
      </c>
      <c r="I1341" s="30"/>
      <c r="J1341" s="30">
        <f>IF(Source!BC676&lt;&gt; 0, Source!BC676, 1)</f>
        <v>6.56</v>
      </c>
      <c r="K1341" s="29">
        <f>Source!O676</f>
        <v>9367.68</v>
      </c>
      <c r="L1341" s="31"/>
      <c r="S1341">
        <f>ROUND((Source!FX676/100)*((ROUND(Source!AF676*Source!I676, 2)+ROUND(Source!AE676*Source!I676, 2))), 2)</f>
        <v>0</v>
      </c>
      <c r="T1341">
        <f>Source!X676</f>
        <v>0</v>
      </c>
      <c r="U1341">
        <f>ROUND((Source!FY676/100)*((ROUND(Source!AF676*Source!I676, 2)+ROUND(Source!AE676*Source!I676, 2))), 2)</f>
        <v>0</v>
      </c>
      <c r="V1341">
        <f>Source!Y676</f>
        <v>0</v>
      </c>
      <c r="W1341">
        <f>IF(Source!BI676&lt;=1,H1341, 0)</f>
        <v>1428</v>
      </c>
      <c r="X1341">
        <f>IF(Source!BI676=2,H1341, 0)</f>
        <v>0</v>
      </c>
      <c r="Y1341">
        <f>IF(Source!BI676=3,H1341, 0)</f>
        <v>0</v>
      </c>
      <c r="Z1341">
        <f>IF(Source!BI676=4,H1341, 0)</f>
        <v>0</v>
      </c>
    </row>
    <row r="1342" spans="1:26" ht="28.5" x14ac:dyDescent="0.2">
      <c r="A1342" s="46" t="str">
        <f>Source!E677</f>
        <v>127,3</v>
      </c>
      <c r="B1342" s="47" t="str">
        <f>Source!F677</f>
        <v>18.2.06.08-0016</v>
      </c>
      <c r="C1342" s="47" t="str">
        <f>Source!G677</f>
        <v>Подводка гибкая армированная резиновая 1000 мм</v>
      </c>
      <c r="D1342" s="34" t="str">
        <f>Source!H677</f>
        <v>10 шт.</v>
      </c>
      <c r="E1342" s="35">
        <f>Source!I677</f>
        <v>0.4</v>
      </c>
      <c r="F1342" s="36">
        <f>Source!AL677+Source!AM677+Source!AO677</f>
        <v>160.19999999999999</v>
      </c>
      <c r="G1342" s="42" t="s">
        <v>6</v>
      </c>
      <c r="H1342" s="36">
        <f>ROUND(Source!AC677*Source!I677, 2)+ROUND(Source!AD677*Source!I677, 2)+ROUND(Source!AF677*Source!I677, 2)</f>
        <v>64.08</v>
      </c>
      <c r="I1342" s="37"/>
      <c r="J1342" s="37">
        <f>IF(Source!BC677&lt;&gt; 0, Source!BC677, 1)</f>
        <v>6.56</v>
      </c>
      <c r="K1342" s="36">
        <f>Source!O677</f>
        <v>420.36</v>
      </c>
      <c r="L1342" s="43"/>
      <c r="S1342">
        <f>ROUND((Source!FX677/100)*((ROUND(Source!AF677*Source!I677, 2)+ROUND(Source!AE677*Source!I677, 2))), 2)</f>
        <v>0</v>
      </c>
      <c r="T1342">
        <f>Source!X677</f>
        <v>0</v>
      </c>
      <c r="U1342">
        <f>ROUND((Source!FY677/100)*((ROUND(Source!AF677*Source!I677, 2)+ROUND(Source!AE677*Source!I677, 2))), 2)</f>
        <v>0</v>
      </c>
      <c r="V1342">
        <f>Source!Y677</f>
        <v>0</v>
      </c>
      <c r="W1342">
        <f>IF(Source!BI677&lt;=1,H1342, 0)</f>
        <v>64.08</v>
      </c>
      <c r="X1342">
        <f>IF(Source!BI677=2,H1342, 0)</f>
        <v>0</v>
      </c>
      <c r="Y1342">
        <f>IF(Source!BI677=3,H1342, 0)</f>
        <v>0</v>
      </c>
      <c r="Z1342">
        <f>IF(Source!BI677=4,H1342, 0)</f>
        <v>0</v>
      </c>
    </row>
    <row r="1343" spans="1:26" ht="15" x14ac:dyDescent="0.25">
      <c r="G1343" s="63">
        <f>H1333+H1334+H1336+H1337+H1338+SUM(H1340:H1342)</f>
        <v>2158.31</v>
      </c>
      <c r="H1343" s="63"/>
      <c r="J1343" s="63">
        <f>K1333+K1334+K1336+K1337+K1338+SUM(K1340:K1342)</f>
        <v>14159.210000000001</v>
      </c>
      <c r="K1343" s="63"/>
      <c r="L1343" s="39">
        <f>Source!U674</f>
        <v>4.1353999999999997</v>
      </c>
      <c r="O1343" s="24">
        <f>G1343</f>
        <v>2158.31</v>
      </c>
      <c r="P1343" s="24">
        <f>J1343</f>
        <v>14159.210000000001</v>
      </c>
      <c r="Q1343" s="24">
        <f>L1343</f>
        <v>4.1353999999999997</v>
      </c>
      <c r="W1343">
        <f>IF(Source!BI674&lt;=1,H1333+H1334+H1336+H1337+H1338, 0)</f>
        <v>144.11000000000001</v>
      </c>
      <c r="X1343">
        <f>IF(Source!BI674=2,H1333+H1334+H1336+H1337+H1338, 0)</f>
        <v>0</v>
      </c>
      <c r="Y1343">
        <f>IF(Source!BI674=3,H1333+H1334+H1336+H1337+H1338, 0)</f>
        <v>0</v>
      </c>
      <c r="Z1343">
        <f>IF(Source!BI674=4,H1333+H1334+H1336+H1337+H1338, 0)</f>
        <v>0</v>
      </c>
    </row>
    <row r="1344" spans="1:26" ht="28.5" x14ac:dyDescent="0.2">
      <c r="A1344" s="44" t="str">
        <f>Source!E678</f>
        <v>128</v>
      </c>
      <c r="B1344" s="45" t="str">
        <f>Source!F678</f>
        <v>17-01-002-03</v>
      </c>
      <c r="C1344" s="45" t="str">
        <f>Source!G678</f>
        <v>Установка смесителей (без стоимости материалов)</v>
      </c>
      <c r="D1344" s="28" t="str">
        <f>Source!H678</f>
        <v>10 ШТ</v>
      </c>
      <c r="E1344" s="11">
        <f>Source!I678</f>
        <v>0.4</v>
      </c>
      <c r="F1344" s="29">
        <f>Source!AL678+Source!AM678+Source!AO678</f>
        <v>78.320000000000007</v>
      </c>
      <c r="G1344" s="30"/>
      <c r="H1344" s="29"/>
      <c r="I1344" s="30" t="str">
        <f>Source!BO678</f>
        <v/>
      </c>
      <c r="J1344" s="30"/>
      <c r="K1344" s="29"/>
      <c r="L1344" s="31"/>
      <c r="S1344">
        <f>ROUND((Source!FX678/100)*((ROUND(Source!AF678*Source!I678, 2)+ROUND(Source!AE678*Source!I678, 2))), 2)</f>
        <v>35.69</v>
      </c>
      <c r="T1344">
        <f>Source!X678</f>
        <v>233.68</v>
      </c>
      <c r="U1344">
        <f>ROUND((Source!FY678/100)*((ROUND(Source!AF678*Source!I678, 2)+ROUND(Source!AE678*Source!I678, 2))), 2)</f>
        <v>21.86</v>
      </c>
      <c r="V1344">
        <f>Source!Y678</f>
        <v>144.27000000000001</v>
      </c>
    </row>
    <row r="1345" spans="1:26" x14ac:dyDescent="0.2">
      <c r="C1345" s="23" t="str">
        <f>"Объем: "&amp;Source!I678&amp;"=4/"&amp;"10"</f>
        <v>Объем: 0,4=4/10</v>
      </c>
    </row>
    <row r="1346" spans="1:26" ht="14.25" x14ac:dyDescent="0.2">
      <c r="A1346" s="44"/>
      <c r="B1346" s="45"/>
      <c r="C1346" s="45" t="s">
        <v>1930</v>
      </c>
      <c r="D1346" s="28"/>
      <c r="E1346" s="11"/>
      <c r="F1346" s="29">
        <f>Source!AO678</f>
        <v>67.34</v>
      </c>
      <c r="G1346" s="30" t="str">
        <f>Source!DG678</f>
        <v>)*1,15</v>
      </c>
      <c r="H1346" s="29">
        <f>ROUND(Source!AF678*Source!I678, 2)</f>
        <v>30.98</v>
      </c>
      <c r="I1346" s="30"/>
      <c r="J1346" s="30">
        <f>IF(Source!BA678&lt;&gt; 0, Source!BA678, 1)</f>
        <v>6.56</v>
      </c>
      <c r="K1346" s="29">
        <f>Source!S678</f>
        <v>203.2</v>
      </c>
      <c r="L1346" s="31"/>
      <c r="R1346">
        <f>H1346</f>
        <v>30.98</v>
      </c>
    </row>
    <row r="1347" spans="1:26" ht="14.25" x14ac:dyDescent="0.2">
      <c r="A1347" s="44"/>
      <c r="B1347" s="45"/>
      <c r="C1347" s="45" t="s">
        <v>1937</v>
      </c>
      <c r="D1347" s="28"/>
      <c r="E1347" s="11"/>
      <c r="F1347" s="29">
        <f>Source!AL678</f>
        <v>10.98</v>
      </c>
      <c r="G1347" s="30" t="str">
        <f>Source!DD678</f>
        <v/>
      </c>
      <c r="H1347" s="29">
        <f>ROUND(Source!AC678*Source!I678, 2)</f>
        <v>4.3899999999999997</v>
      </c>
      <c r="I1347" s="30"/>
      <c r="J1347" s="30">
        <f>IF(Source!BC678&lt;&gt; 0, Source!BC678, 1)</f>
        <v>6.56</v>
      </c>
      <c r="K1347" s="29">
        <f>Source!P678</f>
        <v>28.81</v>
      </c>
      <c r="L1347" s="31"/>
    </row>
    <row r="1348" spans="1:26" ht="14.25" x14ac:dyDescent="0.2">
      <c r="A1348" s="44"/>
      <c r="B1348" s="45"/>
      <c r="C1348" s="45" t="s">
        <v>1932</v>
      </c>
      <c r="D1348" s="28" t="s">
        <v>1933</v>
      </c>
      <c r="E1348" s="11">
        <f>Source!BZ678</f>
        <v>128</v>
      </c>
      <c r="F1348" s="64" t="str">
        <f>CONCATENATE(" )", Source!DL678, Source!FT678, "=", Source!FX678)</f>
        <v xml:space="preserve"> )*0,9=115,2</v>
      </c>
      <c r="G1348" s="65"/>
      <c r="H1348" s="29">
        <f>SUM(S1344:S1350)</f>
        <v>35.69</v>
      </c>
      <c r="I1348" s="33"/>
      <c r="J1348" s="26">
        <f>Source!AT678</f>
        <v>115</v>
      </c>
      <c r="K1348" s="29">
        <f>SUM(T1344:T1350)</f>
        <v>233.68</v>
      </c>
      <c r="L1348" s="31"/>
    </row>
    <row r="1349" spans="1:26" ht="14.25" x14ac:dyDescent="0.2">
      <c r="A1349" s="44"/>
      <c r="B1349" s="45"/>
      <c r="C1349" s="45" t="s">
        <v>1934</v>
      </c>
      <c r="D1349" s="28" t="s">
        <v>1933</v>
      </c>
      <c r="E1349" s="11">
        <f>Source!CA678</f>
        <v>83</v>
      </c>
      <c r="F1349" s="64" t="str">
        <f>CONCATENATE(" )", Source!DM678, Source!FU678, "=", Source!FY678)</f>
        <v xml:space="preserve"> )*0,85=70,55</v>
      </c>
      <c r="G1349" s="65"/>
      <c r="H1349" s="29">
        <f>SUM(U1344:U1350)</f>
        <v>21.86</v>
      </c>
      <c r="I1349" s="33"/>
      <c r="J1349" s="26">
        <f>Source!AU678</f>
        <v>71</v>
      </c>
      <c r="K1349" s="29">
        <f>SUM(V1344:V1350)</f>
        <v>144.27000000000001</v>
      </c>
      <c r="L1349" s="31"/>
    </row>
    <row r="1350" spans="1:26" ht="14.25" x14ac:dyDescent="0.2">
      <c r="A1350" s="46"/>
      <c r="B1350" s="47"/>
      <c r="C1350" s="47" t="s">
        <v>1935</v>
      </c>
      <c r="D1350" s="34" t="s">
        <v>1936</v>
      </c>
      <c r="E1350" s="35">
        <f>Source!AQ678</f>
        <v>7</v>
      </c>
      <c r="F1350" s="36"/>
      <c r="G1350" s="37" t="str">
        <f>Source!DI678</f>
        <v>)*1,15</v>
      </c>
      <c r="H1350" s="36"/>
      <c r="I1350" s="37"/>
      <c r="J1350" s="37"/>
      <c r="K1350" s="36"/>
      <c r="L1350" s="38">
        <f>Source!U678</f>
        <v>3.2199999999999998</v>
      </c>
    </row>
    <row r="1351" spans="1:26" ht="15" x14ac:dyDescent="0.25">
      <c r="G1351" s="63">
        <f>H1346+H1347+H1348+H1349</f>
        <v>92.92</v>
      </c>
      <c r="H1351" s="63"/>
      <c r="J1351" s="63">
        <f>K1346+K1347+K1348+K1349</f>
        <v>609.96</v>
      </c>
      <c r="K1351" s="63"/>
      <c r="L1351" s="39">
        <f>Source!U678</f>
        <v>3.2199999999999998</v>
      </c>
      <c r="O1351" s="24">
        <f>G1351</f>
        <v>92.92</v>
      </c>
      <c r="P1351" s="24">
        <f>J1351</f>
        <v>609.96</v>
      </c>
      <c r="Q1351" s="24">
        <f>L1351</f>
        <v>3.2199999999999998</v>
      </c>
      <c r="W1351">
        <f>IF(Source!BI678&lt;=1,H1346+H1347+H1348+H1349, 0)</f>
        <v>92.92</v>
      </c>
      <c r="X1351">
        <f>IF(Source!BI678=2,H1346+H1347+H1348+H1349, 0)</f>
        <v>0</v>
      </c>
      <c r="Y1351">
        <f>IF(Source!BI678=3,H1346+H1347+H1348+H1349, 0)</f>
        <v>0</v>
      </c>
      <c r="Z1351">
        <f>IF(Source!BI678=4,H1346+H1347+H1348+H1349, 0)</f>
        <v>0</v>
      </c>
    </row>
    <row r="1352" spans="1:26" ht="57" x14ac:dyDescent="0.2">
      <c r="A1352" s="44" t="str">
        <f>Source!E679</f>
        <v>129</v>
      </c>
      <c r="B1352" s="45" t="str">
        <f>Source!F679</f>
        <v>16-07-005-01</v>
      </c>
      <c r="C1352" s="45" t="str">
        <f>Source!G679</f>
        <v>Гидравлическое испытание трубопроводов систем отопления, водопровода и горячего водоснабжения диаметром до 50 мм</v>
      </c>
      <c r="D1352" s="28" t="str">
        <f>Source!H679</f>
        <v>100 м</v>
      </c>
      <c r="E1352" s="11">
        <f>Source!I679</f>
        <v>0.68600000000000005</v>
      </c>
      <c r="F1352" s="29">
        <f>Source!AL679+Source!AM679+Source!AO679</f>
        <v>107.12</v>
      </c>
      <c r="G1352" s="30"/>
      <c r="H1352" s="29"/>
      <c r="I1352" s="30" t="str">
        <f>Source!BO679</f>
        <v/>
      </c>
      <c r="J1352" s="30"/>
      <c r="K1352" s="29"/>
      <c r="L1352" s="31"/>
      <c r="S1352">
        <f>ROUND((Source!FX679/100)*((ROUND(Source!AF679*Source!I679, 2)+ROUND(Source!AE679*Source!I679, 2))), 2)</f>
        <v>60.95</v>
      </c>
      <c r="T1352">
        <f>Source!X679</f>
        <v>399.17</v>
      </c>
      <c r="U1352">
        <f>ROUND((Source!FY679/100)*((ROUND(Source!AF679*Source!I679, 2)+ROUND(Source!AE679*Source!I679, 2))), 2)</f>
        <v>37.33</v>
      </c>
      <c r="V1352">
        <f>Source!Y679</f>
        <v>246.44</v>
      </c>
    </row>
    <row r="1353" spans="1:26" x14ac:dyDescent="0.2">
      <c r="C1353" s="23" t="str">
        <f>"Объем: "&amp;Source!I679&amp;"=68,6/"&amp;"100"</f>
        <v>Объем: 0,686=68,6/100</v>
      </c>
    </row>
    <row r="1354" spans="1:26" ht="14.25" x14ac:dyDescent="0.2">
      <c r="A1354" s="44"/>
      <c r="B1354" s="45"/>
      <c r="C1354" s="45" t="s">
        <v>1930</v>
      </c>
      <c r="D1354" s="28"/>
      <c r="E1354" s="11"/>
      <c r="F1354" s="29">
        <f>Source!AO679</f>
        <v>58.32</v>
      </c>
      <c r="G1354" s="30" t="str">
        <f>Source!DG679</f>
        <v>)*1,15)*1,15</v>
      </c>
      <c r="H1354" s="29">
        <f>ROUND(Source!AF679*Source!I679, 2)</f>
        <v>52.91</v>
      </c>
      <c r="I1354" s="30"/>
      <c r="J1354" s="30">
        <f>IF(Source!BA679&lt;&gt; 0, Source!BA679, 1)</f>
        <v>6.56</v>
      </c>
      <c r="K1354" s="29">
        <f>Source!S679</f>
        <v>347.1</v>
      </c>
      <c r="L1354" s="31"/>
      <c r="R1354">
        <f>H1354</f>
        <v>52.91</v>
      </c>
    </row>
    <row r="1355" spans="1:26" ht="14.25" x14ac:dyDescent="0.2">
      <c r="A1355" s="44"/>
      <c r="B1355" s="45"/>
      <c r="C1355" s="45" t="s">
        <v>151</v>
      </c>
      <c r="D1355" s="28"/>
      <c r="E1355" s="11"/>
      <c r="F1355" s="29">
        <f>Source!AM679</f>
        <v>44.51</v>
      </c>
      <c r="G1355" s="30" t="str">
        <f>Source!DE679</f>
        <v>)*1,25)*1,25</v>
      </c>
      <c r="H1355" s="29">
        <f>ROUND(Source!AD679*Source!I679, 2)</f>
        <v>47.71</v>
      </c>
      <c r="I1355" s="30"/>
      <c r="J1355" s="30">
        <f>IF(Source!BB679&lt;&gt; 0, Source!BB679, 1)</f>
        <v>6.56</v>
      </c>
      <c r="K1355" s="29">
        <f>Source!Q679</f>
        <v>312.99</v>
      </c>
      <c r="L1355" s="31"/>
    </row>
    <row r="1356" spans="1:26" ht="14.25" x14ac:dyDescent="0.2">
      <c r="A1356" s="44"/>
      <c r="B1356" s="45"/>
      <c r="C1356" s="45" t="s">
        <v>1937</v>
      </c>
      <c r="D1356" s="28"/>
      <c r="E1356" s="11"/>
      <c r="F1356" s="29">
        <f>Source!AL679</f>
        <v>4.29</v>
      </c>
      <c r="G1356" s="30" t="str">
        <f>Source!DD679</f>
        <v/>
      </c>
      <c r="H1356" s="29">
        <f>ROUND(Source!AC679*Source!I679, 2)</f>
        <v>2.94</v>
      </c>
      <c r="I1356" s="30"/>
      <c r="J1356" s="30">
        <f>IF(Source!BC679&lt;&gt; 0, Source!BC679, 1)</f>
        <v>6.56</v>
      </c>
      <c r="K1356" s="29">
        <f>Source!P679</f>
        <v>19.309999999999999</v>
      </c>
      <c r="L1356" s="31"/>
    </row>
    <row r="1357" spans="1:26" ht="14.25" x14ac:dyDescent="0.2">
      <c r="A1357" s="44"/>
      <c r="B1357" s="45"/>
      <c r="C1357" s="45" t="s">
        <v>1932</v>
      </c>
      <c r="D1357" s="28" t="s">
        <v>1933</v>
      </c>
      <c r="E1357" s="11">
        <f>Source!BZ679</f>
        <v>128</v>
      </c>
      <c r="F1357" s="64" t="str">
        <f>CONCATENATE(" )", Source!DL679, Source!FT679, "=", Source!FX679)</f>
        <v xml:space="preserve"> )*0,9=115,2</v>
      </c>
      <c r="G1357" s="65"/>
      <c r="H1357" s="29">
        <f>SUM(S1352:S1359)</f>
        <v>60.95</v>
      </c>
      <c r="I1357" s="33"/>
      <c r="J1357" s="26">
        <f>Source!AT679</f>
        <v>115</v>
      </c>
      <c r="K1357" s="29">
        <f>SUM(T1352:T1359)</f>
        <v>399.17</v>
      </c>
      <c r="L1357" s="31"/>
    </row>
    <row r="1358" spans="1:26" ht="14.25" x14ac:dyDescent="0.2">
      <c r="A1358" s="44"/>
      <c r="B1358" s="45"/>
      <c r="C1358" s="45" t="s">
        <v>1934</v>
      </c>
      <c r="D1358" s="28" t="s">
        <v>1933</v>
      </c>
      <c r="E1358" s="11">
        <f>Source!CA679</f>
        <v>83</v>
      </c>
      <c r="F1358" s="64" t="str">
        <f>CONCATENATE(" )", Source!DM679, Source!FU679, "=", Source!FY679)</f>
        <v xml:space="preserve"> )*0,85=70,55</v>
      </c>
      <c r="G1358" s="65"/>
      <c r="H1358" s="29">
        <f>SUM(U1352:U1359)</f>
        <v>37.33</v>
      </c>
      <c r="I1358" s="33"/>
      <c r="J1358" s="26">
        <f>Source!AU679</f>
        <v>71</v>
      </c>
      <c r="K1358" s="29">
        <f>SUM(V1352:V1359)</f>
        <v>246.44</v>
      </c>
      <c r="L1358" s="31"/>
    </row>
    <row r="1359" spans="1:26" ht="14.25" x14ac:dyDescent="0.2">
      <c r="A1359" s="46"/>
      <c r="B1359" s="47"/>
      <c r="C1359" s="47" t="s">
        <v>1935</v>
      </c>
      <c r="D1359" s="34" t="s">
        <v>1936</v>
      </c>
      <c r="E1359" s="35">
        <f>Source!AQ679</f>
        <v>5.01</v>
      </c>
      <c r="F1359" s="36"/>
      <c r="G1359" s="37" t="str">
        <f>Source!DI679</f>
        <v>)*1,15)*1,15</v>
      </c>
      <c r="H1359" s="36"/>
      <c r="I1359" s="37"/>
      <c r="J1359" s="37"/>
      <c r="K1359" s="36"/>
      <c r="L1359" s="38">
        <f>Source!U679</f>
        <v>4.5452473499999995</v>
      </c>
    </row>
    <row r="1360" spans="1:26" ht="15" x14ac:dyDescent="0.25">
      <c r="G1360" s="63">
        <f>H1354+H1355+H1356+H1357+H1358</f>
        <v>201.83999999999997</v>
      </c>
      <c r="H1360" s="63"/>
      <c r="J1360" s="63">
        <f>K1354+K1355+K1356+K1357+K1358</f>
        <v>1325.01</v>
      </c>
      <c r="K1360" s="63"/>
      <c r="L1360" s="39">
        <f>Source!U679</f>
        <v>4.5452473499999995</v>
      </c>
      <c r="O1360" s="24">
        <f>G1360</f>
        <v>201.83999999999997</v>
      </c>
      <c r="P1360" s="24">
        <f>J1360</f>
        <v>1325.01</v>
      </c>
      <c r="Q1360" s="24">
        <f>L1360</f>
        <v>4.5452473499999995</v>
      </c>
      <c r="W1360">
        <f>IF(Source!BI679&lt;=1,H1354+H1355+H1356+H1357+H1358, 0)</f>
        <v>201.83999999999997</v>
      </c>
      <c r="X1360">
        <f>IF(Source!BI679=2,H1354+H1355+H1356+H1357+H1358, 0)</f>
        <v>0</v>
      </c>
      <c r="Y1360">
        <f>IF(Source!BI679=3,H1354+H1355+H1356+H1357+H1358, 0)</f>
        <v>0</v>
      </c>
      <c r="Z1360">
        <f>IF(Source!BI679=4,H1354+H1355+H1356+H1357+H1358, 0)</f>
        <v>0</v>
      </c>
    </row>
    <row r="1362" spans="1:32" ht="15" x14ac:dyDescent="0.25">
      <c r="A1362" s="66" t="str">
        <f>CONCATENATE("Итого по разделу: ",IF(Source!G681&lt;&gt;"Новый раздел", Source!G681, ""))</f>
        <v>Итого по разделу: 7 Система горячего и холодного водоснабжения</v>
      </c>
      <c r="B1362" s="66"/>
      <c r="C1362" s="66"/>
      <c r="D1362" s="66"/>
      <c r="E1362" s="66"/>
      <c r="F1362" s="66"/>
      <c r="G1362" s="67">
        <f>SUM(O1299:O1361)</f>
        <v>9580.02</v>
      </c>
      <c r="H1362" s="67"/>
      <c r="I1362" s="25"/>
      <c r="J1362" s="67">
        <f>SUM(P1299:P1361)</f>
        <v>62873.94999999999</v>
      </c>
      <c r="K1362" s="67"/>
      <c r="L1362" s="39">
        <f>SUM(Q1299:Q1361)</f>
        <v>179.64378335000001</v>
      </c>
      <c r="AF1362" s="50" t="str">
        <f>CONCATENATE("Итого по разделу: ",IF(Source!G681&lt;&gt;"Новый раздел", Source!G681, ""))</f>
        <v>Итого по разделу: 7 Система горячего и холодного водоснабжения</v>
      </c>
    </row>
    <row r="1363" spans="1:32" ht="16.5" x14ac:dyDescent="0.25">
      <c r="A1363" s="68" t="str">
        <f>CONCATENATE("Раздел: ",IF(Source!G710&lt;&gt;"Новый раздел", Source!G710, ""))</f>
        <v>Раздел: 8 Канализация</v>
      </c>
      <c r="B1363" s="68"/>
      <c r="C1363" s="68"/>
      <c r="D1363" s="68"/>
      <c r="E1363" s="68"/>
      <c r="F1363" s="68"/>
      <c r="G1363" s="68"/>
      <c r="H1363" s="68"/>
      <c r="I1363" s="68"/>
      <c r="J1363" s="68"/>
      <c r="K1363" s="68"/>
      <c r="L1363" s="68"/>
    </row>
    <row r="1364" spans="1:32" ht="42.75" x14ac:dyDescent="0.2">
      <c r="A1364" s="44" t="str">
        <f>Source!E714</f>
        <v>130</v>
      </c>
      <c r="B1364" s="45" t="str">
        <f>Source!F714</f>
        <v>65-2-2</v>
      </c>
      <c r="C1364" s="45" t="str">
        <f>Source!G714</f>
        <v>Разборка трубопроводов из чугунных канализационных труб диаметром 100 мм</v>
      </c>
      <c r="D1364" s="28" t="str">
        <f>Source!H714</f>
        <v>100 м</v>
      </c>
      <c r="E1364" s="11">
        <f>Source!I714</f>
        <v>0.34</v>
      </c>
      <c r="F1364" s="29">
        <f>Source!AL714+Source!AM714+Source!AO714</f>
        <v>731.64</v>
      </c>
      <c r="G1364" s="30"/>
      <c r="H1364" s="29"/>
      <c r="I1364" s="30" t="str">
        <f>Source!BO714</f>
        <v/>
      </c>
      <c r="J1364" s="30"/>
      <c r="K1364" s="29"/>
      <c r="L1364" s="31"/>
      <c r="S1364">
        <f>ROUND((Source!FX714/100)*((ROUND(Source!AF714*Source!I714, 2)+ROUND(Source!AE714*Source!I714, 2))), 2)</f>
        <v>182.65</v>
      </c>
      <c r="T1364">
        <f>Source!X714</f>
        <v>1198.2</v>
      </c>
      <c r="U1364">
        <f>ROUND((Source!FY714/100)*((ROUND(Source!AF714*Source!I714, 2)+ROUND(Source!AE714*Source!I714, 2))), 2)</f>
        <v>123.42</v>
      </c>
      <c r="V1364">
        <f>Source!Y714</f>
        <v>809.6</v>
      </c>
    </row>
    <row r="1365" spans="1:32" x14ac:dyDescent="0.2">
      <c r="C1365" s="23" t="str">
        <f>"Объем: "&amp;Source!I714&amp;"=34/"&amp;"100"</f>
        <v>Объем: 0,34=34/100</v>
      </c>
    </row>
    <row r="1366" spans="1:32" ht="14.25" x14ac:dyDescent="0.2">
      <c r="A1366" s="44"/>
      <c r="B1366" s="45"/>
      <c r="C1366" s="45" t="s">
        <v>1930</v>
      </c>
      <c r="D1366" s="28"/>
      <c r="E1366" s="11"/>
      <c r="F1366" s="29">
        <f>Source!AO714</f>
        <v>721.64</v>
      </c>
      <c r="G1366" s="30" t="str">
        <f>Source!DG714</f>
        <v/>
      </c>
      <c r="H1366" s="29">
        <f>ROUND(Source!AF714*Source!I714, 2)</f>
        <v>245.36</v>
      </c>
      <c r="I1366" s="30"/>
      <c r="J1366" s="30">
        <f>IF(Source!BA714&lt;&gt; 0, Source!BA714, 1)</f>
        <v>6.56</v>
      </c>
      <c r="K1366" s="29">
        <f>Source!S714</f>
        <v>1609.55</v>
      </c>
      <c r="L1366" s="31"/>
      <c r="R1366">
        <f>H1366</f>
        <v>245.36</v>
      </c>
    </row>
    <row r="1367" spans="1:32" ht="14.25" x14ac:dyDescent="0.2">
      <c r="A1367" s="44"/>
      <c r="B1367" s="45"/>
      <c r="C1367" s="45" t="s">
        <v>151</v>
      </c>
      <c r="D1367" s="28"/>
      <c r="E1367" s="11"/>
      <c r="F1367" s="29">
        <f>Source!AM714</f>
        <v>10</v>
      </c>
      <c r="G1367" s="30" t="str">
        <f>Source!DE714</f>
        <v/>
      </c>
      <c r="H1367" s="29">
        <f>ROUND(Source!AD714*Source!I714, 2)</f>
        <v>3.4</v>
      </c>
      <c r="I1367" s="30"/>
      <c r="J1367" s="30">
        <f>IF(Source!BB714&lt;&gt; 0, Source!BB714, 1)</f>
        <v>6.56</v>
      </c>
      <c r="K1367" s="29">
        <f>Source!Q714</f>
        <v>22.3</v>
      </c>
      <c r="L1367" s="31"/>
    </row>
    <row r="1368" spans="1:32" ht="14.25" x14ac:dyDescent="0.2">
      <c r="A1368" s="44"/>
      <c r="B1368" s="45"/>
      <c r="C1368" s="45" t="s">
        <v>1931</v>
      </c>
      <c r="D1368" s="28"/>
      <c r="E1368" s="11"/>
      <c r="F1368" s="29">
        <f>Source!AN714</f>
        <v>4.32</v>
      </c>
      <c r="G1368" s="30" t="str">
        <f>Source!DF714</f>
        <v/>
      </c>
      <c r="H1368" s="32">
        <f>ROUND(Source!AE714*Source!I714, 2)</f>
        <v>1.47</v>
      </c>
      <c r="I1368" s="30"/>
      <c r="J1368" s="30">
        <f>IF(Source!BS714&lt;&gt; 0, Source!BS714, 1)</f>
        <v>6.56</v>
      </c>
      <c r="K1368" s="32">
        <f>Source!R714</f>
        <v>9.64</v>
      </c>
      <c r="L1368" s="31"/>
      <c r="R1368">
        <f>H1368</f>
        <v>1.47</v>
      </c>
    </row>
    <row r="1369" spans="1:32" ht="14.25" x14ac:dyDescent="0.2">
      <c r="A1369" s="44"/>
      <c r="B1369" s="45"/>
      <c r="C1369" s="45" t="s">
        <v>1932</v>
      </c>
      <c r="D1369" s="28" t="s">
        <v>1933</v>
      </c>
      <c r="E1369" s="11">
        <f>Source!BZ714</f>
        <v>74</v>
      </c>
      <c r="F1369" s="48"/>
      <c r="G1369" s="30"/>
      <c r="H1369" s="29">
        <f>SUM(S1364:S1371)</f>
        <v>182.65</v>
      </c>
      <c r="I1369" s="33"/>
      <c r="J1369" s="26">
        <f>Source!AT714</f>
        <v>74</v>
      </c>
      <c r="K1369" s="29">
        <f>SUM(T1364:T1371)</f>
        <v>1198.2</v>
      </c>
      <c r="L1369" s="31"/>
    </row>
    <row r="1370" spans="1:32" ht="14.25" x14ac:dyDescent="0.2">
      <c r="A1370" s="44"/>
      <c r="B1370" s="45"/>
      <c r="C1370" s="45" t="s">
        <v>1934</v>
      </c>
      <c r="D1370" s="28" t="s">
        <v>1933</v>
      </c>
      <c r="E1370" s="11">
        <f>Source!CA714</f>
        <v>50</v>
      </c>
      <c r="F1370" s="48"/>
      <c r="G1370" s="30"/>
      <c r="H1370" s="29">
        <f>SUM(U1364:U1371)</f>
        <v>123.42</v>
      </c>
      <c r="I1370" s="33"/>
      <c r="J1370" s="26">
        <f>Source!AU714</f>
        <v>50</v>
      </c>
      <c r="K1370" s="29">
        <f>SUM(V1364:V1371)</f>
        <v>809.6</v>
      </c>
      <c r="L1370" s="31"/>
    </row>
    <row r="1371" spans="1:32" ht="14.25" x14ac:dyDescent="0.2">
      <c r="A1371" s="46"/>
      <c r="B1371" s="47"/>
      <c r="C1371" s="47" t="s">
        <v>1935</v>
      </c>
      <c r="D1371" s="34" t="s">
        <v>1936</v>
      </c>
      <c r="E1371" s="35">
        <f>Source!AQ714</f>
        <v>85.3</v>
      </c>
      <c r="F1371" s="36"/>
      <c r="G1371" s="37" t="str">
        <f>Source!DI714</f>
        <v/>
      </c>
      <c r="H1371" s="36"/>
      <c r="I1371" s="37"/>
      <c r="J1371" s="37"/>
      <c r="K1371" s="36"/>
      <c r="L1371" s="38">
        <f>Source!U714</f>
        <v>29.002000000000002</v>
      </c>
    </row>
    <row r="1372" spans="1:32" ht="15" x14ac:dyDescent="0.25">
      <c r="G1372" s="63">
        <f>H1366+H1367+H1369+H1370</f>
        <v>554.83000000000004</v>
      </c>
      <c r="H1372" s="63"/>
      <c r="J1372" s="63">
        <f>K1366+K1367+K1369+K1370</f>
        <v>3639.65</v>
      </c>
      <c r="K1372" s="63"/>
      <c r="L1372" s="39">
        <f>Source!U714</f>
        <v>29.002000000000002</v>
      </c>
      <c r="O1372" s="24">
        <f>G1372</f>
        <v>554.83000000000004</v>
      </c>
      <c r="P1372" s="24">
        <f>J1372</f>
        <v>3639.65</v>
      </c>
      <c r="Q1372" s="24">
        <f>L1372</f>
        <v>29.002000000000002</v>
      </c>
      <c r="W1372">
        <f>IF(Source!BI714&lt;=1,H1366+H1367+H1369+H1370, 0)</f>
        <v>554.83000000000004</v>
      </c>
      <c r="X1372">
        <f>IF(Source!BI714=2,H1366+H1367+H1369+H1370, 0)</f>
        <v>0</v>
      </c>
      <c r="Y1372">
        <f>IF(Source!BI714=3,H1366+H1367+H1369+H1370, 0)</f>
        <v>0</v>
      </c>
      <c r="Z1372">
        <f>IF(Source!BI714=4,H1366+H1367+H1369+H1370, 0)</f>
        <v>0</v>
      </c>
    </row>
    <row r="1373" spans="1:32" ht="28.5" x14ac:dyDescent="0.2">
      <c r="A1373" s="44" t="str">
        <f>Source!E715</f>
        <v>131</v>
      </c>
      <c r="B1373" s="45" t="str">
        <f>Source!F715</f>
        <v>17-01-001-23</v>
      </c>
      <c r="C1373" s="45" t="str">
        <f>Source!G715</f>
        <v>Демонтаж: Установка трапов диаметром 100 мм</v>
      </c>
      <c r="D1373" s="28" t="str">
        <f>Source!H715</f>
        <v>10 компл</v>
      </c>
      <c r="E1373" s="11">
        <f>Source!I715</f>
        <v>0.2</v>
      </c>
      <c r="F1373" s="29">
        <f>Source!AL715+Source!AM715+Source!AO715</f>
        <v>141.9</v>
      </c>
      <c r="G1373" s="30"/>
      <c r="H1373" s="29"/>
      <c r="I1373" s="30" t="str">
        <f>Source!BO715</f>
        <v/>
      </c>
      <c r="J1373" s="30"/>
      <c r="K1373" s="29"/>
      <c r="L1373" s="31"/>
      <c r="S1373">
        <f>ROUND((Source!FX715/100)*((ROUND(Source!AF715*Source!I715, 2)+ROUND(Source!AE715*Source!I715, 2))), 2)</f>
        <v>8.1</v>
      </c>
      <c r="T1373">
        <f>Source!X715</f>
        <v>53.06</v>
      </c>
      <c r="U1373">
        <f>ROUND((Source!FY715/100)*((ROUND(Source!AF715*Source!I715, 2)+ROUND(Source!AE715*Source!I715, 2))), 2)</f>
        <v>4.96</v>
      </c>
      <c r="V1373">
        <f>Source!Y715</f>
        <v>32.76</v>
      </c>
    </row>
    <row r="1374" spans="1:32" x14ac:dyDescent="0.2">
      <c r="C1374" s="23" t="str">
        <f>"Объем: "&amp;Source!I715&amp;"=2/"&amp;"10"</f>
        <v>Объем: 0,2=2/10</v>
      </c>
    </row>
    <row r="1375" spans="1:32" ht="14.25" x14ac:dyDescent="0.2">
      <c r="A1375" s="44"/>
      <c r="B1375" s="45"/>
      <c r="C1375" s="45" t="s">
        <v>1930</v>
      </c>
      <c r="D1375" s="28"/>
      <c r="E1375" s="11"/>
      <c r="F1375" s="29">
        <f>Source!AO715</f>
        <v>84.37</v>
      </c>
      <c r="G1375" s="30" t="str">
        <f>Source!DG715</f>
        <v>)*0,4</v>
      </c>
      <c r="H1375" s="29">
        <f>ROUND(Source!AF715*Source!I715, 2)</f>
        <v>6.75</v>
      </c>
      <c r="I1375" s="30"/>
      <c r="J1375" s="30">
        <f>IF(Source!BA715&lt;&gt; 0, Source!BA715, 1)</f>
        <v>6.56</v>
      </c>
      <c r="K1375" s="29">
        <f>Source!S715</f>
        <v>44.28</v>
      </c>
      <c r="L1375" s="31"/>
      <c r="R1375">
        <f>H1375</f>
        <v>6.75</v>
      </c>
    </row>
    <row r="1376" spans="1:32" ht="14.25" x14ac:dyDescent="0.2">
      <c r="A1376" s="44"/>
      <c r="B1376" s="45"/>
      <c r="C1376" s="45" t="s">
        <v>151</v>
      </c>
      <c r="D1376" s="28"/>
      <c r="E1376" s="11"/>
      <c r="F1376" s="29">
        <f>Source!AM715</f>
        <v>15.61</v>
      </c>
      <c r="G1376" s="30" t="str">
        <f>Source!DE715</f>
        <v>)*0,4</v>
      </c>
      <c r="H1376" s="29">
        <f>ROUND(Source!AD715*Source!I715, 2)</f>
        <v>1.25</v>
      </c>
      <c r="I1376" s="30"/>
      <c r="J1376" s="30">
        <f>IF(Source!BB715&lt;&gt; 0, Source!BB715, 1)</f>
        <v>6.56</v>
      </c>
      <c r="K1376" s="29">
        <f>Source!Q715</f>
        <v>8.19</v>
      </c>
      <c r="L1376" s="31"/>
    </row>
    <row r="1377" spans="1:26" ht="14.25" x14ac:dyDescent="0.2">
      <c r="A1377" s="44"/>
      <c r="B1377" s="45"/>
      <c r="C1377" s="45" t="s">
        <v>1931</v>
      </c>
      <c r="D1377" s="28"/>
      <c r="E1377" s="11"/>
      <c r="F1377" s="29">
        <f>Source!AN715</f>
        <v>3.55</v>
      </c>
      <c r="G1377" s="30" t="str">
        <f>Source!DF715</f>
        <v>)*0,4</v>
      </c>
      <c r="H1377" s="32">
        <f>ROUND(Source!AE715*Source!I715, 2)</f>
        <v>0.28000000000000003</v>
      </c>
      <c r="I1377" s="30"/>
      <c r="J1377" s="30">
        <f>IF(Source!BS715&lt;&gt; 0, Source!BS715, 1)</f>
        <v>6.56</v>
      </c>
      <c r="K1377" s="32">
        <f>Source!R715</f>
        <v>1.86</v>
      </c>
      <c r="L1377" s="31"/>
      <c r="R1377">
        <f>H1377</f>
        <v>0.28000000000000003</v>
      </c>
    </row>
    <row r="1378" spans="1:26" ht="14.25" x14ac:dyDescent="0.2">
      <c r="A1378" s="44"/>
      <c r="B1378" s="45"/>
      <c r="C1378" s="45" t="s">
        <v>1932</v>
      </c>
      <c r="D1378" s="28" t="s">
        <v>1933</v>
      </c>
      <c r="E1378" s="11">
        <f>Source!BZ715</f>
        <v>128</v>
      </c>
      <c r="F1378" s="64" t="str">
        <f>CONCATENATE(" )", Source!DL715, Source!FT715, "=", Source!FX715)</f>
        <v xml:space="preserve"> )*0,9=115,2</v>
      </c>
      <c r="G1378" s="65"/>
      <c r="H1378" s="29">
        <f>SUM(S1373:S1380)</f>
        <v>8.1</v>
      </c>
      <c r="I1378" s="33"/>
      <c r="J1378" s="26">
        <f>Source!AT715</f>
        <v>115</v>
      </c>
      <c r="K1378" s="29">
        <f>SUM(T1373:T1380)</f>
        <v>53.06</v>
      </c>
      <c r="L1378" s="31"/>
    </row>
    <row r="1379" spans="1:26" ht="14.25" x14ac:dyDescent="0.2">
      <c r="A1379" s="44"/>
      <c r="B1379" s="45"/>
      <c r="C1379" s="45" t="s">
        <v>1934</v>
      </c>
      <c r="D1379" s="28" t="s">
        <v>1933</v>
      </c>
      <c r="E1379" s="11">
        <f>Source!CA715</f>
        <v>83</v>
      </c>
      <c r="F1379" s="64" t="str">
        <f>CONCATENATE(" )", Source!DM715, Source!FU715, "=", Source!FY715)</f>
        <v xml:space="preserve"> )*0,85=70,55</v>
      </c>
      <c r="G1379" s="65"/>
      <c r="H1379" s="29">
        <f>SUM(U1373:U1380)</f>
        <v>4.96</v>
      </c>
      <c r="I1379" s="33"/>
      <c r="J1379" s="26">
        <f>Source!AU715</f>
        <v>71</v>
      </c>
      <c r="K1379" s="29">
        <f>SUM(V1373:V1380)</f>
        <v>32.76</v>
      </c>
      <c r="L1379" s="31"/>
    </row>
    <row r="1380" spans="1:26" ht="14.25" x14ac:dyDescent="0.2">
      <c r="A1380" s="46"/>
      <c r="B1380" s="47"/>
      <c r="C1380" s="47" t="s">
        <v>1935</v>
      </c>
      <c r="D1380" s="34" t="s">
        <v>1936</v>
      </c>
      <c r="E1380" s="35">
        <f>Source!AQ715</f>
        <v>8.77</v>
      </c>
      <c r="F1380" s="36"/>
      <c r="G1380" s="37" t="str">
        <f>Source!DI715</f>
        <v>)*0,4</v>
      </c>
      <c r="H1380" s="36"/>
      <c r="I1380" s="37"/>
      <c r="J1380" s="37"/>
      <c r="K1380" s="36"/>
      <c r="L1380" s="38">
        <f>Source!U715</f>
        <v>0.7016</v>
      </c>
    </row>
    <row r="1381" spans="1:26" ht="15" x14ac:dyDescent="0.25">
      <c r="G1381" s="63">
        <f>H1375+H1376+H1378+H1379</f>
        <v>21.060000000000002</v>
      </c>
      <c r="H1381" s="63"/>
      <c r="J1381" s="63">
        <f>K1375+K1376+K1378+K1379</f>
        <v>138.29</v>
      </c>
      <c r="K1381" s="63"/>
      <c r="L1381" s="39">
        <f>Source!U715</f>
        <v>0.7016</v>
      </c>
      <c r="O1381" s="24">
        <f>G1381</f>
        <v>21.060000000000002</v>
      </c>
      <c r="P1381" s="24">
        <f>J1381</f>
        <v>138.29</v>
      </c>
      <c r="Q1381" s="24">
        <f>L1381</f>
        <v>0.7016</v>
      </c>
      <c r="W1381">
        <f>IF(Source!BI715&lt;=1,H1375+H1376+H1378+H1379, 0)</f>
        <v>21.060000000000002</v>
      </c>
      <c r="X1381">
        <f>IF(Source!BI715=2,H1375+H1376+H1378+H1379, 0)</f>
        <v>0</v>
      </c>
      <c r="Y1381">
        <f>IF(Source!BI715=3,H1375+H1376+H1378+H1379, 0)</f>
        <v>0</v>
      </c>
      <c r="Z1381">
        <f>IF(Source!BI715=4,H1375+H1376+H1378+H1379, 0)</f>
        <v>0</v>
      </c>
    </row>
    <row r="1382" spans="1:26" ht="14.25" x14ac:dyDescent="0.2">
      <c r="A1382" s="44" t="str">
        <f>Source!E716</f>
        <v>132</v>
      </c>
      <c r="B1382" s="45" t="str">
        <f>Source!F716</f>
        <v>65-4-2</v>
      </c>
      <c r="C1382" s="45" t="str">
        <f>Source!G716</f>
        <v>Демонтаж унитазов и писсуаров</v>
      </c>
      <c r="D1382" s="28" t="str">
        <f>Source!H716</f>
        <v>100 ШТ</v>
      </c>
      <c r="E1382" s="11">
        <f>Source!I716</f>
        <v>0.04</v>
      </c>
      <c r="F1382" s="29">
        <f>Source!AL716+Source!AM716+Source!AO716</f>
        <v>553.63</v>
      </c>
      <c r="G1382" s="30"/>
      <c r="H1382" s="29"/>
      <c r="I1382" s="30" t="str">
        <f>Source!BO716</f>
        <v/>
      </c>
      <c r="J1382" s="30"/>
      <c r="K1382" s="29"/>
      <c r="L1382" s="31"/>
      <c r="S1382">
        <f>ROUND((Source!FX716/100)*((ROUND(Source!AF716*Source!I716, 2)+ROUND(Source!AE716*Source!I716, 2))), 2)</f>
        <v>16.239999999999998</v>
      </c>
      <c r="T1382">
        <f>Source!X716</f>
        <v>106.5</v>
      </c>
      <c r="U1382">
        <f>ROUND((Source!FY716/100)*((ROUND(Source!AF716*Source!I716, 2)+ROUND(Source!AE716*Source!I716, 2))), 2)</f>
        <v>10.97</v>
      </c>
      <c r="V1382">
        <f>Source!Y716</f>
        <v>71.959999999999994</v>
      </c>
    </row>
    <row r="1383" spans="1:26" x14ac:dyDescent="0.2">
      <c r="C1383" s="23" t="str">
        <f>"Объем: "&amp;Source!I716&amp;"=4/"&amp;"100"</f>
        <v>Объем: 0,04=4/100</v>
      </c>
    </row>
    <row r="1384" spans="1:26" ht="14.25" x14ac:dyDescent="0.2">
      <c r="A1384" s="44"/>
      <c r="B1384" s="45"/>
      <c r="C1384" s="45" t="s">
        <v>1930</v>
      </c>
      <c r="D1384" s="28"/>
      <c r="E1384" s="11"/>
      <c r="F1384" s="29">
        <f>Source!AO716</f>
        <v>544.55999999999995</v>
      </c>
      <c r="G1384" s="30" t="str">
        <f>Source!DG716</f>
        <v/>
      </c>
      <c r="H1384" s="29">
        <f>ROUND(Source!AF716*Source!I716, 2)</f>
        <v>21.78</v>
      </c>
      <c r="I1384" s="30"/>
      <c r="J1384" s="30">
        <f>IF(Source!BA716&lt;&gt; 0, Source!BA716, 1)</f>
        <v>6.56</v>
      </c>
      <c r="K1384" s="29">
        <f>Source!S716</f>
        <v>142.88999999999999</v>
      </c>
      <c r="L1384" s="31"/>
      <c r="R1384">
        <f>H1384</f>
        <v>21.78</v>
      </c>
    </row>
    <row r="1385" spans="1:26" ht="14.25" x14ac:dyDescent="0.2">
      <c r="A1385" s="44"/>
      <c r="B1385" s="45"/>
      <c r="C1385" s="45" t="s">
        <v>151</v>
      </c>
      <c r="D1385" s="28"/>
      <c r="E1385" s="11"/>
      <c r="F1385" s="29">
        <f>Source!AM716</f>
        <v>9.07</v>
      </c>
      <c r="G1385" s="30" t="str">
        <f>Source!DE716</f>
        <v/>
      </c>
      <c r="H1385" s="29">
        <f>ROUND(Source!AD716*Source!I716, 2)</f>
        <v>0.36</v>
      </c>
      <c r="I1385" s="30"/>
      <c r="J1385" s="30">
        <f>IF(Source!BB716&lt;&gt; 0, Source!BB716, 1)</f>
        <v>6.56</v>
      </c>
      <c r="K1385" s="29">
        <f>Source!Q716</f>
        <v>2.38</v>
      </c>
      <c r="L1385" s="31"/>
    </row>
    <row r="1386" spans="1:26" ht="14.25" x14ac:dyDescent="0.2">
      <c r="A1386" s="44"/>
      <c r="B1386" s="45"/>
      <c r="C1386" s="45" t="s">
        <v>1931</v>
      </c>
      <c r="D1386" s="28"/>
      <c r="E1386" s="11"/>
      <c r="F1386" s="29">
        <f>Source!AN716</f>
        <v>3.92</v>
      </c>
      <c r="G1386" s="30" t="str">
        <f>Source!DF716</f>
        <v/>
      </c>
      <c r="H1386" s="32">
        <f>ROUND(Source!AE716*Source!I716, 2)</f>
        <v>0.16</v>
      </c>
      <c r="I1386" s="30"/>
      <c r="J1386" s="30">
        <f>IF(Source!BS716&lt;&gt; 0, Source!BS716, 1)</f>
        <v>6.56</v>
      </c>
      <c r="K1386" s="32">
        <f>Source!R716</f>
        <v>1.03</v>
      </c>
      <c r="L1386" s="31"/>
      <c r="R1386">
        <f>H1386</f>
        <v>0.16</v>
      </c>
    </row>
    <row r="1387" spans="1:26" ht="14.25" x14ac:dyDescent="0.2">
      <c r="A1387" s="44"/>
      <c r="B1387" s="45"/>
      <c r="C1387" s="45" t="s">
        <v>1932</v>
      </c>
      <c r="D1387" s="28" t="s">
        <v>1933</v>
      </c>
      <c r="E1387" s="11">
        <f>Source!BZ716</f>
        <v>74</v>
      </c>
      <c r="F1387" s="48"/>
      <c r="G1387" s="30"/>
      <c r="H1387" s="29">
        <f>SUM(S1382:S1389)</f>
        <v>16.239999999999998</v>
      </c>
      <c r="I1387" s="33"/>
      <c r="J1387" s="26">
        <f>Source!AT716</f>
        <v>74</v>
      </c>
      <c r="K1387" s="29">
        <f>SUM(T1382:T1389)</f>
        <v>106.5</v>
      </c>
      <c r="L1387" s="31"/>
    </row>
    <row r="1388" spans="1:26" ht="14.25" x14ac:dyDescent="0.2">
      <c r="A1388" s="44"/>
      <c r="B1388" s="45"/>
      <c r="C1388" s="45" t="s">
        <v>1934</v>
      </c>
      <c r="D1388" s="28" t="s">
        <v>1933</v>
      </c>
      <c r="E1388" s="11">
        <f>Source!CA716</f>
        <v>50</v>
      </c>
      <c r="F1388" s="48"/>
      <c r="G1388" s="30"/>
      <c r="H1388" s="29">
        <f>SUM(U1382:U1389)</f>
        <v>10.97</v>
      </c>
      <c r="I1388" s="33"/>
      <c r="J1388" s="26">
        <f>Source!AU716</f>
        <v>50</v>
      </c>
      <c r="K1388" s="29">
        <f>SUM(V1382:V1389)</f>
        <v>71.959999999999994</v>
      </c>
      <c r="L1388" s="31"/>
    </row>
    <row r="1389" spans="1:26" ht="14.25" x14ac:dyDescent="0.2">
      <c r="A1389" s="46"/>
      <c r="B1389" s="47"/>
      <c r="C1389" s="47" t="s">
        <v>1935</v>
      </c>
      <c r="D1389" s="34" t="s">
        <v>1936</v>
      </c>
      <c r="E1389" s="35">
        <f>Source!AQ716</f>
        <v>63.84</v>
      </c>
      <c r="F1389" s="36"/>
      <c r="G1389" s="37" t="str">
        <f>Source!DI716</f>
        <v/>
      </c>
      <c r="H1389" s="36"/>
      <c r="I1389" s="37"/>
      <c r="J1389" s="37"/>
      <c r="K1389" s="36"/>
      <c r="L1389" s="38">
        <f>Source!U716</f>
        <v>2.5536000000000003</v>
      </c>
    </row>
    <row r="1390" spans="1:26" ht="15" x14ac:dyDescent="0.25">
      <c r="G1390" s="63">
        <f>H1384+H1385+H1387+H1388</f>
        <v>49.349999999999994</v>
      </c>
      <c r="H1390" s="63"/>
      <c r="J1390" s="63">
        <f>K1384+K1385+K1387+K1388</f>
        <v>323.72999999999996</v>
      </c>
      <c r="K1390" s="63"/>
      <c r="L1390" s="39">
        <f>Source!U716</f>
        <v>2.5536000000000003</v>
      </c>
      <c r="O1390" s="24">
        <f>G1390</f>
        <v>49.349999999999994</v>
      </c>
      <c r="P1390" s="24">
        <f>J1390</f>
        <v>323.72999999999996</v>
      </c>
      <c r="Q1390" s="24">
        <f>L1390</f>
        <v>2.5536000000000003</v>
      </c>
      <c r="W1390">
        <f>IF(Source!BI716&lt;=1,H1384+H1385+H1387+H1388, 0)</f>
        <v>49.349999999999994</v>
      </c>
      <c r="X1390">
        <f>IF(Source!BI716=2,H1384+H1385+H1387+H1388, 0)</f>
        <v>0</v>
      </c>
      <c r="Y1390">
        <f>IF(Source!BI716=3,H1384+H1385+H1387+H1388, 0)</f>
        <v>0</v>
      </c>
      <c r="Z1390">
        <f>IF(Source!BI716=4,H1384+H1385+H1387+H1388, 0)</f>
        <v>0</v>
      </c>
    </row>
    <row r="1391" spans="1:26" ht="28.5" x14ac:dyDescent="0.2">
      <c r="A1391" s="44" t="str">
        <f>Source!E717</f>
        <v>133</v>
      </c>
      <c r="B1391" s="45" t="str">
        <f>Source!F717</f>
        <v>17-01-003-01</v>
      </c>
      <c r="C1391" s="45" t="str">
        <f>Source!G717</f>
        <v>Установка унитазов с бачком непосредственно присоединенным</v>
      </c>
      <c r="D1391" s="28" t="str">
        <f>Source!H717</f>
        <v>10 компл</v>
      </c>
      <c r="E1391" s="11">
        <f>Source!I717</f>
        <v>0.6</v>
      </c>
      <c r="F1391" s="29">
        <f>Source!AL717+Source!AM717+Source!AO717</f>
        <v>461.63</v>
      </c>
      <c r="G1391" s="30"/>
      <c r="H1391" s="29"/>
      <c r="I1391" s="30" t="str">
        <f>Source!BO717</f>
        <v/>
      </c>
      <c r="J1391" s="30"/>
      <c r="K1391" s="29"/>
      <c r="L1391" s="31"/>
      <c r="S1391">
        <f>ROUND((Source!FX717/100)*((ROUND(Source!AF717*Source!I717, 2)+ROUND(Source!AE717*Source!I717, 2))), 2)</f>
        <v>193.9</v>
      </c>
      <c r="T1391">
        <f>Source!X717</f>
        <v>1269.78</v>
      </c>
      <c r="U1391">
        <f>ROUND((Source!FY717/100)*((ROUND(Source!AF717*Source!I717, 2)+ROUND(Source!AE717*Source!I717, 2))), 2)</f>
        <v>118.75</v>
      </c>
      <c r="V1391">
        <f>Source!Y717</f>
        <v>783.95</v>
      </c>
    </row>
    <row r="1392" spans="1:26" x14ac:dyDescent="0.2">
      <c r="C1392" s="23" t="str">
        <f>"Объем: "&amp;Source!I717&amp;"=6/"&amp;"10"</f>
        <v>Объем: 0,6=6/10</v>
      </c>
    </row>
    <row r="1393" spans="1:26" ht="14.25" x14ac:dyDescent="0.2">
      <c r="A1393" s="44"/>
      <c r="B1393" s="45"/>
      <c r="C1393" s="45" t="s">
        <v>1930</v>
      </c>
      <c r="D1393" s="28"/>
      <c r="E1393" s="11"/>
      <c r="F1393" s="29">
        <f>Source!AO717</f>
        <v>234.33</v>
      </c>
      <c r="G1393" s="30" t="str">
        <f>Source!DG717</f>
        <v>)*1,15</v>
      </c>
      <c r="H1393" s="29">
        <f>ROUND(Source!AF717*Source!I717, 2)</f>
        <v>161.69</v>
      </c>
      <c r="I1393" s="30"/>
      <c r="J1393" s="30">
        <f>IF(Source!BA717&lt;&gt; 0, Source!BA717, 1)</f>
        <v>6.56</v>
      </c>
      <c r="K1393" s="29">
        <f>Source!S717</f>
        <v>1060.67</v>
      </c>
      <c r="L1393" s="31"/>
      <c r="R1393">
        <f>H1393</f>
        <v>161.69</v>
      </c>
    </row>
    <row r="1394" spans="1:26" ht="14.25" x14ac:dyDescent="0.2">
      <c r="A1394" s="44"/>
      <c r="B1394" s="45"/>
      <c r="C1394" s="45" t="s">
        <v>151</v>
      </c>
      <c r="D1394" s="28"/>
      <c r="E1394" s="11"/>
      <c r="F1394" s="29">
        <f>Source!AM717</f>
        <v>35.630000000000003</v>
      </c>
      <c r="G1394" s="30" t="str">
        <f>Source!DE717</f>
        <v>)*1,25</v>
      </c>
      <c r="H1394" s="29">
        <f>ROUND(Source!AD717*Source!I717, 2)</f>
        <v>26.72</v>
      </c>
      <c r="I1394" s="30"/>
      <c r="J1394" s="30">
        <f>IF(Source!BB717&lt;&gt; 0, Source!BB717, 1)</f>
        <v>6.56</v>
      </c>
      <c r="K1394" s="29">
        <f>Source!Q717</f>
        <v>175.31</v>
      </c>
      <c r="L1394" s="31"/>
    </row>
    <row r="1395" spans="1:26" ht="14.25" x14ac:dyDescent="0.2">
      <c r="A1395" s="44"/>
      <c r="B1395" s="45"/>
      <c r="C1395" s="45" t="s">
        <v>1931</v>
      </c>
      <c r="D1395" s="28"/>
      <c r="E1395" s="11"/>
      <c r="F1395" s="29">
        <f>Source!AN717</f>
        <v>8.84</v>
      </c>
      <c r="G1395" s="30" t="str">
        <f>Source!DF717</f>
        <v>)*1,25</v>
      </c>
      <c r="H1395" s="32">
        <f>ROUND(Source!AE717*Source!I717, 2)</f>
        <v>6.63</v>
      </c>
      <c r="I1395" s="30"/>
      <c r="J1395" s="30">
        <f>IF(Source!BS717&lt;&gt; 0, Source!BS717, 1)</f>
        <v>6.56</v>
      </c>
      <c r="K1395" s="32">
        <f>Source!R717</f>
        <v>43.49</v>
      </c>
      <c r="L1395" s="31"/>
      <c r="R1395">
        <f>H1395</f>
        <v>6.63</v>
      </c>
    </row>
    <row r="1396" spans="1:26" ht="14.25" x14ac:dyDescent="0.2">
      <c r="A1396" s="44"/>
      <c r="B1396" s="45"/>
      <c r="C1396" s="45" t="s">
        <v>1937</v>
      </c>
      <c r="D1396" s="28"/>
      <c r="E1396" s="11"/>
      <c r="F1396" s="29">
        <f>Source!AL717</f>
        <v>191.67</v>
      </c>
      <c r="G1396" s="30" t="str">
        <f>Source!DD717</f>
        <v/>
      </c>
      <c r="H1396" s="29">
        <f>ROUND(Source!AC717*Source!I717, 2)</f>
        <v>115</v>
      </c>
      <c r="I1396" s="30"/>
      <c r="J1396" s="30">
        <f>IF(Source!BC717&lt;&gt; 0, Source!BC717, 1)</f>
        <v>6.56</v>
      </c>
      <c r="K1396" s="29">
        <f>Source!P717</f>
        <v>754.41</v>
      </c>
      <c r="L1396" s="31"/>
    </row>
    <row r="1397" spans="1:26" ht="14.25" x14ac:dyDescent="0.2">
      <c r="A1397" s="44"/>
      <c r="B1397" s="45"/>
      <c r="C1397" s="45" t="s">
        <v>1932</v>
      </c>
      <c r="D1397" s="28" t="s">
        <v>1933</v>
      </c>
      <c r="E1397" s="11">
        <f>Source!BZ717</f>
        <v>128</v>
      </c>
      <c r="F1397" s="64" t="str">
        <f>CONCATENATE(" )", Source!DL717, Source!FT717, "=", Source!FX717)</f>
        <v xml:space="preserve"> )*0,9=115,2</v>
      </c>
      <c r="G1397" s="65"/>
      <c r="H1397" s="29">
        <f>SUM(S1391:S1401)</f>
        <v>193.9</v>
      </c>
      <c r="I1397" s="33"/>
      <c r="J1397" s="26">
        <f>Source!AT717</f>
        <v>115</v>
      </c>
      <c r="K1397" s="29">
        <f>SUM(T1391:T1401)</f>
        <v>1269.78</v>
      </c>
      <c r="L1397" s="31"/>
    </row>
    <row r="1398" spans="1:26" ht="14.25" x14ac:dyDescent="0.2">
      <c r="A1398" s="44"/>
      <c r="B1398" s="45"/>
      <c r="C1398" s="45" t="s">
        <v>1934</v>
      </c>
      <c r="D1398" s="28" t="s">
        <v>1933</v>
      </c>
      <c r="E1398" s="11">
        <f>Source!CA717</f>
        <v>83</v>
      </c>
      <c r="F1398" s="64" t="str">
        <f>CONCATENATE(" )", Source!DM717, Source!FU717, "=", Source!FY717)</f>
        <v xml:space="preserve"> )*0,85=70,55</v>
      </c>
      <c r="G1398" s="65"/>
      <c r="H1398" s="29">
        <f>SUM(U1391:U1401)</f>
        <v>118.75</v>
      </c>
      <c r="I1398" s="33"/>
      <c r="J1398" s="26">
        <f>Source!AU717</f>
        <v>71</v>
      </c>
      <c r="K1398" s="29">
        <f>SUM(V1391:V1401)</f>
        <v>783.95</v>
      </c>
      <c r="L1398" s="31"/>
    </row>
    <row r="1399" spans="1:26" ht="14.25" x14ac:dyDescent="0.2">
      <c r="A1399" s="44"/>
      <c r="B1399" s="45"/>
      <c r="C1399" s="45" t="s">
        <v>1935</v>
      </c>
      <c r="D1399" s="28" t="s">
        <v>1936</v>
      </c>
      <c r="E1399" s="11">
        <f>Source!AQ717</f>
        <v>24.64</v>
      </c>
      <c r="F1399" s="29"/>
      <c r="G1399" s="30" t="str">
        <f>Source!DI717</f>
        <v>)*1,15</v>
      </c>
      <c r="H1399" s="29"/>
      <c r="I1399" s="30"/>
      <c r="J1399" s="30"/>
      <c r="K1399" s="29"/>
      <c r="L1399" s="40">
        <f>Source!U717</f>
        <v>17.0016</v>
      </c>
    </row>
    <row r="1400" spans="1:26" ht="28.5" x14ac:dyDescent="0.2">
      <c r="A1400" s="44" t="str">
        <f>Source!E718</f>
        <v>133,1</v>
      </c>
      <c r="B1400" s="45" t="str">
        <f>Source!F718</f>
        <v>18.2.06.08-0016</v>
      </c>
      <c r="C1400" s="45" t="str">
        <f>Source!G718</f>
        <v>Подводка гибкая армированная резиновая 1000 мм</v>
      </c>
      <c r="D1400" s="28" t="str">
        <f>Source!H718</f>
        <v>10 шт.</v>
      </c>
      <c r="E1400" s="11">
        <f>Source!I718</f>
        <v>0.6</v>
      </c>
      <c r="F1400" s="29">
        <f>Source!AL718+Source!AM718+Source!AO718</f>
        <v>160.19999999999999</v>
      </c>
      <c r="G1400" s="41" t="s">
        <v>6</v>
      </c>
      <c r="H1400" s="29">
        <f>ROUND(Source!AC718*Source!I718, 2)+ROUND(Source!AD718*Source!I718, 2)+ROUND(Source!AF718*Source!I718, 2)</f>
        <v>96.12</v>
      </c>
      <c r="I1400" s="30"/>
      <c r="J1400" s="30">
        <f>IF(Source!BC718&lt;&gt; 0, Source!BC718, 1)</f>
        <v>6.56</v>
      </c>
      <c r="K1400" s="29">
        <f>Source!O718</f>
        <v>630.54999999999995</v>
      </c>
      <c r="L1400" s="31"/>
      <c r="S1400">
        <f>ROUND((Source!FX718/100)*((ROUND(Source!AF718*Source!I718, 2)+ROUND(Source!AE718*Source!I718, 2))), 2)</f>
        <v>0</v>
      </c>
      <c r="T1400">
        <f>Source!X718</f>
        <v>0</v>
      </c>
      <c r="U1400">
        <f>ROUND((Source!FY718/100)*((ROUND(Source!AF718*Source!I718, 2)+ROUND(Source!AE718*Source!I718, 2))), 2)</f>
        <v>0</v>
      </c>
      <c r="V1400">
        <f>Source!Y718</f>
        <v>0</v>
      </c>
      <c r="W1400">
        <f>IF(Source!BI718&lt;=1,H1400, 0)</f>
        <v>96.12</v>
      </c>
      <c r="X1400">
        <f>IF(Source!BI718=2,H1400, 0)</f>
        <v>0</v>
      </c>
      <c r="Y1400">
        <f>IF(Source!BI718=3,H1400, 0)</f>
        <v>0</v>
      </c>
      <c r="Z1400">
        <f>IF(Source!BI718=4,H1400, 0)</f>
        <v>0</v>
      </c>
    </row>
    <row r="1401" spans="1:26" ht="28.5" x14ac:dyDescent="0.2">
      <c r="A1401" s="46" t="str">
        <f>Source!E719</f>
        <v>133,2</v>
      </c>
      <c r="B1401" s="47" t="str">
        <f>Source!F719</f>
        <v>18.2.01.06-0001</v>
      </c>
      <c r="C1401" s="47" t="str">
        <f>Source!G719</f>
        <v>Унитаз-компакт Santek Бореаль WH302143</v>
      </c>
      <c r="D1401" s="34" t="str">
        <f>Source!H719</f>
        <v>компл.</v>
      </c>
      <c r="E1401" s="35">
        <f>Source!I719</f>
        <v>6</v>
      </c>
      <c r="F1401" s="36">
        <f>Source!AL719+Source!AM719+Source!AO719</f>
        <v>318</v>
      </c>
      <c r="G1401" s="42" t="s">
        <v>6</v>
      </c>
      <c r="H1401" s="36">
        <f>ROUND(Source!AC719*Source!I719, 2)+ROUND(Source!AD719*Source!I719, 2)+ROUND(Source!AF719*Source!I719, 2)</f>
        <v>1908</v>
      </c>
      <c r="I1401" s="37"/>
      <c r="J1401" s="37">
        <f>IF(Source!BC719&lt;&gt; 0, Source!BC719, 1)</f>
        <v>6.56</v>
      </c>
      <c r="K1401" s="36">
        <f>Source!O719</f>
        <v>12516.48</v>
      </c>
      <c r="L1401" s="43"/>
      <c r="S1401">
        <f>ROUND((Source!FX719/100)*((ROUND(Source!AF719*Source!I719, 2)+ROUND(Source!AE719*Source!I719, 2))), 2)</f>
        <v>0</v>
      </c>
      <c r="T1401">
        <f>Source!X719</f>
        <v>0</v>
      </c>
      <c r="U1401">
        <f>ROUND((Source!FY719/100)*((ROUND(Source!AF719*Source!I719, 2)+ROUND(Source!AE719*Source!I719, 2))), 2)</f>
        <v>0</v>
      </c>
      <c r="V1401">
        <f>Source!Y719</f>
        <v>0</v>
      </c>
      <c r="W1401">
        <f>IF(Source!BI719&lt;=1,H1401, 0)</f>
        <v>1908</v>
      </c>
      <c r="X1401">
        <f>IF(Source!BI719=2,H1401, 0)</f>
        <v>0</v>
      </c>
      <c r="Y1401">
        <f>IF(Source!BI719=3,H1401, 0)</f>
        <v>0</v>
      </c>
      <c r="Z1401">
        <f>IF(Source!BI719=4,H1401, 0)</f>
        <v>0</v>
      </c>
    </row>
    <row r="1402" spans="1:26" ht="15" x14ac:dyDescent="0.25">
      <c r="G1402" s="63">
        <f>H1393+H1394+H1396+H1397+H1398+SUM(H1400:H1401)</f>
        <v>2620.1799999999998</v>
      </c>
      <c r="H1402" s="63"/>
      <c r="J1402" s="63">
        <f>K1393+K1394+K1396+K1397+K1398+SUM(K1400:K1401)</f>
        <v>17191.149999999998</v>
      </c>
      <c r="K1402" s="63"/>
      <c r="L1402" s="39">
        <f>Source!U717</f>
        <v>17.0016</v>
      </c>
      <c r="O1402" s="24">
        <f>G1402</f>
        <v>2620.1799999999998</v>
      </c>
      <c r="P1402" s="24">
        <f>J1402</f>
        <v>17191.149999999998</v>
      </c>
      <c r="Q1402" s="24">
        <f>L1402</f>
        <v>17.0016</v>
      </c>
      <c r="W1402">
        <f>IF(Source!BI717&lt;=1,H1393+H1394+H1396+H1397+H1398, 0)</f>
        <v>616.05999999999995</v>
      </c>
      <c r="X1402">
        <f>IF(Source!BI717=2,H1393+H1394+H1396+H1397+H1398, 0)</f>
        <v>0</v>
      </c>
      <c r="Y1402">
        <f>IF(Source!BI717=3,H1393+H1394+H1396+H1397+H1398, 0)</f>
        <v>0</v>
      </c>
      <c r="Z1402">
        <f>IF(Source!BI717=4,H1393+H1394+H1396+H1397+H1398, 0)</f>
        <v>0</v>
      </c>
    </row>
    <row r="1403" spans="1:26" ht="28.5" x14ac:dyDescent="0.2">
      <c r="A1403" s="44" t="str">
        <f>Source!E720</f>
        <v>134</v>
      </c>
      <c r="B1403" s="45" t="str">
        <f>Source!F720</f>
        <v>17-01-001-23</v>
      </c>
      <c r="C1403" s="45" t="str">
        <f>Source!G720</f>
        <v>Установка трапов диаметром 100 мм</v>
      </c>
      <c r="D1403" s="28" t="str">
        <f>Source!H720</f>
        <v>10 компл</v>
      </c>
      <c r="E1403" s="11">
        <f>Source!I720</f>
        <v>0.2</v>
      </c>
      <c r="F1403" s="29">
        <f>Source!AL720+Source!AM720+Source!AO720</f>
        <v>141.9</v>
      </c>
      <c r="G1403" s="30"/>
      <c r="H1403" s="29"/>
      <c r="I1403" s="30" t="str">
        <f>Source!BO720</f>
        <v/>
      </c>
      <c r="J1403" s="30"/>
      <c r="K1403" s="29"/>
      <c r="L1403" s="31"/>
      <c r="S1403">
        <f>ROUND((Source!FX720/100)*((ROUND(Source!AF720*Source!I720, 2)+ROUND(Source!AE720*Source!I720, 2))), 2)</f>
        <v>23.39</v>
      </c>
      <c r="T1403">
        <f>Source!X720</f>
        <v>153.1</v>
      </c>
      <c r="U1403">
        <f>ROUND((Source!FY720/100)*((ROUND(Source!AF720*Source!I720, 2)+ROUND(Source!AE720*Source!I720, 2))), 2)</f>
        <v>14.32</v>
      </c>
      <c r="V1403">
        <f>Source!Y720</f>
        <v>94.52</v>
      </c>
    </row>
    <row r="1404" spans="1:26" x14ac:dyDescent="0.2">
      <c r="C1404" s="23" t="str">
        <f>"Объем: "&amp;Source!I720&amp;"=2/"&amp;"10"</f>
        <v>Объем: 0,2=2/10</v>
      </c>
    </row>
    <row r="1405" spans="1:26" ht="14.25" x14ac:dyDescent="0.2">
      <c r="A1405" s="44"/>
      <c r="B1405" s="45"/>
      <c r="C1405" s="45" t="s">
        <v>1930</v>
      </c>
      <c r="D1405" s="28"/>
      <c r="E1405" s="11"/>
      <c r="F1405" s="29">
        <f>Source!AO720</f>
        <v>84.37</v>
      </c>
      <c r="G1405" s="30" t="str">
        <f>Source!DG720</f>
        <v>)*1,15</v>
      </c>
      <c r="H1405" s="29">
        <f>ROUND(Source!AF720*Source!I720, 2)</f>
        <v>19.41</v>
      </c>
      <c r="I1405" s="30"/>
      <c r="J1405" s="30">
        <f>IF(Source!BA720&lt;&gt; 0, Source!BA720, 1)</f>
        <v>6.56</v>
      </c>
      <c r="K1405" s="29">
        <f>Source!S720</f>
        <v>127.3</v>
      </c>
      <c r="L1405" s="31"/>
      <c r="R1405">
        <f>H1405</f>
        <v>19.41</v>
      </c>
    </row>
    <row r="1406" spans="1:26" ht="14.25" x14ac:dyDescent="0.2">
      <c r="A1406" s="44"/>
      <c r="B1406" s="45"/>
      <c r="C1406" s="45" t="s">
        <v>151</v>
      </c>
      <c r="D1406" s="28"/>
      <c r="E1406" s="11"/>
      <c r="F1406" s="29">
        <f>Source!AM720</f>
        <v>15.61</v>
      </c>
      <c r="G1406" s="30" t="str">
        <f>Source!DE720</f>
        <v>)*1,25</v>
      </c>
      <c r="H1406" s="29">
        <f>ROUND(Source!AD720*Source!I720, 2)</f>
        <v>3.9</v>
      </c>
      <c r="I1406" s="30"/>
      <c r="J1406" s="30">
        <f>IF(Source!BB720&lt;&gt; 0, Source!BB720, 1)</f>
        <v>6.56</v>
      </c>
      <c r="K1406" s="29">
        <f>Source!Q720</f>
        <v>25.61</v>
      </c>
      <c r="L1406" s="31"/>
    </row>
    <row r="1407" spans="1:26" ht="14.25" x14ac:dyDescent="0.2">
      <c r="A1407" s="44"/>
      <c r="B1407" s="45"/>
      <c r="C1407" s="45" t="s">
        <v>1931</v>
      </c>
      <c r="D1407" s="28"/>
      <c r="E1407" s="11"/>
      <c r="F1407" s="29">
        <f>Source!AN720</f>
        <v>3.55</v>
      </c>
      <c r="G1407" s="30" t="str">
        <f>Source!DF720</f>
        <v>)*1,25</v>
      </c>
      <c r="H1407" s="32">
        <f>ROUND(Source!AE720*Source!I720, 2)</f>
        <v>0.89</v>
      </c>
      <c r="I1407" s="30"/>
      <c r="J1407" s="30">
        <f>IF(Source!BS720&lt;&gt; 0, Source!BS720, 1)</f>
        <v>6.56</v>
      </c>
      <c r="K1407" s="32">
        <f>Source!R720</f>
        <v>5.83</v>
      </c>
      <c r="L1407" s="31"/>
      <c r="R1407">
        <f>H1407</f>
        <v>0.89</v>
      </c>
    </row>
    <row r="1408" spans="1:26" ht="14.25" x14ac:dyDescent="0.2">
      <c r="A1408" s="44"/>
      <c r="B1408" s="45"/>
      <c r="C1408" s="45" t="s">
        <v>1937</v>
      </c>
      <c r="D1408" s="28"/>
      <c r="E1408" s="11"/>
      <c r="F1408" s="29">
        <f>Source!AL720</f>
        <v>41.92</v>
      </c>
      <c r="G1408" s="30" t="str">
        <f>Source!DD720</f>
        <v/>
      </c>
      <c r="H1408" s="29">
        <f>ROUND(Source!AC720*Source!I720, 2)</f>
        <v>8.3800000000000008</v>
      </c>
      <c r="I1408" s="30"/>
      <c r="J1408" s="30">
        <f>IF(Source!BC720&lt;&gt; 0, Source!BC720, 1)</f>
        <v>6.56</v>
      </c>
      <c r="K1408" s="29">
        <f>Source!P720</f>
        <v>55</v>
      </c>
      <c r="L1408" s="31"/>
    </row>
    <row r="1409" spans="1:26" ht="14.25" x14ac:dyDescent="0.2">
      <c r="A1409" s="44"/>
      <c r="B1409" s="45"/>
      <c r="C1409" s="45" t="s">
        <v>1932</v>
      </c>
      <c r="D1409" s="28" t="s">
        <v>1933</v>
      </c>
      <c r="E1409" s="11">
        <f>Source!BZ720</f>
        <v>128</v>
      </c>
      <c r="F1409" s="64" t="str">
        <f>CONCATENATE(" )", Source!DL720, Source!FT720, "=", Source!FX720)</f>
        <v xml:space="preserve"> )*0,9=115,2</v>
      </c>
      <c r="G1409" s="65"/>
      <c r="H1409" s="29">
        <f>SUM(S1403:S1412)</f>
        <v>23.39</v>
      </c>
      <c r="I1409" s="33"/>
      <c r="J1409" s="26">
        <f>Source!AT720</f>
        <v>115</v>
      </c>
      <c r="K1409" s="29">
        <f>SUM(T1403:T1412)</f>
        <v>153.1</v>
      </c>
      <c r="L1409" s="31"/>
    </row>
    <row r="1410" spans="1:26" ht="14.25" x14ac:dyDescent="0.2">
      <c r="A1410" s="44"/>
      <c r="B1410" s="45"/>
      <c r="C1410" s="45" t="s">
        <v>1934</v>
      </c>
      <c r="D1410" s="28" t="s">
        <v>1933</v>
      </c>
      <c r="E1410" s="11">
        <f>Source!CA720</f>
        <v>83</v>
      </c>
      <c r="F1410" s="64" t="str">
        <f>CONCATENATE(" )", Source!DM720, Source!FU720, "=", Source!FY720)</f>
        <v xml:space="preserve"> )*0,85=70,55</v>
      </c>
      <c r="G1410" s="65"/>
      <c r="H1410" s="29">
        <f>SUM(U1403:U1412)</f>
        <v>14.32</v>
      </c>
      <c r="I1410" s="33"/>
      <c r="J1410" s="26">
        <f>Source!AU720</f>
        <v>71</v>
      </c>
      <c r="K1410" s="29">
        <f>SUM(V1403:V1412)</f>
        <v>94.52</v>
      </c>
      <c r="L1410" s="31"/>
    </row>
    <row r="1411" spans="1:26" ht="14.25" x14ac:dyDescent="0.2">
      <c r="A1411" s="44"/>
      <c r="B1411" s="45"/>
      <c r="C1411" s="45" t="s">
        <v>1935</v>
      </c>
      <c r="D1411" s="28" t="s">
        <v>1936</v>
      </c>
      <c r="E1411" s="11">
        <f>Source!AQ720</f>
        <v>8.77</v>
      </c>
      <c r="F1411" s="29"/>
      <c r="G1411" s="30" t="str">
        <f>Source!DI720</f>
        <v>)*1,15</v>
      </c>
      <c r="H1411" s="29"/>
      <c r="I1411" s="30"/>
      <c r="J1411" s="30"/>
      <c r="K1411" s="29"/>
      <c r="L1411" s="40">
        <f>Source!U720</f>
        <v>2.0170999999999997</v>
      </c>
    </row>
    <row r="1412" spans="1:26" ht="28.5" x14ac:dyDescent="0.2">
      <c r="A1412" s="46" t="str">
        <f>Source!E721</f>
        <v>134,1</v>
      </c>
      <c r="B1412" s="47" t="str">
        <f>Source!F721</f>
        <v>18.2.06.10-0003</v>
      </c>
      <c r="C1412" s="47" t="str">
        <f>Source!G721</f>
        <v>Трап канализационный ПВХ  100х100, диаметром 50 мм (прим.)</v>
      </c>
      <c r="D1412" s="34" t="str">
        <f>Source!H721</f>
        <v>шт.</v>
      </c>
      <c r="E1412" s="35">
        <f>Source!I721</f>
        <v>2</v>
      </c>
      <c r="F1412" s="36">
        <f>Source!AL721+Source!AM721+Source!AO721</f>
        <v>301.7</v>
      </c>
      <c r="G1412" s="42" t="s">
        <v>6</v>
      </c>
      <c r="H1412" s="36">
        <f>ROUND(Source!AC721*Source!I721, 2)+ROUND(Source!AD721*Source!I721, 2)+ROUND(Source!AF721*Source!I721, 2)</f>
        <v>603.4</v>
      </c>
      <c r="I1412" s="37"/>
      <c r="J1412" s="37">
        <f>IF(Source!BC721&lt;&gt; 0, Source!BC721, 1)</f>
        <v>6.56</v>
      </c>
      <c r="K1412" s="36">
        <f>Source!O721</f>
        <v>3958.3</v>
      </c>
      <c r="L1412" s="43"/>
      <c r="S1412">
        <f>ROUND((Source!FX721/100)*((ROUND(Source!AF721*Source!I721, 2)+ROUND(Source!AE721*Source!I721, 2))), 2)</f>
        <v>0</v>
      </c>
      <c r="T1412">
        <f>Source!X721</f>
        <v>0</v>
      </c>
      <c r="U1412">
        <f>ROUND((Source!FY721/100)*((ROUND(Source!AF721*Source!I721, 2)+ROUND(Source!AE721*Source!I721, 2))), 2)</f>
        <v>0</v>
      </c>
      <c r="V1412">
        <f>Source!Y721</f>
        <v>0</v>
      </c>
      <c r="W1412">
        <f>IF(Source!BI721&lt;=1,H1412, 0)</f>
        <v>603.4</v>
      </c>
      <c r="X1412">
        <f>IF(Source!BI721=2,H1412, 0)</f>
        <v>0</v>
      </c>
      <c r="Y1412">
        <f>IF(Source!BI721=3,H1412, 0)</f>
        <v>0</v>
      </c>
      <c r="Z1412">
        <f>IF(Source!BI721=4,H1412, 0)</f>
        <v>0</v>
      </c>
    </row>
    <row r="1413" spans="1:26" ht="15" x14ac:dyDescent="0.25">
      <c r="G1413" s="63">
        <f>H1405+H1406+H1408+H1409+H1410+SUM(H1412:H1412)</f>
        <v>672.8</v>
      </c>
      <c r="H1413" s="63"/>
      <c r="J1413" s="63">
        <f>K1405+K1406+K1408+K1409+K1410+SUM(K1412:K1412)</f>
        <v>4413.83</v>
      </c>
      <c r="K1413" s="63"/>
      <c r="L1413" s="39">
        <f>Source!U720</f>
        <v>2.0170999999999997</v>
      </c>
      <c r="O1413" s="24">
        <f>G1413</f>
        <v>672.8</v>
      </c>
      <c r="P1413" s="24">
        <f>J1413</f>
        <v>4413.83</v>
      </c>
      <c r="Q1413" s="24">
        <f>L1413</f>
        <v>2.0170999999999997</v>
      </c>
      <c r="W1413">
        <f>IF(Source!BI720&lt;=1,H1405+H1406+H1408+H1409+H1410, 0)</f>
        <v>69.400000000000006</v>
      </c>
      <c r="X1413">
        <f>IF(Source!BI720=2,H1405+H1406+H1408+H1409+H1410, 0)</f>
        <v>0</v>
      </c>
      <c r="Y1413">
        <f>IF(Source!BI720=3,H1405+H1406+H1408+H1409+H1410, 0)</f>
        <v>0</v>
      </c>
      <c r="Z1413">
        <f>IF(Source!BI720=4,H1405+H1406+H1408+H1409+H1410, 0)</f>
        <v>0</v>
      </c>
    </row>
    <row r="1414" spans="1:26" ht="42.75" x14ac:dyDescent="0.2">
      <c r="A1414" s="44" t="str">
        <f>Source!E722</f>
        <v>135</v>
      </c>
      <c r="B1414" s="45" t="str">
        <f>Source!F722</f>
        <v>16-04-001-02</v>
      </c>
      <c r="C1414" s="45" t="str">
        <f>Source!G722</f>
        <v>Прокладка трубопроводов канализации из полиэтиленовых труб высокой плотности диаметром 110 мм</v>
      </c>
      <c r="D1414" s="28" t="str">
        <f>Source!H722</f>
        <v>100 м</v>
      </c>
      <c r="E1414" s="11">
        <f>Source!I722</f>
        <v>0.39</v>
      </c>
      <c r="F1414" s="29">
        <f>Source!AL722+Source!AM722+Source!AO722</f>
        <v>758.13</v>
      </c>
      <c r="G1414" s="30"/>
      <c r="H1414" s="29"/>
      <c r="I1414" s="30" t="str">
        <f>Source!BO722</f>
        <v/>
      </c>
      <c r="J1414" s="30"/>
      <c r="K1414" s="29"/>
      <c r="L1414" s="31"/>
      <c r="S1414">
        <f>ROUND((Source!FX722/100)*((ROUND(Source!AF722*Source!I722, 2)+ROUND(Source!AE722*Source!I722, 2))), 2)</f>
        <v>316.22000000000003</v>
      </c>
      <c r="T1414">
        <f>Source!X722</f>
        <v>2070.9</v>
      </c>
      <c r="U1414">
        <f>ROUND((Source!FY722/100)*((ROUND(Source!AF722*Source!I722, 2)+ROUND(Source!AE722*Source!I722, 2))), 2)</f>
        <v>193.66</v>
      </c>
      <c r="V1414">
        <f>Source!Y722</f>
        <v>1278.55</v>
      </c>
    </row>
    <row r="1415" spans="1:26" x14ac:dyDescent="0.2">
      <c r="C1415" s="23" t="str">
        <f>"Объем: "&amp;Source!I722&amp;"=39/"&amp;"100"</f>
        <v>Объем: 0,39=39/100</v>
      </c>
    </row>
    <row r="1416" spans="1:26" ht="14.25" x14ac:dyDescent="0.2">
      <c r="A1416" s="44"/>
      <c r="B1416" s="45"/>
      <c r="C1416" s="45" t="s">
        <v>1930</v>
      </c>
      <c r="D1416" s="28"/>
      <c r="E1416" s="11"/>
      <c r="F1416" s="29">
        <f>Source!AO722</f>
        <v>611.07000000000005</v>
      </c>
      <c r="G1416" s="30" t="str">
        <f>Source!DG722</f>
        <v>)*1,15</v>
      </c>
      <c r="H1416" s="29">
        <f>ROUND(Source!AF722*Source!I722, 2)</f>
        <v>274.06</v>
      </c>
      <c r="I1416" s="30"/>
      <c r="J1416" s="30">
        <f>IF(Source!BA722&lt;&gt; 0, Source!BA722, 1)</f>
        <v>6.56</v>
      </c>
      <c r="K1416" s="29">
        <f>Source!S722</f>
        <v>1797.86</v>
      </c>
      <c r="L1416" s="31"/>
      <c r="R1416">
        <f>H1416</f>
        <v>274.06</v>
      </c>
    </row>
    <row r="1417" spans="1:26" ht="14.25" x14ac:dyDescent="0.2">
      <c r="A1417" s="44"/>
      <c r="B1417" s="45"/>
      <c r="C1417" s="45" t="s">
        <v>151</v>
      </c>
      <c r="D1417" s="28"/>
      <c r="E1417" s="11"/>
      <c r="F1417" s="29">
        <f>Source!AM722</f>
        <v>6.14</v>
      </c>
      <c r="G1417" s="30" t="str">
        <f>Source!DE722</f>
        <v>)*1,25</v>
      </c>
      <c r="H1417" s="29">
        <f>ROUND(Source!AD722*Source!I722, 2)</f>
        <v>3</v>
      </c>
      <c r="I1417" s="30"/>
      <c r="J1417" s="30">
        <f>IF(Source!BB722&lt;&gt; 0, Source!BB722, 1)</f>
        <v>6.56</v>
      </c>
      <c r="K1417" s="29">
        <f>Source!Q722</f>
        <v>19.649999999999999</v>
      </c>
      <c r="L1417" s="31"/>
    </row>
    <row r="1418" spans="1:26" ht="14.25" x14ac:dyDescent="0.2">
      <c r="A1418" s="44"/>
      <c r="B1418" s="45"/>
      <c r="C1418" s="45" t="s">
        <v>1931</v>
      </c>
      <c r="D1418" s="28"/>
      <c r="E1418" s="11"/>
      <c r="F1418" s="29">
        <f>Source!AN722</f>
        <v>0.91</v>
      </c>
      <c r="G1418" s="30" t="str">
        <f>Source!DF722</f>
        <v>)*1,25</v>
      </c>
      <c r="H1418" s="32">
        <f>ROUND(Source!AE722*Source!I722, 2)</f>
        <v>0.44</v>
      </c>
      <c r="I1418" s="30"/>
      <c r="J1418" s="30">
        <f>IF(Source!BS722&lt;&gt; 0, Source!BS722, 1)</f>
        <v>6.56</v>
      </c>
      <c r="K1418" s="32">
        <f>Source!R722</f>
        <v>2.92</v>
      </c>
      <c r="L1418" s="31"/>
      <c r="R1418">
        <f>H1418</f>
        <v>0.44</v>
      </c>
    </row>
    <row r="1419" spans="1:26" ht="14.25" x14ac:dyDescent="0.2">
      <c r="A1419" s="44"/>
      <c r="B1419" s="45"/>
      <c r="C1419" s="45" t="s">
        <v>1937</v>
      </c>
      <c r="D1419" s="28"/>
      <c r="E1419" s="11"/>
      <c r="F1419" s="29">
        <f>Source!AL722</f>
        <v>140.91999999999999</v>
      </c>
      <c r="G1419" s="30" t="str">
        <f>Source!DD722</f>
        <v/>
      </c>
      <c r="H1419" s="29">
        <f>ROUND(Source!AC722*Source!I722, 2)</f>
        <v>54.96</v>
      </c>
      <c r="I1419" s="30"/>
      <c r="J1419" s="30">
        <f>IF(Source!BC722&lt;&gt; 0, Source!BC722, 1)</f>
        <v>6.56</v>
      </c>
      <c r="K1419" s="29">
        <f>Source!P722</f>
        <v>360.53</v>
      </c>
      <c r="L1419" s="31"/>
    </row>
    <row r="1420" spans="1:26" ht="14.25" x14ac:dyDescent="0.2">
      <c r="A1420" s="44"/>
      <c r="B1420" s="45"/>
      <c r="C1420" s="45" t="s">
        <v>1932</v>
      </c>
      <c r="D1420" s="28" t="s">
        <v>1933</v>
      </c>
      <c r="E1420" s="11">
        <f>Source!BZ722</f>
        <v>128</v>
      </c>
      <c r="F1420" s="64" t="str">
        <f>CONCATENATE(" )", Source!DL722, Source!FT722, "=", Source!FX722)</f>
        <v xml:space="preserve"> )*0,9=115,2</v>
      </c>
      <c r="G1420" s="65"/>
      <c r="H1420" s="29">
        <f>SUM(S1414:S1424)</f>
        <v>316.22000000000003</v>
      </c>
      <c r="I1420" s="33"/>
      <c r="J1420" s="26">
        <f>Source!AT722</f>
        <v>115</v>
      </c>
      <c r="K1420" s="29">
        <f>SUM(T1414:T1424)</f>
        <v>2070.9</v>
      </c>
      <c r="L1420" s="31"/>
    </row>
    <row r="1421" spans="1:26" ht="14.25" x14ac:dyDescent="0.2">
      <c r="A1421" s="44"/>
      <c r="B1421" s="45"/>
      <c r="C1421" s="45" t="s">
        <v>1934</v>
      </c>
      <c r="D1421" s="28" t="s">
        <v>1933</v>
      </c>
      <c r="E1421" s="11">
        <f>Source!CA722</f>
        <v>83</v>
      </c>
      <c r="F1421" s="64" t="str">
        <f>CONCATENATE(" )", Source!DM722, Source!FU722, "=", Source!FY722)</f>
        <v xml:space="preserve"> )*0,85=70,55</v>
      </c>
      <c r="G1421" s="65"/>
      <c r="H1421" s="29">
        <f>SUM(U1414:U1424)</f>
        <v>193.66</v>
      </c>
      <c r="I1421" s="33"/>
      <c r="J1421" s="26">
        <f>Source!AU722</f>
        <v>71</v>
      </c>
      <c r="K1421" s="29">
        <f>SUM(V1414:V1424)</f>
        <v>1278.55</v>
      </c>
      <c r="L1421" s="31"/>
    </row>
    <row r="1422" spans="1:26" ht="14.25" x14ac:dyDescent="0.2">
      <c r="A1422" s="44"/>
      <c r="B1422" s="45"/>
      <c r="C1422" s="45" t="s">
        <v>1935</v>
      </c>
      <c r="D1422" s="28" t="s">
        <v>1936</v>
      </c>
      <c r="E1422" s="11">
        <f>Source!AQ722</f>
        <v>61.6</v>
      </c>
      <c r="F1422" s="29"/>
      <c r="G1422" s="30" t="str">
        <f>Source!DI722</f>
        <v>)*1,15</v>
      </c>
      <c r="H1422" s="29"/>
      <c r="I1422" s="30"/>
      <c r="J1422" s="30"/>
      <c r="K1422" s="29"/>
      <c r="L1422" s="40">
        <f>Source!U722</f>
        <v>27.627599999999997</v>
      </c>
    </row>
    <row r="1423" spans="1:26" ht="57" x14ac:dyDescent="0.2">
      <c r="A1423" s="44" t="str">
        <f>Source!E723</f>
        <v>135,1</v>
      </c>
      <c r="B1423" s="45" t="str">
        <f>Source!F723</f>
        <v>24.1.02.01-0112</v>
      </c>
      <c r="C1423" s="45" t="str">
        <f>Source!G723</f>
        <v>Хомуты для крепления канализационных и водосточных пластмассовых трубопроводов, диаметром 100 мм</v>
      </c>
      <c r="D1423" s="28" t="str">
        <f>Source!H723</f>
        <v>т</v>
      </c>
      <c r="E1423" s="11">
        <f>Source!I723</f>
        <v>1.06E-3</v>
      </c>
      <c r="F1423" s="29">
        <f>Source!AL723+Source!AM723+Source!AO723</f>
        <v>37529.15</v>
      </c>
      <c r="G1423" s="41" t="s">
        <v>6</v>
      </c>
      <c r="H1423" s="29">
        <f>ROUND(Source!AC723*Source!I723, 2)+ROUND(Source!AD723*Source!I723, 2)+ROUND(Source!AF723*Source!I723, 2)</f>
        <v>39.78</v>
      </c>
      <c r="I1423" s="30"/>
      <c r="J1423" s="30">
        <f>IF(Source!BC723&lt;&gt; 0, Source!BC723, 1)</f>
        <v>6.56</v>
      </c>
      <c r="K1423" s="29">
        <f>Source!O723</f>
        <v>260.95999999999998</v>
      </c>
      <c r="L1423" s="31"/>
      <c r="S1423">
        <f>ROUND((Source!FX723/100)*((ROUND(Source!AF723*Source!I723, 2)+ROUND(Source!AE723*Source!I723, 2))), 2)</f>
        <v>0</v>
      </c>
      <c r="T1423">
        <f>Source!X723</f>
        <v>0</v>
      </c>
      <c r="U1423">
        <f>ROUND((Source!FY723/100)*((ROUND(Source!AF723*Source!I723, 2)+ROUND(Source!AE723*Source!I723, 2))), 2)</f>
        <v>0</v>
      </c>
      <c r="V1423">
        <f>Source!Y723</f>
        <v>0</v>
      </c>
      <c r="W1423">
        <f>IF(Source!BI723&lt;=1,H1423, 0)</f>
        <v>39.78</v>
      </c>
      <c r="X1423">
        <f>IF(Source!BI723=2,H1423, 0)</f>
        <v>0</v>
      </c>
      <c r="Y1423">
        <f>IF(Source!BI723=3,H1423, 0)</f>
        <v>0</v>
      </c>
      <c r="Z1423">
        <f>IF(Source!BI723=4,H1423, 0)</f>
        <v>0</v>
      </c>
    </row>
    <row r="1424" spans="1:26" ht="42.75" x14ac:dyDescent="0.2">
      <c r="A1424" s="46" t="str">
        <f>Source!E724</f>
        <v>135,2</v>
      </c>
      <c r="B1424" s="47" t="str">
        <f>Source!F724</f>
        <v>24.3.01.06-0012</v>
      </c>
      <c r="C1424" s="47" t="str">
        <f>Source!G724</f>
        <v>Трубопроводы для внутренней канализации из поливинилхлоридных труб диаметром 100 мм</v>
      </c>
      <c r="D1424" s="34" t="str">
        <f>Source!H724</f>
        <v>м</v>
      </c>
      <c r="E1424" s="35">
        <f>Source!I724</f>
        <v>39</v>
      </c>
      <c r="F1424" s="36">
        <f>Source!AL724+Source!AM724+Source!AO724</f>
        <v>104.07</v>
      </c>
      <c r="G1424" s="42" t="s">
        <v>6</v>
      </c>
      <c r="H1424" s="36">
        <f>ROUND(Source!AC724*Source!I724, 2)+ROUND(Source!AD724*Source!I724, 2)+ROUND(Source!AF724*Source!I724, 2)</f>
        <v>4058.73</v>
      </c>
      <c r="I1424" s="37"/>
      <c r="J1424" s="37">
        <f>IF(Source!BC724&lt;&gt; 0, Source!BC724, 1)</f>
        <v>6.56</v>
      </c>
      <c r="K1424" s="36">
        <f>Source!O724</f>
        <v>26625.27</v>
      </c>
      <c r="L1424" s="43"/>
      <c r="S1424">
        <f>ROUND((Source!FX724/100)*((ROUND(Source!AF724*Source!I724, 2)+ROUND(Source!AE724*Source!I724, 2))), 2)</f>
        <v>0</v>
      </c>
      <c r="T1424">
        <f>Source!X724</f>
        <v>0</v>
      </c>
      <c r="U1424">
        <f>ROUND((Source!FY724/100)*((ROUND(Source!AF724*Source!I724, 2)+ROUND(Source!AE724*Source!I724, 2))), 2)</f>
        <v>0</v>
      </c>
      <c r="V1424">
        <f>Source!Y724</f>
        <v>0</v>
      </c>
      <c r="W1424">
        <f>IF(Source!BI724&lt;=1,H1424, 0)</f>
        <v>4058.73</v>
      </c>
      <c r="X1424">
        <f>IF(Source!BI724=2,H1424, 0)</f>
        <v>0</v>
      </c>
      <c r="Y1424">
        <f>IF(Source!BI724=3,H1424, 0)</f>
        <v>0</v>
      </c>
      <c r="Z1424">
        <f>IF(Source!BI724=4,H1424, 0)</f>
        <v>0</v>
      </c>
    </row>
    <row r="1425" spans="1:26" ht="15" x14ac:dyDescent="0.25">
      <c r="G1425" s="63">
        <f>H1416+H1417+H1419+H1420+H1421+SUM(H1423:H1424)</f>
        <v>4940.41</v>
      </c>
      <c r="H1425" s="63"/>
      <c r="J1425" s="63">
        <f>K1416+K1417+K1419+K1420+K1421+SUM(K1423:K1424)</f>
        <v>32413.72</v>
      </c>
      <c r="K1425" s="63"/>
      <c r="L1425" s="39">
        <f>Source!U722</f>
        <v>27.627599999999997</v>
      </c>
      <c r="O1425" s="24">
        <f>G1425</f>
        <v>4940.41</v>
      </c>
      <c r="P1425" s="24">
        <f>J1425</f>
        <v>32413.72</v>
      </c>
      <c r="Q1425" s="24">
        <f>L1425</f>
        <v>27.627599999999997</v>
      </c>
      <c r="W1425">
        <f>IF(Source!BI722&lt;=1,H1416+H1417+H1419+H1420+H1421, 0)</f>
        <v>841.9</v>
      </c>
      <c r="X1425">
        <f>IF(Source!BI722=2,H1416+H1417+H1419+H1420+H1421, 0)</f>
        <v>0</v>
      </c>
      <c r="Y1425">
        <f>IF(Source!BI722=3,H1416+H1417+H1419+H1420+H1421, 0)</f>
        <v>0</v>
      </c>
      <c r="Z1425">
        <f>IF(Source!BI722=4,H1416+H1417+H1419+H1420+H1421, 0)</f>
        <v>0</v>
      </c>
    </row>
    <row r="1426" spans="1:26" ht="42.75" x14ac:dyDescent="0.2">
      <c r="A1426" s="44" t="str">
        <f>Source!E725</f>
        <v>136</v>
      </c>
      <c r="B1426" s="45" t="str">
        <f>Source!F725</f>
        <v>16-04-001-01</v>
      </c>
      <c r="C1426" s="45" t="str">
        <f>Source!G725</f>
        <v>Прокладка трубопроводов канализации из полиэтиленовых труб высокой плотности диаметром 50 мм</v>
      </c>
      <c r="D1426" s="28" t="str">
        <f>Source!H725</f>
        <v>100 м</v>
      </c>
      <c r="E1426" s="11">
        <f>Source!I725</f>
        <v>0.08</v>
      </c>
      <c r="F1426" s="29">
        <f>Source!AL725+Source!AM725+Source!AO725</f>
        <v>695.27</v>
      </c>
      <c r="G1426" s="30"/>
      <c r="H1426" s="29"/>
      <c r="I1426" s="30" t="str">
        <f>Source!BO725</f>
        <v/>
      </c>
      <c r="J1426" s="30"/>
      <c r="K1426" s="29"/>
      <c r="L1426" s="31"/>
      <c r="S1426">
        <f>ROUND((Source!FX725/100)*((ROUND(Source!AF725*Source!I725, 2)+ROUND(Source!AE725*Source!I725, 2))), 2)</f>
        <v>67.59</v>
      </c>
      <c r="T1426">
        <f>Source!X725</f>
        <v>442.59</v>
      </c>
      <c r="U1426">
        <f>ROUND((Source!FY725/100)*((ROUND(Source!AF725*Source!I725, 2)+ROUND(Source!AE725*Source!I725, 2))), 2)</f>
        <v>41.39</v>
      </c>
      <c r="V1426">
        <f>Source!Y725</f>
        <v>273.25</v>
      </c>
    </row>
    <row r="1427" spans="1:26" x14ac:dyDescent="0.2">
      <c r="C1427" s="23" t="str">
        <f>"Объем: "&amp;Source!I725&amp;"=8/"&amp;"100"</f>
        <v>Объем: 0,08=8/100</v>
      </c>
    </row>
    <row r="1428" spans="1:26" ht="14.25" x14ac:dyDescent="0.2">
      <c r="A1428" s="44"/>
      <c r="B1428" s="45"/>
      <c r="C1428" s="45" t="s">
        <v>1930</v>
      </c>
      <c r="D1428" s="28"/>
      <c r="E1428" s="11"/>
      <c r="F1428" s="29">
        <f>Source!AO725</f>
        <v>637.26</v>
      </c>
      <c r="G1428" s="30" t="str">
        <f>Source!DG725</f>
        <v>)*1,15</v>
      </c>
      <c r="H1428" s="29">
        <f>ROUND(Source!AF725*Source!I725, 2)</f>
        <v>58.63</v>
      </c>
      <c r="I1428" s="30"/>
      <c r="J1428" s="30">
        <f>IF(Source!BA725&lt;&gt; 0, Source!BA725, 1)</f>
        <v>6.56</v>
      </c>
      <c r="K1428" s="29">
        <f>Source!S725</f>
        <v>384.6</v>
      </c>
      <c r="L1428" s="31"/>
      <c r="R1428">
        <f>H1428</f>
        <v>58.63</v>
      </c>
    </row>
    <row r="1429" spans="1:26" ht="14.25" x14ac:dyDescent="0.2">
      <c r="A1429" s="44"/>
      <c r="B1429" s="45"/>
      <c r="C1429" s="45" t="s">
        <v>151</v>
      </c>
      <c r="D1429" s="28"/>
      <c r="E1429" s="11"/>
      <c r="F1429" s="29">
        <f>Source!AM725</f>
        <v>2.64</v>
      </c>
      <c r="G1429" s="30" t="str">
        <f>Source!DE725</f>
        <v>)*1,25</v>
      </c>
      <c r="H1429" s="29">
        <f>ROUND(Source!AD725*Source!I725, 2)</f>
        <v>0.26</v>
      </c>
      <c r="I1429" s="30"/>
      <c r="J1429" s="30">
        <f>IF(Source!BB725&lt;&gt; 0, Source!BB725, 1)</f>
        <v>6.56</v>
      </c>
      <c r="K1429" s="29">
        <f>Source!Q725</f>
        <v>1.73</v>
      </c>
      <c r="L1429" s="31"/>
    </row>
    <row r="1430" spans="1:26" ht="14.25" x14ac:dyDescent="0.2">
      <c r="A1430" s="44"/>
      <c r="B1430" s="45"/>
      <c r="C1430" s="45" t="s">
        <v>1931</v>
      </c>
      <c r="D1430" s="28"/>
      <c r="E1430" s="11"/>
      <c r="F1430" s="29">
        <f>Source!AN725</f>
        <v>0.4</v>
      </c>
      <c r="G1430" s="30" t="str">
        <f>Source!DF725</f>
        <v>)*1,25</v>
      </c>
      <c r="H1430" s="32">
        <f>ROUND(Source!AE725*Source!I725, 2)</f>
        <v>0.04</v>
      </c>
      <c r="I1430" s="30"/>
      <c r="J1430" s="30">
        <f>IF(Source!BS725&lt;&gt; 0, Source!BS725, 1)</f>
        <v>6.56</v>
      </c>
      <c r="K1430" s="32">
        <f>Source!R725</f>
        <v>0.26</v>
      </c>
      <c r="L1430" s="31"/>
      <c r="R1430">
        <f>H1430</f>
        <v>0.04</v>
      </c>
    </row>
    <row r="1431" spans="1:26" ht="14.25" x14ac:dyDescent="0.2">
      <c r="A1431" s="44"/>
      <c r="B1431" s="45"/>
      <c r="C1431" s="45" t="s">
        <v>1937</v>
      </c>
      <c r="D1431" s="28"/>
      <c r="E1431" s="11"/>
      <c r="F1431" s="29">
        <f>Source!AL725</f>
        <v>55.37</v>
      </c>
      <c r="G1431" s="30" t="str">
        <f>Source!DD725</f>
        <v/>
      </c>
      <c r="H1431" s="29">
        <f>ROUND(Source!AC725*Source!I725, 2)</f>
        <v>4.43</v>
      </c>
      <c r="I1431" s="30"/>
      <c r="J1431" s="30">
        <f>IF(Source!BC725&lt;&gt; 0, Source!BC725, 1)</f>
        <v>6.56</v>
      </c>
      <c r="K1431" s="29">
        <f>Source!P725</f>
        <v>29.06</v>
      </c>
      <c r="L1431" s="31"/>
    </row>
    <row r="1432" spans="1:26" ht="14.25" x14ac:dyDescent="0.2">
      <c r="A1432" s="44"/>
      <c r="B1432" s="45"/>
      <c r="C1432" s="45" t="s">
        <v>1932</v>
      </c>
      <c r="D1432" s="28" t="s">
        <v>1933</v>
      </c>
      <c r="E1432" s="11">
        <f>Source!BZ725</f>
        <v>128</v>
      </c>
      <c r="F1432" s="64" t="str">
        <f>CONCATENATE(" )", Source!DL725, Source!FT725, "=", Source!FX725)</f>
        <v xml:space="preserve"> )*0,9=115,2</v>
      </c>
      <c r="G1432" s="65"/>
      <c r="H1432" s="29">
        <f>SUM(S1426:S1436)</f>
        <v>67.59</v>
      </c>
      <c r="I1432" s="33"/>
      <c r="J1432" s="26">
        <f>Source!AT725</f>
        <v>115</v>
      </c>
      <c r="K1432" s="29">
        <f>SUM(T1426:T1436)</f>
        <v>442.59</v>
      </c>
      <c r="L1432" s="31"/>
    </row>
    <row r="1433" spans="1:26" ht="14.25" x14ac:dyDescent="0.2">
      <c r="A1433" s="44"/>
      <c r="B1433" s="45"/>
      <c r="C1433" s="45" t="s">
        <v>1934</v>
      </c>
      <c r="D1433" s="28" t="s">
        <v>1933</v>
      </c>
      <c r="E1433" s="11">
        <f>Source!CA725</f>
        <v>83</v>
      </c>
      <c r="F1433" s="64" t="str">
        <f>CONCATENATE(" )", Source!DM725, Source!FU725, "=", Source!FY725)</f>
        <v xml:space="preserve"> )*0,85=70,55</v>
      </c>
      <c r="G1433" s="65"/>
      <c r="H1433" s="29">
        <f>SUM(U1426:U1436)</f>
        <v>41.39</v>
      </c>
      <c r="I1433" s="33"/>
      <c r="J1433" s="26">
        <f>Source!AU725</f>
        <v>71</v>
      </c>
      <c r="K1433" s="29">
        <f>SUM(V1426:V1436)</f>
        <v>273.25</v>
      </c>
      <c r="L1433" s="31"/>
    </row>
    <row r="1434" spans="1:26" ht="14.25" x14ac:dyDescent="0.2">
      <c r="A1434" s="44"/>
      <c r="B1434" s="45"/>
      <c r="C1434" s="45" t="s">
        <v>1935</v>
      </c>
      <c r="D1434" s="28" t="s">
        <v>1936</v>
      </c>
      <c r="E1434" s="11">
        <f>Source!AQ725</f>
        <v>64.239999999999995</v>
      </c>
      <c r="F1434" s="29"/>
      <c r="G1434" s="30" t="str">
        <f>Source!DI725</f>
        <v>)*1,15</v>
      </c>
      <c r="H1434" s="29"/>
      <c r="I1434" s="30"/>
      <c r="J1434" s="30"/>
      <c r="K1434" s="29"/>
      <c r="L1434" s="40">
        <f>Source!U725</f>
        <v>5.9100799999999998</v>
      </c>
    </row>
    <row r="1435" spans="1:26" ht="42.75" x14ac:dyDescent="0.2">
      <c r="A1435" s="44" t="str">
        <f>Source!E726</f>
        <v>136,1</v>
      </c>
      <c r="B1435" s="45" t="str">
        <f>Source!F726</f>
        <v>24.3.01.06-0011</v>
      </c>
      <c r="C1435" s="45" t="str">
        <f>Source!G726</f>
        <v>Трубопроводы для внутренней канализации из поливинилхлоридных труб диаметром 50 мм</v>
      </c>
      <c r="D1435" s="28" t="str">
        <f>Source!H726</f>
        <v>м</v>
      </c>
      <c r="E1435" s="11">
        <f>Source!I726</f>
        <v>8</v>
      </c>
      <c r="F1435" s="29">
        <f>Source!AL726+Source!AM726+Source!AO726</f>
        <v>47.46</v>
      </c>
      <c r="G1435" s="41" t="s">
        <v>6</v>
      </c>
      <c r="H1435" s="29">
        <f>ROUND(Source!AC726*Source!I726, 2)+ROUND(Source!AD726*Source!I726, 2)+ROUND(Source!AF726*Source!I726, 2)</f>
        <v>379.68</v>
      </c>
      <c r="I1435" s="30"/>
      <c r="J1435" s="30">
        <f>IF(Source!BC726&lt;&gt; 0, Source!BC726, 1)</f>
        <v>6.56</v>
      </c>
      <c r="K1435" s="29">
        <f>Source!O726</f>
        <v>2490.6999999999998</v>
      </c>
      <c r="L1435" s="31"/>
      <c r="S1435">
        <f>ROUND((Source!FX726/100)*((ROUND(Source!AF726*Source!I726, 2)+ROUND(Source!AE726*Source!I726, 2))), 2)</f>
        <v>0</v>
      </c>
      <c r="T1435">
        <f>Source!X726</f>
        <v>0</v>
      </c>
      <c r="U1435">
        <f>ROUND((Source!FY726/100)*((ROUND(Source!AF726*Source!I726, 2)+ROUND(Source!AE726*Source!I726, 2))), 2)</f>
        <v>0</v>
      </c>
      <c r="V1435">
        <f>Source!Y726</f>
        <v>0</v>
      </c>
      <c r="W1435">
        <f>IF(Source!BI726&lt;=1,H1435, 0)</f>
        <v>379.68</v>
      </c>
      <c r="X1435">
        <f>IF(Source!BI726=2,H1435, 0)</f>
        <v>0</v>
      </c>
      <c r="Y1435">
        <f>IF(Source!BI726=3,H1435, 0)</f>
        <v>0</v>
      </c>
      <c r="Z1435">
        <f>IF(Source!BI726=4,H1435, 0)</f>
        <v>0</v>
      </c>
    </row>
    <row r="1436" spans="1:26" ht="57" x14ac:dyDescent="0.2">
      <c r="A1436" s="46" t="str">
        <f>Source!E727</f>
        <v>136,2</v>
      </c>
      <c r="B1436" s="47" t="str">
        <f>Source!F727</f>
        <v>24.1.02.01-0111</v>
      </c>
      <c r="C1436" s="47" t="str">
        <f>Source!G727</f>
        <v>Хомуты для крепления канализационных и водосточных пластмассовых трубопроводов, диаметром 50 мм</v>
      </c>
      <c r="D1436" s="34" t="str">
        <f>Source!H727</f>
        <v>т</v>
      </c>
      <c r="E1436" s="35">
        <f>Source!I727</f>
        <v>5.9999999999999995E-4</v>
      </c>
      <c r="F1436" s="36">
        <f>Source!AL727+Source!AM727+Source!AO727</f>
        <v>26729.37</v>
      </c>
      <c r="G1436" s="42" t="s">
        <v>6</v>
      </c>
      <c r="H1436" s="36">
        <f>ROUND(Source!AC727*Source!I727, 2)+ROUND(Source!AD727*Source!I727, 2)+ROUND(Source!AF727*Source!I727, 2)</f>
        <v>16.04</v>
      </c>
      <c r="I1436" s="37"/>
      <c r="J1436" s="37">
        <f>IF(Source!BC727&lt;&gt; 0, Source!BC727, 1)</f>
        <v>6.56</v>
      </c>
      <c r="K1436" s="36">
        <f>Source!O727</f>
        <v>105.21</v>
      </c>
      <c r="L1436" s="43"/>
      <c r="S1436">
        <f>ROUND((Source!FX727/100)*((ROUND(Source!AF727*Source!I727, 2)+ROUND(Source!AE727*Source!I727, 2))), 2)</f>
        <v>0</v>
      </c>
      <c r="T1436">
        <f>Source!X727</f>
        <v>0</v>
      </c>
      <c r="U1436">
        <f>ROUND((Source!FY727/100)*((ROUND(Source!AF727*Source!I727, 2)+ROUND(Source!AE727*Source!I727, 2))), 2)</f>
        <v>0</v>
      </c>
      <c r="V1436">
        <f>Source!Y727</f>
        <v>0</v>
      </c>
      <c r="W1436">
        <f>IF(Source!BI727&lt;=1,H1436, 0)</f>
        <v>16.04</v>
      </c>
      <c r="X1436">
        <f>IF(Source!BI727=2,H1436, 0)</f>
        <v>0</v>
      </c>
      <c r="Y1436">
        <f>IF(Source!BI727=3,H1436, 0)</f>
        <v>0</v>
      </c>
      <c r="Z1436">
        <f>IF(Source!BI727=4,H1436, 0)</f>
        <v>0</v>
      </c>
    </row>
    <row r="1437" spans="1:26" ht="15" x14ac:dyDescent="0.25">
      <c r="G1437" s="63">
        <f>H1428+H1429+H1431+H1432+H1433+SUM(H1435:H1436)</f>
        <v>568.02</v>
      </c>
      <c r="H1437" s="63"/>
      <c r="J1437" s="63">
        <f>K1428+K1429+K1431+K1432+K1433+SUM(K1435:K1436)</f>
        <v>3727.14</v>
      </c>
      <c r="K1437" s="63"/>
      <c r="L1437" s="39">
        <f>Source!U725</f>
        <v>5.9100799999999998</v>
      </c>
      <c r="O1437" s="24">
        <f>G1437</f>
        <v>568.02</v>
      </c>
      <c r="P1437" s="24">
        <f>J1437</f>
        <v>3727.14</v>
      </c>
      <c r="Q1437" s="24">
        <f>L1437</f>
        <v>5.9100799999999998</v>
      </c>
      <c r="W1437">
        <f>IF(Source!BI725&lt;=1,H1428+H1429+H1431+H1432+H1433, 0)</f>
        <v>172.3</v>
      </c>
      <c r="X1437">
        <f>IF(Source!BI725=2,H1428+H1429+H1431+H1432+H1433, 0)</f>
        <v>0</v>
      </c>
      <c r="Y1437">
        <f>IF(Source!BI725=3,H1428+H1429+H1431+H1432+H1433, 0)</f>
        <v>0</v>
      </c>
      <c r="Z1437">
        <f>IF(Source!BI725=4,H1428+H1429+H1431+H1432+H1433, 0)</f>
        <v>0</v>
      </c>
    </row>
    <row r="1438" spans="1:26" ht="57" x14ac:dyDescent="0.2">
      <c r="A1438" s="44" t="str">
        <f>Source!E728</f>
        <v>137</v>
      </c>
      <c r="B1438" s="45" t="str">
        <f>Source!F728</f>
        <v>26-01-017-01</v>
      </c>
      <c r="C1438" s="45" t="str">
        <f>Source!G728</f>
        <v>Изоляция изделиями из вспененного каучука, вспененного полиэтилена трубопроводов наружным диметром до 160 мм трубками</v>
      </c>
      <c r="D1438" s="28" t="str">
        <f>Source!H728</f>
        <v>10 м</v>
      </c>
      <c r="E1438" s="11">
        <f>Source!I728</f>
        <v>3.4</v>
      </c>
      <c r="F1438" s="29">
        <f>Source!AL728+Source!AM728+Source!AO728</f>
        <v>141.97</v>
      </c>
      <c r="G1438" s="30"/>
      <c r="H1438" s="29"/>
      <c r="I1438" s="30" t="str">
        <f>Source!BO728</f>
        <v/>
      </c>
      <c r="J1438" s="30"/>
      <c r="K1438" s="29"/>
      <c r="L1438" s="31"/>
      <c r="S1438">
        <f>ROUND((Source!FX728/100)*((ROUND(Source!AF728*Source!I728, 2)+ROUND(Source!AE728*Source!I728, 2))), 2)</f>
        <v>133.99</v>
      </c>
      <c r="T1438">
        <f>Source!X728</f>
        <v>879.02</v>
      </c>
      <c r="U1438">
        <f>ROUND((Source!FY728/100)*((ROUND(Source!AF728*Source!I728, 2)+ROUND(Source!AE728*Source!I728, 2))), 2)</f>
        <v>88.58</v>
      </c>
      <c r="V1438">
        <f>Source!Y728</f>
        <v>586.01</v>
      </c>
    </row>
    <row r="1439" spans="1:26" x14ac:dyDescent="0.2">
      <c r="C1439" s="23" t="str">
        <f>"Объем: "&amp;Source!I728&amp;"=34/"&amp;"10"</f>
        <v>Объем: 3,4=34/10</v>
      </c>
    </row>
    <row r="1440" spans="1:26" ht="14.25" x14ac:dyDescent="0.2">
      <c r="A1440" s="44"/>
      <c r="B1440" s="45"/>
      <c r="C1440" s="45" t="s">
        <v>1930</v>
      </c>
      <c r="D1440" s="28"/>
      <c r="E1440" s="11"/>
      <c r="F1440" s="29">
        <f>Source!AO728</f>
        <v>34.92</v>
      </c>
      <c r="G1440" s="30" t="str">
        <f>Source!DG728</f>
        <v>)*1,15</v>
      </c>
      <c r="H1440" s="29">
        <f>ROUND(Source!AF728*Source!I728, 2)</f>
        <v>136.54</v>
      </c>
      <c r="I1440" s="30"/>
      <c r="J1440" s="30">
        <f>IF(Source!BA728&lt;&gt; 0, Source!BA728, 1)</f>
        <v>6.56</v>
      </c>
      <c r="K1440" s="29">
        <f>Source!S728</f>
        <v>895.73</v>
      </c>
      <c r="L1440" s="31"/>
      <c r="R1440">
        <f>H1440</f>
        <v>136.54</v>
      </c>
    </row>
    <row r="1441" spans="1:26" ht="14.25" x14ac:dyDescent="0.2">
      <c r="A1441" s="44"/>
      <c r="B1441" s="45"/>
      <c r="C1441" s="45" t="s">
        <v>151</v>
      </c>
      <c r="D1441" s="28"/>
      <c r="E1441" s="11"/>
      <c r="F1441" s="29">
        <f>Source!AM728</f>
        <v>17.27</v>
      </c>
      <c r="G1441" s="30" t="str">
        <f>Source!DE728</f>
        <v>)*1,25</v>
      </c>
      <c r="H1441" s="29">
        <f>ROUND(Source!AD728*Source!I728, 2)</f>
        <v>73.41</v>
      </c>
      <c r="I1441" s="30"/>
      <c r="J1441" s="30">
        <f>IF(Source!BB728&lt;&gt; 0, Source!BB728, 1)</f>
        <v>6.56</v>
      </c>
      <c r="K1441" s="29">
        <f>Source!Q728</f>
        <v>481.54</v>
      </c>
      <c r="L1441" s="31"/>
    </row>
    <row r="1442" spans="1:26" ht="14.25" x14ac:dyDescent="0.2">
      <c r="A1442" s="44"/>
      <c r="B1442" s="45"/>
      <c r="C1442" s="45" t="s">
        <v>1931</v>
      </c>
      <c r="D1442" s="28"/>
      <c r="E1442" s="11"/>
      <c r="F1442" s="29">
        <f>Source!AN728</f>
        <v>2.9</v>
      </c>
      <c r="G1442" s="30" t="str">
        <f>Source!DF728</f>
        <v>)*1,25</v>
      </c>
      <c r="H1442" s="32">
        <f>ROUND(Source!AE728*Source!I728, 2)</f>
        <v>12.34</v>
      </c>
      <c r="I1442" s="30"/>
      <c r="J1442" s="30">
        <f>IF(Source!BS728&lt;&gt; 0, Source!BS728, 1)</f>
        <v>6.56</v>
      </c>
      <c r="K1442" s="32">
        <f>Source!R728</f>
        <v>80.959999999999994</v>
      </c>
      <c r="L1442" s="31"/>
      <c r="R1442">
        <f>H1442</f>
        <v>12.34</v>
      </c>
    </row>
    <row r="1443" spans="1:26" ht="14.25" x14ac:dyDescent="0.2">
      <c r="A1443" s="44"/>
      <c r="B1443" s="45"/>
      <c r="C1443" s="45" t="s">
        <v>1937</v>
      </c>
      <c r="D1443" s="28"/>
      <c r="E1443" s="11"/>
      <c r="F1443" s="29">
        <f>Source!AL728</f>
        <v>89.78</v>
      </c>
      <c r="G1443" s="30" t="str">
        <f>Source!DD728</f>
        <v/>
      </c>
      <c r="H1443" s="29">
        <f>ROUND(Source!AC728*Source!I728, 2)</f>
        <v>305.25</v>
      </c>
      <c r="I1443" s="30"/>
      <c r="J1443" s="30">
        <f>IF(Source!BC728&lt;&gt; 0, Source!BC728, 1)</f>
        <v>6.56</v>
      </c>
      <c r="K1443" s="29">
        <f>Source!P728</f>
        <v>2002.45</v>
      </c>
      <c r="L1443" s="31"/>
    </row>
    <row r="1444" spans="1:26" ht="14.25" x14ac:dyDescent="0.2">
      <c r="A1444" s="44"/>
      <c r="B1444" s="45"/>
      <c r="C1444" s="45" t="s">
        <v>1932</v>
      </c>
      <c r="D1444" s="28" t="s">
        <v>1933</v>
      </c>
      <c r="E1444" s="11">
        <f>Source!BZ728</f>
        <v>100</v>
      </c>
      <c r="F1444" s="64" t="str">
        <f>CONCATENATE(" )", Source!DL728, Source!FT728, "=", Source!FX728)</f>
        <v xml:space="preserve"> )*0,9=90</v>
      </c>
      <c r="G1444" s="65"/>
      <c r="H1444" s="29">
        <f>SUM(S1438:S1448)</f>
        <v>133.99</v>
      </c>
      <c r="I1444" s="33"/>
      <c r="J1444" s="26">
        <f>Source!AT728</f>
        <v>90</v>
      </c>
      <c r="K1444" s="29">
        <f>SUM(T1438:T1448)</f>
        <v>879.02</v>
      </c>
      <c r="L1444" s="31"/>
    </row>
    <row r="1445" spans="1:26" ht="14.25" x14ac:dyDescent="0.2">
      <c r="A1445" s="44"/>
      <c r="B1445" s="45"/>
      <c r="C1445" s="45" t="s">
        <v>1934</v>
      </c>
      <c r="D1445" s="28" t="s">
        <v>1933</v>
      </c>
      <c r="E1445" s="11">
        <f>Source!CA728</f>
        <v>70</v>
      </c>
      <c r="F1445" s="64" t="str">
        <f>CONCATENATE(" )", Source!DM728, Source!FU728, "=", Source!FY728)</f>
        <v xml:space="preserve"> )*0,85=59,5</v>
      </c>
      <c r="G1445" s="65"/>
      <c r="H1445" s="29">
        <f>SUM(U1438:U1448)</f>
        <v>88.58</v>
      </c>
      <c r="I1445" s="33"/>
      <c r="J1445" s="26">
        <f>Source!AU728</f>
        <v>60</v>
      </c>
      <c r="K1445" s="29">
        <f>SUM(V1438:V1448)</f>
        <v>586.01</v>
      </c>
      <c r="L1445" s="31"/>
    </row>
    <row r="1446" spans="1:26" ht="14.25" x14ac:dyDescent="0.2">
      <c r="A1446" s="44"/>
      <c r="B1446" s="45"/>
      <c r="C1446" s="45" t="s">
        <v>1935</v>
      </c>
      <c r="D1446" s="28" t="s">
        <v>1936</v>
      </c>
      <c r="E1446" s="11">
        <f>Source!AQ728</f>
        <v>3.52</v>
      </c>
      <c r="F1446" s="29"/>
      <c r="G1446" s="30" t="str">
        <f>Source!DI728</f>
        <v>)*1,15</v>
      </c>
      <c r="H1446" s="29"/>
      <c r="I1446" s="30"/>
      <c r="J1446" s="30"/>
      <c r="K1446" s="29"/>
      <c r="L1446" s="40">
        <f>Source!U728</f>
        <v>13.763199999999999</v>
      </c>
    </row>
    <row r="1447" spans="1:26" ht="42.75" x14ac:dyDescent="0.2">
      <c r="A1447" s="44" t="str">
        <f>Source!E729</f>
        <v>137,1</v>
      </c>
      <c r="B1447" s="45" t="str">
        <f>Source!F729</f>
        <v>12.2.07.05-0081</v>
      </c>
      <c r="C1447" s="45" t="str">
        <f>Source!G729</f>
        <v>Трубки из вспененного полиэтилена, внутренний диаметр 110 мм, толщина 9 мм</v>
      </c>
      <c r="D1447" s="28" t="str">
        <f>Source!H729</f>
        <v>100 м</v>
      </c>
      <c r="E1447" s="11">
        <f>Source!I729</f>
        <v>0.374</v>
      </c>
      <c r="F1447" s="29">
        <f>Source!AL729+Source!AM729+Source!AO729</f>
        <v>2314.91</v>
      </c>
      <c r="G1447" s="41" t="s">
        <v>6</v>
      </c>
      <c r="H1447" s="29">
        <f>ROUND(Source!AC729*Source!I729, 2)+ROUND(Source!AD729*Source!I729, 2)+ROUND(Source!AF729*Source!I729, 2)</f>
        <v>865.78</v>
      </c>
      <c r="I1447" s="30"/>
      <c r="J1447" s="30">
        <f>IF(Source!BC729&lt;&gt; 0, Source!BC729, 1)</f>
        <v>6.56</v>
      </c>
      <c r="K1447" s="29">
        <f>Source!O729</f>
        <v>5679.49</v>
      </c>
      <c r="L1447" s="31"/>
      <c r="S1447">
        <f>ROUND((Source!FX729/100)*((ROUND(Source!AF729*Source!I729, 2)+ROUND(Source!AE729*Source!I729, 2))), 2)</f>
        <v>0</v>
      </c>
      <c r="T1447">
        <f>Source!X729</f>
        <v>0</v>
      </c>
      <c r="U1447">
        <f>ROUND((Source!FY729/100)*((ROUND(Source!AF729*Source!I729, 2)+ROUND(Source!AE729*Source!I729, 2))), 2)</f>
        <v>0</v>
      </c>
      <c r="V1447">
        <f>Source!Y729</f>
        <v>0</v>
      </c>
      <c r="W1447">
        <f>IF(Source!BI729&lt;=1,H1447, 0)</f>
        <v>865.78</v>
      </c>
      <c r="X1447">
        <f>IF(Source!BI729=2,H1447, 0)</f>
        <v>0</v>
      </c>
      <c r="Y1447">
        <f>IF(Source!BI729=3,H1447, 0)</f>
        <v>0</v>
      </c>
      <c r="Z1447">
        <f>IF(Source!BI729=4,H1447, 0)</f>
        <v>0</v>
      </c>
    </row>
    <row r="1448" spans="1:26" ht="28.5" x14ac:dyDescent="0.2">
      <c r="A1448" s="46" t="str">
        <f>Source!E730</f>
        <v>137,2</v>
      </c>
      <c r="B1448" s="47" t="str">
        <f>Source!F730</f>
        <v>12.2.07.04</v>
      </c>
      <c r="C1448" s="47" t="str">
        <f>Source!G730</f>
        <v>Трубки из вспененного каучука, полиэтилена</v>
      </c>
      <c r="D1448" s="34" t="str">
        <f>Source!H730</f>
        <v>м</v>
      </c>
      <c r="E1448" s="35">
        <f>Source!I730</f>
        <v>37.4</v>
      </c>
      <c r="F1448" s="36">
        <f>Source!AL730+Source!AM730+Source!AO730</f>
        <v>0</v>
      </c>
      <c r="G1448" s="42" t="s">
        <v>6</v>
      </c>
      <c r="H1448" s="36">
        <f>ROUND(Source!AC730*Source!I730, 2)+ROUND(Source!AD730*Source!I730, 2)+ROUND(Source!AF730*Source!I730, 2)</f>
        <v>0</v>
      </c>
      <c r="I1448" s="37"/>
      <c r="J1448" s="37">
        <f>IF(Source!BC730&lt;&gt; 0, Source!BC730, 1)</f>
        <v>6.56</v>
      </c>
      <c r="K1448" s="36">
        <f>Source!O730</f>
        <v>0</v>
      </c>
      <c r="L1448" s="43"/>
      <c r="S1448">
        <f>ROUND((Source!FX730/100)*((ROUND(Source!AF730*Source!I730, 2)+ROUND(Source!AE730*Source!I730, 2))), 2)</f>
        <v>0</v>
      </c>
      <c r="T1448">
        <f>Source!X730</f>
        <v>0</v>
      </c>
      <c r="U1448">
        <f>ROUND((Source!FY730/100)*((ROUND(Source!AF730*Source!I730, 2)+ROUND(Source!AE730*Source!I730, 2))), 2)</f>
        <v>0</v>
      </c>
      <c r="V1448">
        <f>Source!Y730</f>
        <v>0</v>
      </c>
      <c r="W1448">
        <f>IF(Source!BI730&lt;=1,H1448, 0)</f>
        <v>0</v>
      </c>
      <c r="X1448">
        <f>IF(Source!BI730=2,H1448, 0)</f>
        <v>0</v>
      </c>
      <c r="Y1448">
        <f>IF(Source!BI730=3,H1448, 0)</f>
        <v>0</v>
      </c>
      <c r="Z1448">
        <f>IF(Source!BI730=4,H1448, 0)</f>
        <v>0</v>
      </c>
    </row>
    <row r="1449" spans="1:26" ht="15" x14ac:dyDescent="0.25">
      <c r="G1449" s="63">
        <f>H1440+H1441+H1443+H1444+H1445+SUM(H1447:H1448)</f>
        <v>1603.5500000000002</v>
      </c>
      <c r="H1449" s="63"/>
      <c r="J1449" s="63">
        <f>K1440+K1441+K1443+K1444+K1445+SUM(K1447:K1448)</f>
        <v>10524.24</v>
      </c>
      <c r="K1449" s="63"/>
      <c r="L1449" s="39">
        <f>Source!U728</f>
        <v>13.763199999999999</v>
      </c>
      <c r="O1449" s="24">
        <f>G1449</f>
        <v>1603.5500000000002</v>
      </c>
      <c r="P1449" s="24">
        <f>J1449</f>
        <v>10524.24</v>
      </c>
      <c r="Q1449" s="24">
        <f>L1449</f>
        <v>13.763199999999999</v>
      </c>
      <c r="W1449">
        <f>IF(Source!BI728&lt;=1,H1440+H1441+H1443+H1444+H1445, 0)</f>
        <v>737.7700000000001</v>
      </c>
      <c r="X1449">
        <f>IF(Source!BI728=2,H1440+H1441+H1443+H1444+H1445, 0)</f>
        <v>0</v>
      </c>
      <c r="Y1449">
        <f>IF(Source!BI728=3,H1440+H1441+H1443+H1444+H1445, 0)</f>
        <v>0</v>
      </c>
      <c r="Z1449">
        <f>IF(Source!BI728=4,H1440+H1441+H1443+H1444+H1445, 0)</f>
        <v>0</v>
      </c>
    </row>
    <row r="1451" spans="1:26" ht="15" x14ac:dyDescent="0.25">
      <c r="A1451" s="66" t="str">
        <f>CONCATENATE("Итого по разделу: ",IF(Source!G732&lt;&gt;"Новый раздел", Source!G732, ""))</f>
        <v>Итого по разделу: 8 Канализация</v>
      </c>
      <c r="B1451" s="66"/>
      <c r="C1451" s="66"/>
      <c r="D1451" s="66"/>
      <c r="E1451" s="66"/>
      <c r="F1451" s="66"/>
      <c r="G1451" s="67">
        <f>SUM(O1363:O1450)</f>
        <v>11030.2</v>
      </c>
      <c r="H1451" s="67"/>
      <c r="I1451" s="25"/>
      <c r="J1451" s="67">
        <f>SUM(P1363:P1450)</f>
        <v>72371.75</v>
      </c>
      <c r="K1451" s="67"/>
      <c r="L1451" s="39">
        <f>SUM(Q1363:Q1450)</f>
        <v>98.576779999999999</v>
      </c>
    </row>
    <row r="1452" spans="1:26" ht="15" x14ac:dyDescent="0.25">
      <c r="A1452" s="66" t="str">
        <f>CONCATENATE("Итого по локальной смете: ",IF(Source!G761&lt;&gt;"Новая локальная смета", Source!G761, ""))</f>
        <v xml:space="preserve">Итого по локальной смете: </v>
      </c>
      <c r="B1452" s="66"/>
      <c r="C1452" s="66"/>
      <c r="D1452" s="66"/>
      <c r="E1452" s="66"/>
      <c r="F1452" s="66"/>
      <c r="G1452" s="67">
        <f>SUM(O25:O1451)</f>
        <v>577742.52000000037</v>
      </c>
      <c r="H1452" s="67"/>
      <c r="I1452" s="25"/>
      <c r="J1452" s="67">
        <f>SUM(P25:P1451)</f>
        <v>3827013.3600000008</v>
      </c>
      <c r="K1452" s="67"/>
      <c r="L1452" s="39">
        <f>SUM(Q25:Q1451)</f>
        <v>3961.4573397999993</v>
      </c>
    </row>
    <row r="1453" spans="1:26" ht="15" x14ac:dyDescent="0.25">
      <c r="C1453" s="66" t="str">
        <f>Source!H789</f>
        <v>Итого</v>
      </c>
      <c r="D1453" s="66"/>
      <c r="E1453" s="66"/>
      <c r="F1453" s="66"/>
      <c r="G1453" s="66"/>
      <c r="H1453" s="66"/>
      <c r="I1453" s="66"/>
      <c r="J1453" s="67">
        <f>IF(Source!F789=0, "", Source!F789)</f>
        <v>3827013.36</v>
      </c>
      <c r="K1453" s="67"/>
    </row>
    <row r="1454" spans="1:26" ht="15" x14ac:dyDescent="0.25">
      <c r="C1454" s="66" t="str">
        <f>Source!H790</f>
        <v>НДС 18%</v>
      </c>
      <c r="D1454" s="66"/>
      <c r="E1454" s="66"/>
      <c r="F1454" s="66"/>
      <c r="G1454" s="66"/>
      <c r="H1454" s="66"/>
      <c r="I1454" s="66"/>
      <c r="J1454" s="67">
        <f>IF(Source!F790=0, "", Source!F790)</f>
        <v>688862.4</v>
      </c>
      <c r="K1454" s="67"/>
    </row>
    <row r="1455" spans="1:26" ht="15" x14ac:dyDescent="0.25">
      <c r="C1455" s="66" t="str">
        <f>Source!H791</f>
        <v>Всего</v>
      </c>
      <c r="D1455" s="66"/>
      <c r="E1455" s="66"/>
      <c r="F1455" s="66"/>
      <c r="G1455" s="66"/>
      <c r="H1455" s="66"/>
      <c r="I1455" s="66"/>
      <c r="J1455" s="67">
        <f>IF(Source!F791=0, "", Source!F791)</f>
        <v>4515875.76</v>
      </c>
      <c r="K1455" s="67"/>
    </row>
  </sheetData>
  <mergeCells count="488">
    <mergeCell ref="C14:F14"/>
    <mergeCell ref="G14:H14"/>
    <mergeCell ref="I14:J14"/>
    <mergeCell ref="K14:L14"/>
    <mergeCell ref="C15:F15"/>
    <mergeCell ref="G15:H15"/>
    <mergeCell ref="I15:J15"/>
    <mergeCell ref="K15:L15"/>
    <mergeCell ref="B4:K4"/>
    <mergeCell ref="B6:K6"/>
    <mergeCell ref="B8:K8"/>
    <mergeCell ref="B9:K9"/>
    <mergeCell ref="G13:H13"/>
    <mergeCell ref="I13:J13"/>
    <mergeCell ref="C18:F18"/>
    <mergeCell ref="G18:H18"/>
    <mergeCell ref="I18:J18"/>
    <mergeCell ref="K18:L18"/>
    <mergeCell ref="C19:F19"/>
    <mergeCell ref="G19:H19"/>
    <mergeCell ref="I19:J19"/>
    <mergeCell ref="K19:L19"/>
    <mergeCell ref="C16:F16"/>
    <mergeCell ref="G16:H16"/>
    <mergeCell ref="I16:J16"/>
    <mergeCell ref="K16:L16"/>
    <mergeCell ref="C17:F17"/>
    <mergeCell ref="G17:H17"/>
    <mergeCell ref="I17:J17"/>
    <mergeCell ref="K17:L17"/>
    <mergeCell ref="C20:F20"/>
    <mergeCell ref="G20:H20"/>
    <mergeCell ref="I20:J20"/>
    <mergeCell ref="K20:L20"/>
    <mergeCell ref="A22:L22"/>
    <mergeCell ref="C1453:I1453"/>
    <mergeCell ref="J1453:K1453"/>
    <mergeCell ref="J88:K88"/>
    <mergeCell ref="G88:H88"/>
    <mergeCell ref="J76:K76"/>
    <mergeCell ref="F74:G74"/>
    <mergeCell ref="F73:G73"/>
    <mergeCell ref="J68:K68"/>
    <mergeCell ref="G68:H68"/>
    <mergeCell ref="F66:G66"/>
    <mergeCell ref="C1454:I1454"/>
    <mergeCell ref="J1454:K1454"/>
    <mergeCell ref="C1455:I1455"/>
    <mergeCell ref="J1455:K1455"/>
    <mergeCell ref="F33:G33"/>
    <mergeCell ref="F32:G32"/>
    <mergeCell ref="A26:L26"/>
    <mergeCell ref="A25:L25"/>
    <mergeCell ref="A156:F156"/>
    <mergeCell ref="J154:K154"/>
    <mergeCell ref="G154:H154"/>
    <mergeCell ref="J147:K147"/>
    <mergeCell ref="G147:H147"/>
    <mergeCell ref="F145:G145"/>
    <mergeCell ref="J44:K44"/>
    <mergeCell ref="G44:H44"/>
    <mergeCell ref="F42:G42"/>
    <mergeCell ref="F41:G41"/>
    <mergeCell ref="J35:K35"/>
    <mergeCell ref="G35:H35"/>
    <mergeCell ref="F65:G65"/>
    <mergeCell ref="J61:K61"/>
    <mergeCell ref="G61:H61"/>
    <mergeCell ref="F59:G59"/>
    <mergeCell ref="F58:G58"/>
    <mergeCell ref="J52:K52"/>
    <mergeCell ref="G52:H52"/>
    <mergeCell ref="G76:H76"/>
    <mergeCell ref="J114:K114"/>
    <mergeCell ref="G114:H114"/>
    <mergeCell ref="J104:K104"/>
    <mergeCell ref="G104:H104"/>
    <mergeCell ref="J97:K97"/>
    <mergeCell ref="G97:H97"/>
    <mergeCell ref="F144:G144"/>
    <mergeCell ref="J139:K139"/>
    <mergeCell ref="G139:H139"/>
    <mergeCell ref="J130:K130"/>
    <mergeCell ref="G130:H130"/>
    <mergeCell ref="J121:K121"/>
    <mergeCell ref="G121:H121"/>
    <mergeCell ref="G156:H156"/>
    <mergeCell ref="J156:K156"/>
    <mergeCell ref="J267:K267"/>
    <mergeCell ref="G267:H267"/>
    <mergeCell ref="F265:G265"/>
    <mergeCell ref="F264:G264"/>
    <mergeCell ref="J259:K259"/>
    <mergeCell ref="G259:H259"/>
    <mergeCell ref="F253:G253"/>
    <mergeCell ref="F177:G177"/>
    <mergeCell ref="F176:G176"/>
    <mergeCell ref="J169:K169"/>
    <mergeCell ref="G169:H169"/>
    <mergeCell ref="F165:G165"/>
    <mergeCell ref="F164:G164"/>
    <mergeCell ref="F198:G198"/>
    <mergeCell ref="J191:K191"/>
    <mergeCell ref="G191:H191"/>
    <mergeCell ref="F189:G189"/>
    <mergeCell ref="F188:G188"/>
    <mergeCell ref="J181:K181"/>
    <mergeCell ref="G181:H181"/>
    <mergeCell ref="G212:H212"/>
    <mergeCell ref="F210:G210"/>
    <mergeCell ref="F219:G219"/>
    <mergeCell ref="F252:G252"/>
    <mergeCell ref="J245:K245"/>
    <mergeCell ref="G245:H245"/>
    <mergeCell ref="F242:G242"/>
    <mergeCell ref="F241:G241"/>
    <mergeCell ref="J236:K236"/>
    <mergeCell ref="G236:H236"/>
    <mergeCell ref="A157:L157"/>
    <mergeCell ref="F209:G209"/>
    <mergeCell ref="J202:K202"/>
    <mergeCell ref="G202:H202"/>
    <mergeCell ref="F199:G199"/>
    <mergeCell ref="J212:K212"/>
    <mergeCell ref="F231:G231"/>
    <mergeCell ref="F230:G230"/>
    <mergeCell ref="J224:K224"/>
    <mergeCell ref="G224:H224"/>
    <mergeCell ref="F220:G220"/>
    <mergeCell ref="J278:K278"/>
    <mergeCell ref="G278:H278"/>
    <mergeCell ref="F301:G301"/>
    <mergeCell ref="F300:G300"/>
    <mergeCell ref="J293:K293"/>
    <mergeCell ref="G293:H293"/>
    <mergeCell ref="F401:G401"/>
    <mergeCell ref="F400:G400"/>
    <mergeCell ref="J393:K393"/>
    <mergeCell ref="G393:H393"/>
    <mergeCell ref="F391:G391"/>
    <mergeCell ref="J307:K307"/>
    <mergeCell ref="G307:H307"/>
    <mergeCell ref="F325:G325"/>
    <mergeCell ref="F324:G324"/>
    <mergeCell ref="J317:K317"/>
    <mergeCell ref="G317:H317"/>
    <mergeCell ref="F313:G313"/>
    <mergeCell ref="F312:G312"/>
    <mergeCell ref="F349:G349"/>
    <mergeCell ref="F348:G348"/>
    <mergeCell ref="J341:K341"/>
    <mergeCell ref="G341:H341"/>
    <mergeCell ref="J329:K329"/>
    <mergeCell ref="G329:H329"/>
    <mergeCell ref="J421:K421"/>
    <mergeCell ref="G421:H421"/>
    <mergeCell ref="F413:G413"/>
    <mergeCell ref="J432:K432"/>
    <mergeCell ref="G432:H432"/>
    <mergeCell ref="F428:G428"/>
    <mergeCell ref="F427:G427"/>
    <mergeCell ref="F412:G412"/>
    <mergeCell ref="J405:K405"/>
    <mergeCell ref="G405:H405"/>
    <mergeCell ref="F371:G371"/>
    <mergeCell ref="F370:G370"/>
    <mergeCell ref="J363:K363"/>
    <mergeCell ref="G363:H363"/>
    <mergeCell ref="J351:K351"/>
    <mergeCell ref="G351:H351"/>
    <mergeCell ref="F390:G390"/>
    <mergeCell ref="J383:K383"/>
    <mergeCell ref="G383:H383"/>
    <mergeCell ref="F379:G379"/>
    <mergeCell ref="F378:G378"/>
    <mergeCell ref="J374:K374"/>
    <mergeCell ref="G374:H374"/>
    <mergeCell ref="J475:K475"/>
    <mergeCell ref="G475:H475"/>
    <mergeCell ref="F497:G497"/>
    <mergeCell ref="F496:G496"/>
    <mergeCell ref="J489:K489"/>
    <mergeCell ref="G489:H489"/>
    <mergeCell ref="J465:K465"/>
    <mergeCell ref="G465:H465"/>
    <mergeCell ref="F463:G463"/>
    <mergeCell ref="F440:G440"/>
    <mergeCell ref="F439:G439"/>
    <mergeCell ref="J455:K455"/>
    <mergeCell ref="G455:H455"/>
    <mergeCell ref="F451:G451"/>
    <mergeCell ref="F450:G450"/>
    <mergeCell ref="J444:K444"/>
    <mergeCell ref="G444:H444"/>
    <mergeCell ref="F473:G473"/>
    <mergeCell ref="F472:G472"/>
    <mergeCell ref="F462:G462"/>
    <mergeCell ref="J559:K559"/>
    <mergeCell ref="G559:H559"/>
    <mergeCell ref="F555:G555"/>
    <mergeCell ref="F554:G554"/>
    <mergeCell ref="J547:K547"/>
    <mergeCell ref="G547:H547"/>
    <mergeCell ref="F576:G576"/>
    <mergeCell ref="F542:G542"/>
    <mergeCell ref="J535:K535"/>
    <mergeCell ref="G535:H535"/>
    <mergeCell ref="F575:G575"/>
    <mergeCell ref="J570:K570"/>
    <mergeCell ref="G570:H570"/>
    <mergeCell ref="F566:G566"/>
    <mergeCell ref="F565:G565"/>
    <mergeCell ref="J499:K499"/>
    <mergeCell ref="G499:H499"/>
    <mergeCell ref="F519:G519"/>
    <mergeCell ref="F518:G518"/>
    <mergeCell ref="J511:K511"/>
    <mergeCell ref="G511:H511"/>
    <mergeCell ref="F507:G507"/>
    <mergeCell ref="F506:G506"/>
    <mergeCell ref="F543:G543"/>
    <mergeCell ref="F529:G529"/>
    <mergeCell ref="F528:G528"/>
    <mergeCell ref="J521:K521"/>
    <mergeCell ref="G521:H521"/>
    <mergeCell ref="F598:G598"/>
    <mergeCell ref="J591:K591"/>
    <mergeCell ref="G591:H591"/>
    <mergeCell ref="F589:G589"/>
    <mergeCell ref="F588:G588"/>
    <mergeCell ref="J581:K581"/>
    <mergeCell ref="G581:H581"/>
    <mergeCell ref="J616:K616"/>
    <mergeCell ref="G616:H616"/>
    <mergeCell ref="J604:K604"/>
    <mergeCell ref="G604:H604"/>
    <mergeCell ref="J699:K699"/>
    <mergeCell ref="G699:H699"/>
    <mergeCell ref="A690:L690"/>
    <mergeCell ref="A688:L688"/>
    <mergeCell ref="G687:H687"/>
    <mergeCell ref="J687:K687"/>
    <mergeCell ref="A687:F687"/>
    <mergeCell ref="J650:K650"/>
    <mergeCell ref="F599:G599"/>
    <mergeCell ref="F636:G636"/>
    <mergeCell ref="F635:G635"/>
    <mergeCell ref="J628:K628"/>
    <mergeCell ref="G628:H628"/>
    <mergeCell ref="G650:H650"/>
    <mergeCell ref="J638:K638"/>
    <mergeCell ref="G638:H638"/>
    <mergeCell ref="J680:K680"/>
    <mergeCell ref="G680:H680"/>
    <mergeCell ref="J673:K673"/>
    <mergeCell ref="G673:H673"/>
    <mergeCell ref="F669:G669"/>
    <mergeCell ref="F668:G668"/>
    <mergeCell ref="J662:K662"/>
    <mergeCell ref="G662:H662"/>
    <mergeCell ref="G686:H686"/>
    <mergeCell ref="J686:K686"/>
    <mergeCell ref="A686:F686"/>
    <mergeCell ref="J684:K684"/>
    <mergeCell ref="G684:H684"/>
    <mergeCell ref="J682:K682"/>
    <mergeCell ref="G682:H682"/>
    <mergeCell ref="J732:K732"/>
    <mergeCell ref="G732:H732"/>
    <mergeCell ref="A735:L735"/>
    <mergeCell ref="G734:H734"/>
    <mergeCell ref="J734:K734"/>
    <mergeCell ref="A734:F734"/>
    <mergeCell ref="J724:K724"/>
    <mergeCell ref="G724:H724"/>
    <mergeCell ref="J715:K715"/>
    <mergeCell ref="G715:H715"/>
    <mergeCell ref="J708:K708"/>
    <mergeCell ref="G708:H708"/>
    <mergeCell ref="J829:K829"/>
    <mergeCell ref="G829:H829"/>
    <mergeCell ref="J821:K821"/>
    <mergeCell ref="G821:H821"/>
    <mergeCell ref="J847:K847"/>
    <mergeCell ref="G847:H847"/>
    <mergeCell ref="J799:K799"/>
    <mergeCell ref="G799:H799"/>
    <mergeCell ref="J788:K788"/>
    <mergeCell ref="G788:H788"/>
    <mergeCell ref="J746:K746"/>
    <mergeCell ref="G746:H746"/>
    <mergeCell ref="J779:K779"/>
    <mergeCell ref="G779:H779"/>
    <mergeCell ref="J768:K768"/>
    <mergeCell ref="G768:H768"/>
    <mergeCell ref="J757:K757"/>
    <mergeCell ref="G757:H757"/>
    <mergeCell ref="J810:K810"/>
    <mergeCell ref="G810:H810"/>
    <mergeCell ref="J836:K836"/>
    <mergeCell ref="G836:H836"/>
    <mergeCell ref="G866:H866"/>
    <mergeCell ref="J857:K857"/>
    <mergeCell ref="G857:H857"/>
    <mergeCell ref="J954:K954"/>
    <mergeCell ref="G954:H954"/>
    <mergeCell ref="J945:K945"/>
    <mergeCell ref="G945:H945"/>
    <mergeCell ref="J934:K934"/>
    <mergeCell ref="G934:H934"/>
    <mergeCell ref="J897:K897"/>
    <mergeCell ref="G897:H897"/>
    <mergeCell ref="J886:K886"/>
    <mergeCell ref="G886:H886"/>
    <mergeCell ref="J875:K875"/>
    <mergeCell ref="G875:H875"/>
    <mergeCell ref="J866:K866"/>
    <mergeCell ref="J923:K923"/>
    <mergeCell ref="G923:H923"/>
    <mergeCell ref="J911:K911"/>
    <mergeCell ref="G911:H911"/>
    <mergeCell ref="A900:L900"/>
    <mergeCell ref="G899:H899"/>
    <mergeCell ref="J899:K899"/>
    <mergeCell ref="A899:F899"/>
    <mergeCell ref="J1010:K1010"/>
    <mergeCell ref="G1010:H1010"/>
    <mergeCell ref="J999:K999"/>
    <mergeCell ref="G999:H999"/>
    <mergeCell ref="J988:K988"/>
    <mergeCell ref="G988:H988"/>
    <mergeCell ref="J976:K976"/>
    <mergeCell ref="G976:H976"/>
    <mergeCell ref="J965:K965"/>
    <mergeCell ref="G965:H965"/>
    <mergeCell ref="J1108:K1108"/>
    <mergeCell ref="G1108:H1108"/>
    <mergeCell ref="J1102:K1102"/>
    <mergeCell ref="G1102:H1102"/>
    <mergeCell ref="J1095:K1095"/>
    <mergeCell ref="G1095:H1095"/>
    <mergeCell ref="J1043:K1043"/>
    <mergeCell ref="G1043:H1043"/>
    <mergeCell ref="J1030:K1030"/>
    <mergeCell ref="G1030:H1030"/>
    <mergeCell ref="J1020:K1020"/>
    <mergeCell ref="G1020:H1020"/>
    <mergeCell ref="J1071:K1071"/>
    <mergeCell ref="G1071:H1071"/>
    <mergeCell ref="J1060:K1060"/>
    <mergeCell ref="G1060:H1060"/>
    <mergeCell ref="J1053:K1053"/>
    <mergeCell ref="G1053:H1053"/>
    <mergeCell ref="G1081:H1081"/>
    <mergeCell ref="J1081:K1081"/>
    <mergeCell ref="A1081:F1081"/>
    <mergeCell ref="J1079:K1079"/>
    <mergeCell ref="G1079:H1079"/>
    <mergeCell ref="G1160:H1160"/>
    <mergeCell ref="A1149:L1149"/>
    <mergeCell ref="G1148:H1148"/>
    <mergeCell ref="J1148:K1148"/>
    <mergeCell ref="A1148:F1148"/>
    <mergeCell ref="J1089:K1089"/>
    <mergeCell ref="G1089:H1089"/>
    <mergeCell ref="A1083:L1083"/>
    <mergeCell ref="G1082:H1082"/>
    <mergeCell ref="J1082:K1082"/>
    <mergeCell ref="A1082:F1082"/>
    <mergeCell ref="J1119:K1119"/>
    <mergeCell ref="G1119:H1119"/>
    <mergeCell ref="A1111:L1111"/>
    <mergeCell ref="G1110:H1110"/>
    <mergeCell ref="J1110:K1110"/>
    <mergeCell ref="A1110:F1110"/>
    <mergeCell ref="J1146:K1146"/>
    <mergeCell ref="G1146:H1146"/>
    <mergeCell ref="J1139:K1139"/>
    <mergeCell ref="G1139:H1139"/>
    <mergeCell ref="J1128:K1128"/>
    <mergeCell ref="G1128:H1128"/>
    <mergeCell ref="J1171:K1171"/>
    <mergeCell ref="G1171:H1171"/>
    <mergeCell ref="J1160:K1160"/>
    <mergeCell ref="F1272:G1272"/>
    <mergeCell ref="J1266:K1266"/>
    <mergeCell ref="G1266:H1266"/>
    <mergeCell ref="F1263:G1263"/>
    <mergeCell ref="F1262:G1262"/>
    <mergeCell ref="J1255:K1255"/>
    <mergeCell ref="G1255:H1255"/>
    <mergeCell ref="J1200:K1200"/>
    <mergeCell ref="G1200:H1200"/>
    <mergeCell ref="J1189:K1189"/>
    <mergeCell ref="G1189:H1189"/>
    <mergeCell ref="J1178:K1178"/>
    <mergeCell ref="G1178:H1178"/>
    <mergeCell ref="J1221:K1221"/>
    <mergeCell ref="G1221:H1221"/>
    <mergeCell ref="J1212:K1212"/>
    <mergeCell ref="G1212:H1212"/>
    <mergeCell ref="A1203:L1203"/>
    <mergeCell ref="G1202:H1202"/>
    <mergeCell ref="J1202:K1202"/>
    <mergeCell ref="A1202:F1202"/>
    <mergeCell ref="J1235:K1235"/>
    <mergeCell ref="G1235:H1235"/>
    <mergeCell ref="F1229:G1229"/>
    <mergeCell ref="F1228:G1228"/>
    <mergeCell ref="G1317:H1317"/>
    <mergeCell ref="J1308:K1308"/>
    <mergeCell ref="G1308:H1308"/>
    <mergeCell ref="A1299:L1299"/>
    <mergeCell ref="G1298:H1298"/>
    <mergeCell ref="J1298:K1298"/>
    <mergeCell ref="F1253:G1253"/>
    <mergeCell ref="F1252:G1252"/>
    <mergeCell ref="J1248:K1248"/>
    <mergeCell ref="G1248:H1248"/>
    <mergeCell ref="F1243:G1243"/>
    <mergeCell ref="F1242:G1242"/>
    <mergeCell ref="F1283:G1283"/>
    <mergeCell ref="F1282:G1282"/>
    <mergeCell ref="J1275:K1275"/>
    <mergeCell ref="G1275:H1275"/>
    <mergeCell ref="F1273:G1273"/>
    <mergeCell ref="F1293:G1293"/>
    <mergeCell ref="J1360:K1360"/>
    <mergeCell ref="G1360:H1360"/>
    <mergeCell ref="F1358:G1358"/>
    <mergeCell ref="F1357:G1357"/>
    <mergeCell ref="J1351:K1351"/>
    <mergeCell ref="A1298:F1298"/>
    <mergeCell ref="J1296:K1296"/>
    <mergeCell ref="G1296:H1296"/>
    <mergeCell ref="F1294:G1294"/>
    <mergeCell ref="J1287:K1287"/>
    <mergeCell ref="G1287:H1287"/>
    <mergeCell ref="F1337:G1337"/>
    <mergeCell ref="J1330:K1330"/>
    <mergeCell ref="G1330:H1330"/>
    <mergeCell ref="F1325:G1325"/>
    <mergeCell ref="F1324:G1324"/>
    <mergeCell ref="J1317:K1317"/>
    <mergeCell ref="G1351:H1351"/>
    <mergeCell ref="F1349:G1349"/>
    <mergeCell ref="F1348:G1348"/>
    <mergeCell ref="J1343:K1343"/>
    <mergeCell ref="G1343:H1343"/>
    <mergeCell ref="F1338:G1338"/>
    <mergeCell ref="A1363:L1363"/>
    <mergeCell ref="G1362:H1362"/>
    <mergeCell ref="J1362:K1362"/>
    <mergeCell ref="A1362:F1362"/>
    <mergeCell ref="J1390:K1390"/>
    <mergeCell ref="G1390:H1390"/>
    <mergeCell ref="J1381:K1381"/>
    <mergeCell ref="G1381:H1381"/>
    <mergeCell ref="F1379:G1379"/>
    <mergeCell ref="F1378:G1378"/>
    <mergeCell ref="J1372:K1372"/>
    <mergeCell ref="G1372:H1372"/>
    <mergeCell ref="F1410:G1410"/>
    <mergeCell ref="F1409:G1409"/>
    <mergeCell ref="J1402:K1402"/>
    <mergeCell ref="G1402:H1402"/>
    <mergeCell ref="F1398:G1398"/>
    <mergeCell ref="F1397:G1397"/>
    <mergeCell ref="J1425:K1425"/>
    <mergeCell ref="G1425:H1425"/>
    <mergeCell ref="F1421:G1421"/>
    <mergeCell ref="F1420:G1420"/>
    <mergeCell ref="J1413:K1413"/>
    <mergeCell ref="G1413:H1413"/>
    <mergeCell ref="J1437:K1437"/>
    <mergeCell ref="G1437:H1437"/>
    <mergeCell ref="F1433:G1433"/>
    <mergeCell ref="F1432:G1432"/>
    <mergeCell ref="A1452:F1452"/>
    <mergeCell ref="G1451:H1451"/>
    <mergeCell ref="J1451:K1451"/>
    <mergeCell ref="A1451:F1451"/>
    <mergeCell ref="J1449:K1449"/>
    <mergeCell ref="G1449:H1449"/>
    <mergeCell ref="G1452:H1452"/>
    <mergeCell ref="J1452:K1452"/>
    <mergeCell ref="F1445:G1445"/>
    <mergeCell ref="F1444:G1444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40"/>
  <sheetViews>
    <sheetView topLeftCell="A13"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5"/>
      <c r="B2" s="25"/>
      <c r="C2" s="25"/>
      <c r="D2" s="25"/>
      <c r="E2" s="104" t="s">
        <v>1939</v>
      </c>
      <c r="F2" s="104"/>
      <c r="G2" s="104"/>
      <c r="H2" s="104"/>
    </row>
    <row r="3" spans="1:31" ht="14.25" x14ac:dyDescent="0.2">
      <c r="A3" s="12"/>
      <c r="B3" s="12"/>
      <c r="C3" s="12"/>
      <c r="D3" s="12"/>
      <c r="E3" s="104" t="s">
        <v>1940</v>
      </c>
      <c r="F3" s="104"/>
      <c r="G3" s="104"/>
      <c r="H3" s="104"/>
    </row>
    <row r="4" spans="1:31" ht="14.25" x14ac:dyDescent="0.2">
      <c r="A4" s="12"/>
      <c r="B4" s="12"/>
      <c r="C4" s="12"/>
      <c r="D4" s="12"/>
      <c r="E4" s="104" t="s">
        <v>1941</v>
      </c>
      <c r="F4" s="104"/>
      <c r="G4" s="104"/>
      <c r="H4" s="104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95" t="s">
        <v>1942</v>
      </c>
      <c r="H6" s="96"/>
    </row>
    <row r="7" spans="1:31" ht="14.25" x14ac:dyDescent="0.2">
      <c r="A7" s="12"/>
      <c r="B7" s="12"/>
      <c r="C7" s="12"/>
      <c r="D7" s="12"/>
      <c r="E7" s="12"/>
      <c r="F7" s="11" t="s">
        <v>1943</v>
      </c>
      <c r="G7" s="105" t="s">
        <v>1944</v>
      </c>
      <c r="H7" s="96"/>
    </row>
    <row r="8" spans="1:31" ht="14.25" x14ac:dyDescent="0.2">
      <c r="A8" s="12"/>
      <c r="B8" s="12"/>
      <c r="C8" s="12"/>
      <c r="D8" s="12"/>
      <c r="E8" s="12"/>
      <c r="F8" s="12"/>
      <c r="G8" s="95" t="str">
        <f>IF(Source!AT15 &lt;&gt; "", Source!AT15, "")</f>
        <v/>
      </c>
      <c r="H8" s="96"/>
    </row>
    <row r="9" spans="1:31" ht="14.25" x14ac:dyDescent="0.2">
      <c r="A9" s="12" t="s">
        <v>1945</v>
      </c>
      <c r="B9" s="12"/>
      <c r="C9" s="101" t="str">
        <f>IF(Source!BA15 &lt;&gt; "", Source!BA15, IF(Source!AU15 &lt;&gt; "", Source!AU15, ""))</f>
        <v/>
      </c>
      <c r="D9" s="101"/>
      <c r="E9" s="101"/>
      <c r="F9" s="11" t="s">
        <v>1946</v>
      </c>
      <c r="G9" s="102"/>
      <c r="H9" s="103"/>
    </row>
    <row r="10" spans="1:31" ht="14.25" x14ac:dyDescent="0.2">
      <c r="A10" s="12"/>
      <c r="B10" s="12"/>
      <c r="C10" s="93" t="s">
        <v>1947</v>
      </c>
      <c r="D10" s="93"/>
      <c r="E10" s="93"/>
      <c r="F10" s="12"/>
      <c r="G10" s="95" t="str">
        <f>IF(Source!AK15 &lt;&gt; "", Source!AK15, "")</f>
        <v/>
      </c>
      <c r="H10" s="96"/>
    </row>
    <row r="11" spans="1:31" ht="14.25" x14ac:dyDescent="0.2">
      <c r="A11" s="12" t="s">
        <v>1948</v>
      </c>
      <c r="B11" s="12"/>
      <c r="C11" s="101" t="str">
        <f>IF(Source!AX12&lt;&gt; "", Source!AX12, IF(Source!AJ12 &lt;&gt; "", Source!AJ12, ""))</f>
        <v/>
      </c>
      <c r="D11" s="101"/>
      <c r="E11" s="101"/>
      <c r="F11" s="11" t="s">
        <v>1946</v>
      </c>
      <c r="G11" s="102"/>
      <c r="H11" s="103"/>
    </row>
    <row r="12" spans="1:31" ht="14.25" x14ac:dyDescent="0.2">
      <c r="A12" s="12"/>
      <c r="B12" s="12"/>
      <c r="C12" s="93" t="s">
        <v>1947</v>
      </c>
      <c r="D12" s="93"/>
      <c r="E12" s="93"/>
      <c r="F12" s="12"/>
      <c r="G12" s="95" t="str">
        <f>IF(Source!AO15 &lt;&gt; "", Source!AO15, "")</f>
        <v/>
      </c>
      <c r="H12" s="96"/>
    </row>
    <row r="13" spans="1:31" ht="14.25" x14ac:dyDescent="0.2">
      <c r="A13" s="12" t="s">
        <v>1949</v>
      </c>
      <c r="B13" s="12"/>
      <c r="C13" s="101" t="str">
        <f>IF(Source!AY12&lt;&gt; "", Source!AY12, IF(Source!AN12 &lt;&gt; "", Source!AN12, ""))</f>
        <v/>
      </c>
      <c r="D13" s="101"/>
      <c r="E13" s="101"/>
      <c r="F13" s="11" t="s">
        <v>1946</v>
      </c>
      <c r="G13" s="102"/>
      <c r="H13" s="103"/>
    </row>
    <row r="14" spans="1:31" ht="14.25" x14ac:dyDescent="0.2">
      <c r="A14" s="12"/>
      <c r="B14" s="12"/>
      <c r="C14" s="93" t="s">
        <v>1947</v>
      </c>
      <c r="D14" s="93"/>
      <c r="E14" s="93"/>
      <c r="F14" s="12"/>
      <c r="G14" s="95" t="str">
        <f>IF(Source!CO15 &lt;&gt; "", Source!CO15, "")</f>
        <v/>
      </c>
      <c r="H14" s="96"/>
    </row>
    <row r="15" spans="1:31" ht="85.5" x14ac:dyDescent="0.2">
      <c r="A15" s="12" t="s">
        <v>1950</v>
      </c>
      <c r="B15" s="12"/>
      <c r="C15" s="101" t="s">
        <v>5</v>
      </c>
      <c r="D15" s="101"/>
      <c r="E15" s="101"/>
      <c r="F15" s="12"/>
      <c r="G15" s="102"/>
      <c r="H15" s="103"/>
      <c r="AE15" s="27" t="s">
        <v>5</v>
      </c>
    </row>
    <row r="16" spans="1:31" ht="14.25" x14ac:dyDescent="0.2">
      <c r="A16" s="12"/>
      <c r="B16" s="12"/>
      <c r="C16" s="93" t="s">
        <v>1951</v>
      </c>
      <c r="D16" s="93"/>
      <c r="E16" s="93"/>
      <c r="F16" s="12"/>
      <c r="G16" s="95" t="str">
        <f>IF(Source!CP15 &lt;&gt; "", Source!CP15, "")</f>
        <v/>
      </c>
      <c r="H16" s="96"/>
    </row>
    <row r="17" spans="1:31" ht="85.5" x14ac:dyDescent="0.2">
      <c r="A17" s="12" t="s">
        <v>1952</v>
      </c>
      <c r="B17" s="12"/>
      <c r="C17" s="101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  <c r="D17" s="101"/>
      <c r="E17" s="101"/>
      <c r="F17" s="12"/>
      <c r="G17" s="99"/>
      <c r="H17" s="100"/>
      <c r="AE17" s="27" t="str">
        <f>IF(Source!G12&lt;&gt;"Новый объект", Source!G12, 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</row>
    <row r="18" spans="1:31" ht="14.25" x14ac:dyDescent="0.2">
      <c r="A18" s="12"/>
      <c r="B18" s="12"/>
      <c r="C18" s="93" t="s">
        <v>1953</v>
      </c>
      <c r="D18" s="93"/>
      <c r="E18" s="93"/>
      <c r="F18" s="12"/>
      <c r="G18" s="12"/>
      <c r="H18" s="12"/>
    </row>
    <row r="19" spans="1:31" ht="14.25" x14ac:dyDescent="0.2">
      <c r="A19" s="12"/>
      <c r="B19" s="12"/>
      <c r="C19" s="12"/>
      <c r="D19" s="73" t="s">
        <v>1954</v>
      </c>
      <c r="E19" s="73"/>
      <c r="F19" s="94"/>
      <c r="G19" s="95" t="str">
        <f>IF(Source!CQ15 &lt;&gt; "", Source!CQ15, "")</f>
        <v/>
      </c>
      <c r="H19" s="96"/>
    </row>
    <row r="20" spans="1:31" ht="14.25" x14ac:dyDescent="0.2">
      <c r="A20" s="12"/>
      <c r="B20" s="12"/>
      <c r="C20" s="12"/>
      <c r="D20" s="73" t="s">
        <v>1955</v>
      </c>
      <c r="E20" s="94"/>
      <c r="F20" s="51" t="s">
        <v>1956</v>
      </c>
      <c r="G20" s="95" t="str">
        <f>IF(Source!CR15 &lt;&gt; "", Source!CR15, "")</f>
        <v/>
      </c>
      <c r="H20" s="96"/>
    </row>
    <row r="21" spans="1:31" ht="14.25" x14ac:dyDescent="0.2">
      <c r="A21" s="12"/>
      <c r="B21" s="12"/>
      <c r="C21" s="12"/>
      <c r="D21" s="12"/>
      <c r="E21" s="12"/>
      <c r="F21" s="20" t="s">
        <v>1957</v>
      </c>
      <c r="G21" s="97" t="str">
        <f>IF(Source!CS15 &lt;&gt; 0, Source!CS15, "")</f>
        <v/>
      </c>
      <c r="H21" s="98"/>
    </row>
    <row r="22" spans="1:31" ht="14.25" x14ac:dyDescent="0.2">
      <c r="A22" s="12"/>
      <c r="B22" s="12"/>
      <c r="C22" s="12"/>
      <c r="D22" s="12"/>
      <c r="E22" s="12"/>
      <c r="F22" s="11" t="s">
        <v>1958</v>
      </c>
      <c r="G22" s="85" t="str">
        <f>IF(Source!CT15 &lt;&gt; "", Source!CT15, "")</f>
        <v/>
      </c>
      <c r="H22" s="86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87" t="s">
        <v>1959</v>
      </c>
      <c r="E24" s="89" t="s">
        <v>1960</v>
      </c>
      <c r="F24" s="89" t="s">
        <v>1961</v>
      </c>
      <c r="G24" s="91"/>
      <c r="H24" s="12"/>
    </row>
    <row r="25" spans="1:31" ht="14.25" x14ac:dyDescent="0.2">
      <c r="A25" s="12"/>
      <c r="B25" s="12"/>
      <c r="C25" s="12"/>
      <c r="D25" s="88"/>
      <c r="E25" s="90"/>
      <c r="F25" s="52" t="s">
        <v>1962</v>
      </c>
      <c r="G25" s="53" t="s">
        <v>1963</v>
      </c>
      <c r="H25" s="12"/>
    </row>
    <row r="26" spans="1:31" ht="14.25" x14ac:dyDescent="0.2">
      <c r="A26" s="12"/>
      <c r="B26" s="12"/>
      <c r="C26" s="12"/>
      <c r="D26" s="54" t="str">
        <f>IF(Source!CN15 &lt;&gt; "", Source!CN15, "")</f>
        <v/>
      </c>
      <c r="E26" s="55">
        <v>43329.568344907406</v>
      </c>
      <c r="F26" s="54"/>
      <c r="G26" s="56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2" t="s">
        <v>1964</v>
      </c>
      <c r="B28" s="92"/>
      <c r="C28" s="92"/>
      <c r="D28" s="92"/>
      <c r="E28" s="92"/>
      <c r="F28" s="92"/>
      <c r="G28" s="92"/>
      <c r="H28" s="92"/>
    </row>
    <row r="29" spans="1:31" ht="18" x14ac:dyDescent="0.25">
      <c r="A29" s="92" t="s">
        <v>1965</v>
      </c>
      <c r="B29" s="92"/>
      <c r="C29" s="92"/>
      <c r="D29" s="92"/>
      <c r="E29" s="92"/>
      <c r="F29" s="92"/>
      <c r="G29" s="92"/>
      <c r="H29" s="92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1966</v>
      </c>
      <c r="B31" s="12"/>
      <c r="C31" s="12"/>
      <c r="D31" s="12"/>
      <c r="E31" s="12"/>
      <c r="F31" s="83">
        <f>(Source!F820/1000)</f>
        <v>3827.0133599999999</v>
      </c>
      <c r="G31" s="83"/>
      <c r="H31" s="12" t="s">
        <v>1967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84" t="s">
        <v>1968</v>
      </c>
      <c r="B33" s="84"/>
      <c r="C33" s="84" t="s">
        <v>1969</v>
      </c>
      <c r="D33" s="84" t="s">
        <v>1970</v>
      </c>
      <c r="E33" s="84" t="s">
        <v>1971</v>
      </c>
      <c r="F33" s="84" t="s">
        <v>1972</v>
      </c>
      <c r="G33" s="84"/>
      <c r="H33" s="84"/>
    </row>
    <row r="34" spans="1:28" ht="57" x14ac:dyDescent="0.2">
      <c r="A34" s="19" t="s">
        <v>1973</v>
      </c>
      <c r="B34" s="19" t="s">
        <v>1974</v>
      </c>
      <c r="C34" s="84"/>
      <c r="D34" s="84"/>
      <c r="E34" s="84"/>
      <c r="F34" s="19" t="s">
        <v>1975</v>
      </c>
      <c r="G34" s="19" t="s">
        <v>1976</v>
      </c>
      <c r="H34" s="19" t="s">
        <v>1977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68" t="str">
        <f>CONCATENATE("Локальная смета: ",IF(Source!G20&lt;&gt;"Новая локальная смета", Source!G20, ""))</f>
        <v xml:space="preserve">Локальная смета: </v>
      </c>
      <c r="B37" s="68"/>
      <c r="C37" s="68"/>
      <c r="D37" s="68"/>
      <c r="E37" s="68"/>
      <c r="F37" s="68"/>
      <c r="G37" s="68"/>
      <c r="H37" s="68"/>
    </row>
    <row r="39" spans="1:28" ht="16.5" x14ac:dyDescent="0.25">
      <c r="A39" s="68" t="str">
        <f>CONCATENATE("Раздел: ",IF(Source!G24&lt;&gt;"Новый раздел", Source!G24, ""))</f>
        <v>Раздел: 1 Общестроительные работы</v>
      </c>
      <c r="B39" s="68"/>
      <c r="C39" s="68"/>
      <c r="D39" s="68"/>
      <c r="E39" s="68"/>
      <c r="F39" s="68"/>
      <c r="G39" s="68"/>
      <c r="H39" s="68"/>
    </row>
    <row r="41" spans="1:28" ht="16.5" x14ac:dyDescent="0.25">
      <c r="A41" s="68" t="str">
        <f>CONCATENATE("Подраздел: ",IF(Source!G28&lt;&gt;"Новый подраздел", Source!G28, ""))</f>
        <v>Подраздел: 1 Демонтаж</v>
      </c>
      <c r="B41" s="68"/>
      <c r="C41" s="68"/>
      <c r="D41" s="68"/>
      <c r="E41" s="68"/>
      <c r="F41" s="68"/>
      <c r="G41" s="68"/>
      <c r="H41" s="68"/>
    </row>
    <row r="42" spans="1:28" ht="42.75" x14ac:dyDescent="0.2">
      <c r="A42" s="45">
        <v>1</v>
      </c>
      <c r="B42" s="45" t="str">
        <f>Source!E32</f>
        <v>1</v>
      </c>
      <c r="C42" s="45" t="str">
        <f>Source!G32</f>
        <v>Разборка деревянных заполнений проемов оконных с подоконными досками</v>
      </c>
      <c r="D42" s="45" t="str">
        <f>Source!F32</f>
        <v>46-04-012-01</v>
      </c>
      <c r="E42" s="30" t="str">
        <f>Source!H32</f>
        <v>100 м2</v>
      </c>
      <c r="F42" s="12">
        <f>Source!I32</f>
        <v>0.3735</v>
      </c>
      <c r="G42" s="22">
        <f>Source!AB32</f>
        <v>1767.24</v>
      </c>
      <c r="H42" s="22">
        <f>Source!O32</f>
        <v>4330.0200000000004</v>
      </c>
      <c r="T42">
        <f>Source!O32+Source!X32+Source!Y32</f>
        <v>10679.240000000002</v>
      </c>
      <c r="U42">
        <f>Source!P32</f>
        <v>0</v>
      </c>
      <c r="V42">
        <f>Source!S32</f>
        <v>3737.2</v>
      </c>
      <c r="W42">
        <f>Source!Q32</f>
        <v>592.82000000000005</v>
      </c>
      <c r="X42">
        <f>Source!R32</f>
        <v>256.02</v>
      </c>
      <c r="Y42">
        <f>Source!U32</f>
        <v>70.419690000000003</v>
      </c>
      <c r="Z42">
        <f>Source!V32</f>
        <v>2.8908900000000002</v>
      </c>
      <c r="AA42">
        <f>Source!X32</f>
        <v>3953.29</v>
      </c>
      <c r="AB42">
        <f>Source!Y32</f>
        <v>2395.9299999999998</v>
      </c>
    </row>
    <row r="43" spans="1:28" ht="14.25" x14ac:dyDescent="0.2">
      <c r="C43" s="23" t="str">
        <f>"Объем: "&amp;Source!I32&amp;"=37,35/"&amp;"100"</f>
        <v>Объем: 0,3735=37,35/100</v>
      </c>
      <c r="F43" s="12"/>
      <c r="G43" s="12"/>
      <c r="H43" s="12"/>
    </row>
    <row r="44" spans="1:28" x14ac:dyDescent="0.2">
      <c r="C44" s="23" t="s">
        <v>1978</v>
      </c>
      <c r="D44" s="23">
        <f>Source!BA32</f>
        <v>6.56</v>
      </c>
    </row>
    <row r="45" spans="1:28" x14ac:dyDescent="0.2">
      <c r="C45" s="23" t="s">
        <v>1979</v>
      </c>
      <c r="D45" s="23">
        <f>Source!BB32</f>
        <v>6.56</v>
      </c>
    </row>
    <row r="46" spans="1:28" x14ac:dyDescent="0.2">
      <c r="C46" s="23" t="s">
        <v>1980</v>
      </c>
      <c r="D46" s="23">
        <f>Source!BC32</f>
        <v>6.56</v>
      </c>
    </row>
    <row r="47" spans="1:28" x14ac:dyDescent="0.2">
      <c r="C47" s="23" t="s">
        <v>1981</v>
      </c>
      <c r="D47" s="23">
        <f>Source!BS32</f>
        <v>6.56</v>
      </c>
    </row>
    <row r="48" spans="1:28" x14ac:dyDescent="0.2">
      <c r="C48" s="9" t="s">
        <v>1982</v>
      </c>
      <c r="D48" s="33"/>
      <c r="E48" s="33"/>
      <c r="F48" s="33">
        <f>Source!BZ32</f>
        <v>110</v>
      </c>
      <c r="G48" s="57">
        <f>(Source!AF32+Source!AE32)*Source!FX32/100</f>
        <v>1613.4821999999999</v>
      </c>
      <c r="H48" s="57">
        <f>Source!X32</f>
        <v>3953.29</v>
      </c>
    </row>
    <row r="49" spans="1:28" x14ac:dyDescent="0.2">
      <c r="C49" s="9" t="s">
        <v>1983</v>
      </c>
      <c r="D49" s="33"/>
      <c r="E49" s="33"/>
      <c r="F49" s="33"/>
      <c r="G49" s="33" t="str">
        <f>CONCATENATE(Source!DL32,Source!FT32, "=", Source!FX32, "%")</f>
        <v>*0,9=99%</v>
      </c>
      <c r="H49" s="33" t="str">
        <f>CONCATENATE(Source!AT32)</f>
        <v>99</v>
      </c>
    </row>
    <row r="50" spans="1:28" x14ac:dyDescent="0.2">
      <c r="C50" s="9" t="s">
        <v>1984</v>
      </c>
      <c r="D50" s="33"/>
      <c r="E50" s="33"/>
      <c r="F50" s="33">
        <f>Source!CA32</f>
        <v>70</v>
      </c>
      <c r="G50" s="57">
        <f>(Source!AF32+Source!AE32)*Source!FY32/100</f>
        <v>969.71910000000003</v>
      </c>
      <c r="H50" s="57">
        <f>Source!Y32</f>
        <v>2395.9299999999998</v>
      </c>
    </row>
    <row r="51" spans="1:28" x14ac:dyDescent="0.2">
      <c r="C51" s="9" t="s">
        <v>1985</v>
      </c>
      <c r="D51" s="33"/>
      <c r="E51" s="33"/>
      <c r="F51" s="33"/>
      <c r="G51" s="33" t="str">
        <f>CONCATENATE(Source!DM32,Source!FU32, "=", Source!FY32, "%")</f>
        <v>*0,85=59,5%</v>
      </c>
      <c r="H51" s="33" t="str">
        <f>CONCATENATE(Source!AU32)</f>
        <v>60</v>
      </c>
    </row>
    <row r="52" spans="1:28" x14ac:dyDescent="0.2">
      <c r="C52" s="9" t="s">
        <v>1986</v>
      </c>
      <c r="D52" s="33"/>
      <c r="E52" s="33"/>
      <c r="F52" s="33"/>
      <c r="G52" s="57">
        <f>((Source!AF32+Source!AE32)*Source!FX32/100)+((Source!AF32+Source!AE32)*Source!FY32/100)+Source!AB32</f>
        <v>4350.4412999999995</v>
      </c>
      <c r="H52" s="57">
        <f>Source!O32+Source!X32+Source!Y32</f>
        <v>10679.240000000002</v>
      </c>
    </row>
    <row r="53" spans="1:28" ht="57" x14ac:dyDescent="0.2">
      <c r="A53" s="45">
        <v>2</v>
      </c>
      <c r="B53" s="45" t="str">
        <f>Source!E33</f>
        <v>2</v>
      </c>
      <c r="C53" s="45" t="str">
        <f>Source!G33</f>
        <v>Разборка деревянных заполнений проемов оконных без подоконных досок (фрамуга остеклённая,витражное остекление))</v>
      </c>
      <c r="D53" s="45" t="str">
        <f>Source!F33</f>
        <v>46-04-012-02</v>
      </c>
      <c r="E53" s="30" t="str">
        <f>Source!H33</f>
        <v>100 м2</v>
      </c>
      <c r="F53" s="12">
        <f>Source!I33</f>
        <v>1.6199999999999999E-2</v>
      </c>
      <c r="G53" s="22">
        <f>Source!AB33</f>
        <v>1639.58</v>
      </c>
      <c r="H53" s="22">
        <f>Source!O33</f>
        <v>174.24</v>
      </c>
      <c r="T53">
        <f>Source!O33+Source!X33+Source!Y33</f>
        <v>428.04999999999995</v>
      </c>
      <c r="U53">
        <f>Source!P33</f>
        <v>0</v>
      </c>
      <c r="V53">
        <f>Source!S33</f>
        <v>148.53</v>
      </c>
      <c r="W53">
        <f>Source!Q33</f>
        <v>25.71</v>
      </c>
      <c r="X53">
        <f>Source!R33</f>
        <v>11.1</v>
      </c>
      <c r="Y53">
        <f>Source!U33</f>
        <v>2.7987119999999996</v>
      </c>
      <c r="Z53">
        <f>Source!V33</f>
        <v>0.125388</v>
      </c>
      <c r="AA53">
        <f>Source!X33</f>
        <v>158.03</v>
      </c>
      <c r="AB53">
        <f>Source!Y33</f>
        <v>95.78</v>
      </c>
    </row>
    <row r="54" spans="1:28" ht="14.25" x14ac:dyDescent="0.2">
      <c r="C54" s="23" t="str">
        <f>"Объем: "&amp;Source!I33&amp;"=1,62/"&amp;"100"</f>
        <v>Объем: 0,0162=1,62/100</v>
      </c>
      <c r="F54" s="12"/>
      <c r="G54" s="12"/>
      <c r="H54" s="12"/>
    </row>
    <row r="55" spans="1:28" x14ac:dyDescent="0.2">
      <c r="C55" s="23" t="s">
        <v>1978</v>
      </c>
      <c r="D55" s="23">
        <f>Source!BA33</f>
        <v>6.56</v>
      </c>
    </row>
    <row r="56" spans="1:28" x14ac:dyDescent="0.2">
      <c r="C56" s="23" t="s">
        <v>1979</v>
      </c>
      <c r="D56" s="23">
        <f>Source!BB33</f>
        <v>6.56</v>
      </c>
    </row>
    <row r="57" spans="1:28" x14ac:dyDescent="0.2">
      <c r="C57" s="23" t="s">
        <v>1980</v>
      </c>
      <c r="D57" s="23">
        <f>Source!BC33</f>
        <v>6.56</v>
      </c>
    </row>
    <row r="58" spans="1:28" x14ac:dyDescent="0.2">
      <c r="C58" s="23" t="s">
        <v>1981</v>
      </c>
      <c r="D58" s="23">
        <f>Source!BS33</f>
        <v>6.56</v>
      </c>
    </row>
    <row r="59" spans="1:28" x14ac:dyDescent="0.2">
      <c r="C59" s="9" t="s">
        <v>1982</v>
      </c>
      <c r="D59" s="33"/>
      <c r="E59" s="33"/>
      <c r="F59" s="33">
        <f>Source!BZ33</f>
        <v>110</v>
      </c>
      <c r="G59" s="57">
        <f>(Source!AF33+Source!AE33)*Source!FX33/100</f>
        <v>1487.0988</v>
      </c>
      <c r="H59" s="57">
        <f>Source!X33</f>
        <v>158.03</v>
      </c>
    </row>
    <row r="60" spans="1:28" x14ac:dyDescent="0.2">
      <c r="C60" s="9" t="s">
        <v>1983</v>
      </c>
      <c r="D60" s="33"/>
      <c r="E60" s="33"/>
      <c r="F60" s="33"/>
      <c r="G60" s="33" t="str">
        <f>CONCATENATE(Source!DL33,Source!FT33, "=", Source!FX33, "%")</f>
        <v>*0,9=99%</v>
      </c>
      <c r="H60" s="33" t="str">
        <f>CONCATENATE(Source!AT33)</f>
        <v>99</v>
      </c>
    </row>
    <row r="61" spans="1:28" x14ac:dyDescent="0.2">
      <c r="C61" s="9" t="s">
        <v>1984</v>
      </c>
      <c r="D61" s="33"/>
      <c r="E61" s="33"/>
      <c r="F61" s="33">
        <f>Source!CA33</f>
        <v>70</v>
      </c>
      <c r="G61" s="57">
        <f>(Source!AF33+Source!AE33)*Source!FY33/100</f>
        <v>893.76140000000009</v>
      </c>
      <c r="H61" s="57">
        <f>Source!Y33</f>
        <v>95.78</v>
      </c>
    </row>
    <row r="62" spans="1:28" x14ac:dyDescent="0.2">
      <c r="C62" s="9" t="s">
        <v>1985</v>
      </c>
      <c r="D62" s="33"/>
      <c r="E62" s="33"/>
      <c r="F62" s="33"/>
      <c r="G62" s="33" t="str">
        <f>CONCATENATE(Source!DM33,Source!FU33, "=", Source!FY33, "%")</f>
        <v>*0,85=59,5%</v>
      </c>
      <c r="H62" s="33" t="str">
        <f>CONCATENATE(Source!AU33)</f>
        <v>60</v>
      </c>
    </row>
    <row r="63" spans="1:28" x14ac:dyDescent="0.2">
      <c r="C63" s="9" t="s">
        <v>1986</v>
      </c>
      <c r="D63" s="33"/>
      <c r="E63" s="33"/>
      <c r="F63" s="33"/>
      <c r="G63" s="57">
        <f>((Source!AF33+Source!AE33)*Source!FX33/100)+((Source!AF33+Source!AE33)*Source!FY33/100)+Source!AB33</f>
        <v>4020.4402</v>
      </c>
      <c r="H63" s="57">
        <f>Source!O33+Source!X33+Source!Y33</f>
        <v>428.04999999999995</v>
      </c>
    </row>
    <row r="64" spans="1:28" ht="42.75" x14ac:dyDescent="0.2">
      <c r="A64" s="45">
        <v>3</v>
      </c>
      <c r="B64" s="45" t="str">
        <f>Source!E34</f>
        <v>3</v>
      </c>
      <c r="C64" s="45" t="str">
        <f>Source!G34</f>
        <v>Разборка мелких покрытий и обделок из листовой стали поясков, сандриков, желобов, отливов, свесов и т.п.</v>
      </c>
      <c r="D64" s="45" t="str">
        <f>Source!F34</f>
        <v>58-3-1</v>
      </c>
      <c r="E64" s="30" t="str">
        <f>Source!H34</f>
        <v>100 м</v>
      </c>
      <c r="F64" s="12">
        <f>Source!I34</f>
        <v>0.16220000000000001</v>
      </c>
      <c r="G64" s="22">
        <f>Source!AB34</f>
        <v>71.180000000000007</v>
      </c>
      <c r="H64" s="22">
        <f>Source!O34</f>
        <v>75.73</v>
      </c>
      <c r="T64">
        <f>Source!O34+Source!X34+Source!Y34</f>
        <v>187.5</v>
      </c>
      <c r="U64">
        <f>Source!P34</f>
        <v>0</v>
      </c>
      <c r="V64">
        <f>Source!S34</f>
        <v>75.52</v>
      </c>
      <c r="W64">
        <f>Source!Q34</f>
        <v>0.21</v>
      </c>
      <c r="X64">
        <f>Source!R34</f>
        <v>0</v>
      </c>
      <c r="Y64">
        <f>Source!U34</f>
        <v>1.4760200000000001</v>
      </c>
      <c r="Z64">
        <f>Source!V34</f>
        <v>0</v>
      </c>
      <c r="AA64">
        <f>Source!X34</f>
        <v>62.68</v>
      </c>
      <c r="AB64">
        <f>Source!Y34</f>
        <v>49.09</v>
      </c>
    </row>
    <row r="65" spans="1:28" ht="14.25" x14ac:dyDescent="0.2">
      <c r="C65" s="23" t="str">
        <f>"Объем: "&amp;Source!I34&amp;"=16,22/"&amp;"100"</f>
        <v>Объем: 0,1622=16,22/100</v>
      </c>
      <c r="F65" s="12"/>
      <c r="G65" s="12"/>
      <c r="H65" s="12"/>
    </row>
    <row r="66" spans="1:28" x14ac:dyDescent="0.2">
      <c r="C66" s="23" t="s">
        <v>1978</v>
      </c>
      <c r="D66" s="23">
        <f>Source!BA34</f>
        <v>6.56</v>
      </c>
    </row>
    <row r="67" spans="1:28" x14ac:dyDescent="0.2">
      <c r="C67" s="23" t="s">
        <v>1979</v>
      </c>
      <c r="D67" s="23">
        <f>Source!BB34</f>
        <v>6.56</v>
      </c>
    </row>
    <row r="68" spans="1:28" x14ac:dyDescent="0.2">
      <c r="C68" s="23" t="s">
        <v>1980</v>
      </c>
      <c r="D68" s="23">
        <f>Source!BC34</f>
        <v>6.56</v>
      </c>
    </row>
    <row r="69" spans="1:28" x14ac:dyDescent="0.2">
      <c r="C69" s="23" t="s">
        <v>1981</v>
      </c>
      <c r="D69" s="23">
        <f>Source!BS34</f>
        <v>6.56</v>
      </c>
    </row>
    <row r="70" spans="1:28" x14ac:dyDescent="0.2">
      <c r="C70" s="9" t="s">
        <v>1982</v>
      </c>
      <c r="D70" s="33"/>
      <c r="E70" s="33"/>
      <c r="F70" s="33">
        <f>Source!BZ34</f>
        <v>83</v>
      </c>
      <c r="G70" s="57">
        <f>(Source!AF34+Source!AE34)*Source!FX34/100</f>
        <v>58.913400000000003</v>
      </c>
      <c r="H70" s="57">
        <f>Source!X34</f>
        <v>62.68</v>
      </c>
    </row>
    <row r="71" spans="1:28" x14ac:dyDescent="0.2">
      <c r="C71" s="9" t="s">
        <v>1984</v>
      </c>
      <c r="D71" s="33"/>
      <c r="E71" s="33"/>
      <c r="F71" s="33">
        <f>Source!CA34</f>
        <v>65</v>
      </c>
      <c r="G71" s="57">
        <f>(Source!AF34+Source!AE34)*Source!FY34/100</f>
        <v>46.137</v>
      </c>
      <c r="H71" s="57">
        <f>Source!Y34</f>
        <v>49.09</v>
      </c>
    </row>
    <row r="72" spans="1:28" x14ac:dyDescent="0.2">
      <c r="C72" s="9" t="s">
        <v>1986</v>
      </c>
      <c r="D72" s="33"/>
      <c r="E72" s="33"/>
      <c r="F72" s="33"/>
      <c r="G72" s="57">
        <f>((Source!AF34+Source!AE34)*Source!FX34/100)+((Source!AF34+Source!AE34)*Source!FY34/100)+Source!AB34</f>
        <v>176.2304</v>
      </c>
      <c r="H72" s="57">
        <f>Source!O34+Source!X34+Source!Y34</f>
        <v>187.5</v>
      </c>
    </row>
    <row r="73" spans="1:28" ht="28.5" x14ac:dyDescent="0.2">
      <c r="A73" s="45">
        <v>4</v>
      </c>
      <c r="B73" s="45" t="str">
        <f>Source!E35</f>
        <v>4</v>
      </c>
      <c r="C73" s="45" t="str">
        <f>Source!G35</f>
        <v>Разборка деревянных заполнений проемов дверных и воротных</v>
      </c>
      <c r="D73" s="45" t="str">
        <f>Source!F35</f>
        <v>46-04-012-03</v>
      </c>
      <c r="E73" s="30" t="str">
        <f>Source!H35</f>
        <v>100 м2</v>
      </c>
      <c r="F73" s="12">
        <f>Source!I35</f>
        <v>0.15</v>
      </c>
      <c r="G73" s="22">
        <f>Source!AB35</f>
        <v>1082.58</v>
      </c>
      <c r="H73" s="22">
        <f>Source!O35</f>
        <v>1065.26</v>
      </c>
      <c r="T73">
        <f>Source!O35+Source!X35+Source!Y35</f>
        <v>2543.96</v>
      </c>
      <c r="U73">
        <f>Source!P35</f>
        <v>0</v>
      </c>
      <c r="V73">
        <f>Source!S35</f>
        <v>827.18</v>
      </c>
      <c r="W73">
        <f>Source!Q35</f>
        <v>238.08</v>
      </c>
      <c r="X73">
        <f>Source!R35</f>
        <v>102.82</v>
      </c>
      <c r="Y73">
        <f>Source!U35</f>
        <v>15.586499999999999</v>
      </c>
      <c r="Z73">
        <f>Source!V35</f>
        <v>1.161</v>
      </c>
      <c r="AA73">
        <f>Source!X35</f>
        <v>920.7</v>
      </c>
      <c r="AB73">
        <f>Source!Y35</f>
        <v>558</v>
      </c>
    </row>
    <row r="74" spans="1:28" ht="14.25" x14ac:dyDescent="0.2">
      <c r="C74" s="23" t="str">
        <f>"Объем: "&amp;Source!I35&amp;"=15/"&amp;"100"</f>
        <v>Объем: 0,15=15/100</v>
      </c>
      <c r="F74" s="12"/>
      <c r="G74" s="12"/>
      <c r="H74" s="12"/>
    </row>
    <row r="75" spans="1:28" x14ac:dyDescent="0.2">
      <c r="C75" s="23" t="s">
        <v>1978</v>
      </c>
      <c r="D75" s="23">
        <f>Source!BA35</f>
        <v>6.56</v>
      </c>
    </row>
    <row r="76" spans="1:28" x14ac:dyDescent="0.2">
      <c r="C76" s="23" t="s">
        <v>1979</v>
      </c>
      <c r="D76" s="23">
        <f>Source!BB35</f>
        <v>6.56</v>
      </c>
    </row>
    <row r="77" spans="1:28" x14ac:dyDescent="0.2">
      <c r="C77" s="23" t="s">
        <v>1980</v>
      </c>
      <c r="D77" s="23">
        <f>Source!BC35</f>
        <v>6.56</v>
      </c>
    </row>
    <row r="78" spans="1:28" x14ac:dyDescent="0.2">
      <c r="C78" s="23" t="s">
        <v>1981</v>
      </c>
      <c r="D78" s="23">
        <f>Source!BS35</f>
        <v>6.56</v>
      </c>
    </row>
    <row r="79" spans="1:28" x14ac:dyDescent="0.2">
      <c r="C79" s="9" t="s">
        <v>1982</v>
      </c>
      <c r="D79" s="33"/>
      <c r="E79" s="33"/>
      <c r="F79" s="33">
        <f>Source!BZ35</f>
        <v>110</v>
      </c>
      <c r="G79" s="57">
        <f>(Source!AF35+Source!AE35)*Source!FX35/100</f>
        <v>935.66880000000003</v>
      </c>
      <c r="H79" s="57">
        <f>Source!X35</f>
        <v>920.7</v>
      </c>
    </row>
    <row r="80" spans="1:28" x14ac:dyDescent="0.2">
      <c r="C80" s="9" t="s">
        <v>1983</v>
      </c>
      <c r="D80" s="33"/>
      <c r="E80" s="33"/>
      <c r="F80" s="33"/>
      <c r="G80" s="33" t="str">
        <f>CONCATENATE(Source!DL35,Source!FT35, "=", Source!FX35, "%")</f>
        <v>*0,9=99%</v>
      </c>
      <c r="H80" s="33" t="str">
        <f>CONCATENATE(Source!AT35)</f>
        <v>99</v>
      </c>
    </row>
    <row r="81" spans="1:28" x14ac:dyDescent="0.2">
      <c r="C81" s="9" t="s">
        <v>1984</v>
      </c>
      <c r="D81" s="33"/>
      <c r="E81" s="33"/>
      <c r="F81" s="33">
        <f>Source!CA35</f>
        <v>70</v>
      </c>
      <c r="G81" s="57">
        <f>(Source!AF35+Source!AE35)*Source!FY35/100</f>
        <v>562.34640000000002</v>
      </c>
      <c r="H81" s="57">
        <f>Source!Y35</f>
        <v>558</v>
      </c>
    </row>
    <row r="82" spans="1:28" x14ac:dyDescent="0.2">
      <c r="C82" s="9" t="s">
        <v>1985</v>
      </c>
      <c r="D82" s="33"/>
      <c r="E82" s="33"/>
      <c r="F82" s="33"/>
      <c r="G82" s="33" t="str">
        <f>CONCATENATE(Source!DM35,Source!FU35, "=", Source!FY35, "%")</f>
        <v>*0,85=59,5%</v>
      </c>
      <c r="H82" s="33" t="str">
        <f>CONCATENATE(Source!AU35)</f>
        <v>60</v>
      </c>
    </row>
    <row r="83" spans="1:28" x14ac:dyDescent="0.2">
      <c r="C83" s="9" t="s">
        <v>1986</v>
      </c>
      <c r="D83" s="33"/>
      <c r="E83" s="33"/>
      <c r="F83" s="33"/>
      <c r="G83" s="57">
        <f>((Source!AF35+Source!AE35)*Source!FX35/100)+((Source!AF35+Source!AE35)*Source!FY35/100)+Source!AB35</f>
        <v>2580.5951999999997</v>
      </c>
      <c r="H83" s="57">
        <f>Source!O35+Source!X35+Source!Y35</f>
        <v>2543.96</v>
      </c>
    </row>
    <row r="84" spans="1:28" ht="71.25" x14ac:dyDescent="0.2">
      <c r="A84" s="45">
        <v>5</v>
      </c>
      <c r="B84" s="45" t="str">
        <f>Source!E36</f>
        <v>5</v>
      </c>
      <c r="C84" s="45" t="str">
        <f>Source!G36</f>
        <v>Демонтаж :Устройство сантехнических перегородок (стандартные туалетные кабины) на каркасе из алюминиевого профиля (Демонтаж кабинок сантехнических из ПВХ)</v>
      </c>
      <c r="D84" s="45" t="str">
        <f>Source!F36</f>
        <v>10-04-014-01 прим.</v>
      </c>
      <c r="E84" s="30" t="str">
        <f>Source!H36</f>
        <v>100 м2</v>
      </c>
      <c r="F84" s="12">
        <f>Source!I36</f>
        <v>0.1764</v>
      </c>
      <c r="G84" s="22">
        <f>Source!AB36</f>
        <v>235.84</v>
      </c>
      <c r="H84" s="22">
        <f>Source!O36</f>
        <v>272.91000000000003</v>
      </c>
      <c r="T84">
        <f>Source!O36+Source!X36+Source!Y36</f>
        <v>709.56000000000006</v>
      </c>
      <c r="U84">
        <f>Source!P36</f>
        <v>0</v>
      </c>
      <c r="V84">
        <f>Source!S36</f>
        <v>272.91000000000003</v>
      </c>
      <c r="W84">
        <f>Source!Q36</f>
        <v>0</v>
      </c>
      <c r="X84">
        <f>Source!R36</f>
        <v>0</v>
      </c>
      <c r="Y84">
        <f>Source!U36</f>
        <v>4.8771072000000002</v>
      </c>
      <c r="Z84">
        <f>Source!V36</f>
        <v>0</v>
      </c>
      <c r="AA84">
        <f>Source!X36</f>
        <v>289.27999999999997</v>
      </c>
      <c r="AB84">
        <f>Source!Y36</f>
        <v>147.37</v>
      </c>
    </row>
    <row r="85" spans="1:28" ht="14.25" x14ac:dyDescent="0.2">
      <c r="C85" s="23" t="str">
        <f>"Объем: "&amp;Source!I36&amp;"=17,64/"&amp;"100"</f>
        <v>Объем: 0,1764=17,64/100</v>
      </c>
      <c r="F85" s="12"/>
      <c r="G85" s="12"/>
      <c r="H85" s="12"/>
    </row>
    <row r="86" spans="1:28" x14ac:dyDescent="0.2">
      <c r="C86" s="23" t="s">
        <v>1978</v>
      </c>
      <c r="D86" s="23">
        <f>Source!BA36</f>
        <v>6.56</v>
      </c>
    </row>
    <row r="87" spans="1:28" x14ac:dyDescent="0.2">
      <c r="C87" s="23" t="s">
        <v>1979</v>
      </c>
      <c r="D87" s="23">
        <f>Source!BB36</f>
        <v>6.56</v>
      </c>
    </row>
    <row r="88" spans="1:28" x14ac:dyDescent="0.2">
      <c r="C88" s="23" t="s">
        <v>1980</v>
      </c>
      <c r="D88" s="23">
        <f>Source!BC36</f>
        <v>6.56</v>
      </c>
    </row>
    <row r="89" spans="1:28" x14ac:dyDescent="0.2">
      <c r="C89" s="23" t="s">
        <v>1981</v>
      </c>
      <c r="D89" s="23">
        <f>Source!BS36</f>
        <v>6.56</v>
      </c>
    </row>
    <row r="90" spans="1:28" x14ac:dyDescent="0.2">
      <c r="C90" s="23" t="s">
        <v>1987</v>
      </c>
      <c r="D90" s="82" t="s">
        <v>48</v>
      </c>
      <c r="E90" s="82"/>
      <c r="F90" s="82"/>
      <c r="G90" s="82"/>
      <c r="H90" s="82"/>
    </row>
    <row r="91" spans="1:28" x14ac:dyDescent="0.2">
      <c r="C91" s="23" t="s">
        <v>1988</v>
      </c>
      <c r="D91" s="82" t="s">
        <v>49</v>
      </c>
      <c r="E91" s="82"/>
      <c r="F91" s="82"/>
      <c r="G91" s="82"/>
      <c r="H91" s="82"/>
    </row>
    <row r="92" spans="1:28" x14ac:dyDescent="0.2">
      <c r="C92" s="23" t="s">
        <v>1989</v>
      </c>
      <c r="D92" s="82" t="s">
        <v>49</v>
      </c>
      <c r="E92" s="82"/>
      <c r="F92" s="82"/>
      <c r="G92" s="82"/>
      <c r="H92" s="82"/>
    </row>
    <row r="93" spans="1:28" x14ac:dyDescent="0.2">
      <c r="C93" s="23" t="s">
        <v>1990</v>
      </c>
      <c r="D93" s="82" t="s">
        <v>49</v>
      </c>
      <c r="E93" s="82"/>
      <c r="F93" s="82"/>
      <c r="G93" s="82"/>
      <c r="H93" s="82"/>
    </row>
    <row r="94" spans="1:28" x14ac:dyDescent="0.2">
      <c r="C94" s="23" t="s">
        <v>1991</v>
      </c>
      <c r="D94" s="82" t="s">
        <v>49</v>
      </c>
      <c r="E94" s="82"/>
      <c r="F94" s="82"/>
      <c r="G94" s="82"/>
      <c r="H94" s="82"/>
    </row>
    <row r="95" spans="1:28" x14ac:dyDescent="0.2">
      <c r="C95" s="23" t="s">
        <v>1992</v>
      </c>
      <c r="D95" s="82" t="s">
        <v>49</v>
      </c>
      <c r="E95" s="82"/>
      <c r="F95" s="82"/>
      <c r="G95" s="82"/>
      <c r="H95" s="82"/>
    </row>
    <row r="96" spans="1:28" x14ac:dyDescent="0.2">
      <c r="C96" s="9" t="s">
        <v>1982</v>
      </c>
      <c r="D96" s="33"/>
      <c r="E96" s="33"/>
      <c r="F96" s="33">
        <f>Source!BZ36</f>
        <v>118</v>
      </c>
      <c r="G96" s="57">
        <f>(Source!AF36+Source!AE36)*Source!FX36/100</f>
        <v>250.46208000000001</v>
      </c>
      <c r="H96" s="57">
        <f>Source!X36</f>
        <v>289.27999999999997</v>
      </c>
    </row>
    <row r="97" spans="1:28" x14ac:dyDescent="0.2">
      <c r="C97" s="9" t="s">
        <v>1983</v>
      </c>
      <c r="D97" s="33"/>
      <c r="E97" s="33"/>
      <c r="F97" s="33"/>
      <c r="G97" s="33" t="str">
        <f>CONCATENATE(Source!DL36,Source!FT36, "=", Source!FX36, "%")</f>
        <v>*0,9=106,2%</v>
      </c>
      <c r="H97" s="33" t="str">
        <f>CONCATENATE(Source!AT36)</f>
        <v>106</v>
      </c>
    </row>
    <row r="98" spans="1:28" x14ac:dyDescent="0.2">
      <c r="C98" s="9" t="s">
        <v>1984</v>
      </c>
      <c r="D98" s="33"/>
      <c r="E98" s="33"/>
      <c r="F98" s="33">
        <f>Source!CA36</f>
        <v>63</v>
      </c>
      <c r="G98" s="57">
        <f>(Source!AF36+Source!AE36)*Source!FY36/100</f>
        <v>126.29232</v>
      </c>
      <c r="H98" s="57">
        <f>Source!Y36</f>
        <v>147.37</v>
      </c>
    </row>
    <row r="99" spans="1:28" x14ac:dyDescent="0.2">
      <c r="C99" s="9" t="s">
        <v>1985</v>
      </c>
      <c r="D99" s="33"/>
      <c r="E99" s="33"/>
      <c r="F99" s="33"/>
      <c r="G99" s="33" t="str">
        <f>CONCATENATE(Source!DM36,Source!FU36, "=", Source!FY36, "%")</f>
        <v>*0,85=53,55%</v>
      </c>
      <c r="H99" s="33" t="str">
        <f>CONCATENATE(Source!AU36)</f>
        <v>54</v>
      </c>
    </row>
    <row r="100" spans="1:28" x14ac:dyDescent="0.2">
      <c r="C100" s="9" t="s">
        <v>1986</v>
      </c>
      <c r="D100" s="33"/>
      <c r="E100" s="33"/>
      <c r="F100" s="33"/>
      <c r="G100" s="57">
        <f>((Source!AF36+Source!AE36)*Source!FX36/100)+((Source!AF36+Source!AE36)*Source!FY36/100)+Source!AB36</f>
        <v>612.59440000000006</v>
      </c>
      <c r="H100" s="57">
        <f>Source!O36+Source!X36+Source!Y36</f>
        <v>709.56000000000006</v>
      </c>
    </row>
    <row r="101" spans="1:28" ht="42.75" x14ac:dyDescent="0.2">
      <c r="A101" s="45">
        <v>6</v>
      </c>
      <c r="B101" s="45" t="str">
        <f>Source!E37</f>
        <v>6</v>
      </c>
      <c r="C101" s="45" t="str">
        <f>Source!G37</f>
        <v>Демонтаж:Установка решеток жалюзийных площадью в свету до 1,5 м2 (Жалюзи вертикальные)</v>
      </c>
      <c r="D101" s="45" t="str">
        <f>Source!F37</f>
        <v>20-02-002-03 прим.</v>
      </c>
      <c r="E101" s="30" t="str">
        <f>Source!H37</f>
        <v>ШТ</v>
      </c>
      <c r="F101" s="12">
        <f>Source!I37</f>
        <v>9</v>
      </c>
      <c r="G101" s="22">
        <f>Source!AB37</f>
        <v>8.93</v>
      </c>
      <c r="H101" s="22">
        <f>Source!O37</f>
        <v>527.22</v>
      </c>
      <c r="T101">
        <f>Source!O37+Source!X37+Source!Y37</f>
        <v>1374.9900000000002</v>
      </c>
      <c r="U101">
        <f>Source!P37</f>
        <v>0</v>
      </c>
      <c r="V101">
        <f>Source!S37</f>
        <v>446.93</v>
      </c>
      <c r="W101">
        <f>Source!Q37</f>
        <v>80.290000000000006</v>
      </c>
      <c r="X101">
        <f>Source!R37</f>
        <v>8.86</v>
      </c>
      <c r="Y101">
        <f>Source!U37</f>
        <v>7.5960000000000001</v>
      </c>
      <c r="Z101">
        <f>Source!V37</f>
        <v>0.108</v>
      </c>
      <c r="AA101">
        <f>Source!X37</f>
        <v>524.16</v>
      </c>
      <c r="AB101">
        <f>Source!Y37</f>
        <v>323.61</v>
      </c>
    </row>
    <row r="102" spans="1:28" ht="14.25" x14ac:dyDescent="0.2">
      <c r="C102" s="23" t="s">
        <v>1978</v>
      </c>
      <c r="D102" s="23">
        <f>Source!BA37</f>
        <v>6.56</v>
      </c>
      <c r="F102" s="12"/>
      <c r="G102" s="12"/>
      <c r="H102" s="12"/>
    </row>
    <row r="103" spans="1:28" x14ac:dyDescent="0.2">
      <c r="C103" s="23" t="s">
        <v>1979</v>
      </c>
      <c r="D103" s="23">
        <f>Source!BB37</f>
        <v>6.56</v>
      </c>
    </row>
    <row r="104" spans="1:28" x14ac:dyDescent="0.2">
      <c r="C104" s="23" t="s">
        <v>1980</v>
      </c>
      <c r="D104" s="23">
        <f>Source!BC37</f>
        <v>6.56</v>
      </c>
    </row>
    <row r="105" spans="1:28" x14ac:dyDescent="0.2">
      <c r="C105" s="23" t="s">
        <v>1981</v>
      </c>
      <c r="D105" s="23">
        <f>Source!BS37</f>
        <v>6.56</v>
      </c>
    </row>
    <row r="106" spans="1:28" x14ac:dyDescent="0.2">
      <c r="C106" s="23" t="s">
        <v>1987</v>
      </c>
      <c r="D106" s="82" t="s">
        <v>48</v>
      </c>
      <c r="E106" s="82"/>
      <c r="F106" s="82"/>
      <c r="G106" s="82"/>
      <c r="H106" s="82"/>
    </row>
    <row r="107" spans="1:28" x14ac:dyDescent="0.2">
      <c r="C107" s="23" t="s">
        <v>1988</v>
      </c>
      <c r="D107" s="82" t="s">
        <v>59</v>
      </c>
      <c r="E107" s="82"/>
      <c r="F107" s="82"/>
      <c r="G107" s="82"/>
      <c r="H107" s="82"/>
    </row>
    <row r="108" spans="1:28" x14ac:dyDescent="0.2">
      <c r="C108" s="23" t="s">
        <v>1989</v>
      </c>
      <c r="D108" s="82" t="s">
        <v>59</v>
      </c>
      <c r="E108" s="82"/>
      <c r="F108" s="82"/>
      <c r="G108" s="82"/>
      <c r="H108" s="82"/>
    </row>
    <row r="109" spans="1:28" x14ac:dyDescent="0.2">
      <c r="C109" s="23" t="s">
        <v>1990</v>
      </c>
      <c r="D109" s="82" t="s">
        <v>59</v>
      </c>
      <c r="E109" s="82"/>
      <c r="F109" s="82"/>
      <c r="G109" s="82"/>
      <c r="H109" s="82"/>
    </row>
    <row r="110" spans="1:28" x14ac:dyDescent="0.2">
      <c r="C110" s="23" t="s">
        <v>1991</v>
      </c>
      <c r="D110" s="82" t="s">
        <v>59</v>
      </c>
      <c r="E110" s="82"/>
      <c r="F110" s="82"/>
      <c r="G110" s="82"/>
      <c r="H110" s="82"/>
    </row>
    <row r="111" spans="1:28" x14ac:dyDescent="0.2">
      <c r="C111" s="23" t="s">
        <v>1992</v>
      </c>
      <c r="D111" s="82" t="s">
        <v>59</v>
      </c>
      <c r="E111" s="82"/>
      <c r="F111" s="82"/>
      <c r="G111" s="82"/>
      <c r="H111" s="82"/>
    </row>
    <row r="112" spans="1:28" x14ac:dyDescent="0.2">
      <c r="C112" s="9" t="s">
        <v>1982</v>
      </c>
      <c r="D112" s="33"/>
      <c r="E112" s="33"/>
      <c r="F112" s="33">
        <f>Source!BZ37</f>
        <v>128</v>
      </c>
      <c r="G112" s="57">
        <f>(Source!AF37+Source!AE37)*Source!FX37/100</f>
        <v>8.89344</v>
      </c>
      <c r="H112" s="57">
        <f>Source!X37</f>
        <v>524.16</v>
      </c>
    </row>
    <row r="113" spans="1:28" x14ac:dyDescent="0.2">
      <c r="C113" s="9" t="s">
        <v>1983</v>
      </c>
      <c r="D113" s="33"/>
      <c r="E113" s="33"/>
      <c r="F113" s="33"/>
      <c r="G113" s="33" t="str">
        <f>CONCATENATE(Source!DL37,Source!FT37, "=", Source!FX37, "%")</f>
        <v>*0,9=115,2%</v>
      </c>
      <c r="H113" s="33" t="str">
        <f>CONCATENATE(Source!AT37)</f>
        <v>115</v>
      </c>
    </row>
    <row r="114" spans="1:28" x14ac:dyDescent="0.2">
      <c r="C114" s="9" t="s">
        <v>1984</v>
      </c>
      <c r="D114" s="33"/>
      <c r="E114" s="33"/>
      <c r="F114" s="33">
        <f>Source!CA37</f>
        <v>83</v>
      </c>
      <c r="G114" s="57">
        <f>(Source!AF37+Source!AE37)*Source!FY37/100</f>
        <v>5.446460000000001</v>
      </c>
      <c r="H114" s="57">
        <f>Source!Y37</f>
        <v>323.61</v>
      </c>
    </row>
    <row r="115" spans="1:28" x14ac:dyDescent="0.2">
      <c r="C115" s="9" t="s">
        <v>1985</v>
      </c>
      <c r="D115" s="33"/>
      <c r="E115" s="33"/>
      <c r="F115" s="33"/>
      <c r="G115" s="33" t="str">
        <f>CONCATENATE(Source!DM37,Source!FU37, "=", Source!FY37, "%")</f>
        <v>*0,85=70,55%</v>
      </c>
      <c r="H115" s="33" t="str">
        <f>CONCATENATE(Source!AU37)</f>
        <v>71</v>
      </c>
    </row>
    <row r="116" spans="1:28" x14ac:dyDescent="0.2">
      <c r="C116" s="9" t="s">
        <v>1986</v>
      </c>
      <c r="D116" s="33"/>
      <c r="E116" s="33"/>
      <c r="F116" s="33"/>
      <c r="G116" s="57">
        <f>((Source!AF37+Source!AE37)*Source!FX37/100)+((Source!AF37+Source!AE37)*Source!FY37/100)+Source!AB37</f>
        <v>23.2699</v>
      </c>
      <c r="H116" s="57">
        <f>Source!O37+Source!X37+Source!Y37</f>
        <v>1374.9900000000002</v>
      </c>
    </row>
    <row r="117" spans="1:28" ht="14.25" x14ac:dyDescent="0.2">
      <c r="A117" s="45">
        <v>7</v>
      </c>
      <c r="B117" s="45" t="str">
        <f>Source!E38</f>
        <v>7</v>
      </c>
      <c r="C117" s="45" t="str">
        <f>Source!G38</f>
        <v>Смена жалюзийных решеток</v>
      </c>
      <c r="D117" s="45" t="str">
        <f>Source!F38</f>
        <v>65-33-1</v>
      </c>
      <c r="E117" s="30" t="str">
        <f>Source!H38</f>
        <v>100 ШТ</v>
      </c>
      <c r="F117" s="12">
        <f>Source!I38</f>
        <v>0.13</v>
      </c>
      <c r="G117" s="22">
        <f>Source!AB38</f>
        <v>430.86</v>
      </c>
      <c r="H117" s="22">
        <f>Source!O38</f>
        <v>367.43</v>
      </c>
      <c r="T117">
        <f>Source!O38+Source!X38+Source!Y38</f>
        <v>915.3</v>
      </c>
      <c r="U117">
        <f>Source!P38</f>
        <v>31.17</v>
      </c>
      <c r="V117">
        <f>Source!S38</f>
        <v>336</v>
      </c>
      <c r="W117">
        <f>Source!Q38</f>
        <v>0.26</v>
      </c>
      <c r="X117">
        <f>Source!R38</f>
        <v>0.12</v>
      </c>
      <c r="Y117">
        <f>Source!U38</f>
        <v>6.0046999999999997</v>
      </c>
      <c r="Z117">
        <f>Source!V38</f>
        <v>1.3000000000000002E-3</v>
      </c>
      <c r="AA117">
        <f>Source!X38</f>
        <v>346.2</v>
      </c>
      <c r="AB117">
        <f>Source!Y38</f>
        <v>201.67</v>
      </c>
    </row>
    <row r="118" spans="1:28" ht="14.25" x14ac:dyDescent="0.2">
      <c r="C118" s="23" t="str">
        <f>"Объем: "&amp;Source!I38&amp;"=13/"&amp;"100"</f>
        <v>Объем: 0,13=13/100</v>
      </c>
      <c r="F118" s="12"/>
      <c r="G118" s="12"/>
      <c r="H118" s="12"/>
    </row>
    <row r="119" spans="1:28" x14ac:dyDescent="0.2">
      <c r="C119" s="23" t="s">
        <v>1978</v>
      </c>
      <c r="D119" s="23">
        <f>Source!BA38</f>
        <v>6.56</v>
      </c>
    </row>
    <row r="120" spans="1:28" x14ac:dyDescent="0.2">
      <c r="C120" s="23" t="s">
        <v>1979</v>
      </c>
      <c r="D120" s="23">
        <f>Source!BB38</f>
        <v>6.56</v>
      </c>
    </row>
    <row r="121" spans="1:28" x14ac:dyDescent="0.2">
      <c r="C121" s="23" t="s">
        <v>1980</v>
      </c>
      <c r="D121" s="23">
        <f>Source!BC38</f>
        <v>6.56</v>
      </c>
    </row>
    <row r="122" spans="1:28" x14ac:dyDescent="0.2">
      <c r="C122" s="23" t="s">
        <v>1981</v>
      </c>
      <c r="D122" s="23">
        <f>Source!BS38</f>
        <v>6.56</v>
      </c>
    </row>
    <row r="123" spans="1:28" x14ac:dyDescent="0.2">
      <c r="C123" s="9" t="s">
        <v>1982</v>
      </c>
      <c r="D123" s="33"/>
      <c r="E123" s="33"/>
      <c r="F123" s="33">
        <f>Source!BZ38</f>
        <v>103</v>
      </c>
      <c r="G123" s="57">
        <f>(Source!AF38+Source!AE38)*Source!FX38/100</f>
        <v>405.96420000000001</v>
      </c>
      <c r="H123" s="57">
        <f>Source!X38</f>
        <v>346.2</v>
      </c>
    </row>
    <row r="124" spans="1:28" x14ac:dyDescent="0.2">
      <c r="C124" s="9" t="s">
        <v>1984</v>
      </c>
      <c r="D124" s="33"/>
      <c r="E124" s="33"/>
      <c r="F124" s="33">
        <f>Source!CA38</f>
        <v>60</v>
      </c>
      <c r="G124" s="57">
        <f>(Source!AF38+Source!AE38)*Source!FY38/100</f>
        <v>236.48399999999998</v>
      </c>
      <c r="H124" s="57">
        <f>Source!Y38</f>
        <v>201.67</v>
      </c>
    </row>
    <row r="125" spans="1:28" x14ac:dyDescent="0.2">
      <c r="C125" s="9" t="s">
        <v>1986</v>
      </c>
      <c r="D125" s="33"/>
      <c r="E125" s="33"/>
      <c r="F125" s="33"/>
      <c r="G125" s="57">
        <f>((Source!AF38+Source!AE38)*Source!FX38/100)+((Source!AF38+Source!AE38)*Source!FY38/100)+Source!AB38</f>
        <v>1073.3081999999999</v>
      </c>
      <c r="H125" s="57">
        <f>Source!O38+Source!X38+Source!Y38</f>
        <v>915.3</v>
      </c>
    </row>
    <row r="126" spans="1:28" ht="28.5" x14ac:dyDescent="0.2">
      <c r="A126" s="45">
        <v>8</v>
      </c>
      <c r="B126" s="45" t="str">
        <f>Source!E39</f>
        <v>7,1</v>
      </c>
      <c r="C126" s="45" t="str">
        <f>Source!G39</f>
        <v>Решетка вентиляционная пластмассовая размером 300х300 мм</v>
      </c>
      <c r="D126" s="45" t="str">
        <f>Source!F39</f>
        <v>19.2.03.07-0006</v>
      </c>
      <c r="E126" s="30" t="str">
        <f>Source!H39</f>
        <v>шт.</v>
      </c>
      <c r="F126" s="12">
        <f>Source!I39</f>
        <v>13</v>
      </c>
      <c r="G126" s="22">
        <f>Source!AB39</f>
        <v>18.670000000000002</v>
      </c>
      <c r="H126" s="22">
        <f>Source!O39</f>
        <v>1592.18</v>
      </c>
      <c r="T126">
        <f>Source!O39+Source!X39+Source!Y39</f>
        <v>1592.18</v>
      </c>
      <c r="U126">
        <f>Source!P39</f>
        <v>1592.18</v>
      </c>
      <c r="V126">
        <f>Source!S39</f>
        <v>0</v>
      </c>
      <c r="W126">
        <f>Source!Q39</f>
        <v>0</v>
      </c>
      <c r="X126">
        <f>Source!R39</f>
        <v>0</v>
      </c>
      <c r="Y126">
        <f>Source!U39</f>
        <v>0</v>
      </c>
      <c r="Z126">
        <f>Source!V39</f>
        <v>0</v>
      </c>
      <c r="AA126">
        <f>Source!X39</f>
        <v>0</v>
      </c>
      <c r="AB126">
        <f>Source!Y39</f>
        <v>0</v>
      </c>
    </row>
    <row r="127" spans="1:28" ht="14.25" x14ac:dyDescent="0.2">
      <c r="C127" s="23" t="s">
        <v>1980</v>
      </c>
      <c r="D127" s="23">
        <f>Source!BC39</f>
        <v>6.56</v>
      </c>
      <c r="F127" s="12"/>
      <c r="G127" s="12"/>
      <c r="H127" s="12"/>
    </row>
    <row r="128" spans="1:28" ht="14.25" x14ac:dyDescent="0.2">
      <c r="A128" s="45">
        <v>9</v>
      </c>
      <c r="B128" s="45" t="str">
        <f>Source!E40</f>
        <v>7,2</v>
      </c>
      <c r="C128" s="45" t="str">
        <f>Source!G40</f>
        <v>Решетки жалюзийные</v>
      </c>
      <c r="D128" s="45" t="str">
        <f>Source!F40</f>
        <v>19.2.03.09</v>
      </c>
      <c r="E128" s="30" t="str">
        <f>Source!H40</f>
        <v>шт.</v>
      </c>
      <c r="F128" s="12">
        <f>Source!I40</f>
        <v>13</v>
      </c>
      <c r="G128" s="22">
        <f>Source!AB40</f>
        <v>0</v>
      </c>
      <c r="H128" s="22">
        <f>Source!O40</f>
        <v>0</v>
      </c>
      <c r="T128">
        <f>Source!O40+Source!X40+Source!Y40</f>
        <v>0</v>
      </c>
      <c r="U128">
        <f>Source!P40</f>
        <v>0</v>
      </c>
      <c r="V128">
        <f>Source!S40</f>
        <v>0</v>
      </c>
      <c r="W128">
        <f>Source!Q40</f>
        <v>0</v>
      </c>
      <c r="X128">
        <f>Source!R40</f>
        <v>0</v>
      </c>
      <c r="Y128">
        <f>Source!U40</f>
        <v>0</v>
      </c>
      <c r="Z128">
        <f>Source!V40</f>
        <v>0</v>
      </c>
      <c r="AA128">
        <f>Source!X40</f>
        <v>0</v>
      </c>
      <c r="AB128">
        <f>Source!Y40</f>
        <v>0</v>
      </c>
    </row>
    <row r="129" spans="1:28" ht="14.25" x14ac:dyDescent="0.2">
      <c r="C129" s="23" t="s">
        <v>1980</v>
      </c>
      <c r="D129" s="23">
        <f>Source!BC40</f>
        <v>6.56</v>
      </c>
      <c r="F129" s="12"/>
      <c r="G129" s="12"/>
      <c r="H129" s="12"/>
    </row>
    <row r="130" spans="1:28" ht="57" x14ac:dyDescent="0.2">
      <c r="A130" s="45">
        <v>10</v>
      </c>
      <c r="B130" s="45" t="str">
        <f>Source!E41</f>
        <v>8</v>
      </c>
      <c r="C130" s="45" t="str">
        <f>Source!G41</f>
        <v>Демонтаж: Проводник заземляющий открыто по строительным основаниям из полосовой стали сечением 100 мм2 (шина заземления)</v>
      </c>
      <c r="D130" s="45" t="str">
        <f>Source!F41</f>
        <v>м08-02-472-06</v>
      </c>
      <c r="E130" s="30" t="str">
        <f>Source!H41</f>
        <v>100 м</v>
      </c>
      <c r="F130" s="12">
        <f>Source!I41</f>
        <v>0.32</v>
      </c>
      <c r="G130" s="22">
        <f>Source!AB41</f>
        <v>71.87</v>
      </c>
      <c r="H130" s="22">
        <f>Source!O41</f>
        <v>150.87</v>
      </c>
      <c r="T130">
        <f>Source!O41+Source!X41+Source!Y41</f>
        <v>335.64</v>
      </c>
      <c r="U130">
        <f>Source!P41</f>
        <v>0</v>
      </c>
      <c r="V130">
        <f>Source!S41</f>
        <v>112.48</v>
      </c>
      <c r="W130">
        <f>Source!Q41</f>
        <v>38.39</v>
      </c>
      <c r="X130">
        <f>Source!R41</f>
        <v>3</v>
      </c>
      <c r="Y130">
        <f>Source!U41</f>
        <v>1.8240000000000001</v>
      </c>
      <c r="Z130">
        <f>Source!V41</f>
        <v>3.6479999999999999E-2</v>
      </c>
      <c r="AA130">
        <f>Source!X41</f>
        <v>109.71</v>
      </c>
      <c r="AB130">
        <f>Source!Y41</f>
        <v>75.06</v>
      </c>
    </row>
    <row r="131" spans="1:28" ht="14.25" x14ac:dyDescent="0.2">
      <c r="C131" s="23" t="str">
        <f>"Объем: "&amp;Source!I41&amp;"=32/"&amp;"100"</f>
        <v>Объем: 0,32=32/100</v>
      </c>
      <c r="F131" s="12"/>
      <c r="G131" s="12"/>
      <c r="H131" s="12"/>
    </row>
    <row r="132" spans="1:28" x14ac:dyDescent="0.2">
      <c r="C132" s="23" t="s">
        <v>1978</v>
      </c>
      <c r="D132" s="23">
        <f>Source!BA41</f>
        <v>6.56</v>
      </c>
    </row>
    <row r="133" spans="1:28" x14ac:dyDescent="0.2">
      <c r="C133" s="23" t="s">
        <v>1979</v>
      </c>
      <c r="D133" s="23">
        <f>Source!BB41</f>
        <v>6.56</v>
      </c>
    </row>
    <row r="134" spans="1:28" x14ac:dyDescent="0.2">
      <c r="C134" s="23" t="s">
        <v>1980</v>
      </c>
      <c r="D134" s="23">
        <f>Source!BC41</f>
        <v>6.56</v>
      </c>
    </row>
    <row r="135" spans="1:28" x14ac:dyDescent="0.2">
      <c r="C135" s="23" t="s">
        <v>1981</v>
      </c>
      <c r="D135" s="23">
        <f>Source!BS41</f>
        <v>6.56</v>
      </c>
    </row>
    <row r="136" spans="1:28" x14ac:dyDescent="0.2">
      <c r="C136" s="23" t="s">
        <v>1987</v>
      </c>
      <c r="D136" s="82" t="s">
        <v>48</v>
      </c>
      <c r="E136" s="82"/>
      <c r="F136" s="82"/>
      <c r="G136" s="82"/>
      <c r="H136" s="82"/>
    </row>
    <row r="137" spans="1:28" x14ac:dyDescent="0.2">
      <c r="C137" s="23" t="s">
        <v>1988</v>
      </c>
      <c r="D137" s="82" t="s">
        <v>82</v>
      </c>
      <c r="E137" s="82"/>
      <c r="F137" s="82"/>
      <c r="G137" s="82"/>
      <c r="H137" s="82"/>
    </row>
    <row r="138" spans="1:28" x14ac:dyDescent="0.2">
      <c r="C138" s="23" t="s">
        <v>1989</v>
      </c>
      <c r="D138" s="82" t="s">
        <v>82</v>
      </c>
      <c r="E138" s="82"/>
      <c r="F138" s="82"/>
      <c r="G138" s="82"/>
      <c r="H138" s="82"/>
    </row>
    <row r="139" spans="1:28" x14ac:dyDescent="0.2">
      <c r="C139" s="23" t="s">
        <v>1990</v>
      </c>
      <c r="D139" s="82" t="s">
        <v>82</v>
      </c>
      <c r="E139" s="82"/>
      <c r="F139" s="82"/>
      <c r="G139" s="82"/>
      <c r="H139" s="82"/>
    </row>
    <row r="140" spans="1:28" x14ac:dyDescent="0.2">
      <c r="C140" s="23" t="s">
        <v>1991</v>
      </c>
      <c r="D140" s="82" t="s">
        <v>82</v>
      </c>
      <c r="E140" s="82"/>
      <c r="F140" s="82"/>
      <c r="G140" s="82"/>
      <c r="H140" s="82"/>
    </row>
    <row r="141" spans="1:28" x14ac:dyDescent="0.2">
      <c r="C141" s="23" t="s">
        <v>1992</v>
      </c>
      <c r="D141" s="82" t="s">
        <v>82</v>
      </c>
      <c r="E141" s="82"/>
      <c r="F141" s="82"/>
      <c r="G141" s="82"/>
      <c r="H141" s="82"/>
    </row>
    <row r="142" spans="1:28" x14ac:dyDescent="0.2">
      <c r="C142" s="9" t="s">
        <v>1982</v>
      </c>
      <c r="D142" s="33"/>
      <c r="E142" s="33"/>
      <c r="F142" s="33">
        <f>Source!BZ41</f>
        <v>95</v>
      </c>
      <c r="G142" s="57">
        <f>(Source!AF41+Source!AE41)*Source!FX41/100</f>
        <v>52.259499999999996</v>
      </c>
      <c r="H142" s="57">
        <f>Source!X41</f>
        <v>109.71</v>
      </c>
    </row>
    <row r="143" spans="1:28" x14ac:dyDescent="0.2">
      <c r="C143" s="9" t="s">
        <v>1984</v>
      </c>
      <c r="D143" s="33"/>
      <c r="E143" s="33"/>
      <c r="F143" s="33">
        <f>Source!CA41</f>
        <v>65</v>
      </c>
      <c r="G143" s="57">
        <f>(Source!AF41+Source!AE41)*Source!FY41/100</f>
        <v>35.756500000000003</v>
      </c>
      <c r="H143" s="57">
        <f>Source!Y41</f>
        <v>75.06</v>
      </c>
    </row>
    <row r="144" spans="1:28" x14ac:dyDescent="0.2">
      <c r="C144" s="9" t="s">
        <v>1986</v>
      </c>
      <c r="D144" s="33"/>
      <c r="E144" s="33"/>
      <c r="F144" s="33"/>
      <c r="G144" s="57">
        <f>((Source!AF41+Source!AE41)*Source!FX41/100)+((Source!AF41+Source!AE41)*Source!FY41/100)+Source!AB41</f>
        <v>159.886</v>
      </c>
      <c r="H144" s="57">
        <f>Source!O41+Source!X41+Source!Y41</f>
        <v>335.64</v>
      </c>
    </row>
    <row r="145" spans="1:28" ht="28.5" x14ac:dyDescent="0.2">
      <c r="A145" s="45">
        <v>11</v>
      </c>
      <c r="B145" s="45" t="str">
        <f>Source!E42</f>
        <v>9</v>
      </c>
      <c r="C145" s="45" t="str">
        <f>Source!G42</f>
        <v>Разборка плинтусов деревянных и из пластмассовых материалов</v>
      </c>
      <c r="D145" s="45" t="str">
        <f>Source!F42</f>
        <v>57-3-1</v>
      </c>
      <c r="E145" s="30" t="str">
        <f>Source!H42</f>
        <v>100 м</v>
      </c>
      <c r="F145" s="12">
        <f>Source!I42</f>
        <v>1.103</v>
      </c>
      <c r="G145" s="22">
        <f>Source!AB42</f>
        <v>29.41</v>
      </c>
      <c r="H145" s="22">
        <f>Source!O42</f>
        <v>212.8</v>
      </c>
      <c r="T145">
        <f>Source!O42+Source!X42+Source!Y42</f>
        <v>527.74</v>
      </c>
      <c r="U145">
        <f>Source!P42</f>
        <v>0</v>
      </c>
      <c r="V145">
        <f>Source!S42</f>
        <v>212.8</v>
      </c>
      <c r="W145">
        <f>Source!Q42</f>
        <v>0</v>
      </c>
      <c r="X145">
        <f>Source!R42</f>
        <v>0</v>
      </c>
      <c r="Y145">
        <f>Source!U42</f>
        <v>4.1583100000000002</v>
      </c>
      <c r="Z145">
        <f>Source!V42</f>
        <v>0</v>
      </c>
      <c r="AA145">
        <f>Source!X42</f>
        <v>170.24</v>
      </c>
      <c r="AB145">
        <f>Source!Y42</f>
        <v>144.69999999999999</v>
      </c>
    </row>
    <row r="146" spans="1:28" ht="14.25" x14ac:dyDescent="0.2">
      <c r="C146" s="23" t="str">
        <f>"Объем: "&amp;Source!I42&amp;"=110,3/"&amp;"100"</f>
        <v>Объем: 1,103=110,3/100</v>
      </c>
      <c r="F146" s="12"/>
      <c r="G146" s="12"/>
      <c r="H146" s="12"/>
    </row>
    <row r="147" spans="1:28" x14ac:dyDescent="0.2">
      <c r="C147" s="23" t="s">
        <v>1978</v>
      </c>
      <c r="D147" s="23">
        <f>Source!BA42</f>
        <v>6.56</v>
      </c>
    </row>
    <row r="148" spans="1:28" x14ac:dyDescent="0.2">
      <c r="C148" s="23" t="s">
        <v>1979</v>
      </c>
      <c r="D148" s="23">
        <f>Source!BB42</f>
        <v>6.56</v>
      </c>
    </row>
    <row r="149" spans="1:28" x14ac:dyDescent="0.2">
      <c r="C149" s="23" t="s">
        <v>1980</v>
      </c>
      <c r="D149" s="23">
        <f>Source!BC42</f>
        <v>6.56</v>
      </c>
    </row>
    <row r="150" spans="1:28" x14ac:dyDescent="0.2">
      <c r="C150" s="23" t="s">
        <v>1981</v>
      </c>
      <c r="D150" s="23">
        <f>Source!BS42</f>
        <v>6.56</v>
      </c>
    </row>
    <row r="151" spans="1:28" x14ac:dyDescent="0.2">
      <c r="C151" s="9" t="s">
        <v>1982</v>
      </c>
      <c r="D151" s="33"/>
      <c r="E151" s="33"/>
      <c r="F151" s="33">
        <f>Source!BZ42</f>
        <v>80</v>
      </c>
      <c r="G151" s="57">
        <f>(Source!AF42+Source!AE42)*Source!FX42/100</f>
        <v>23.528000000000002</v>
      </c>
      <c r="H151" s="57">
        <f>Source!X42</f>
        <v>170.24</v>
      </c>
    </row>
    <row r="152" spans="1:28" x14ac:dyDescent="0.2">
      <c r="C152" s="9" t="s">
        <v>1984</v>
      </c>
      <c r="D152" s="33"/>
      <c r="E152" s="33"/>
      <c r="F152" s="33">
        <f>Source!CA42</f>
        <v>68</v>
      </c>
      <c r="G152" s="57">
        <f>(Source!AF42+Source!AE42)*Source!FY42/100</f>
        <v>19.998800000000003</v>
      </c>
      <c r="H152" s="57">
        <f>Source!Y42</f>
        <v>144.69999999999999</v>
      </c>
    </row>
    <row r="153" spans="1:28" x14ac:dyDescent="0.2">
      <c r="C153" s="9" t="s">
        <v>1986</v>
      </c>
      <c r="D153" s="33"/>
      <c r="E153" s="33"/>
      <c r="F153" s="33"/>
      <c r="G153" s="57">
        <f>((Source!AF42+Source!AE42)*Source!FX42/100)+((Source!AF42+Source!AE42)*Source!FY42/100)+Source!AB42</f>
        <v>72.936800000000005</v>
      </c>
      <c r="H153" s="57">
        <f>Source!O42+Source!X42+Source!Y42</f>
        <v>527.74</v>
      </c>
    </row>
    <row r="154" spans="1:28" ht="28.5" x14ac:dyDescent="0.2">
      <c r="A154" s="45">
        <v>12</v>
      </c>
      <c r="B154" s="45" t="str">
        <f>Source!E43</f>
        <v>10</v>
      </c>
      <c r="C154" s="45" t="str">
        <f>Source!G43</f>
        <v>Разборка покрытий полов из линолеума и релина</v>
      </c>
      <c r="D154" s="45" t="str">
        <f>Source!F43</f>
        <v>57-2-1</v>
      </c>
      <c r="E154" s="30" t="str">
        <f>Source!H43</f>
        <v>100 м2</v>
      </c>
      <c r="F154" s="12">
        <f>Source!I43</f>
        <v>2.008</v>
      </c>
      <c r="G154" s="22">
        <f>Source!AB43</f>
        <v>92.9</v>
      </c>
      <c r="H154" s="22">
        <f>Source!O43</f>
        <v>1223.72</v>
      </c>
      <c r="T154">
        <f>Source!O43+Source!X43+Source!Y43</f>
        <v>2989.99</v>
      </c>
      <c r="U154">
        <f>Source!P43</f>
        <v>0</v>
      </c>
      <c r="V154">
        <f>Source!S43</f>
        <v>1170.24</v>
      </c>
      <c r="W154">
        <f>Source!Q43</f>
        <v>53.48</v>
      </c>
      <c r="X154">
        <f>Source!R43</f>
        <v>23.18</v>
      </c>
      <c r="Y154">
        <f>Source!U43</f>
        <v>22.871120000000001</v>
      </c>
      <c r="Z154">
        <f>Source!V43</f>
        <v>0.26103999999999999</v>
      </c>
      <c r="AA154">
        <f>Source!X43</f>
        <v>954.74</v>
      </c>
      <c r="AB154">
        <f>Source!Y43</f>
        <v>811.53</v>
      </c>
    </row>
    <row r="155" spans="1:28" ht="14.25" x14ac:dyDescent="0.2">
      <c r="C155" s="23" t="str">
        <f>"Объем: "&amp;Source!I43&amp;"=200,8/"&amp;"100"</f>
        <v>Объем: 2,008=200,8/100</v>
      </c>
      <c r="F155" s="12"/>
      <c r="G155" s="12"/>
      <c r="H155" s="12"/>
    </row>
    <row r="156" spans="1:28" x14ac:dyDescent="0.2">
      <c r="C156" s="23" t="s">
        <v>1978</v>
      </c>
      <c r="D156" s="23">
        <f>Source!BA43</f>
        <v>6.56</v>
      </c>
    </row>
    <row r="157" spans="1:28" x14ac:dyDescent="0.2">
      <c r="C157" s="23" t="s">
        <v>1979</v>
      </c>
      <c r="D157" s="23">
        <f>Source!BB43</f>
        <v>6.56</v>
      </c>
    </row>
    <row r="158" spans="1:28" x14ac:dyDescent="0.2">
      <c r="C158" s="23" t="s">
        <v>1980</v>
      </c>
      <c r="D158" s="23">
        <f>Source!BC43</f>
        <v>6.56</v>
      </c>
    </row>
    <row r="159" spans="1:28" x14ac:dyDescent="0.2">
      <c r="C159" s="23" t="s">
        <v>1981</v>
      </c>
      <c r="D159" s="23">
        <f>Source!BS43</f>
        <v>6.56</v>
      </c>
    </row>
    <row r="160" spans="1:28" x14ac:dyDescent="0.2">
      <c r="C160" s="9" t="s">
        <v>1982</v>
      </c>
      <c r="D160" s="33"/>
      <c r="E160" s="33"/>
      <c r="F160" s="33">
        <f>Source!BZ43</f>
        <v>80</v>
      </c>
      <c r="G160" s="57">
        <f>(Source!AF43+Source!AE43)*Source!FX43/100</f>
        <v>72.48</v>
      </c>
      <c r="H160" s="57">
        <f>Source!X43</f>
        <v>954.74</v>
      </c>
    </row>
    <row r="161" spans="1:28" x14ac:dyDescent="0.2">
      <c r="C161" s="9" t="s">
        <v>1984</v>
      </c>
      <c r="D161" s="33"/>
      <c r="E161" s="33"/>
      <c r="F161" s="33">
        <f>Source!CA43</f>
        <v>68</v>
      </c>
      <c r="G161" s="57">
        <f>(Source!AF43+Source!AE43)*Source!FY43/100</f>
        <v>61.608000000000004</v>
      </c>
      <c r="H161" s="57">
        <f>Source!Y43</f>
        <v>811.53</v>
      </c>
    </row>
    <row r="162" spans="1:28" x14ac:dyDescent="0.2">
      <c r="C162" s="9" t="s">
        <v>1986</v>
      </c>
      <c r="D162" s="33"/>
      <c r="E162" s="33"/>
      <c r="F162" s="33"/>
      <c r="G162" s="57">
        <f>((Source!AF43+Source!AE43)*Source!FX43/100)+((Source!AF43+Source!AE43)*Source!FY43/100)+Source!AB43</f>
        <v>226.98800000000003</v>
      </c>
      <c r="H162" s="57">
        <f>Source!O43+Source!X43+Source!Y43</f>
        <v>2989.99</v>
      </c>
    </row>
    <row r="163" spans="1:28" ht="14.25" x14ac:dyDescent="0.2">
      <c r="A163" s="45">
        <v>13</v>
      </c>
      <c r="B163" s="45" t="str">
        <f>Source!E44</f>
        <v>10,1</v>
      </c>
      <c r="C163" s="45" t="str">
        <f>Source!G44</f>
        <v>Строительный мусор</v>
      </c>
      <c r="D163" s="45" t="str">
        <f>Source!F44</f>
        <v>01.7.07.07</v>
      </c>
      <c r="E163" s="30" t="str">
        <f>Source!H44</f>
        <v>т</v>
      </c>
      <c r="F163" s="12">
        <f>Source!I44</f>
        <v>0.94376000000000004</v>
      </c>
      <c r="G163" s="22">
        <f>Source!AB44</f>
        <v>0</v>
      </c>
      <c r="H163" s="22">
        <f>Source!O44</f>
        <v>0</v>
      </c>
      <c r="T163">
        <f>Source!O44+Source!X44+Source!Y44</f>
        <v>0</v>
      </c>
      <c r="U163">
        <f>Source!P44</f>
        <v>0</v>
      </c>
      <c r="V163">
        <f>Source!S44</f>
        <v>0</v>
      </c>
      <c r="W163">
        <f>Source!Q44</f>
        <v>0</v>
      </c>
      <c r="X163">
        <f>Source!R44</f>
        <v>0</v>
      </c>
      <c r="Y163">
        <f>Source!U44</f>
        <v>0</v>
      </c>
      <c r="Z163">
        <f>Source!V44</f>
        <v>0</v>
      </c>
      <c r="AA163">
        <f>Source!X44</f>
        <v>0</v>
      </c>
      <c r="AB163">
        <f>Source!Y44</f>
        <v>0</v>
      </c>
    </row>
    <row r="164" spans="1:28" ht="14.25" x14ac:dyDescent="0.2">
      <c r="C164" s="23" t="s">
        <v>1980</v>
      </c>
      <c r="D164" s="23">
        <f>Source!BC44</f>
        <v>6.56</v>
      </c>
      <c r="F164" s="12"/>
      <c r="G164" s="12"/>
      <c r="H164" s="12"/>
    </row>
    <row r="165" spans="1:28" ht="28.5" x14ac:dyDescent="0.2">
      <c r="A165" s="45">
        <v>14</v>
      </c>
      <c r="B165" s="45" t="str">
        <f>Source!E45</f>
        <v>11</v>
      </c>
      <c r="C165" s="45" t="str">
        <f>Source!G45</f>
        <v>Разборка оснований покрытия полов простильных полов(деревянные)</v>
      </c>
      <c r="D165" s="45" t="str">
        <f>Source!F45</f>
        <v>57-1-3</v>
      </c>
      <c r="E165" s="30" t="str">
        <f>Source!H45</f>
        <v>100 м2</v>
      </c>
      <c r="F165" s="12">
        <f>Source!I45</f>
        <v>2.008</v>
      </c>
      <c r="G165" s="22">
        <f>Source!AB45</f>
        <v>136.03</v>
      </c>
      <c r="H165" s="22">
        <f>Source!O45</f>
        <v>1791.85</v>
      </c>
      <c r="T165">
        <f>Source!O45+Source!X45+Source!Y45</f>
        <v>4443.79</v>
      </c>
      <c r="U165">
        <f>Source!P45</f>
        <v>0</v>
      </c>
      <c r="V165">
        <f>Source!S45</f>
        <v>1791.85</v>
      </c>
      <c r="W165">
        <f>Source!Q45</f>
        <v>0</v>
      </c>
      <c r="X165">
        <f>Source!R45</f>
        <v>0</v>
      </c>
      <c r="Y165">
        <f>Source!U45</f>
        <v>35.01952</v>
      </c>
      <c r="Z165">
        <f>Source!V45</f>
        <v>0</v>
      </c>
      <c r="AA165">
        <f>Source!X45</f>
        <v>1433.48</v>
      </c>
      <c r="AB165">
        <f>Source!Y45</f>
        <v>1218.46</v>
      </c>
    </row>
    <row r="166" spans="1:28" ht="14.25" x14ac:dyDescent="0.2">
      <c r="C166" s="23" t="str">
        <f>"Объем: "&amp;Source!I45&amp;"=200,8/"&amp;"100"</f>
        <v>Объем: 2,008=200,8/100</v>
      </c>
      <c r="F166" s="12"/>
      <c r="G166" s="12"/>
      <c r="H166" s="12"/>
    </row>
    <row r="167" spans="1:28" x14ac:dyDescent="0.2">
      <c r="C167" s="23" t="s">
        <v>1978</v>
      </c>
      <c r="D167" s="23">
        <f>Source!BA45</f>
        <v>6.56</v>
      </c>
    </row>
    <row r="168" spans="1:28" x14ac:dyDescent="0.2">
      <c r="C168" s="23" t="s">
        <v>1979</v>
      </c>
      <c r="D168" s="23">
        <f>Source!BB45</f>
        <v>6.56</v>
      </c>
    </row>
    <row r="169" spans="1:28" x14ac:dyDescent="0.2">
      <c r="C169" s="23" t="s">
        <v>1980</v>
      </c>
      <c r="D169" s="23">
        <f>Source!BC45</f>
        <v>6.56</v>
      </c>
    </row>
    <row r="170" spans="1:28" x14ac:dyDescent="0.2">
      <c r="C170" s="23" t="s">
        <v>1981</v>
      </c>
      <c r="D170" s="23">
        <f>Source!BS45</f>
        <v>6.56</v>
      </c>
    </row>
    <row r="171" spans="1:28" x14ac:dyDescent="0.2">
      <c r="C171" s="9" t="s">
        <v>1982</v>
      </c>
      <c r="D171" s="33"/>
      <c r="E171" s="33"/>
      <c r="F171" s="33">
        <f>Source!BZ45</f>
        <v>80</v>
      </c>
      <c r="G171" s="57">
        <f>(Source!AF45+Source!AE45)*Source!FX45/100</f>
        <v>108.824</v>
      </c>
      <c r="H171" s="57">
        <f>Source!X45</f>
        <v>1433.48</v>
      </c>
    </row>
    <row r="172" spans="1:28" x14ac:dyDescent="0.2">
      <c r="C172" s="9" t="s">
        <v>1984</v>
      </c>
      <c r="D172" s="33"/>
      <c r="E172" s="33"/>
      <c r="F172" s="33">
        <f>Source!CA45</f>
        <v>68</v>
      </c>
      <c r="G172" s="57">
        <f>(Source!AF45+Source!AE45)*Source!FY45/100</f>
        <v>92.500400000000013</v>
      </c>
      <c r="H172" s="57">
        <f>Source!Y45</f>
        <v>1218.46</v>
      </c>
    </row>
    <row r="173" spans="1:28" x14ac:dyDescent="0.2">
      <c r="C173" s="9" t="s">
        <v>1986</v>
      </c>
      <c r="D173" s="33"/>
      <c r="E173" s="33"/>
      <c r="F173" s="33"/>
      <c r="G173" s="57">
        <f>((Source!AF45+Source!AE45)*Source!FX45/100)+((Source!AF45+Source!AE45)*Source!FY45/100)+Source!AB45</f>
        <v>337.35440000000006</v>
      </c>
      <c r="H173" s="57">
        <f>Source!O45+Source!X45+Source!Y45</f>
        <v>4443.79</v>
      </c>
    </row>
    <row r="174" spans="1:28" ht="28.5" x14ac:dyDescent="0.2">
      <c r="A174" s="45">
        <v>15</v>
      </c>
      <c r="B174" s="45" t="str">
        <f>Source!E46</f>
        <v>12</v>
      </c>
      <c r="C174" s="45" t="str">
        <f>Source!G46</f>
        <v>Разборка покрытий полов из керамических плиток (керамогранит)</v>
      </c>
      <c r="D174" s="45" t="str">
        <f>Source!F46</f>
        <v>57-2-3 прим.</v>
      </c>
      <c r="E174" s="30" t="str">
        <f>Source!H46</f>
        <v>100 м2</v>
      </c>
      <c r="F174" s="12">
        <f>Source!I46</f>
        <v>0.21</v>
      </c>
      <c r="G174" s="22">
        <f>Source!AB46</f>
        <v>641</v>
      </c>
      <c r="H174" s="22">
        <f>Source!O46</f>
        <v>883.05</v>
      </c>
      <c r="T174">
        <f>Source!O46+Source!X46+Source!Y46</f>
        <v>2137.83</v>
      </c>
      <c r="U174">
        <f>Source!P46</f>
        <v>0</v>
      </c>
      <c r="V174">
        <f>Source!S46</f>
        <v>821.04</v>
      </c>
      <c r="W174">
        <f>Source!Q46</f>
        <v>62.01</v>
      </c>
      <c r="X174">
        <f>Source!R46</f>
        <v>26.78</v>
      </c>
      <c r="Y174">
        <f>Source!U46</f>
        <v>14.672700000000001</v>
      </c>
      <c r="Z174">
        <f>Source!V46</f>
        <v>0.3024</v>
      </c>
      <c r="AA174">
        <f>Source!X46</f>
        <v>678.26</v>
      </c>
      <c r="AB174">
        <f>Source!Y46</f>
        <v>576.52</v>
      </c>
    </row>
    <row r="175" spans="1:28" ht="14.25" x14ac:dyDescent="0.2">
      <c r="C175" s="23" t="str">
        <f>"Объем: "&amp;Source!I46&amp;"=21/"&amp;"100"</f>
        <v>Объем: 0,21=21/100</v>
      </c>
      <c r="F175" s="12"/>
      <c r="G175" s="12"/>
      <c r="H175" s="12"/>
    </row>
    <row r="176" spans="1:28" x14ac:dyDescent="0.2">
      <c r="C176" s="23" t="s">
        <v>1978</v>
      </c>
      <c r="D176" s="23">
        <f>Source!BA46</f>
        <v>6.56</v>
      </c>
    </row>
    <row r="177" spans="1:28" x14ac:dyDescent="0.2">
      <c r="C177" s="23" t="s">
        <v>1979</v>
      </c>
      <c r="D177" s="23">
        <f>Source!BB46</f>
        <v>6.56</v>
      </c>
    </row>
    <row r="178" spans="1:28" x14ac:dyDescent="0.2">
      <c r="C178" s="23" t="s">
        <v>1980</v>
      </c>
      <c r="D178" s="23">
        <f>Source!BC46</f>
        <v>6.56</v>
      </c>
    </row>
    <row r="179" spans="1:28" x14ac:dyDescent="0.2">
      <c r="C179" s="23" t="s">
        <v>1981</v>
      </c>
      <c r="D179" s="23">
        <f>Source!BS46</f>
        <v>6.56</v>
      </c>
    </row>
    <row r="180" spans="1:28" x14ac:dyDescent="0.2">
      <c r="C180" s="9" t="s">
        <v>1982</v>
      </c>
      <c r="D180" s="33"/>
      <c r="E180" s="33"/>
      <c r="F180" s="33">
        <f>Source!BZ46</f>
        <v>80</v>
      </c>
      <c r="G180" s="57">
        <f>(Source!AF46+Source!AE46)*Source!FX46/100</f>
        <v>492.34400000000011</v>
      </c>
      <c r="H180" s="57">
        <f>Source!X46</f>
        <v>678.26</v>
      </c>
    </row>
    <row r="181" spans="1:28" x14ac:dyDescent="0.2">
      <c r="C181" s="9" t="s">
        <v>1984</v>
      </c>
      <c r="D181" s="33"/>
      <c r="E181" s="33"/>
      <c r="F181" s="33">
        <f>Source!CA46</f>
        <v>68</v>
      </c>
      <c r="G181" s="57">
        <f>(Source!AF46+Source!AE46)*Source!FY46/100</f>
        <v>418.49240000000003</v>
      </c>
      <c r="H181" s="57">
        <f>Source!Y46</f>
        <v>576.52</v>
      </c>
    </row>
    <row r="182" spans="1:28" x14ac:dyDescent="0.2">
      <c r="C182" s="9" t="s">
        <v>1986</v>
      </c>
      <c r="D182" s="33"/>
      <c r="E182" s="33"/>
      <c r="F182" s="33"/>
      <c r="G182" s="57">
        <f>((Source!AF46+Source!AE46)*Source!FX46/100)+((Source!AF46+Source!AE46)*Source!FY46/100)+Source!AB46</f>
        <v>1551.8364000000001</v>
      </c>
      <c r="H182" s="57">
        <f>Source!O46+Source!X46+Source!Y46</f>
        <v>2137.83</v>
      </c>
    </row>
    <row r="183" spans="1:28" ht="28.5" x14ac:dyDescent="0.2">
      <c r="A183" s="45">
        <v>16</v>
      </c>
      <c r="B183" s="45" t="str">
        <f>Source!E47</f>
        <v>13</v>
      </c>
      <c r="C183" s="45" t="str">
        <f>Source!G47</f>
        <v>Разборка облицовки стен из керамических глазурованных плиток</v>
      </c>
      <c r="D183" s="45" t="str">
        <f>Source!F47</f>
        <v>63-7-5</v>
      </c>
      <c r="E183" s="30" t="str">
        <f>Source!H47</f>
        <v>100 м2</v>
      </c>
      <c r="F183" s="12">
        <f>Source!I47</f>
        <v>0.97799999999999998</v>
      </c>
      <c r="G183" s="22">
        <f>Source!AB47</f>
        <v>654</v>
      </c>
      <c r="H183" s="22">
        <f>Source!O47</f>
        <v>4195.8500000000004</v>
      </c>
      <c r="T183">
        <f>Source!O47+Source!X47+Source!Y47</f>
        <v>8998.8000000000011</v>
      </c>
      <c r="U183">
        <f>Source!P47</f>
        <v>0</v>
      </c>
      <c r="V183">
        <f>Source!S47</f>
        <v>3751.5</v>
      </c>
      <c r="W183">
        <f>Source!Q47</f>
        <v>444.35</v>
      </c>
      <c r="X183">
        <f>Source!R47</f>
        <v>30.35</v>
      </c>
      <c r="Y183">
        <f>Source!U47</f>
        <v>72.665399999999991</v>
      </c>
      <c r="Z183">
        <f>Source!V47</f>
        <v>0.34229999999999999</v>
      </c>
      <c r="AA183">
        <f>Source!X47</f>
        <v>2912.02</v>
      </c>
      <c r="AB183">
        <f>Source!Y47</f>
        <v>1890.93</v>
      </c>
    </row>
    <row r="184" spans="1:28" ht="14.25" x14ac:dyDescent="0.2">
      <c r="C184" s="23" t="str">
        <f>"Объем: "&amp;Source!I47&amp;"=97,8/"&amp;"100"</f>
        <v>Объем: 0,978=97,8/100</v>
      </c>
      <c r="F184" s="12"/>
      <c r="G184" s="12"/>
      <c r="H184" s="12"/>
    </row>
    <row r="185" spans="1:28" x14ac:dyDescent="0.2">
      <c r="C185" s="23" t="s">
        <v>1978</v>
      </c>
      <c r="D185" s="23">
        <f>Source!BA47</f>
        <v>6.56</v>
      </c>
    </row>
    <row r="186" spans="1:28" x14ac:dyDescent="0.2">
      <c r="C186" s="23" t="s">
        <v>1979</v>
      </c>
      <c r="D186" s="23">
        <f>Source!BB47</f>
        <v>6.56</v>
      </c>
    </row>
    <row r="187" spans="1:28" x14ac:dyDescent="0.2">
      <c r="C187" s="23" t="s">
        <v>1980</v>
      </c>
      <c r="D187" s="23">
        <f>Source!BC47</f>
        <v>6.56</v>
      </c>
    </row>
    <row r="188" spans="1:28" x14ac:dyDescent="0.2">
      <c r="C188" s="23" t="s">
        <v>1981</v>
      </c>
      <c r="D188" s="23">
        <f>Source!BS47</f>
        <v>6.56</v>
      </c>
    </row>
    <row r="189" spans="1:28" x14ac:dyDescent="0.2">
      <c r="C189" s="9" t="s">
        <v>1982</v>
      </c>
      <c r="D189" s="33"/>
      <c r="E189" s="33"/>
      <c r="F189" s="33">
        <f>Source!BZ47</f>
        <v>77</v>
      </c>
      <c r="G189" s="57">
        <f>(Source!AF47+Source!AE47)*Source!FX47/100</f>
        <v>453.89190000000002</v>
      </c>
      <c r="H189" s="57">
        <f>Source!X47</f>
        <v>2912.02</v>
      </c>
    </row>
    <row r="190" spans="1:28" x14ac:dyDescent="0.2">
      <c r="C190" s="9" t="s">
        <v>1984</v>
      </c>
      <c r="D190" s="33"/>
      <c r="E190" s="33"/>
      <c r="F190" s="33">
        <f>Source!CA47</f>
        <v>50</v>
      </c>
      <c r="G190" s="57">
        <f>(Source!AF47+Source!AE47)*Source!FY47/100</f>
        <v>294.73500000000001</v>
      </c>
      <c r="H190" s="57">
        <f>Source!Y47</f>
        <v>1890.93</v>
      </c>
    </row>
    <row r="191" spans="1:28" x14ac:dyDescent="0.2">
      <c r="C191" s="9" t="s">
        <v>1986</v>
      </c>
      <c r="D191" s="33"/>
      <c r="E191" s="33"/>
      <c r="F191" s="33"/>
      <c r="G191" s="57">
        <f>((Source!AF47+Source!AE47)*Source!FX47/100)+((Source!AF47+Source!AE47)*Source!FY47/100)+Source!AB47</f>
        <v>1402.6269</v>
      </c>
      <c r="H191" s="57">
        <f>Source!O47+Source!X47+Source!Y47</f>
        <v>8998.8000000000011</v>
      </c>
    </row>
    <row r="192" spans="1:28" ht="42.75" x14ac:dyDescent="0.2">
      <c r="A192" s="45">
        <v>17</v>
      </c>
      <c r="B192" s="45" t="str">
        <f>Source!E48</f>
        <v>14</v>
      </c>
      <c r="C192" s="45" t="str">
        <f>Source!G48</f>
        <v>Демонтаж: Монтаж лотков, решеток, затворов из полосовой и тонколистовой стали</v>
      </c>
      <c r="D192" s="45" t="str">
        <f>Source!F48</f>
        <v>09-06-001-02</v>
      </c>
      <c r="E192" s="30" t="str">
        <f>Source!H48</f>
        <v>т</v>
      </c>
      <c r="F192" s="12">
        <f>Source!I48</f>
        <v>0.4</v>
      </c>
      <c r="G192" s="22">
        <f>Source!AB48</f>
        <v>391.33</v>
      </c>
      <c r="H192" s="22">
        <f>Source!O48</f>
        <v>1026.8499999999999</v>
      </c>
      <c r="T192">
        <f>Source!O48+Source!X48+Source!Y48</f>
        <v>2255.12</v>
      </c>
      <c r="U192">
        <f>Source!P48</f>
        <v>0</v>
      </c>
      <c r="V192">
        <f>Source!S48</f>
        <v>795.78</v>
      </c>
      <c r="W192">
        <f>Source!Q48</f>
        <v>231.07</v>
      </c>
      <c r="X192">
        <f>Source!R48</f>
        <v>7.01</v>
      </c>
      <c r="Y192">
        <f>Source!U48</f>
        <v>14.2212</v>
      </c>
      <c r="Z192">
        <f>Source!V48</f>
        <v>8.6800000000000002E-2</v>
      </c>
      <c r="AA192">
        <f>Source!X48</f>
        <v>650.26</v>
      </c>
      <c r="AB192">
        <f>Source!Y48</f>
        <v>578.01</v>
      </c>
    </row>
    <row r="193" spans="1:28" ht="14.25" x14ac:dyDescent="0.2">
      <c r="C193" s="23" t="s">
        <v>1978</v>
      </c>
      <c r="D193" s="23">
        <f>Source!BA48</f>
        <v>6.56</v>
      </c>
      <c r="F193" s="12"/>
      <c r="G193" s="12"/>
      <c r="H193" s="12"/>
    </row>
    <row r="194" spans="1:28" x14ac:dyDescent="0.2">
      <c r="C194" s="23" t="s">
        <v>1979</v>
      </c>
      <c r="D194" s="23">
        <f>Source!BB48</f>
        <v>6.56</v>
      </c>
    </row>
    <row r="195" spans="1:28" x14ac:dyDescent="0.2">
      <c r="C195" s="23" t="s">
        <v>1980</v>
      </c>
      <c r="D195" s="23">
        <f>Source!BC48</f>
        <v>6.56</v>
      </c>
    </row>
    <row r="196" spans="1:28" x14ac:dyDescent="0.2">
      <c r="C196" s="23" t="s">
        <v>1981</v>
      </c>
      <c r="D196" s="23">
        <f>Source!BS48</f>
        <v>6.56</v>
      </c>
    </row>
    <row r="197" spans="1:28" x14ac:dyDescent="0.2">
      <c r="C197" s="23" t="s">
        <v>1987</v>
      </c>
      <c r="D197" s="82" t="s">
        <v>48</v>
      </c>
      <c r="E197" s="82"/>
      <c r="F197" s="82"/>
      <c r="G197" s="82"/>
      <c r="H197" s="82"/>
    </row>
    <row r="198" spans="1:28" x14ac:dyDescent="0.2">
      <c r="C198" s="23" t="s">
        <v>1988</v>
      </c>
      <c r="D198" s="82" t="s">
        <v>120</v>
      </c>
      <c r="E198" s="82"/>
      <c r="F198" s="82"/>
      <c r="G198" s="82"/>
      <c r="H198" s="82"/>
    </row>
    <row r="199" spans="1:28" x14ac:dyDescent="0.2">
      <c r="C199" s="23" t="s">
        <v>1989</v>
      </c>
      <c r="D199" s="82" t="s">
        <v>120</v>
      </c>
      <c r="E199" s="82"/>
      <c r="F199" s="82"/>
      <c r="G199" s="82"/>
      <c r="H199" s="82"/>
    </row>
    <row r="200" spans="1:28" x14ac:dyDescent="0.2">
      <c r="C200" s="23" t="s">
        <v>1990</v>
      </c>
      <c r="D200" s="82" t="s">
        <v>120</v>
      </c>
      <c r="E200" s="82"/>
      <c r="F200" s="82"/>
      <c r="G200" s="82"/>
      <c r="H200" s="82"/>
    </row>
    <row r="201" spans="1:28" x14ac:dyDescent="0.2">
      <c r="C201" s="23" t="s">
        <v>1991</v>
      </c>
      <c r="D201" s="82" t="s">
        <v>120</v>
      </c>
      <c r="E201" s="82"/>
      <c r="F201" s="82"/>
      <c r="G201" s="82"/>
      <c r="H201" s="82"/>
    </row>
    <row r="202" spans="1:28" x14ac:dyDescent="0.2">
      <c r="C202" s="23" t="s">
        <v>1992</v>
      </c>
      <c r="D202" s="82" t="s">
        <v>120</v>
      </c>
      <c r="E202" s="82"/>
      <c r="F202" s="82"/>
      <c r="G202" s="82"/>
      <c r="H202" s="82"/>
    </row>
    <row r="203" spans="1:28" x14ac:dyDescent="0.2">
      <c r="C203" s="9" t="s">
        <v>1982</v>
      </c>
      <c r="D203" s="33"/>
      <c r="E203" s="33"/>
      <c r="F203" s="33">
        <f>Source!BZ48</f>
        <v>90</v>
      </c>
      <c r="G203" s="57">
        <f>(Source!AF48+Source!AE48)*Source!FX48/100</f>
        <v>247.81139999999999</v>
      </c>
      <c r="H203" s="57">
        <f>Source!X48</f>
        <v>650.26</v>
      </c>
    </row>
    <row r="204" spans="1:28" x14ac:dyDescent="0.2">
      <c r="C204" s="9" t="s">
        <v>1983</v>
      </c>
      <c r="D204" s="33"/>
      <c r="E204" s="33"/>
      <c r="F204" s="33"/>
      <c r="G204" s="33" t="str">
        <f>CONCATENATE(Source!DL48,Source!FT48, "=", Source!FX48, "%")</f>
        <v>*0,9=81%</v>
      </c>
      <c r="H204" s="33" t="str">
        <f>CONCATENATE(Source!AT48)</f>
        <v>81</v>
      </c>
    </row>
    <row r="205" spans="1:28" x14ac:dyDescent="0.2">
      <c r="C205" s="9" t="s">
        <v>1984</v>
      </c>
      <c r="D205" s="33"/>
      <c r="E205" s="33"/>
      <c r="F205" s="33">
        <f>Source!CA48</f>
        <v>85</v>
      </c>
      <c r="G205" s="57">
        <f>(Source!AF48+Source!AE48)*Source!FY48/100</f>
        <v>221.04165</v>
      </c>
      <c r="H205" s="57">
        <f>Source!Y48</f>
        <v>578.01</v>
      </c>
    </row>
    <row r="206" spans="1:28" x14ac:dyDescent="0.2">
      <c r="C206" s="9" t="s">
        <v>1985</v>
      </c>
      <c r="D206" s="33"/>
      <c r="E206" s="33"/>
      <c r="F206" s="33"/>
      <c r="G206" s="33" t="str">
        <f>CONCATENATE(Source!DM48,Source!FU48, "=", Source!FY48, "%")</f>
        <v>*0,85=72,25%</v>
      </c>
      <c r="H206" s="33" t="str">
        <f>CONCATENATE(Source!AU48)</f>
        <v>72</v>
      </c>
    </row>
    <row r="207" spans="1:28" x14ac:dyDescent="0.2">
      <c r="C207" s="9" t="s">
        <v>1986</v>
      </c>
      <c r="D207" s="33"/>
      <c r="E207" s="33"/>
      <c r="F207" s="33"/>
      <c r="G207" s="57">
        <f>((Source!AF48+Source!AE48)*Source!FX48/100)+((Source!AF48+Source!AE48)*Source!FY48/100)+Source!AB48</f>
        <v>860.18304999999998</v>
      </c>
      <c r="H207" s="57">
        <f>Source!O48+Source!X48+Source!Y48</f>
        <v>2255.12</v>
      </c>
    </row>
    <row r="208" spans="1:28" ht="28.5" x14ac:dyDescent="0.2">
      <c r="A208" s="45">
        <v>18</v>
      </c>
      <c r="B208" s="45" t="str">
        <f>Source!E49</f>
        <v>15</v>
      </c>
      <c r="C208" s="45" t="str">
        <f>Source!G49</f>
        <v>Разборка поручней деревянных прямой части</v>
      </c>
      <c r="D208" s="45" t="str">
        <f>Source!F49</f>
        <v>59-4-1 прим.</v>
      </c>
      <c r="E208" s="30" t="str">
        <f>Source!H49</f>
        <v>100 м</v>
      </c>
      <c r="F208" s="12">
        <f>Source!I49</f>
        <v>0.4</v>
      </c>
      <c r="G208" s="22">
        <f>Source!AB49</f>
        <v>111.04</v>
      </c>
      <c r="H208" s="22">
        <f>Source!O49</f>
        <v>291.37</v>
      </c>
      <c r="T208">
        <f>Source!O49+Source!X49+Source!Y49</f>
        <v>687.62999999999988</v>
      </c>
      <c r="U208">
        <f>Source!P49</f>
        <v>0</v>
      </c>
      <c r="V208">
        <f>Source!S49</f>
        <v>291.37</v>
      </c>
      <c r="W208">
        <f>Source!Q49</f>
        <v>0</v>
      </c>
      <c r="X208">
        <f>Source!R49</f>
        <v>0</v>
      </c>
      <c r="Y208">
        <f>Source!U49</f>
        <v>5.3000000000000007</v>
      </c>
      <c r="Z208">
        <f>Source!V49</f>
        <v>0</v>
      </c>
      <c r="AA208">
        <f>Source!X49</f>
        <v>221.44</v>
      </c>
      <c r="AB208">
        <f>Source!Y49</f>
        <v>174.82</v>
      </c>
    </row>
    <row r="209" spans="1:28" ht="14.25" x14ac:dyDescent="0.2">
      <c r="C209" s="23" t="str">
        <f>"Объем: "&amp;Source!I49&amp;"=40/"&amp;"100"</f>
        <v>Объем: 0,4=40/100</v>
      </c>
      <c r="F209" s="12"/>
      <c r="G209" s="12"/>
      <c r="H209" s="12"/>
    </row>
    <row r="210" spans="1:28" x14ac:dyDescent="0.2">
      <c r="C210" s="23" t="s">
        <v>1978</v>
      </c>
      <c r="D210" s="23">
        <f>Source!BA49</f>
        <v>6.56</v>
      </c>
    </row>
    <row r="211" spans="1:28" x14ac:dyDescent="0.2">
      <c r="C211" s="23" t="s">
        <v>1979</v>
      </c>
      <c r="D211" s="23">
        <f>Source!BB49</f>
        <v>6.56</v>
      </c>
    </row>
    <row r="212" spans="1:28" x14ac:dyDescent="0.2">
      <c r="C212" s="23" t="s">
        <v>1980</v>
      </c>
      <c r="D212" s="23">
        <f>Source!BC49</f>
        <v>6.56</v>
      </c>
    </row>
    <row r="213" spans="1:28" x14ac:dyDescent="0.2">
      <c r="C213" s="23" t="s">
        <v>1981</v>
      </c>
      <c r="D213" s="23">
        <f>Source!BS49</f>
        <v>6.56</v>
      </c>
    </row>
    <row r="214" spans="1:28" x14ac:dyDescent="0.2">
      <c r="C214" s="9" t="s">
        <v>1982</v>
      </c>
      <c r="D214" s="33"/>
      <c r="E214" s="33"/>
      <c r="F214" s="33">
        <f>Source!BZ49</f>
        <v>76</v>
      </c>
      <c r="G214" s="57">
        <f>(Source!AF49+Source!AE49)*Source!FX49/100</f>
        <v>84.390400000000014</v>
      </c>
      <c r="H214" s="57">
        <f>Source!X49</f>
        <v>221.44</v>
      </c>
    </row>
    <row r="215" spans="1:28" x14ac:dyDescent="0.2">
      <c r="C215" s="9" t="s">
        <v>1984</v>
      </c>
      <c r="D215" s="33"/>
      <c r="E215" s="33"/>
      <c r="F215" s="33">
        <f>Source!CA49</f>
        <v>60</v>
      </c>
      <c r="G215" s="57">
        <f>(Source!AF49+Source!AE49)*Source!FY49/100</f>
        <v>66.624000000000009</v>
      </c>
      <c r="H215" s="57">
        <f>Source!Y49</f>
        <v>174.82</v>
      </c>
    </row>
    <row r="216" spans="1:28" x14ac:dyDescent="0.2">
      <c r="C216" s="9" t="s">
        <v>1986</v>
      </c>
      <c r="D216" s="33"/>
      <c r="E216" s="33"/>
      <c r="F216" s="33"/>
      <c r="G216" s="57">
        <f>((Source!AF49+Source!AE49)*Source!FX49/100)+((Source!AF49+Source!AE49)*Source!FY49/100)+Source!AB49</f>
        <v>262.05440000000004</v>
      </c>
      <c r="H216" s="57">
        <f>Source!O49+Source!X49+Source!Y49</f>
        <v>687.62999999999988</v>
      </c>
    </row>
    <row r="218" spans="1:28" ht="15" x14ac:dyDescent="0.25">
      <c r="A218" s="58"/>
      <c r="B218" s="58"/>
      <c r="C218" s="66" t="str">
        <f>CONCATENATE("Итого по подразделу: ",IF(Source!G51&lt;&gt;"Новый подраздел", Source!G51, ""))</f>
        <v>Итого по подразделу: 1 Демонтаж</v>
      </c>
      <c r="D218" s="66"/>
      <c r="E218" s="66"/>
      <c r="F218" s="66"/>
      <c r="G218" s="58"/>
      <c r="H218" s="59">
        <f>IF(SUM(T41:T217)=0, "-", SUM(T41:T217))</f>
        <v>40807.320000000007</v>
      </c>
    </row>
    <row r="219" spans="1:28" ht="15" x14ac:dyDescent="0.25">
      <c r="A219" s="58"/>
      <c r="B219" s="58"/>
      <c r="C219" s="58"/>
      <c r="D219" s="58"/>
      <c r="E219" s="58"/>
      <c r="F219" s="58"/>
      <c r="G219" s="58"/>
      <c r="H219" s="58"/>
    </row>
    <row r="222" spans="1:28" ht="16.5" x14ac:dyDescent="0.25">
      <c r="A222" s="68" t="str">
        <f>CONCATENATE("Подраздел: ",IF(Source!G80&lt;&gt;"Новый подраздел", Source!G80, ""))</f>
        <v>Подраздел: 2 Монтаж</v>
      </c>
      <c r="B222" s="68"/>
      <c r="C222" s="68"/>
      <c r="D222" s="68"/>
      <c r="E222" s="68"/>
      <c r="F222" s="68"/>
      <c r="G222" s="68"/>
      <c r="H222" s="68"/>
    </row>
    <row r="223" spans="1:28" ht="71.25" x14ac:dyDescent="0.2">
      <c r="A223" s="45">
        <v>19</v>
      </c>
      <c r="B223" s="45" t="str">
        <f>Source!E84</f>
        <v>16</v>
      </c>
      <c r="C223" s="45" t="str">
        <f>Source!G84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223" s="45" t="str">
        <f>Source!F84</f>
        <v>10-01-034-06</v>
      </c>
      <c r="E223" s="30" t="str">
        <f>Source!H84</f>
        <v>100 м2</v>
      </c>
      <c r="F223" s="12">
        <f>Source!I84</f>
        <v>0.35549999999999998</v>
      </c>
      <c r="G223" s="22">
        <f>Source!AB84</f>
        <v>10081.99</v>
      </c>
      <c r="H223" s="22">
        <f>Source!O84</f>
        <v>23512.01</v>
      </c>
      <c r="T223">
        <f>Source!O84+Source!X84+Source!Y84</f>
        <v>29211.72</v>
      </c>
      <c r="U223">
        <f>Source!P84</f>
        <v>19352.419999999998</v>
      </c>
      <c r="V223">
        <f>Source!S84</f>
        <v>3415.63</v>
      </c>
      <c r="W223">
        <f>Source!Q84</f>
        <v>743.96</v>
      </c>
      <c r="X223">
        <f>Source!R84</f>
        <v>146.69</v>
      </c>
      <c r="Y223">
        <f>Source!U84</f>
        <v>59.573978999999987</v>
      </c>
      <c r="Z223">
        <f>Source!V84</f>
        <v>1.8797062500000001</v>
      </c>
      <c r="AA223">
        <f>Source!X84</f>
        <v>3776.06</v>
      </c>
      <c r="AB223">
        <f>Source!Y84</f>
        <v>1923.65</v>
      </c>
    </row>
    <row r="224" spans="1:28" ht="14.25" x14ac:dyDescent="0.2">
      <c r="C224" s="23" t="str">
        <f>"Объем: "&amp;Source!I84&amp;"=35,55/"&amp;"100"</f>
        <v>Объем: 0,3555=35,55/100</v>
      </c>
      <c r="F224" s="12"/>
      <c r="G224" s="12"/>
      <c r="H224" s="12"/>
    </row>
    <row r="225" spans="1:28" x14ac:dyDescent="0.2">
      <c r="C225" s="23" t="s">
        <v>1978</v>
      </c>
      <c r="D225" s="23">
        <f>Source!BA84</f>
        <v>6.56</v>
      </c>
    </row>
    <row r="226" spans="1:28" x14ac:dyDescent="0.2">
      <c r="C226" s="23" t="s">
        <v>1979</v>
      </c>
      <c r="D226" s="23">
        <f>Source!BB84</f>
        <v>6.56</v>
      </c>
    </row>
    <row r="227" spans="1:28" x14ac:dyDescent="0.2">
      <c r="C227" s="23" t="s">
        <v>1980</v>
      </c>
      <c r="D227" s="23">
        <f>Source!BC84</f>
        <v>6.56</v>
      </c>
    </row>
    <row r="228" spans="1:28" x14ac:dyDescent="0.2">
      <c r="C228" s="23" t="s">
        <v>1981</v>
      </c>
      <c r="D228" s="23">
        <f>Source!BS84</f>
        <v>6.56</v>
      </c>
    </row>
    <row r="229" spans="1:28" x14ac:dyDescent="0.2">
      <c r="C229" s="23" t="s">
        <v>1988</v>
      </c>
      <c r="D229" s="82" t="s">
        <v>187</v>
      </c>
      <c r="E229" s="82"/>
      <c r="F229" s="82"/>
      <c r="G229" s="82"/>
      <c r="H229" s="82"/>
    </row>
    <row r="230" spans="1:28" x14ac:dyDescent="0.2">
      <c r="C230" s="23" t="s">
        <v>1989</v>
      </c>
      <c r="D230" s="82" t="s">
        <v>187</v>
      </c>
      <c r="E230" s="82"/>
      <c r="F230" s="82"/>
      <c r="G230" s="82"/>
      <c r="H230" s="82"/>
    </row>
    <row r="231" spans="1:28" x14ac:dyDescent="0.2">
      <c r="C231" s="23" t="s">
        <v>1990</v>
      </c>
      <c r="D231" s="82" t="s">
        <v>188</v>
      </c>
      <c r="E231" s="82"/>
      <c r="F231" s="82"/>
      <c r="G231" s="82"/>
      <c r="H231" s="82"/>
    </row>
    <row r="232" spans="1:28" x14ac:dyDescent="0.2">
      <c r="C232" s="23" t="s">
        <v>1991</v>
      </c>
      <c r="D232" s="82" t="s">
        <v>188</v>
      </c>
      <c r="E232" s="82"/>
      <c r="F232" s="82"/>
      <c r="G232" s="82"/>
      <c r="H232" s="82"/>
    </row>
    <row r="233" spans="1:28" x14ac:dyDescent="0.2">
      <c r="C233" s="23" t="s">
        <v>1992</v>
      </c>
      <c r="D233" s="82" t="s">
        <v>187</v>
      </c>
      <c r="E233" s="82"/>
      <c r="F233" s="82"/>
      <c r="G233" s="82"/>
      <c r="H233" s="82"/>
    </row>
    <row r="234" spans="1:28" x14ac:dyDescent="0.2">
      <c r="C234" s="9" t="s">
        <v>1982</v>
      </c>
      <c r="D234" s="33"/>
      <c r="E234" s="33"/>
      <c r="F234" s="33">
        <f>Source!BZ84</f>
        <v>118</v>
      </c>
      <c r="G234" s="57">
        <f>(Source!AF84+Source!AE84)*Source!FX84/100</f>
        <v>1622.2368600000002</v>
      </c>
      <c r="H234" s="57">
        <f>Source!X84</f>
        <v>3776.06</v>
      </c>
    </row>
    <row r="235" spans="1:28" x14ac:dyDescent="0.2">
      <c r="C235" s="9" t="s">
        <v>1983</v>
      </c>
      <c r="D235" s="33"/>
      <c r="E235" s="33"/>
      <c r="F235" s="33"/>
      <c r="G235" s="33" t="str">
        <f>CONCATENATE(Source!DL84,Source!FT84, "=", Source!FX84, "%")</f>
        <v>*0,9=106,2%</v>
      </c>
      <c r="H235" s="33" t="str">
        <f>CONCATENATE(Source!AT84)</f>
        <v>106</v>
      </c>
    </row>
    <row r="236" spans="1:28" x14ac:dyDescent="0.2">
      <c r="C236" s="9" t="s">
        <v>1984</v>
      </c>
      <c r="D236" s="33"/>
      <c r="E236" s="33"/>
      <c r="F236" s="33">
        <f>Source!CA84</f>
        <v>63</v>
      </c>
      <c r="G236" s="57">
        <f>(Source!AF84+Source!AE84)*Source!FY84/100</f>
        <v>817.99231500000008</v>
      </c>
      <c r="H236" s="57">
        <f>Source!Y84</f>
        <v>1923.65</v>
      </c>
    </row>
    <row r="237" spans="1:28" x14ac:dyDescent="0.2">
      <c r="C237" s="9" t="s">
        <v>1985</v>
      </c>
      <c r="D237" s="33"/>
      <c r="E237" s="33"/>
      <c r="F237" s="33"/>
      <c r="G237" s="33" t="str">
        <f>CONCATENATE(Source!DM84,Source!FU84, "=", Source!FY84, "%")</f>
        <v>*0,85=53,55%</v>
      </c>
      <c r="H237" s="33" t="str">
        <f>CONCATENATE(Source!AU84)</f>
        <v>54</v>
      </c>
    </row>
    <row r="238" spans="1:28" x14ac:dyDescent="0.2">
      <c r="C238" s="9" t="s">
        <v>1986</v>
      </c>
      <c r="D238" s="33"/>
      <c r="E238" s="33"/>
      <c r="F238" s="33"/>
      <c r="G238" s="57">
        <f>((Source!AF84+Source!AE84)*Source!FX84/100)+((Source!AF84+Source!AE84)*Source!FY84/100)+Source!AB84</f>
        <v>12522.219175</v>
      </c>
      <c r="H238" s="57">
        <f>Source!O84+Source!X84+Source!Y84</f>
        <v>29211.72</v>
      </c>
    </row>
    <row r="239" spans="1:28" ht="71.25" x14ac:dyDescent="0.2">
      <c r="A239" s="45">
        <v>20</v>
      </c>
      <c r="B239" s="45" t="str">
        <f>Source!E85</f>
        <v>16,1</v>
      </c>
      <c r="C239" s="45" t="str">
        <f>Source!G85</f>
        <v>Блок оконный пластиковый двустворчатый, с глухой и поворотно-откидной створкой, двухкамерным стеклопакетом (32 мм), площадью до 3,5 м2</v>
      </c>
      <c r="D239" s="45" t="str">
        <f>Source!F85</f>
        <v>11.3.02.01-0019</v>
      </c>
      <c r="E239" s="30" t="str">
        <f>Source!H85</f>
        <v>м2</v>
      </c>
      <c r="F239" s="12">
        <f>Source!I85</f>
        <v>35.549999999999997</v>
      </c>
      <c r="G239" s="22">
        <f>Source!AB85</f>
        <v>2554.73</v>
      </c>
      <c r="H239" s="22">
        <f>Source!O85</f>
        <v>595783.47</v>
      </c>
      <c r="T239">
        <f>Source!O85+Source!X85+Source!Y85</f>
        <v>595783.47</v>
      </c>
      <c r="U239">
        <f>Source!P85</f>
        <v>595783.47</v>
      </c>
      <c r="V239">
        <f>Source!S85</f>
        <v>0</v>
      </c>
      <c r="W239">
        <f>Source!Q85</f>
        <v>0</v>
      </c>
      <c r="X239">
        <f>Source!R85</f>
        <v>0</v>
      </c>
      <c r="Y239">
        <f>Source!U85</f>
        <v>0</v>
      </c>
      <c r="Z239">
        <f>Source!V85</f>
        <v>0</v>
      </c>
      <c r="AA239">
        <f>Source!X85</f>
        <v>0</v>
      </c>
      <c r="AB239">
        <f>Source!Y85</f>
        <v>0</v>
      </c>
    </row>
    <row r="240" spans="1:28" ht="14.25" x14ac:dyDescent="0.2">
      <c r="C240" s="23" t="s">
        <v>1980</v>
      </c>
      <c r="D240" s="23">
        <f>Source!BC85</f>
        <v>6.56</v>
      </c>
      <c r="F240" s="12"/>
      <c r="G240" s="12"/>
      <c r="H240" s="12"/>
    </row>
    <row r="241" spans="1:28" ht="14.25" x14ac:dyDescent="0.2">
      <c r="A241" s="45">
        <v>21</v>
      </c>
      <c r="B241" s="45" t="str">
        <f>Source!E86</f>
        <v>16,2</v>
      </c>
      <c r="C241" s="45" t="str">
        <f>Source!G86</f>
        <v>Блоки оконные пластиковые</v>
      </c>
      <c r="D241" s="45" t="str">
        <f>Source!F86</f>
        <v>11.3.02.03</v>
      </c>
      <c r="E241" s="30" t="str">
        <f>Source!H86</f>
        <v>м2</v>
      </c>
      <c r="F241" s="12">
        <f>Source!I86</f>
        <v>35.549999999999997</v>
      </c>
      <c r="G241" s="22">
        <f>Source!AB86</f>
        <v>0</v>
      </c>
      <c r="H241" s="22">
        <f>Source!O86</f>
        <v>0</v>
      </c>
      <c r="T241">
        <f>Source!O86+Source!X86+Source!Y86</f>
        <v>0</v>
      </c>
      <c r="U241">
        <f>Source!P86</f>
        <v>0</v>
      </c>
      <c r="V241">
        <f>Source!S86</f>
        <v>0</v>
      </c>
      <c r="W241">
        <f>Source!Q86</f>
        <v>0</v>
      </c>
      <c r="X241">
        <f>Source!R86</f>
        <v>0</v>
      </c>
      <c r="Y241">
        <f>Source!U86</f>
        <v>0</v>
      </c>
      <c r="Z241">
        <f>Source!V86</f>
        <v>0</v>
      </c>
      <c r="AA241">
        <f>Source!X86</f>
        <v>0</v>
      </c>
      <c r="AB241">
        <f>Source!Y86</f>
        <v>0</v>
      </c>
    </row>
    <row r="242" spans="1:28" ht="14.25" x14ac:dyDescent="0.2">
      <c r="C242" s="23" t="s">
        <v>1980</v>
      </c>
      <c r="D242" s="23">
        <f>Source!BC86</f>
        <v>6.56</v>
      </c>
      <c r="F242" s="12"/>
      <c r="G242" s="12"/>
      <c r="H242" s="12"/>
    </row>
    <row r="243" spans="1:28" ht="71.25" x14ac:dyDescent="0.2">
      <c r="A243" s="45">
        <v>22</v>
      </c>
      <c r="B243" s="45" t="str">
        <f>Source!E87</f>
        <v>17</v>
      </c>
      <c r="C243" s="45" t="str">
        <f>Source!G87</f>
        <v>Установка в жилых и общественных зданиях оконных блоков из ПВХ профилей поворотных (откидных, поворотно-откидных) с площадью проема до 2 м2 одностворчатых</v>
      </c>
      <c r="D243" s="45" t="str">
        <f>Source!F87</f>
        <v>10-01-034-03</v>
      </c>
      <c r="E243" s="30" t="str">
        <f>Source!H87</f>
        <v>100 м2</v>
      </c>
      <c r="F243" s="12">
        <f>Source!I87</f>
        <v>1.7999999999999999E-2</v>
      </c>
      <c r="G243" s="22">
        <f>Source!AB87</f>
        <v>16112.34</v>
      </c>
      <c r="H243" s="22">
        <f>Source!O87</f>
        <v>1902.54</v>
      </c>
      <c r="T243">
        <f>Source!O87+Source!X87+Source!Y87</f>
        <v>2328.2499999999995</v>
      </c>
      <c r="U243">
        <f>Source!P87</f>
        <v>1603.35</v>
      </c>
      <c r="V243">
        <f>Source!S87</f>
        <v>256.45</v>
      </c>
      <c r="W243">
        <f>Source!Q87</f>
        <v>42.74</v>
      </c>
      <c r="X243">
        <f>Source!R87</f>
        <v>9.6199999999999992</v>
      </c>
      <c r="Y243">
        <f>Source!U87</f>
        <v>4.4728559999999993</v>
      </c>
      <c r="Z243">
        <f>Source!V87</f>
        <v>0.11992499999999999</v>
      </c>
      <c r="AA243">
        <f>Source!X87</f>
        <v>282.02999999999997</v>
      </c>
      <c r="AB243">
        <f>Source!Y87</f>
        <v>143.68</v>
      </c>
    </row>
    <row r="244" spans="1:28" ht="14.25" x14ac:dyDescent="0.2">
      <c r="C244" s="23" t="str">
        <f>"Объем: "&amp;Source!I87&amp;"=1,8/"&amp;"100"</f>
        <v>Объем: 0,018=1,8/100</v>
      </c>
      <c r="F244" s="12"/>
      <c r="G244" s="12"/>
      <c r="H244" s="12"/>
    </row>
    <row r="245" spans="1:28" x14ac:dyDescent="0.2">
      <c r="C245" s="23" t="s">
        <v>1978</v>
      </c>
      <c r="D245" s="23">
        <f>Source!BA87</f>
        <v>6.56</v>
      </c>
    </row>
    <row r="246" spans="1:28" x14ac:dyDescent="0.2">
      <c r="C246" s="23" t="s">
        <v>1979</v>
      </c>
      <c r="D246" s="23">
        <f>Source!BB87</f>
        <v>6.56</v>
      </c>
    </row>
    <row r="247" spans="1:28" x14ac:dyDescent="0.2">
      <c r="C247" s="23" t="s">
        <v>1980</v>
      </c>
      <c r="D247" s="23">
        <f>Source!BC87</f>
        <v>6.56</v>
      </c>
    </row>
    <row r="248" spans="1:28" x14ac:dyDescent="0.2">
      <c r="C248" s="23" t="s">
        <v>1981</v>
      </c>
      <c r="D248" s="23">
        <f>Source!BS87</f>
        <v>6.56</v>
      </c>
    </row>
    <row r="249" spans="1:28" x14ac:dyDescent="0.2">
      <c r="C249" s="23" t="s">
        <v>1988</v>
      </c>
      <c r="D249" s="82" t="s">
        <v>187</v>
      </c>
      <c r="E249" s="82"/>
      <c r="F249" s="82"/>
      <c r="G249" s="82"/>
      <c r="H249" s="82"/>
    </row>
    <row r="250" spans="1:28" x14ac:dyDescent="0.2">
      <c r="C250" s="23" t="s">
        <v>1989</v>
      </c>
      <c r="D250" s="82" t="s">
        <v>187</v>
      </c>
      <c r="E250" s="82"/>
      <c r="F250" s="82"/>
      <c r="G250" s="82"/>
      <c r="H250" s="82"/>
    </row>
    <row r="251" spans="1:28" x14ac:dyDescent="0.2">
      <c r="C251" s="23" t="s">
        <v>1990</v>
      </c>
      <c r="D251" s="82" t="s">
        <v>188</v>
      </c>
      <c r="E251" s="82"/>
      <c r="F251" s="82"/>
      <c r="G251" s="82"/>
      <c r="H251" s="82"/>
    </row>
    <row r="252" spans="1:28" x14ac:dyDescent="0.2">
      <c r="C252" s="23" t="s">
        <v>1991</v>
      </c>
      <c r="D252" s="82" t="s">
        <v>188</v>
      </c>
      <c r="E252" s="82"/>
      <c r="F252" s="82"/>
      <c r="G252" s="82"/>
      <c r="H252" s="82"/>
    </row>
    <row r="253" spans="1:28" x14ac:dyDescent="0.2">
      <c r="C253" s="23" t="s">
        <v>1992</v>
      </c>
      <c r="D253" s="82" t="s">
        <v>187</v>
      </c>
      <c r="E253" s="82"/>
      <c r="F253" s="82"/>
      <c r="G253" s="82"/>
      <c r="H253" s="82"/>
    </row>
    <row r="254" spans="1:28" x14ac:dyDescent="0.2">
      <c r="C254" s="9" t="s">
        <v>1982</v>
      </c>
      <c r="D254" s="33"/>
      <c r="E254" s="33"/>
      <c r="F254" s="33">
        <f>Source!BZ87</f>
        <v>118</v>
      </c>
      <c r="G254" s="57">
        <f>(Source!AF87+Source!AE87)*Source!FX87/100</f>
        <v>2392.9833600000002</v>
      </c>
      <c r="H254" s="57">
        <f>Source!X87</f>
        <v>282.02999999999997</v>
      </c>
    </row>
    <row r="255" spans="1:28" x14ac:dyDescent="0.2">
      <c r="C255" s="9" t="s">
        <v>1983</v>
      </c>
      <c r="D255" s="33"/>
      <c r="E255" s="33"/>
      <c r="F255" s="33"/>
      <c r="G255" s="33" t="str">
        <f>CONCATENATE(Source!DL87,Source!FT87, "=", Source!FX87, "%")</f>
        <v>*0,9=106,2%</v>
      </c>
      <c r="H255" s="33" t="str">
        <f>CONCATENATE(Source!AT87)</f>
        <v>106</v>
      </c>
    </row>
    <row r="256" spans="1:28" x14ac:dyDescent="0.2">
      <c r="C256" s="9" t="s">
        <v>1984</v>
      </c>
      <c r="D256" s="33"/>
      <c r="E256" s="33"/>
      <c r="F256" s="33">
        <f>Source!CA87</f>
        <v>63</v>
      </c>
      <c r="G256" s="57">
        <f>(Source!AF87+Source!AE87)*Source!FY87/100</f>
        <v>1206.6314400000001</v>
      </c>
      <c r="H256" s="57">
        <f>Source!Y87</f>
        <v>143.68</v>
      </c>
    </row>
    <row r="257" spans="1:28" x14ac:dyDescent="0.2">
      <c r="C257" s="9" t="s">
        <v>1985</v>
      </c>
      <c r="D257" s="33"/>
      <c r="E257" s="33"/>
      <c r="F257" s="33"/>
      <c r="G257" s="33" t="str">
        <f>CONCATENATE(Source!DM87,Source!FU87, "=", Source!FY87, "%")</f>
        <v>*0,85=53,55%</v>
      </c>
      <c r="H257" s="33" t="str">
        <f>CONCATENATE(Source!AU87)</f>
        <v>54</v>
      </c>
    </row>
    <row r="258" spans="1:28" x14ac:dyDescent="0.2">
      <c r="C258" s="9" t="s">
        <v>1986</v>
      </c>
      <c r="D258" s="33"/>
      <c r="E258" s="33"/>
      <c r="F258" s="33"/>
      <c r="G258" s="57">
        <f>((Source!AF87+Source!AE87)*Source!FX87/100)+((Source!AF87+Source!AE87)*Source!FY87/100)+Source!AB87</f>
        <v>19711.9548</v>
      </c>
      <c r="H258" s="57">
        <f>Source!O87+Source!X87+Source!Y87</f>
        <v>2328.2499999999995</v>
      </c>
    </row>
    <row r="259" spans="1:28" ht="71.25" x14ac:dyDescent="0.2">
      <c r="A259" s="45">
        <v>23</v>
      </c>
      <c r="B259" s="45" t="str">
        <f>Source!E88</f>
        <v>17,1</v>
      </c>
      <c r="C259" s="45" t="str">
        <f>Source!G88</f>
        <v>Блок оконный пластиковый одностворчатый, с поворотно-откидной створкой, двухкамерным стеклопакетом (32 мм), площадью до 1 м2</v>
      </c>
      <c r="D259" s="45" t="str">
        <f>Source!F88</f>
        <v>11.3.02.02-0012</v>
      </c>
      <c r="E259" s="30" t="str">
        <f>Source!H88</f>
        <v>м2</v>
      </c>
      <c r="F259" s="12">
        <f>Source!I88</f>
        <v>1.8</v>
      </c>
      <c r="G259" s="22">
        <f>Source!AB88</f>
        <v>4581.8599999999997</v>
      </c>
      <c r="H259" s="22">
        <f>Source!O88</f>
        <v>54102.6</v>
      </c>
      <c r="T259">
        <f>Source!O88+Source!X88+Source!Y88</f>
        <v>54102.6</v>
      </c>
      <c r="U259">
        <f>Source!P88</f>
        <v>54102.6</v>
      </c>
      <c r="V259">
        <f>Source!S88</f>
        <v>0</v>
      </c>
      <c r="W259">
        <f>Source!Q88</f>
        <v>0</v>
      </c>
      <c r="X259">
        <f>Source!R88</f>
        <v>0</v>
      </c>
      <c r="Y259">
        <f>Source!U88</f>
        <v>0</v>
      </c>
      <c r="Z259">
        <f>Source!V88</f>
        <v>0</v>
      </c>
      <c r="AA259">
        <f>Source!X88</f>
        <v>0</v>
      </c>
      <c r="AB259">
        <f>Source!Y88</f>
        <v>0</v>
      </c>
    </row>
    <row r="260" spans="1:28" ht="14.25" x14ac:dyDescent="0.2">
      <c r="C260" s="23" t="s">
        <v>1980</v>
      </c>
      <c r="D260" s="23">
        <f>Source!BC88</f>
        <v>6.56</v>
      </c>
      <c r="F260" s="12"/>
      <c r="G260" s="12"/>
      <c r="H260" s="12"/>
    </row>
    <row r="261" spans="1:28" ht="14.25" x14ac:dyDescent="0.2">
      <c r="A261" s="45">
        <v>24</v>
      </c>
      <c r="B261" s="45" t="str">
        <f>Source!E89</f>
        <v>17,2</v>
      </c>
      <c r="C261" s="45" t="str">
        <f>Source!G89</f>
        <v>Блоки оконные пластиковые</v>
      </c>
      <c r="D261" s="45" t="str">
        <f>Source!F89</f>
        <v>11.3.02.03</v>
      </c>
      <c r="E261" s="30" t="str">
        <f>Source!H89</f>
        <v>м2</v>
      </c>
      <c r="F261" s="12">
        <f>Source!I89</f>
        <v>1.8</v>
      </c>
      <c r="G261" s="22">
        <f>Source!AB89</f>
        <v>0</v>
      </c>
      <c r="H261" s="22">
        <f>Source!O89</f>
        <v>0</v>
      </c>
      <c r="T261">
        <f>Source!O89+Source!X89+Source!Y89</f>
        <v>0</v>
      </c>
      <c r="U261">
        <f>Source!P89</f>
        <v>0</v>
      </c>
      <c r="V261">
        <f>Source!S89</f>
        <v>0</v>
      </c>
      <c r="W261">
        <f>Source!Q89</f>
        <v>0</v>
      </c>
      <c r="X261">
        <f>Source!R89</f>
        <v>0</v>
      </c>
      <c r="Y261">
        <f>Source!U89</f>
        <v>0</v>
      </c>
      <c r="Z261">
        <f>Source!V89</f>
        <v>0</v>
      </c>
      <c r="AA261">
        <f>Source!X89</f>
        <v>0</v>
      </c>
      <c r="AB261">
        <f>Source!Y89</f>
        <v>0</v>
      </c>
    </row>
    <row r="262" spans="1:28" ht="14.25" x14ac:dyDescent="0.2">
      <c r="C262" s="23" t="s">
        <v>1980</v>
      </c>
      <c r="D262" s="23">
        <f>Source!BC89</f>
        <v>6.56</v>
      </c>
      <c r="F262" s="12"/>
      <c r="G262" s="12"/>
      <c r="H262" s="12"/>
    </row>
    <row r="263" spans="1:28" ht="42.75" x14ac:dyDescent="0.2">
      <c r="A263" s="45">
        <v>25</v>
      </c>
      <c r="B263" s="45" t="str">
        <f>Source!E90</f>
        <v>18</v>
      </c>
      <c r="C263" s="45" t="str">
        <f>Source!G90</f>
        <v>Устройство мелких покрытий (брандмауэры, парапеты, свесы и т.п.) из листовой оцинкованной стали</v>
      </c>
      <c r="D263" s="45" t="str">
        <f>Source!F90</f>
        <v>12-01-010-01</v>
      </c>
      <c r="E263" s="30" t="str">
        <f>Source!H90</f>
        <v>100 м2</v>
      </c>
      <c r="F263" s="12">
        <f>Source!I90</f>
        <v>4.0599999999999997E-2</v>
      </c>
      <c r="G263" s="22">
        <f>Source!AB90</f>
        <v>10023.950000000001</v>
      </c>
      <c r="H263" s="22">
        <f>Source!O90</f>
        <v>2669.73</v>
      </c>
      <c r="T263">
        <f>Source!O90+Source!X90+Source!Y90</f>
        <v>3151.79</v>
      </c>
      <c r="U263">
        <f>Source!P90</f>
        <v>2367.88</v>
      </c>
      <c r="V263">
        <f>Source!S90</f>
        <v>294.57</v>
      </c>
      <c r="W263">
        <f>Source!Q90</f>
        <v>7.28</v>
      </c>
      <c r="X263">
        <f>Source!R90</f>
        <v>1.17</v>
      </c>
      <c r="Y263">
        <f>Source!U90</f>
        <v>5.2642974999999996</v>
      </c>
      <c r="Z263">
        <f>Source!V90</f>
        <v>1.3702499999999999E-2</v>
      </c>
      <c r="AA263">
        <f>Source!X90</f>
        <v>319.39999999999998</v>
      </c>
      <c r="AB263">
        <f>Source!Y90</f>
        <v>162.66</v>
      </c>
    </row>
    <row r="264" spans="1:28" ht="14.25" x14ac:dyDescent="0.2">
      <c r="C264" s="23" t="str">
        <f>"Объем: "&amp;Source!I90&amp;"=4,06/"&amp;"100"</f>
        <v>Объем: 0,0406=4,06/100</v>
      </c>
      <c r="F264" s="12"/>
      <c r="G264" s="12"/>
      <c r="H264" s="12"/>
    </row>
    <row r="265" spans="1:28" x14ac:dyDescent="0.2">
      <c r="C265" s="23" t="s">
        <v>1978</v>
      </c>
      <c r="D265" s="23">
        <f>Source!BA90</f>
        <v>6.56</v>
      </c>
    </row>
    <row r="266" spans="1:28" x14ac:dyDescent="0.2">
      <c r="C266" s="23" t="s">
        <v>1979</v>
      </c>
      <c r="D266" s="23">
        <f>Source!BB90</f>
        <v>6.56</v>
      </c>
    </row>
    <row r="267" spans="1:28" x14ac:dyDescent="0.2">
      <c r="C267" s="23" t="s">
        <v>1980</v>
      </c>
      <c r="D267" s="23">
        <f>Source!BC90</f>
        <v>6.56</v>
      </c>
    </row>
    <row r="268" spans="1:28" x14ac:dyDescent="0.2">
      <c r="C268" s="23" t="s">
        <v>1981</v>
      </c>
      <c r="D268" s="23">
        <f>Source!BS90</f>
        <v>6.56</v>
      </c>
    </row>
    <row r="269" spans="1:28" x14ac:dyDescent="0.2">
      <c r="C269" s="23" t="s">
        <v>1988</v>
      </c>
      <c r="D269" s="82" t="s">
        <v>187</v>
      </c>
      <c r="E269" s="82"/>
      <c r="F269" s="82"/>
      <c r="G269" s="82"/>
      <c r="H269" s="82"/>
    </row>
    <row r="270" spans="1:28" x14ac:dyDescent="0.2">
      <c r="C270" s="23" t="s">
        <v>1989</v>
      </c>
      <c r="D270" s="82" t="s">
        <v>187</v>
      </c>
      <c r="E270" s="82"/>
      <c r="F270" s="82"/>
      <c r="G270" s="82"/>
      <c r="H270" s="82"/>
    </row>
    <row r="271" spans="1:28" x14ac:dyDescent="0.2">
      <c r="C271" s="23" t="s">
        <v>1990</v>
      </c>
      <c r="D271" s="82" t="s">
        <v>188</v>
      </c>
      <c r="E271" s="82"/>
      <c r="F271" s="82"/>
      <c r="G271" s="82"/>
      <c r="H271" s="82"/>
    </row>
    <row r="272" spans="1:28" x14ac:dyDescent="0.2">
      <c r="C272" s="23" t="s">
        <v>1991</v>
      </c>
      <c r="D272" s="82" t="s">
        <v>188</v>
      </c>
      <c r="E272" s="82"/>
      <c r="F272" s="82"/>
      <c r="G272" s="82"/>
      <c r="H272" s="82"/>
    </row>
    <row r="273" spans="1:28" x14ac:dyDescent="0.2">
      <c r="C273" s="23" t="s">
        <v>1992</v>
      </c>
      <c r="D273" s="82" t="s">
        <v>187</v>
      </c>
      <c r="E273" s="82"/>
      <c r="F273" s="82"/>
      <c r="G273" s="82"/>
      <c r="H273" s="82"/>
    </row>
    <row r="274" spans="1:28" x14ac:dyDescent="0.2">
      <c r="C274" s="9" t="s">
        <v>1982</v>
      </c>
      <c r="D274" s="33"/>
      <c r="E274" s="33"/>
      <c r="F274" s="33">
        <f>Source!BZ90</f>
        <v>120</v>
      </c>
      <c r="G274" s="57">
        <f>(Source!AF90+Source!AE90)*Source!FX90/100</f>
        <v>1199.2428000000002</v>
      </c>
      <c r="H274" s="57">
        <f>Source!X90</f>
        <v>319.39999999999998</v>
      </c>
    </row>
    <row r="275" spans="1:28" x14ac:dyDescent="0.2">
      <c r="C275" s="9" t="s">
        <v>1983</v>
      </c>
      <c r="D275" s="33"/>
      <c r="E275" s="33"/>
      <c r="F275" s="33"/>
      <c r="G275" s="33" t="str">
        <f>CONCATENATE(Source!DL90,Source!FT90, "=", Source!FX90, "%")</f>
        <v>*0,9=108%</v>
      </c>
      <c r="H275" s="33" t="str">
        <f>CONCATENATE(Source!AT90)</f>
        <v>108</v>
      </c>
    </row>
    <row r="276" spans="1:28" x14ac:dyDescent="0.2">
      <c r="C276" s="9" t="s">
        <v>1984</v>
      </c>
      <c r="D276" s="33"/>
      <c r="E276" s="33"/>
      <c r="F276" s="33">
        <f>Source!CA90</f>
        <v>65</v>
      </c>
      <c r="G276" s="57">
        <f>(Source!AF90+Source!AE90)*Source!FY90/100</f>
        <v>613.50152500000002</v>
      </c>
      <c r="H276" s="57">
        <f>Source!Y90</f>
        <v>162.66</v>
      </c>
    </row>
    <row r="277" spans="1:28" x14ac:dyDescent="0.2">
      <c r="C277" s="9" t="s">
        <v>1985</v>
      </c>
      <c r="D277" s="33"/>
      <c r="E277" s="33"/>
      <c r="F277" s="33"/>
      <c r="G277" s="33" t="str">
        <f>CONCATENATE(Source!DM90,Source!FU90, "=", Source!FY90, "%")</f>
        <v>*0,85=55,25%</v>
      </c>
      <c r="H277" s="33" t="str">
        <f>CONCATENATE(Source!AU90)</f>
        <v>55</v>
      </c>
    </row>
    <row r="278" spans="1:28" x14ac:dyDescent="0.2">
      <c r="C278" s="9" t="s">
        <v>1986</v>
      </c>
      <c r="D278" s="33"/>
      <c r="E278" s="33"/>
      <c r="F278" s="33"/>
      <c r="G278" s="57">
        <f>((Source!AF90+Source!AE90)*Source!FX90/100)+((Source!AF90+Source!AE90)*Source!FY90/100)+Source!AB90</f>
        <v>11836.694325</v>
      </c>
      <c r="H278" s="57">
        <f>Source!O90+Source!X90+Source!Y90</f>
        <v>3151.79</v>
      </c>
    </row>
    <row r="279" spans="1:28" ht="28.5" x14ac:dyDescent="0.2">
      <c r="A279" s="45">
        <v>26</v>
      </c>
      <c r="B279" s="45" t="str">
        <f>Source!E91</f>
        <v>19</v>
      </c>
      <c r="C279" s="45" t="str">
        <f>Source!G91</f>
        <v>Установка подоконных досок из ПВХ в каменных стенах толщиной до 0,51 м</v>
      </c>
      <c r="D279" s="45" t="str">
        <f>Source!F91</f>
        <v>10-01-035-01</v>
      </c>
      <c r="E279" s="30" t="str">
        <f>Source!H91</f>
        <v>100 м</v>
      </c>
      <c r="F279" s="12">
        <f>Source!I91</f>
        <v>0.16400000000000001</v>
      </c>
      <c r="G279" s="22">
        <f>Source!AB91</f>
        <v>4213.95</v>
      </c>
      <c r="H279" s="22">
        <f>Source!O91</f>
        <v>4533.53</v>
      </c>
      <c r="T279">
        <f>Source!O91+Source!X91+Source!Y91</f>
        <v>4896.2299999999996</v>
      </c>
      <c r="U279">
        <f>Source!P91</f>
        <v>4294.97</v>
      </c>
      <c r="V279">
        <f>Source!S91</f>
        <v>223.62</v>
      </c>
      <c r="W279">
        <f>Source!Q91</f>
        <v>14.94</v>
      </c>
      <c r="X279">
        <f>Source!R91</f>
        <v>3.07</v>
      </c>
      <c r="Y279">
        <f>Source!U91</f>
        <v>3.9964340000000003</v>
      </c>
      <c r="Z279">
        <f>Source!V91</f>
        <v>3.8949999999999999E-2</v>
      </c>
      <c r="AA279">
        <f>Source!X91</f>
        <v>240.29</v>
      </c>
      <c r="AB279">
        <f>Source!Y91</f>
        <v>122.41</v>
      </c>
    </row>
    <row r="280" spans="1:28" ht="14.25" x14ac:dyDescent="0.2">
      <c r="C280" s="23" t="str">
        <f>"Объем: "&amp;Source!I91&amp;"=16,4/"&amp;"100"</f>
        <v>Объем: 0,164=16,4/100</v>
      </c>
      <c r="F280" s="12"/>
      <c r="G280" s="12"/>
      <c r="H280" s="12"/>
    </row>
    <row r="281" spans="1:28" x14ac:dyDescent="0.2">
      <c r="C281" s="23" t="s">
        <v>1978</v>
      </c>
      <c r="D281" s="23">
        <f>Source!BA91</f>
        <v>6.56</v>
      </c>
    </row>
    <row r="282" spans="1:28" x14ac:dyDescent="0.2">
      <c r="C282" s="23" t="s">
        <v>1979</v>
      </c>
      <c r="D282" s="23">
        <f>Source!BB91</f>
        <v>6.56</v>
      </c>
    </row>
    <row r="283" spans="1:28" x14ac:dyDescent="0.2">
      <c r="C283" s="23" t="s">
        <v>1980</v>
      </c>
      <c r="D283" s="23">
        <f>Source!BC91</f>
        <v>6.56</v>
      </c>
    </row>
    <row r="284" spans="1:28" x14ac:dyDescent="0.2">
      <c r="C284" s="23" t="s">
        <v>1981</v>
      </c>
      <c r="D284" s="23">
        <f>Source!BS91</f>
        <v>6.56</v>
      </c>
    </row>
    <row r="285" spans="1:28" x14ac:dyDescent="0.2">
      <c r="C285" s="23" t="s">
        <v>1988</v>
      </c>
      <c r="D285" s="82" t="s">
        <v>187</v>
      </c>
      <c r="E285" s="82"/>
      <c r="F285" s="82"/>
      <c r="G285" s="82"/>
      <c r="H285" s="82"/>
    </row>
    <row r="286" spans="1:28" x14ac:dyDescent="0.2">
      <c r="C286" s="23" t="s">
        <v>1989</v>
      </c>
      <c r="D286" s="82" t="s">
        <v>187</v>
      </c>
      <c r="E286" s="82"/>
      <c r="F286" s="82"/>
      <c r="G286" s="82"/>
      <c r="H286" s="82"/>
    </row>
    <row r="287" spans="1:28" x14ac:dyDescent="0.2">
      <c r="C287" s="23" t="s">
        <v>1990</v>
      </c>
      <c r="D287" s="82" t="s">
        <v>188</v>
      </c>
      <c r="E287" s="82"/>
      <c r="F287" s="82"/>
      <c r="G287" s="82"/>
      <c r="H287" s="82"/>
    </row>
    <row r="288" spans="1:28" x14ac:dyDescent="0.2">
      <c r="C288" s="23" t="s">
        <v>1991</v>
      </c>
      <c r="D288" s="82" t="s">
        <v>188</v>
      </c>
      <c r="E288" s="82"/>
      <c r="F288" s="82"/>
      <c r="G288" s="82"/>
      <c r="H288" s="82"/>
    </row>
    <row r="289" spans="1:28" x14ac:dyDescent="0.2">
      <c r="C289" s="23" t="s">
        <v>1992</v>
      </c>
      <c r="D289" s="82" t="s">
        <v>187</v>
      </c>
      <c r="E289" s="82"/>
      <c r="F289" s="82"/>
      <c r="G289" s="82"/>
      <c r="H289" s="82"/>
    </row>
    <row r="290" spans="1:28" x14ac:dyDescent="0.2">
      <c r="C290" s="9" t="s">
        <v>1982</v>
      </c>
      <c r="D290" s="33"/>
      <c r="E290" s="33"/>
      <c r="F290" s="33">
        <f>Source!BZ91</f>
        <v>118</v>
      </c>
      <c r="G290" s="57">
        <f>(Source!AF91+Source!AE91)*Source!FX91/100</f>
        <v>223.77402000000001</v>
      </c>
      <c r="H290" s="57">
        <f>Source!X91</f>
        <v>240.29</v>
      </c>
    </row>
    <row r="291" spans="1:28" x14ac:dyDescent="0.2">
      <c r="C291" s="9" t="s">
        <v>1983</v>
      </c>
      <c r="D291" s="33"/>
      <c r="E291" s="33"/>
      <c r="F291" s="33"/>
      <c r="G291" s="33" t="str">
        <f>CONCATENATE(Source!DL91,Source!FT91, "=", Source!FX91, "%")</f>
        <v>*0,9=106,2%</v>
      </c>
      <c r="H291" s="33" t="str">
        <f>CONCATENATE(Source!AT91)</f>
        <v>106</v>
      </c>
    </row>
    <row r="292" spans="1:28" x14ac:dyDescent="0.2">
      <c r="C292" s="9" t="s">
        <v>1984</v>
      </c>
      <c r="D292" s="33"/>
      <c r="E292" s="33"/>
      <c r="F292" s="33">
        <f>Source!CA91</f>
        <v>63</v>
      </c>
      <c r="G292" s="57">
        <f>(Source!AF91+Source!AE91)*Source!FY91/100</f>
        <v>112.835205</v>
      </c>
      <c r="H292" s="57">
        <f>Source!Y91</f>
        <v>122.41</v>
      </c>
    </row>
    <row r="293" spans="1:28" x14ac:dyDescent="0.2">
      <c r="C293" s="9" t="s">
        <v>1985</v>
      </c>
      <c r="D293" s="33"/>
      <c r="E293" s="33"/>
      <c r="F293" s="33"/>
      <c r="G293" s="33" t="str">
        <f>CONCATENATE(Source!DM91,Source!FU91, "=", Source!FY91, "%")</f>
        <v>*0,85=53,55%</v>
      </c>
      <c r="H293" s="33" t="str">
        <f>CONCATENATE(Source!AU91)</f>
        <v>54</v>
      </c>
    </row>
    <row r="294" spans="1:28" x14ac:dyDescent="0.2">
      <c r="C294" s="9" t="s">
        <v>1986</v>
      </c>
      <c r="D294" s="33"/>
      <c r="E294" s="33"/>
      <c r="F294" s="33"/>
      <c r="G294" s="57">
        <f>((Source!AF91+Source!AE91)*Source!FX91/100)+((Source!AF91+Source!AE91)*Source!FY91/100)+Source!AB91</f>
        <v>4550.559225</v>
      </c>
      <c r="H294" s="57">
        <f>Source!O91+Source!X91+Source!Y91</f>
        <v>4896.2299999999996</v>
      </c>
    </row>
    <row r="295" spans="1:28" ht="28.5" x14ac:dyDescent="0.2">
      <c r="A295" s="45">
        <v>27</v>
      </c>
      <c r="B295" s="45" t="str">
        <f>Source!E92</f>
        <v>19,1</v>
      </c>
      <c r="C295" s="45" t="str">
        <f>Source!G92</f>
        <v>Доски подоконные ПВХ, шириной 500 мм</v>
      </c>
      <c r="D295" s="45" t="str">
        <f>Source!F92</f>
        <v>11.3.03.01-0010</v>
      </c>
      <c r="E295" s="30" t="str">
        <f>Source!H92</f>
        <v>м</v>
      </c>
      <c r="F295" s="12">
        <f>Source!I92</f>
        <v>16.399999999999999</v>
      </c>
      <c r="G295" s="22">
        <f>Source!AB92</f>
        <v>64.349999999999994</v>
      </c>
      <c r="H295" s="22">
        <f>Source!O92</f>
        <v>6923.03</v>
      </c>
      <c r="T295">
        <f>Source!O92+Source!X92+Source!Y92</f>
        <v>6923.03</v>
      </c>
      <c r="U295">
        <f>Source!P92</f>
        <v>6923.03</v>
      </c>
      <c r="V295">
        <f>Source!S92</f>
        <v>0</v>
      </c>
      <c r="W295">
        <f>Source!Q92</f>
        <v>0</v>
      </c>
      <c r="X295">
        <f>Source!R92</f>
        <v>0</v>
      </c>
      <c r="Y295">
        <f>Source!U92</f>
        <v>0</v>
      </c>
      <c r="Z295">
        <f>Source!V92</f>
        <v>0</v>
      </c>
      <c r="AA295">
        <f>Source!X92</f>
        <v>0</v>
      </c>
      <c r="AB295">
        <f>Source!Y92</f>
        <v>0</v>
      </c>
    </row>
    <row r="296" spans="1:28" ht="14.25" x14ac:dyDescent="0.2">
      <c r="C296" s="23" t="s">
        <v>1980</v>
      </c>
      <c r="D296" s="23">
        <f>Source!BC92</f>
        <v>6.56</v>
      </c>
      <c r="F296" s="12"/>
      <c r="G296" s="12"/>
      <c r="H296" s="12"/>
    </row>
    <row r="297" spans="1:28" ht="42.75" x14ac:dyDescent="0.2">
      <c r="A297" s="45">
        <v>28</v>
      </c>
      <c r="B297" s="45" t="str">
        <f>Source!E94</f>
        <v>20</v>
      </c>
      <c r="C297" s="45" t="str">
        <f>Source!G94</f>
        <v>Штукатурка поверхностей оконных и дверных откосов по бетону и камню плоских</v>
      </c>
      <c r="D297" s="45" t="str">
        <f>Source!F94</f>
        <v>15-02-031-01</v>
      </c>
      <c r="E297" s="30" t="str">
        <f>Source!H94</f>
        <v>100 м2</v>
      </c>
      <c r="F297" s="12">
        <f>Source!I94</f>
        <v>0.3241</v>
      </c>
      <c r="G297" s="22">
        <f>Source!AB94</f>
        <v>4507.09</v>
      </c>
      <c r="H297" s="22">
        <f>Source!O94</f>
        <v>9582.51</v>
      </c>
      <c r="T297">
        <f>Source!O94+Source!X94+Source!Y94</f>
        <v>16269.23</v>
      </c>
      <c r="U297">
        <f>Source!P94</f>
        <v>4776.3</v>
      </c>
      <c r="V297">
        <f>Source!S94</f>
        <v>4635.0600000000004</v>
      </c>
      <c r="W297">
        <f>Source!Q94</f>
        <v>171.15</v>
      </c>
      <c r="X297">
        <f>Source!R94</f>
        <v>73.900000000000006</v>
      </c>
      <c r="Y297">
        <f>Source!U94</f>
        <v>76.056222899999995</v>
      </c>
      <c r="Z297">
        <f>Source!V94</f>
        <v>0.83455750000000006</v>
      </c>
      <c r="AA297">
        <f>Source!X94</f>
        <v>4473.51</v>
      </c>
      <c r="AB297">
        <f>Source!Y94</f>
        <v>2213.21</v>
      </c>
    </row>
    <row r="298" spans="1:28" ht="14.25" x14ac:dyDescent="0.2">
      <c r="C298" s="23" t="str">
        <f>"Объем: "&amp;Source!I94&amp;"=32,41/"&amp;"100"</f>
        <v>Объем: 0,3241=32,41/100</v>
      </c>
      <c r="F298" s="12"/>
      <c r="G298" s="12"/>
      <c r="H298" s="12"/>
    </row>
    <row r="299" spans="1:28" x14ac:dyDescent="0.2">
      <c r="C299" s="23" t="s">
        <v>1978</v>
      </c>
      <c r="D299" s="23">
        <f>Source!BA94</f>
        <v>6.56</v>
      </c>
    </row>
    <row r="300" spans="1:28" x14ac:dyDescent="0.2">
      <c r="C300" s="23" t="s">
        <v>1979</v>
      </c>
      <c r="D300" s="23">
        <f>Source!BB94</f>
        <v>6.56</v>
      </c>
    </row>
    <row r="301" spans="1:28" x14ac:dyDescent="0.2">
      <c r="C301" s="23" t="s">
        <v>1980</v>
      </c>
      <c r="D301" s="23">
        <f>Source!BC94</f>
        <v>6.56</v>
      </c>
    </row>
    <row r="302" spans="1:28" x14ac:dyDescent="0.2">
      <c r="C302" s="23" t="s">
        <v>1981</v>
      </c>
      <c r="D302" s="23">
        <f>Source!BS94</f>
        <v>6.56</v>
      </c>
    </row>
    <row r="303" spans="1:28" x14ac:dyDescent="0.2">
      <c r="C303" s="23" t="s">
        <v>1988</v>
      </c>
      <c r="D303" s="82" t="s">
        <v>187</v>
      </c>
      <c r="E303" s="82"/>
      <c r="F303" s="82"/>
      <c r="G303" s="82"/>
      <c r="H303" s="82"/>
    </row>
    <row r="304" spans="1:28" x14ac:dyDescent="0.2">
      <c r="C304" s="23" t="s">
        <v>1989</v>
      </c>
      <c r="D304" s="82" t="s">
        <v>187</v>
      </c>
      <c r="E304" s="82"/>
      <c r="F304" s="82"/>
      <c r="G304" s="82"/>
      <c r="H304" s="82"/>
    </row>
    <row r="305" spans="1:28" x14ac:dyDescent="0.2">
      <c r="C305" s="23" t="s">
        <v>1990</v>
      </c>
      <c r="D305" s="82" t="s">
        <v>188</v>
      </c>
      <c r="E305" s="82"/>
      <c r="F305" s="82"/>
      <c r="G305" s="82"/>
      <c r="H305" s="82"/>
    </row>
    <row r="306" spans="1:28" x14ac:dyDescent="0.2">
      <c r="C306" s="23" t="s">
        <v>1991</v>
      </c>
      <c r="D306" s="82" t="s">
        <v>188</v>
      </c>
      <c r="E306" s="82"/>
      <c r="F306" s="82"/>
      <c r="G306" s="82"/>
      <c r="H306" s="82"/>
    </row>
    <row r="307" spans="1:28" x14ac:dyDescent="0.2">
      <c r="C307" s="23" t="s">
        <v>1992</v>
      </c>
      <c r="D307" s="82" t="s">
        <v>187</v>
      </c>
      <c r="E307" s="82"/>
      <c r="F307" s="82"/>
      <c r="G307" s="82"/>
      <c r="H307" s="82"/>
    </row>
    <row r="308" spans="1:28" x14ac:dyDescent="0.2">
      <c r="C308" s="9" t="s">
        <v>1982</v>
      </c>
      <c r="D308" s="33"/>
      <c r="E308" s="33"/>
      <c r="F308" s="33">
        <f>Source!BZ94</f>
        <v>105</v>
      </c>
      <c r="G308" s="57">
        <f>(Source!AF94+Source!AE94)*Source!FX94/100</f>
        <v>2093.0237999999999</v>
      </c>
      <c r="H308" s="57">
        <f>Source!X94</f>
        <v>4473.51</v>
      </c>
    </row>
    <row r="309" spans="1:28" x14ac:dyDescent="0.2">
      <c r="C309" s="9" t="s">
        <v>1983</v>
      </c>
      <c r="D309" s="33"/>
      <c r="E309" s="33"/>
      <c r="F309" s="33"/>
      <c r="G309" s="33" t="str">
        <f>CONCATENATE(Source!DL94,Source!FT94, "=", Source!FX94, "%")</f>
        <v>*0,9=94,5%</v>
      </c>
      <c r="H309" s="33" t="str">
        <f>CONCATENATE(Source!AT94)</f>
        <v>95</v>
      </c>
    </row>
    <row r="310" spans="1:28" x14ac:dyDescent="0.2">
      <c r="C310" s="9" t="s">
        <v>1984</v>
      </c>
      <c r="D310" s="33"/>
      <c r="E310" s="33"/>
      <c r="F310" s="33">
        <f>Source!CA94</f>
        <v>55</v>
      </c>
      <c r="G310" s="57">
        <f>(Source!AF94+Source!AE94)*Source!FY94/100</f>
        <v>1035.4376999999999</v>
      </c>
      <c r="H310" s="57">
        <f>Source!Y94</f>
        <v>2213.21</v>
      </c>
    </row>
    <row r="311" spans="1:28" x14ac:dyDescent="0.2">
      <c r="C311" s="9" t="s">
        <v>1985</v>
      </c>
      <c r="D311" s="33"/>
      <c r="E311" s="33"/>
      <c r="F311" s="33"/>
      <c r="G311" s="33" t="str">
        <f>CONCATENATE(Source!DM94,Source!FU94, "=", Source!FY94, "%")</f>
        <v>*0,85=46,75%</v>
      </c>
      <c r="H311" s="33" t="str">
        <f>CONCATENATE(Source!AU94)</f>
        <v>47</v>
      </c>
    </row>
    <row r="312" spans="1:28" x14ac:dyDescent="0.2">
      <c r="C312" s="9" t="s">
        <v>1986</v>
      </c>
      <c r="D312" s="33"/>
      <c r="E312" s="33"/>
      <c r="F312" s="33"/>
      <c r="G312" s="57">
        <f>((Source!AF94+Source!AE94)*Source!FX94/100)+((Source!AF94+Source!AE94)*Source!FY94/100)+Source!AB94</f>
        <v>7635.5514999999996</v>
      </c>
      <c r="H312" s="57">
        <f>Source!O94+Source!X94+Source!Y94</f>
        <v>16269.23</v>
      </c>
    </row>
    <row r="313" spans="1:28" ht="57" x14ac:dyDescent="0.2">
      <c r="A313" s="45">
        <v>29</v>
      </c>
      <c r="B313" s="45" t="str">
        <f>Source!E95</f>
        <v>21</v>
      </c>
      <c r="C313" s="45" t="str">
        <f>Source!G95</f>
        <v>Окраска поливинилацетатными водоэмульсионными составами улучшенная по штукатурке стен (откосы)</v>
      </c>
      <c r="D313" s="45" t="str">
        <f>Source!F95</f>
        <v>15-04-005-03</v>
      </c>
      <c r="E313" s="30" t="str">
        <f>Source!H95</f>
        <v>100 м2</v>
      </c>
      <c r="F313" s="12">
        <f>Source!I95</f>
        <v>0.3241</v>
      </c>
      <c r="G313" s="22">
        <f>Source!AB95</f>
        <v>735.94</v>
      </c>
      <c r="H313" s="22">
        <f>Source!O95</f>
        <v>1564.67</v>
      </c>
      <c r="T313">
        <f>Source!O95+Source!X95+Source!Y95</f>
        <v>2908.27</v>
      </c>
      <c r="U313">
        <f>Source!P95</f>
        <v>595.94000000000005</v>
      </c>
      <c r="V313">
        <f>Source!S95</f>
        <v>940.86</v>
      </c>
      <c r="W313">
        <f>Source!Q95</f>
        <v>27.87</v>
      </c>
      <c r="X313">
        <f>Source!R95</f>
        <v>5.34</v>
      </c>
      <c r="Y313">
        <f>Source!U95</f>
        <v>15.989473499999997</v>
      </c>
      <c r="Z313">
        <f>Source!V95</f>
        <v>6.8871250000000009E-2</v>
      </c>
      <c r="AA313">
        <f>Source!X95</f>
        <v>898.89</v>
      </c>
      <c r="AB313">
        <f>Source!Y95</f>
        <v>444.71</v>
      </c>
    </row>
    <row r="314" spans="1:28" ht="14.25" x14ac:dyDescent="0.2">
      <c r="C314" s="23" t="str">
        <f>"Объем: "&amp;Source!I95&amp;"=32,41/"&amp;"100"</f>
        <v>Объем: 0,3241=32,41/100</v>
      </c>
      <c r="F314" s="12"/>
      <c r="G314" s="12"/>
      <c r="H314" s="12"/>
    </row>
    <row r="315" spans="1:28" x14ac:dyDescent="0.2">
      <c r="C315" s="23" t="s">
        <v>1978</v>
      </c>
      <c r="D315" s="23">
        <f>Source!BA95</f>
        <v>6.56</v>
      </c>
    </row>
    <row r="316" spans="1:28" x14ac:dyDescent="0.2">
      <c r="C316" s="23" t="s">
        <v>1979</v>
      </c>
      <c r="D316" s="23">
        <f>Source!BB95</f>
        <v>6.56</v>
      </c>
    </row>
    <row r="317" spans="1:28" x14ac:dyDescent="0.2">
      <c r="C317" s="23" t="s">
        <v>1980</v>
      </c>
      <c r="D317" s="23">
        <f>Source!BC95</f>
        <v>6.56</v>
      </c>
    </row>
    <row r="318" spans="1:28" x14ac:dyDescent="0.2">
      <c r="C318" s="23" t="s">
        <v>1981</v>
      </c>
      <c r="D318" s="23">
        <f>Source!BS95</f>
        <v>6.56</v>
      </c>
    </row>
    <row r="319" spans="1:28" x14ac:dyDescent="0.2">
      <c r="C319" s="23" t="s">
        <v>1988</v>
      </c>
      <c r="D319" s="82" t="s">
        <v>187</v>
      </c>
      <c r="E319" s="82"/>
      <c r="F319" s="82"/>
      <c r="G319" s="82"/>
      <c r="H319" s="82"/>
    </row>
    <row r="320" spans="1:28" x14ac:dyDescent="0.2">
      <c r="C320" s="23" t="s">
        <v>1989</v>
      </c>
      <c r="D320" s="82" t="s">
        <v>187</v>
      </c>
      <c r="E320" s="82"/>
      <c r="F320" s="82"/>
      <c r="G320" s="82"/>
      <c r="H320" s="82"/>
    </row>
    <row r="321" spans="1:28" x14ac:dyDescent="0.2">
      <c r="C321" s="23" t="s">
        <v>1990</v>
      </c>
      <c r="D321" s="82" t="s">
        <v>188</v>
      </c>
      <c r="E321" s="82"/>
      <c r="F321" s="82"/>
      <c r="G321" s="82"/>
      <c r="H321" s="82"/>
    </row>
    <row r="322" spans="1:28" x14ac:dyDescent="0.2">
      <c r="C322" s="23" t="s">
        <v>1991</v>
      </c>
      <c r="D322" s="82" t="s">
        <v>188</v>
      </c>
      <c r="E322" s="82"/>
      <c r="F322" s="82"/>
      <c r="G322" s="82"/>
      <c r="H322" s="82"/>
    </row>
    <row r="323" spans="1:28" x14ac:dyDescent="0.2">
      <c r="C323" s="23" t="s">
        <v>1992</v>
      </c>
      <c r="D323" s="82" t="s">
        <v>187</v>
      </c>
      <c r="E323" s="82"/>
      <c r="F323" s="82"/>
      <c r="G323" s="82"/>
      <c r="H323" s="82"/>
    </row>
    <row r="324" spans="1:28" x14ac:dyDescent="0.2">
      <c r="C324" s="9" t="s">
        <v>1982</v>
      </c>
      <c r="D324" s="33"/>
      <c r="E324" s="33"/>
      <c r="F324" s="33">
        <f>Source!BZ95</f>
        <v>105</v>
      </c>
      <c r="G324" s="57">
        <f>(Source!AF95+Source!AE95)*Source!FX95/100</f>
        <v>420.56279999999998</v>
      </c>
      <c r="H324" s="57">
        <f>Source!X95</f>
        <v>898.89</v>
      </c>
    </row>
    <row r="325" spans="1:28" x14ac:dyDescent="0.2">
      <c r="C325" s="9" t="s">
        <v>1983</v>
      </c>
      <c r="D325" s="33"/>
      <c r="E325" s="33"/>
      <c r="F325" s="33"/>
      <c r="G325" s="33" t="str">
        <f>CONCATENATE(Source!DL95,Source!FT95, "=", Source!FX95, "%")</f>
        <v>*0,9=94,5%</v>
      </c>
      <c r="H325" s="33" t="str">
        <f>CONCATENATE(Source!AT95)</f>
        <v>95</v>
      </c>
    </row>
    <row r="326" spans="1:28" x14ac:dyDescent="0.2">
      <c r="C326" s="9" t="s">
        <v>1984</v>
      </c>
      <c r="D326" s="33"/>
      <c r="E326" s="33"/>
      <c r="F326" s="33">
        <f>Source!CA95</f>
        <v>55</v>
      </c>
      <c r="G326" s="57">
        <f>(Source!AF95+Source!AE95)*Source!FY95/100</f>
        <v>208.05619999999999</v>
      </c>
      <c r="H326" s="57">
        <f>Source!Y95</f>
        <v>444.71</v>
      </c>
    </row>
    <row r="327" spans="1:28" x14ac:dyDescent="0.2">
      <c r="C327" s="9" t="s">
        <v>1985</v>
      </c>
      <c r="D327" s="33"/>
      <c r="E327" s="33"/>
      <c r="F327" s="33"/>
      <c r="G327" s="33" t="str">
        <f>CONCATENATE(Source!DM95,Source!FU95, "=", Source!FY95, "%")</f>
        <v>*0,85=46,75%</v>
      </c>
      <c r="H327" s="33" t="str">
        <f>CONCATENATE(Source!AU95)</f>
        <v>47</v>
      </c>
    </row>
    <row r="328" spans="1:28" x14ac:dyDescent="0.2">
      <c r="C328" s="9" t="s">
        <v>1986</v>
      </c>
      <c r="D328" s="33"/>
      <c r="E328" s="33"/>
      <c r="F328" s="33"/>
      <c r="G328" s="57">
        <f>((Source!AF95+Source!AE95)*Source!FX95/100)+((Source!AF95+Source!AE95)*Source!FY95/100)+Source!AB95</f>
        <v>1364.559</v>
      </c>
      <c r="H328" s="57">
        <f>Source!O95+Source!X95+Source!Y95</f>
        <v>2908.27</v>
      </c>
    </row>
    <row r="329" spans="1:28" ht="28.5" x14ac:dyDescent="0.2">
      <c r="A329" s="45">
        <v>30</v>
      </c>
      <c r="B329" s="45" t="str">
        <f>Source!E96</f>
        <v>21,1</v>
      </c>
      <c r="C329" s="45" t="str">
        <f>Source!G96</f>
        <v>Краска водно-дисперсионная "БИРСС Интерьер-Колор", цвет белый</v>
      </c>
      <c r="D329" s="45" t="str">
        <f>Source!F96</f>
        <v>14.3.02.01-0208</v>
      </c>
      <c r="E329" s="30" t="str">
        <f>Source!H96</f>
        <v>т</v>
      </c>
      <c r="F329" s="12">
        <f>Source!I96</f>
        <v>2.0417999999999999E-2</v>
      </c>
      <c r="G329" s="22">
        <f>Source!AB96</f>
        <v>15445.9</v>
      </c>
      <c r="H329" s="22">
        <f>Source!O96</f>
        <v>2068.86</v>
      </c>
      <c r="T329">
        <f>Source!O96+Source!X96+Source!Y96</f>
        <v>2068.86</v>
      </c>
      <c r="U329">
        <f>Source!P96</f>
        <v>2068.86</v>
      </c>
      <c r="V329">
        <f>Source!S96</f>
        <v>0</v>
      </c>
      <c r="W329">
        <f>Source!Q96</f>
        <v>0</v>
      </c>
      <c r="X329">
        <f>Source!R96</f>
        <v>0</v>
      </c>
      <c r="Y329">
        <f>Source!U96</f>
        <v>0</v>
      </c>
      <c r="Z329">
        <f>Source!V96</f>
        <v>0</v>
      </c>
      <c r="AA329">
        <f>Source!X96</f>
        <v>0</v>
      </c>
      <c r="AB329">
        <f>Source!Y96</f>
        <v>0</v>
      </c>
    </row>
    <row r="330" spans="1:28" ht="14.25" x14ac:dyDescent="0.2">
      <c r="C330" s="23" t="s">
        <v>1980</v>
      </c>
      <c r="D330" s="23">
        <f>Source!BC96</f>
        <v>6.56</v>
      </c>
      <c r="F330" s="12"/>
      <c r="G330" s="12"/>
      <c r="H330" s="12"/>
    </row>
    <row r="331" spans="1:28" ht="14.25" x14ac:dyDescent="0.2">
      <c r="A331" s="45">
        <v>31</v>
      </c>
      <c r="B331" s="45" t="str">
        <f>Source!E97</f>
        <v>21,2</v>
      </c>
      <c r="C331" s="45" t="str">
        <f>Source!G97</f>
        <v>Краска водоэмульсионная</v>
      </c>
      <c r="D331" s="45" t="str">
        <f>Source!F97</f>
        <v>14.3.02.01</v>
      </c>
      <c r="E331" s="30" t="str">
        <f>Source!H97</f>
        <v>т</v>
      </c>
      <c r="F331" s="12">
        <f>Source!I97</f>
        <v>2.0417999999999999E-2</v>
      </c>
      <c r="G331" s="22">
        <f>Source!AB97</f>
        <v>0</v>
      </c>
      <c r="H331" s="22">
        <f>Source!O97</f>
        <v>0</v>
      </c>
      <c r="T331">
        <f>Source!O97+Source!X97+Source!Y97</f>
        <v>0</v>
      </c>
      <c r="U331">
        <f>Source!P97</f>
        <v>0</v>
      </c>
      <c r="V331">
        <f>Source!S97</f>
        <v>0</v>
      </c>
      <c r="W331">
        <f>Source!Q97</f>
        <v>0</v>
      </c>
      <c r="X331">
        <f>Source!R97</f>
        <v>0</v>
      </c>
      <c r="Y331">
        <f>Source!U97</f>
        <v>0</v>
      </c>
      <c r="Z331">
        <f>Source!V97</f>
        <v>0</v>
      </c>
      <c r="AA331">
        <f>Source!X97</f>
        <v>0</v>
      </c>
      <c r="AB331">
        <f>Source!Y97</f>
        <v>0</v>
      </c>
    </row>
    <row r="332" spans="1:28" ht="14.25" x14ac:dyDescent="0.2">
      <c r="C332" s="23" t="s">
        <v>1980</v>
      </c>
      <c r="D332" s="23">
        <f>Source!BC97</f>
        <v>6.56</v>
      </c>
      <c r="F332" s="12"/>
      <c r="G332" s="12"/>
      <c r="H332" s="12"/>
    </row>
    <row r="333" spans="1:28" ht="28.5" x14ac:dyDescent="0.2">
      <c r="A333" s="45">
        <v>32</v>
      </c>
      <c r="B333" s="45" t="str">
        <f>Source!E98</f>
        <v>22</v>
      </c>
      <c r="C333" s="45" t="str">
        <f>Source!G98</f>
        <v>Установка металлических дверных блоков в готовые проемы</v>
      </c>
      <c r="D333" s="45" t="str">
        <f>Source!F98</f>
        <v>09-04-012-01</v>
      </c>
      <c r="E333" s="30" t="str">
        <f>Source!H98</f>
        <v>м2</v>
      </c>
      <c r="F333" s="12">
        <f>Source!I98</f>
        <v>10.8</v>
      </c>
      <c r="G333" s="22">
        <f>Source!AB98</f>
        <v>71.11</v>
      </c>
      <c r="H333" s="22">
        <f>Source!O98</f>
        <v>5038</v>
      </c>
      <c r="T333">
        <f>Source!O98+Source!X98+Source!Y98</f>
        <v>8272.59</v>
      </c>
      <c r="U333">
        <f>Source!P98</f>
        <v>1822.21</v>
      </c>
      <c r="V333">
        <f>Source!S98</f>
        <v>1939.82</v>
      </c>
      <c r="W333">
        <f>Source!Q98</f>
        <v>1275.97</v>
      </c>
      <c r="X333">
        <f>Source!R98</f>
        <v>174.29</v>
      </c>
      <c r="Y333">
        <f>Source!U98</f>
        <v>29.808</v>
      </c>
      <c r="Z333">
        <f>Source!V98</f>
        <v>2.2950000000000004</v>
      </c>
      <c r="AA333">
        <f>Source!X98</f>
        <v>1712.43</v>
      </c>
      <c r="AB333">
        <f>Source!Y98</f>
        <v>1522.16</v>
      </c>
    </row>
    <row r="334" spans="1:28" ht="14.25" x14ac:dyDescent="0.2">
      <c r="C334" s="23" t="s">
        <v>1978</v>
      </c>
      <c r="D334" s="23">
        <f>Source!BA98</f>
        <v>6.56</v>
      </c>
      <c r="F334" s="12"/>
      <c r="G334" s="12"/>
      <c r="H334" s="12"/>
    </row>
    <row r="335" spans="1:28" x14ac:dyDescent="0.2">
      <c r="C335" s="23" t="s">
        <v>1979</v>
      </c>
      <c r="D335" s="23">
        <f>Source!BB98</f>
        <v>6.56</v>
      </c>
    </row>
    <row r="336" spans="1:28" x14ac:dyDescent="0.2">
      <c r="C336" s="23" t="s">
        <v>1980</v>
      </c>
      <c r="D336" s="23">
        <f>Source!BC98</f>
        <v>6.56</v>
      </c>
    </row>
    <row r="337" spans="1:28" x14ac:dyDescent="0.2">
      <c r="C337" s="23" t="s">
        <v>1981</v>
      </c>
      <c r="D337" s="23">
        <f>Source!BS98</f>
        <v>6.56</v>
      </c>
    </row>
    <row r="338" spans="1:28" x14ac:dyDescent="0.2">
      <c r="C338" s="23" t="s">
        <v>1988</v>
      </c>
      <c r="D338" s="82" t="s">
        <v>187</v>
      </c>
      <c r="E338" s="82"/>
      <c r="F338" s="82"/>
      <c r="G338" s="82"/>
      <c r="H338" s="82"/>
    </row>
    <row r="339" spans="1:28" x14ac:dyDescent="0.2">
      <c r="C339" s="23" t="s">
        <v>1989</v>
      </c>
      <c r="D339" s="82" t="s">
        <v>187</v>
      </c>
      <c r="E339" s="82"/>
      <c r="F339" s="82"/>
      <c r="G339" s="82"/>
      <c r="H339" s="82"/>
    </row>
    <row r="340" spans="1:28" x14ac:dyDescent="0.2">
      <c r="C340" s="23" t="s">
        <v>1990</v>
      </c>
      <c r="D340" s="82" t="s">
        <v>188</v>
      </c>
      <c r="E340" s="82"/>
      <c r="F340" s="82"/>
      <c r="G340" s="82"/>
      <c r="H340" s="82"/>
    </row>
    <row r="341" spans="1:28" x14ac:dyDescent="0.2">
      <c r="C341" s="23" t="s">
        <v>1991</v>
      </c>
      <c r="D341" s="82" t="s">
        <v>188</v>
      </c>
      <c r="E341" s="82"/>
      <c r="F341" s="82"/>
      <c r="G341" s="82"/>
      <c r="H341" s="82"/>
    </row>
    <row r="342" spans="1:28" x14ac:dyDescent="0.2">
      <c r="C342" s="23" t="s">
        <v>1992</v>
      </c>
      <c r="D342" s="82" t="s">
        <v>187</v>
      </c>
      <c r="E342" s="82"/>
      <c r="F342" s="82"/>
      <c r="G342" s="82"/>
      <c r="H342" s="82"/>
    </row>
    <row r="343" spans="1:28" x14ac:dyDescent="0.2">
      <c r="C343" s="9" t="s">
        <v>1982</v>
      </c>
      <c r="D343" s="33"/>
      <c r="E343" s="33"/>
      <c r="F343" s="33">
        <f>Source!BZ98</f>
        <v>90</v>
      </c>
      <c r="G343" s="57">
        <f>(Source!AF98+Source!AE98)*Source!FX98/100</f>
        <v>24.170400000000001</v>
      </c>
      <c r="H343" s="57">
        <f>Source!X98</f>
        <v>1712.43</v>
      </c>
    </row>
    <row r="344" spans="1:28" x14ac:dyDescent="0.2">
      <c r="C344" s="9" t="s">
        <v>1983</v>
      </c>
      <c r="D344" s="33"/>
      <c r="E344" s="33"/>
      <c r="F344" s="33"/>
      <c r="G344" s="33" t="str">
        <f>CONCATENATE(Source!DL98,Source!FT98, "=", Source!FX98, "%")</f>
        <v>*0,9=81%</v>
      </c>
      <c r="H344" s="33" t="str">
        <f>CONCATENATE(Source!AT98)</f>
        <v>81</v>
      </c>
    </row>
    <row r="345" spans="1:28" x14ac:dyDescent="0.2">
      <c r="C345" s="9" t="s">
        <v>1984</v>
      </c>
      <c r="D345" s="33"/>
      <c r="E345" s="33"/>
      <c r="F345" s="33">
        <f>Source!CA98</f>
        <v>85</v>
      </c>
      <c r="G345" s="57">
        <f>(Source!AF98+Source!AE98)*Source!FY98/100</f>
        <v>21.5594</v>
      </c>
      <c r="H345" s="57">
        <f>Source!Y98</f>
        <v>1522.16</v>
      </c>
    </row>
    <row r="346" spans="1:28" x14ac:dyDescent="0.2">
      <c r="C346" s="9" t="s">
        <v>1985</v>
      </c>
      <c r="D346" s="33"/>
      <c r="E346" s="33"/>
      <c r="F346" s="33"/>
      <c r="G346" s="33" t="str">
        <f>CONCATENATE(Source!DM98,Source!FU98, "=", Source!FY98, "%")</f>
        <v>*0,85=72,25%</v>
      </c>
      <c r="H346" s="33" t="str">
        <f>CONCATENATE(Source!AU98)</f>
        <v>72</v>
      </c>
    </row>
    <row r="347" spans="1:28" x14ac:dyDescent="0.2">
      <c r="C347" s="9" t="s">
        <v>1986</v>
      </c>
      <c r="D347" s="33"/>
      <c r="E347" s="33"/>
      <c r="F347" s="33"/>
      <c r="G347" s="57">
        <f>((Source!AF98+Source!AE98)*Source!FX98/100)+((Source!AF98+Source!AE98)*Source!FY98/100)+Source!AB98</f>
        <v>116.8398</v>
      </c>
      <c r="H347" s="57">
        <f>Source!O98+Source!X98+Source!Y98</f>
        <v>8272.59</v>
      </c>
    </row>
    <row r="348" spans="1:28" ht="28.5" x14ac:dyDescent="0.2">
      <c r="A348" s="45">
        <v>33</v>
      </c>
      <c r="B348" s="45" t="str">
        <f>Source!E99</f>
        <v>22,1</v>
      </c>
      <c r="C348" s="45" t="str">
        <f>Source!G99</f>
        <v>Замок врезной оцинкованный с цилиндровым механизмом из латуни</v>
      </c>
      <c r="D348" s="45" t="str">
        <f>Source!F99</f>
        <v>01.7.04.04-0012</v>
      </c>
      <c r="E348" s="30" t="str">
        <f>Source!H99</f>
        <v>компл.</v>
      </c>
      <c r="F348" s="12">
        <f>Source!I99</f>
        <v>3.8344969999999998</v>
      </c>
      <c r="G348" s="22">
        <f>Source!AB99</f>
        <v>92.52</v>
      </c>
      <c r="H348" s="22">
        <f>Source!O99</f>
        <v>2327.2800000000002</v>
      </c>
      <c r="T348">
        <f>Source!O99+Source!X99+Source!Y99</f>
        <v>2327.2800000000002</v>
      </c>
      <c r="U348">
        <f>Source!P99</f>
        <v>2327.2800000000002</v>
      </c>
      <c r="V348">
        <f>Source!S99</f>
        <v>0</v>
      </c>
      <c r="W348">
        <f>Source!Q99</f>
        <v>0</v>
      </c>
      <c r="X348">
        <f>Source!R99</f>
        <v>0</v>
      </c>
      <c r="Y348">
        <f>Source!U99</f>
        <v>0</v>
      </c>
      <c r="Z348">
        <f>Source!V99</f>
        <v>0</v>
      </c>
      <c r="AA348">
        <f>Source!X99</f>
        <v>0</v>
      </c>
      <c r="AB348">
        <f>Source!Y99</f>
        <v>0</v>
      </c>
    </row>
    <row r="349" spans="1:28" ht="14.25" x14ac:dyDescent="0.2">
      <c r="C349" s="23" t="s">
        <v>1980</v>
      </c>
      <c r="D349" s="23">
        <f>Source!BC99</f>
        <v>6.56</v>
      </c>
      <c r="F349" s="12"/>
      <c r="G349" s="12"/>
      <c r="H349" s="12"/>
    </row>
    <row r="350" spans="1:28" ht="42.75" x14ac:dyDescent="0.2">
      <c r="A350" s="45">
        <v>34</v>
      </c>
      <c r="B350" s="45" t="str">
        <f>Source!E100</f>
        <v>22,2</v>
      </c>
      <c r="C350" s="45" t="str">
        <f>Source!G100</f>
        <v>Блок дверной стальной наружный двупольный ДСН ДКН, площадь 2,73 м2 (ГОСТ 31173-2003)</v>
      </c>
      <c r="D350" s="45" t="str">
        <f>Source!F100</f>
        <v>07.1.01.03-0002</v>
      </c>
      <c r="E350" s="30" t="str">
        <f>Source!H100</f>
        <v>м2</v>
      </c>
      <c r="F350" s="12">
        <f>Source!I100</f>
        <v>10.8</v>
      </c>
      <c r="G350" s="22">
        <f>Source!AB100</f>
        <v>1465.11</v>
      </c>
      <c r="H350" s="22">
        <f>Source!O100</f>
        <v>103800.11</v>
      </c>
      <c r="T350">
        <f>Source!O100+Source!X100+Source!Y100</f>
        <v>103800.11</v>
      </c>
      <c r="U350">
        <f>Source!P100</f>
        <v>103800.11</v>
      </c>
      <c r="V350">
        <f>Source!S100</f>
        <v>0</v>
      </c>
      <c r="W350">
        <f>Source!Q100</f>
        <v>0</v>
      </c>
      <c r="X350">
        <f>Source!R100</f>
        <v>0</v>
      </c>
      <c r="Y350">
        <f>Source!U100</f>
        <v>0</v>
      </c>
      <c r="Z350">
        <f>Source!V100</f>
        <v>0</v>
      </c>
      <c r="AA350">
        <f>Source!X100</f>
        <v>0</v>
      </c>
      <c r="AB350">
        <f>Source!Y100</f>
        <v>0</v>
      </c>
    </row>
    <row r="351" spans="1:28" ht="14.25" x14ac:dyDescent="0.2">
      <c r="C351" s="23" t="s">
        <v>1980</v>
      </c>
      <c r="D351" s="23">
        <f>Source!BC100</f>
        <v>6.56</v>
      </c>
      <c r="F351" s="12"/>
      <c r="G351" s="12"/>
      <c r="H351" s="12"/>
    </row>
    <row r="352" spans="1:28" ht="14.25" x14ac:dyDescent="0.2">
      <c r="A352" s="45">
        <v>35</v>
      </c>
      <c r="B352" s="45" t="str">
        <f>Source!E101</f>
        <v>22,3</v>
      </c>
      <c r="C352" s="45" t="str">
        <f>Source!G101</f>
        <v>Блоки дверные металлические</v>
      </c>
      <c r="D352" s="45" t="str">
        <f>Source!F101</f>
        <v>07.1.01.03</v>
      </c>
      <c r="E352" s="30" t="str">
        <f>Source!H101</f>
        <v>м2</v>
      </c>
      <c r="F352" s="12">
        <f>Source!I101</f>
        <v>10.8</v>
      </c>
      <c r="G352" s="22">
        <f>Source!AB101</f>
        <v>0</v>
      </c>
      <c r="H352" s="22">
        <f>Source!O101</f>
        <v>0</v>
      </c>
      <c r="T352">
        <f>Source!O101+Source!X101+Source!Y101</f>
        <v>0</v>
      </c>
      <c r="U352">
        <f>Source!P101</f>
        <v>0</v>
      </c>
      <c r="V352">
        <f>Source!S101</f>
        <v>0</v>
      </c>
      <c r="W352">
        <f>Source!Q101</f>
        <v>0</v>
      </c>
      <c r="X352">
        <f>Source!R101</f>
        <v>0</v>
      </c>
      <c r="Y352">
        <f>Source!U101</f>
        <v>0</v>
      </c>
      <c r="Z352">
        <f>Source!V101</f>
        <v>0</v>
      </c>
      <c r="AA352">
        <f>Source!X101</f>
        <v>0</v>
      </c>
      <c r="AB352">
        <f>Source!Y101</f>
        <v>0</v>
      </c>
    </row>
    <row r="353" spans="1:28" ht="14.25" x14ac:dyDescent="0.2">
      <c r="C353" s="23" t="s">
        <v>1980</v>
      </c>
      <c r="D353" s="23">
        <f>Source!BC101</f>
        <v>6.56</v>
      </c>
      <c r="F353" s="12"/>
      <c r="G353" s="12"/>
      <c r="H353" s="12"/>
    </row>
    <row r="354" spans="1:28" ht="28.5" x14ac:dyDescent="0.2">
      <c r="A354" s="45">
        <v>36</v>
      </c>
      <c r="B354" s="45" t="str">
        <f>Source!E102</f>
        <v>23</v>
      </c>
      <c r="C354" s="45" t="str">
        <f>Source!G102</f>
        <v>Установка дверного доводчика к металлическим дверям</v>
      </c>
      <c r="D354" s="45" t="str">
        <f>Source!F102</f>
        <v>09-04-012-02</v>
      </c>
      <c r="E354" s="30" t="str">
        <f>Source!H102</f>
        <v>ШТ</v>
      </c>
      <c r="F354" s="12">
        <f>Source!I102</f>
        <v>4</v>
      </c>
      <c r="G354" s="22">
        <f>Source!AB102</f>
        <v>16.02</v>
      </c>
      <c r="H354" s="22">
        <f>Source!O102</f>
        <v>420.36</v>
      </c>
      <c r="T354">
        <f>Source!O102+Source!X102+Source!Y102</f>
        <v>928.62000000000012</v>
      </c>
      <c r="U354">
        <f>Source!P102</f>
        <v>18.89</v>
      </c>
      <c r="V354">
        <f>Source!S102</f>
        <v>332.2</v>
      </c>
      <c r="W354">
        <f>Source!Q102</f>
        <v>69.27</v>
      </c>
      <c r="X354">
        <f>Source!R102</f>
        <v>0</v>
      </c>
      <c r="Y354">
        <f>Source!U102</f>
        <v>5.1059999999999999</v>
      </c>
      <c r="Z354">
        <f>Source!V102</f>
        <v>0</v>
      </c>
      <c r="AA354">
        <f>Source!X102</f>
        <v>269.08</v>
      </c>
      <c r="AB354">
        <f>Source!Y102</f>
        <v>239.18</v>
      </c>
    </row>
    <row r="355" spans="1:28" ht="14.25" x14ac:dyDescent="0.2">
      <c r="C355" s="23" t="s">
        <v>1978</v>
      </c>
      <c r="D355" s="23">
        <f>Source!BA102</f>
        <v>6.56</v>
      </c>
      <c r="F355" s="12"/>
      <c r="G355" s="12"/>
      <c r="H355" s="12"/>
    </row>
    <row r="356" spans="1:28" x14ac:dyDescent="0.2">
      <c r="C356" s="23" t="s">
        <v>1979</v>
      </c>
      <c r="D356" s="23">
        <f>Source!BB102</f>
        <v>6.56</v>
      </c>
    </row>
    <row r="357" spans="1:28" x14ac:dyDescent="0.2">
      <c r="C357" s="23" t="s">
        <v>1980</v>
      </c>
      <c r="D357" s="23">
        <f>Source!BC102</f>
        <v>6.56</v>
      </c>
    </row>
    <row r="358" spans="1:28" x14ac:dyDescent="0.2">
      <c r="C358" s="23" t="s">
        <v>1981</v>
      </c>
      <c r="D358" s="23">
        <f>Source!BS102</f>
        <v>6.56</v>
      </c>
    </row>
    <row r="359" spans="1:28" x14ac:dyDescent="0.2">
      <c r="C359" s="23" t="s">
        <v>1988</v>
      </c>
      <c r="D359" s="82" t="s">
        <v>187</v>
      </c>
      <c r="E359" s="82"/>
      <c r="F359" s="82"/>
      <c r="G359" s="82"/>
      <c r="H359" s="82"/>
    </row>
    <row r="360" spans="1:28" x14ac:dyDescent="0.2">
      <c r="C360" s="23" t="s">
        <v>1989</v>
      </c>
      <c r="D360" s="82" t="s">
        <v>187</v>
      </c>
      <c r="E360" s="82"/>
      <c r="F360" s="82"/>
      <c r="G360" s="82"/>
      <c r="H360" s="82"/>
    </row>
    <row r="361" spans="1:28" x14ac:dyDescent="0.2">
      <c r="C361" s="23" t="s">
        <v>1990</v>
      </c>
      <c r="D361" s="82" t="s">
        <v>188</v>
      </c>
      <c r="E361" s="82"/>
      <c r="F361" s="82"/>
      <c r="G361" s="82"/>
      <c r="H361" s="82"/>
    </row>
    <row r="362" spans="1:28" x14ac:dyDescent="0.2">
      <c r="C362" s="23" t="s">
        <v>1991</v>
      </c>
      <c r="D362" s="82" t="s">
        <v>188</v>
      </c>
      <c r="E362" s="82"/>
      <c r="F362" s="82"/>
      <c r="G362" s="82"/>
      <c r="H362" s="82"/>
    </row>
    <row r="363" spans="1:28" x14ac:dyDescent="0.2">
      <c r="C363" s="23" t="s">
        <v>1992</v>
      </c>
      <c r="D363" s="82" t="s">
        <v>187</v>
      </c>
      <c r="E363" s="82"/>
      <c r="F363" s="82"/>
      <c r="G363" s="82"/>
      <c r="H363" s="82"/>
    </row>
    <row r="364" spans="1:28" x14ac:dyDescent="0.2">
      <c r="C364" s="9" t="s">
        <v>1982</v>
      </c>
      <c r="D364" s="33"/>
      <c r="E364" s="33"/>
      <c r="F364" s="33">
        <f>Source!BZ102</f>
        <v>90</v>
      </c>
      <c r="G364" s="57">
        <f>(Source!AF102+Source!AE102)*Source!FX102/100</f>
        <v>10.2546</v>
      </c>
      <c r="H364" s="57">
        <f>Source!X102</f>
        <v>269.08</v>
      </c>
    </row>
    <row r="365" spans="1:28" x14ac:dyDescent="0.2">
      <c r="C365" s="9" t="s">
        <v>1983</v>
      </c>
      <c r="D365" s="33"/>
      <c r="E365" s="33"/>
      <c r="F365" s="33"/>
      <c r="G365" s="33" t="str">
        <f>CONCATENATE(Source!DL102,Source!FT102, "=", Source!FX102, "%")</f>
        <v>*0,9=81%</v>
      </c>
      <c r="H365" s="33" t="str">
        <f>CONCATENATE(Source!AT102)</f>
        <v>81</v>
      </c>
    </row>
    <row r="366" spans="1:28" x14ac:dyDescent="0.2">
      <c r="C366" s="9" t="s">
        <v>1984</v>
      </c>
      <c r="D366" s="33"/>
      <c r="E366" s="33"/>
      <c r="F366" s="33">
        <f>Source!CA102</f>
        <v>85</v>
      </c>
      <c r="G366" s="57">
        <f>(Source!AF102+Source!AE102)*Source!FY102/100</f>
        <v>9.1468500000000006</v>
      </c>
      <c r="H366" s="57">
        <f>Source!Y102</f>
        <v>239.18</v>
      </c>
    </row>
    <row r="367" spans="1:28" x14ac:dyDescent="0.2">
      <c r="C367" s="9" t="s">
        <v>1985</v>
      </c>
      <c r="D367" s="33"/>
      <c r="E367" s="33"/>
      <c r="F367" s="33"/>
      <c r="G367" s="33" t="str">
        <f>CONCATENATE(Source!DM102,Source!FU102, "=", Source!FY102, "%")</f>
        <v>*0,85=72,25%</v>
      </c>
      <c r="H367" s="33" t="str">
        <f>CONCATENATE(Source!AU102)</f>
        <v>72</v>
      </c>
    </row>
    <row r="368" spans="1:28" x14ac:dyDescent="0.2">
      <c r="C368" s="9" t="s">
        <v>1986</v>
      </c>
      <c r="D368" s="33"/>
      <c r="E368" s="33"/>
      <c r="F368" s="33"/>
      <c r="G368" s="57">
        <f>((Source!AF102+Source!AE102)*Source!FX102/100)+((Source!AF102+Source!AE102)*Source!FY102/100)+Source!AB102</f>
        <v>35.42145</v>
      </c>
      <c r="H368" s="57">
        <f>Source!O102+Source!X102+Source!Y102</f>
        <v>928.62000000000012</v>
      </c>
    </row>
    <row r="369" spans="1:28" ht="28.5" x14ac:dyDescent="0.2">
      <c r="A369" s="45">
        <v>37</v>
      </c>
      <c r="B369" s="45" t="str">
        <f>Source!E103</f>
        <v>23,1</v>
      </c>
      <c r="C369" s="45" t="str">
        <f>Source!G103</f>
        <v>Доводчик дверной DS 73 BC "Серия Premium", усилие закрывания EN2-5</v>
      </c>
      <c r="D369" s="45" t="str">
        <f>Source!F103</f>
        <v>01.7.04.01-0001</v>
      </c>
      <c r="E369" s="30" t="str">
        <f>Source!H103</f>
        <v>шт.</v>
      </c>
      <c r="F369" s="12">
        <f>Source!I103</f>
        <v>4</v>
      </c>
      <c r="G369" s="22">
        <f>Source!AB103</f>
        <v>371.2</v>
      </c>
      <c r="H369" s="22">
        <f>Source!O103</f>
        <v>9740.2900000000009</v>
      </c>
      <c r="T369">
        <f>Source!O103+Source!X103+Source!Y103</f>
        <v>9740.2900000000009</v>
      </c>
      <c r="U369">
        <f>Source!P103</f>
        <v>9740.2900000000009</v>
      </c>
      <c r="V369">
        <f>Source!S103</f>
        <v>0</v>
      </c>
      <c r="W369">
        <f>Source!Q103</f>
        <v>0</v>
      </c>
      <c r="X369">
        <f>Source!R103</f>
        <v>0</v>
      </c>
      <c r="Y369">
        <f>Source!U103</f>
        <v>0</v>
      </c>
      <c r="Z369">
        <f>Source!V103</f>
        <v>0</v>
      </c>
      <c r="AA369">
        <f>Source!X103</f>
        <v>0</v>
      </c>
      <c r="AB369">
        <f>Source!Y103</f>
        <v>0</v>
      </c>
    </row>
    <row r="370" spans="1:28" ht="14.25" x14ac:dyDescent="0.2">
      <c r="C370" s="23" t="s">
        <v>1980</v>
      </c>
      <c r="D370" s="23">
        <f>Source!BC103</f>
        <v>6.56</v>
      </c>
      <c r="F370" s="12"/>
      <c r="G370" s="12"/>
      <c r="H370" s="12"/>
    </row>
    <row r="371" spans="1:28" ht="57" x14ac:dyDescent="0.2">
      <c r="A371" s="45">
        <v>38</v>
      </c>
      <c r="B371" s="45" t="str">
        <f>Source!E104</f>
        <v>24</v>
      </c>
      <c r="C371" s="45" t="str">
        <f>Source!G104</f>
        <v>Установка блоков в наружных и внутренних дверных проемах в каменных стенах, площадь проема до 3 м2</v>
      </c>
      <c r="D371" s="45" t="str">
        <f>Source!F104</f>
        <v>10-01-039-01</v>
      </c>
      <c r="E371" s="30" t="str">
        <f>Source!H104</f>
        <v>100 м2</v>
      </c>
      <c r="F371" s="12">
        <f>Source!I104</f>
        <v>6.0900000000000003E-2</v>
      </c>
      <c r="G371" s="22">
        <f>Source!AB104</f>
        <v>3858.97</v>
      </c>
      <c r="H371" s="22">
        <f>Source!O104</f>
        <v>1541.67</v>
      </c>
      <c r="T371">
        <f>Source!O104+Source!X104+Source!Y104</f>
        <v>2268.81</v>
      </c>
      <c r="U371">
        <f>Source!P104</f>
        <v>680.68</v>
      </c>
      <c r="V371">
        <f>Source!S104</f>
        <v>377.6</v>
      </c>
      <c r="W371">
        <f>Source!Q104</f>
        <v>483.39</v>
      </c>
      <c r="X371">
        <f>Source!R104</f>
        <v>76.86</v>
      </c>
      <c r="Y371">
        <f>Source!U104</f>
        <v>6.2702335499999995</v>
      </c>
      <c r="Z371">
        <f>Source!V104</f>
        <v>0.88914000000000004</v>
      </c>
      <c r="AA371">
        <f>Source!X104</f>
        <v>481.73</v>
      </c>
      <c r="AB371">
        <f>Source!Y104</f>
        <v>245.41</v>
      </c>
    </row>
    <row r="372" spans="1:28" ht="14.25" x14ac:dyDescent="0.2">
      <c r="C372" s="23" t="str">
        <f>"Объем: "&amp;Source!I104&amp;"=6,09/"&amp;"100"</f>
        <v>Объем: 0,0609=6,09/100</v>
      </c>
      <c r="F372" s="12"/>
      <c r="G372" s="12"/>
      <c r="H372" s="12"/>
    </row>
    <row r="373" spans="1:28" x14ac:dyDescent="0.2">
      <c r="C373" s="23" t="s">
        <v>1978</v>
      </c>
      <c r="D373" s="23">
        <f>Source!BA104</f>
        <v>6.56</v>
      </c>
    </row>
    <row r="374" spans="1:28" x14ac:dyDescent="0.2">
      <c r="C374" s="23" t="s">
        <v>1979</v>
      </c>
      <c r="D374" s="23">
        <f>Source!BB104</f>
        <v>6.56</v>
      </c>
    </row>
    <row r="375" spans="1:28" x14ac:dyDescent="0.2">
      <c r="C375" s="23" t="s">
        <v>1980</v>
      </c>
      <c r="D375" s="23">
        <f>Source!BC104</f>
        <v>6.56</v>
      </c>
    </row>
    <row r="376" spans="1:28" x14ac:dyDescent="0.2">
      <c r="C376" s="23" t="s">
        <v>1981</v>
      </c>
      <c r="D376" s="23">
        <f>Source!BS104</f>
        <v>6.56</v>
      </c>
    </row>
    <row r="377" spans="1:28" x14ac:dyDescent="0.2">
      <c r="C377" s="23" t="s">
        <v>1988</v>
      </c>
      <c r="D377" s="82" t="s">
        <v>187</v>
      </c>
      <c r="E377" s="82"/>
      <c r="F377" s="82"/>
      <c r="G377" s="82"/>
      <c r="H377" s="82"/>
    </row>
    <row r="378" spans="1:28" x14ac:dyDescent="0.2">
      <c r="C378" s="23" t="s">
        <v>1989</v>
      </c>
      <c r="D378" s="82" t="s">
        <v>187</v>
      </c>
      <c r="E378" s="82"/>
      <c r="F378" s="82"/>
      <c r="G378" s="82"/>
      <c r="H378" s="82"/>
    </row>
    <row r="379" spans="1:28" x14ac:dyDescent="0.2">
      <c r="C379" s="23" t="s">
        <v>1990</v>
      </c>
      <c r="D379" s="82" t="s">
        <v>188</v>
      </c>
      <c r="E379" s="82"/>
      <c r="F379" s="82"/>
      <c r="G379" s="82"/>
      <c r="H379" s="82"/>
    </row>
    <row r="380" spans="1:28" x14ac:dyDescent="0.2">
      <c r="C380" s="23" t="s">
        <v>1991</v>
      </c>
      <c r="D380" s="82" t="s">
        <v>188</v>
      </c>
      <c r="E380" s="82"/>
      <c r="F380" s="82"/>
      <c r="G380" s="82"/>
      <c r="H380" s="82"/>
    </row>
    <row r="381" spans="1:28" x14ac:dyDescent="0.2">
      <c r="C381" s="23" t="s">
        <v>1992</v>
      </c>
      <c r="D381" s="82" t="s">
        <v>187</v>
      </c>
      <c r="E381" s="82"/>
      <c r="F381" s="82"/>
      <c r="G381" s="82"/>
      <c r="H381" s="82"/>
    </row>
    <row r="382" spans="1:28" x14ac:dyDescent="0.2">
      <c r="C382" s="9" t="s">
        <v>1982</v>
      </c>
      <c r="D382" s="33"/>
      <c r="E382" s="33"/>
      <c r="F382" s="33">
        <f>Source!BZ104</f>
        <v>118</v>
      </c>
      <c r="G382" s="57">
        <f>(Source!AF104+Source!AE104)*Source!FX104/100</f>
        <v>1208.0780999999999</v>
      </c>
      <c r="H382" s="57">
        <f>Source!X104</f>
        <v>481.73</v>
      </c>
    </row>
    <row r="383" spans="1:28" x14ac:dyDescent="0.2">
      <c r="C383" s="9" t="s">
        <v>1983</v>
      </c>
      <c r="D383" s="33"/>
      <c r="E383" s="33"/>
      <c r="F383" s="33"/>
      <c r="G383" s="33" t="str">
        <f>CONCATENATE(Source!DL104,Source!FT104, "=", Source!FX104, "%")</f>
        <v>*0,9=106,2%</v>
      </c>
      <c r="H383" s="33" t="str">
        <f>CONCATENATE(Source!AT104)</f>
        <v>106</v>
      </c>
    </row>
    <row r="384" spans="1:28" x14ac:dyDescent="0.2">
      <c r="C384" s="9" t="s">
        <v>1984</v>
      </c>
      <c r="D384" s="33"/>
      <c r="E384" s="33"/>
      <c r="F384" s="33">
        <f>Source!CA104</f>
        <v>63</v>
      </c>
      <c r="G384" s="57">
        <f>(Source!AF104+Source!AE104)*Source!FY104/100</f>
        <v>609.15802499999995</v>
      </c>
      <c r="H384" s="57">
        <f>Source!Y104</f>
        <v>245.41</v>
      </c>
    </row>
    <row r="385" spans="1:28" x14ac:dyDescent="0.2">
      <c r="C385" s="9" t="s">
        <v>1985</v>
      </c>
      <c r="D385" s="33"/>
      <c r="E385" s="33"/>
      <c r="F385" s="33"/>
      <c r="G385" s="33" t="str">
        <f>CONCATENATE(Source!DM104,Source!FU104, "=", Source!FY104, "%")</f>
        <v>*0,85=53,55%</v>
      </c>
      <c r="H385" s="33" t="str">
        <f>CONCATENATE(Source!AU104)</f>
        <v>54</v>
      </c>
    </row>
    <row r="386" spans="1:28" x14ac:dyDescent="0.2">
      <c r="C386" s="9" t="s">
        <v>1986</v>
      </c>
      <c r="D386" s="33"/>
      <c r="E386" s="33"/>
      <c r="F386" s="33"/>
      <c r="G386" s="57">
        <f>((Source!AF104+Source!AE104)*Source!FX104/100)+((Source!AF104+Source!AE104)*Source!FY104/100)+Source!AB104</f>
        <v>5676.2061249999997</v>
      </c>
      <c r="H386" s="57">
        <f>Source!O104+Source!X104+Source!Y104</f>
        <v>2268.81</v>
      </c>
    </row>
    <row r="387" spans="1:28" ht="42.75" x14ac:dyDescent="0.2">
      <c r="A387" s="45">
        <v>39</v>
      </c>
      <c r="B387" s="45" t="str">
        <f>Source!E105</f>
        <v>24,1</v>
      </c>
      <c r="C387" s="45" t="str">
        <f>Source!G105</f>
        <v>Блоки дверные внутренние однопольные глухие шлифованные, из массива сосны, тонированные</v>
      </c>
      <c r="D387" s="45" t="str">
        <f>Source!F105</f>
        <v>11.2.02.01-0032</v>
      </c>
      <c r="E387" s="30" t="str">
        <f>Source!H105</f>
        <v>м2</v>
      </c>
      <c r="F387" s="12">
        <f>Source!I105</f>
        <v>6.09</v>
      </c>
      <c r="G387" s="22">
        <f>Source!AB105</f>
        <v>1448.8</v>
      </c>
      <c r="H387" s="22">
        <f>Source!O105</f>
        <v>57880.14</v>
      </c>
      <c r="T387">
        <f>Source!O105+Source!X105+Source!Y105</f>
        <v>57880.14</v>
      </c>
      <c r="U387">
        <f>Source!P105</f>
        <v>57880.14</v>
      </c>
      <c r="V387">
        <f>Source!S105</f>
        <v>0</v>
      </c>
      <c r="W387">
        <f>Source!Q105</f>
        <v>0</v>
      </c>
      <c r="X387">
        <f>Source!R105</f>
        <v>0</v>
      </c>
      <c r="Y387">
        <f>Source!U105</f>
        <v>0</v>
      </c>
      <c r="Z387">
        <f>Source!V105</f>
        <v>0</v>
      </c>
      <c r="AA387">
        <f>Source!X105</f>
        <v>0</v>
      </c>
      <c r="AB387">
        <f>Source!Y105</f>
        <v>0</v>
      </c>
    </row>
    <row r="388" spans="1:28" ht="14.25" x14ac:dyDescent="0.2">
      <c r="C388" s="23" t="s">
        <v>1980</v>
      </c>
      <c r="D388" s="23">
        <f>Source!BC105</f>
        <v>6.56</v>
      </c>
      <c r="F388" s="12"/>
      <c r="G388" s="12"/>
      <c r="H388" s="12"/>
    </row>
    <row r="389" spans="1:28" ht="42.75" x14ac:dyDescent="0.2">
      <c r="A389" s="45">
        <v>40</v>
      </c>
      <c r="B389" s="45" t="str">
        <f>Source!E106</f>
        <v>24,2</v>
      </c>
      <c r="C389" s="45" t="str">
        <f>Source!G106</f>
        <v>Скобяные изделия для блоков входных дверей в помещение однопольных</v>
      </c>
      <c r="D389" s="45" t="str">
        <f>Source!F106</f>
        <v>01.7.04.07-0003</v>
      </c>
      <c r="E389" s="30" t="str">
        <f>Source!H106</f>
        <v>компл.</v>
      </c>
      <c r="F389" s="12">
        <f>Source!I106</f>
        <v>3</v>
      </c>
      <c r="G389" s="22">
        <f>Source!AB106</f>
        <v>94.68</v>
      </c>
      <c r="H389" s="22">
        <f>Source!O106</f>
        <v>1863.3</v>
      </c>
      <c r="T389">
        <f>Source!O106+Source!X106+Source!Y106</f>
        <v>1863.3</v>
      </c>
      <c r="U389">
        <f>Source!P106</f>
        <v>1863.3</v>
      </c>
      <c r="V389">
        <f>Source!S106</f>
        <v>0</v>
      </c>
      <c r="W389">
        <f>Source!Q106</f>
        <v>0</v>
      </c>
      <c r="X389">
        <f>Source!R106</f>
        <v>0</v>
      </c>
      <c r="Y389">
        <f>Source!U106</f>
        <v>0</v>
      </c>
      <c r="Z389">
        <f>Source!V106</f>
        <v>0</v>
      </c>
      <c r="AA389">
        <f>Source!X106</f>
        <v>0</v>
      </c>
      <c r="AB389">
        <f>Source!Y106</f>
        <v>0</v>
      </c>
    </row>
    <row r="390" spans="1:28" ht="14.25" x14ac:dyDescent="0.2">
      <c r="C390" s="23" t="s">
        <v>1980</v>
      </c>
      <c r="D390" s="23">
        <f>Source!BC106</f>
        <v>6.56</v>
      </c>
      <c r="F390" s="12"/>
      <c r="G390" s="12"/>
      <c r="H390" s="12"/>
    </row>
    <row r="391" spans="1:28" ht="28.5" x14ac:dyDescent="0.2">
      <c r="A391" s="45">
        <v>41</v>
      </c>
      <c r="B391" s="45" t="str">
        <f>Source!E107</f>
        <v>24,3</v>
      </c>
      <c r="C391" s="45" t="str">
        <f>Source!G107</f>
        <v>Доводчик дверной DS 73 BC "Серия Premium", усилие закрывания EN2-5</v>
      </c>
      <c r="D391" s="45" t="str">
        <f>Source!F107</f>
        <v>01.7.04.01-0001</v>
      </c>
      <c r="E391" s="30" t="str">
        <f>Source!H107</f>
        <v>шт.</v>
      </c>
      <c r="F391" s="12">
        <f>Source!I107</f>
        <v>1</v>
      </c>
      <c r="G391" s="22">
        <f>Source!AB107</f>
        <v>371.2</v>
      </c>
      <c r="H391" s="22">
        <f>Source!O107</f>
        <v>2435.0700000000002</v>
      </c>
      <c r="T391">
        <f>Source!O107+Source!X107+Source!Y107</f>
        <v>2435.0700000000002</v>
      </c>
      <c r="U391">
        <f>Source!P107</f>
        <v>2435.0700000000002</v>
      </c>
      <c r="V391">
        <f>Source!S107</f>
        <v>0</v>
      </c>
      <c r="W391">
        <f>Source!Q107</f>
        <v>0</v>
      </c>
      <c r="X391">
        <f>Source!R107</f>
        <v>0</v>
      </c>
      <c r="Y391">
        <f>Source!U107</f>
        <v>0</v>
      </c>
      <c r="Z391">
        <f>Source!V107</f>
        <v>0</v>
      </c>
      <c r="AA391">
        <f>Source!X107</f>
        <v>0</v>
      </c>
      <c r="AB391">
        <f>Source!Y107</f>
        <v>0</v>
      </c>
    </row>
    <row r="392" spans="1:28" ht="14.25" x14ac:dyDescent="0.2">
      <c r="C392" s="23" t="s">
        <v>1980</v>
      </c>
      <c r="D392" s="23">
        <f>Source!BC107</f>
        <v>6.56</v>
      </c>
      <c r="F392" s="12"/>
      <c r="G392" s="12"/>
      <c r="H392" s="12"/>
    </row>
    <row r="393" spans="1:28" ht="14.25" x14ac:dyDescent="0.2">
      <c r="A393" s="45">
        <v>42</v>
      </c>
      <c r="B393" s="45" t="str">
        <f>Source!E108</f>
        <v>24,4</v>
      </c>
      <c r="C393" s="45" t="str">
        <f>Source!G108</f>
        <v>Блоки дверные</v>
      </c>
      <c r="D393" s="45" t="str">
        <f>Source!F108</f>
        <v>11.2.02.01</v>
      </c>
      <c r="E393" s="30" t="str">
        <f>Source!H108</f>
        <v>м2</v>
      </c>
      <c r="F393" s="12">
        <f>Source!I108</f>
        <v>6.09</v>
      </c>
      <c r="G393" s="22">
        <f>Source!AB108</f>
        <v>0</v>
      </c>
      <c r="H393" s="22">
        <f>Source!O108</f>
        <v>0</v>
      </c>
      <c r="T393">
        <f>Source!O108+Source!X108+Source!Y108</f>
        <v>0</v>
      </c>
      <c r="U393">
        <f>Source!P108</f>
        <v>0</v>
      </c>
      <c r="V393">
        <f>Source!S108</f>
        <v>0</v>
      </c>
      <c r="W393">
        <f>Source!Q108</f>
        <v>0</v>
      </c>
      <c r="X393">
        <f>Source!R108</f>
        <v>0</v>
      </c>
      <c r="Y393">
        <f>Source!U108</f>
        <v>0</v>
      </c>
      <c r="Z393">
        <f>Source!V108</f>
        <v>0</v>
      </c>
      <c r="AA393">
        <f>Source!X108</f>
        <v>0</v>
      </c>
      <c r="AB393">
        <f>Source!Y108</f>
        <v>0</v>
      </c>
    </row>
    <row r="394" spans="1:28" ht="14.25" x14ac:dyDescent="0.2">
      <c r="C394" s="23" t="s">
        <v>1980</v>
      </c>
      <c r="D394" s="23">
        <f>Source!BC108</f>
        <v>6.56</v>
      </c>
      <c r="F394" s="12"/>
      <c r="G394" s="12"/>
      <c r="H394" s="12"/>
    </row>
    <row r="395" spans="1:28" ht="57" x14ac:dyDescent="0.2">
      <c r="A395" s="45">
        <v>43</v>
      </c>
      <c r="B395" s="45" t="str">
        <f>Source!E109</f>
        <v>25</v>
      </c>
      <c r="C395" s="45" t="str">
        <f>Source!G109</f>
        <v>Устройство сантехнических перегородок (стандартные туалетные кабины) на каркасе из алюминиевого профиля</v>
      </c>
      <c r="D395" s="45" t="str">
        <f>Source!F109</f>
        <v>10-04-014-01</v>
      </c>
      <c r="E395" s="30" t="str">
        <f>Source!H109</f>
        <v>100 м2</v>
      </c>
      <c r="F395" s="12">
        <f>Source!I109</f>
        <v>0.33600000000000002</v>
      </c>
      <c r="G395" s="22">
        <f>Source!AB109</f>
        <v>70470.02</v>
      </c>
      <c r="H395" s="22">
        <f>Source!O109</f>
        <v>155327.19</v>
      </c>
      <c r="T395">
        <f>Source!O109+Source!X109+Source!Y109</f>
        <v>156522.79999999999</v>
      </c>
      <c r="U395">
        <f>Source!P109</f>
        <v>154579.94</v>
      </c>
      <c r="V395">
        <f>Source!S109</f>
        <v>747.25</v>
      </c>
      <c r="W395">
        <f>Source!Q109</f>
        <v>0</v>
      </c>
      <c r="X395">
        <f>Source!R109</f>
        <v>0</v>
      </c>
      <c r="Y395">
        <f>Source!U109</f>
        <v>13.353984000000001</v>
      </c>
      <c r="Z395">
        <f>Source!V109</f>
        <v>0</v>
      </c>
      <c r="AA395">
        <f>Source!X109</f>
        <v>792.09</v>
      </c>
      <c r="AB395">
        <f>Source!Y109</f>
        <v>403.52</v>
      </c>
    </row>
    <row r="396" spans="1:28" ht="14.25" x14ac:dyDescent="0.2">
      <c r="C396" s="23" t="str">
        <f>"Объем: "&amp;Source!I109&amp;"=33,6/"&amp;"100"</f>
        <v>Объем: 0,336=33,6/100</v>
      </c>
      <c r="F396" s="12"/>
      <c r="G396" s="12"/>
      <c r="H396" s="12"/>
    </row>
    <row r="397" spans="1:28" x14ac:dyDescent="0.2">
      <c r="C397" s="23" t="s">
        <v>1978</v>
      </c>
      <c r="D397" s="23">
        <f>Source!BA109</f>
        <v>6.56</v>
      </c>
    </row>
    <row r="398" spans="1:28" x14ac:dyDescent="0.2">
      <c r="C398" s="23" t="s">
        <v>1979</v>
      </c>
      <c r="D398" s="23">
        <f>Source!BB109</f>
        <v>6.56</v>
      </c>
    </row>
    <row r="399" spans="1:28" x14ac:dyDescent="0.2">
      <c r="C399" s="23" t="s">
        <v>1980</v>
      </c>
      <c r="D399" s="23">
        <f>Source!BC109</f>
        <v>6.56</v>
      </c>
    </row>
    <row r="400" spans="1:28" x14ac:dyDescent="0.2">
      <c r="C400" s="23" t="s">
        <v>1981</v>
      </c>
      <c r="D400" s="23">
        <f>Source!BS109</f>
        <v>6.56</v>
      </c>
    </row>
    <row r="401" spans="1:28" x14ac:dyDescent="0.2">
      <c r="C401" s="23" t="s">
        <v>1988</v>
      </c>
      <c r="D401" s="82" t="s">
        <v>187</v>
      </c>
      <c r="E401" s="82"/>
      <c r="F401" s="82"/>
      <c r="G401" s="82"/>
      <c r="H401" s="82"/>
    </row>
    <row r="402" spans="1:28" x14ac:dyDescent="0.2">
      <c r="C402" s="23" t="s">
        <v>1989</v>
      </c>
      <c r="D402" s="82" t="s">
        <v>187</v>
      </c>
      <c r="E402" s="82"/>
      <c r="F402" s="82"/>
      <c r="G402" s="82"/>
      <c r="H402" s="82"/>
    </row>
    <row r="403" spans="1:28" x14ac:dyDescent="0.2">
      <c r="C403" s="23" t="s">
        <v>1990</v>
      </c>
      <c r="D403" s="82" t="s">
        <v>188</v>
      </c>
      <c r="E403" s="82"/>
      <c r="F403" s="82"/>
      <c r="G403" s="82"/>
      <c r="H403" s="82"/>
    </row>
    <row r="404" spans="1:28" x14ac:dyDescent="0.2">
      <c r="C404" s="23" t="s">
        <v>1991</v>
      </c>
      <c r="D404" s="82" t="s">
        <v>188</v>
      </c>
      <c r="E404" s="82"/>
      <c r="F404" s="82"/>
      <c r="G404" s="82"/>
      <c r="H404" s="82"/>
    </row>
    <row r="405" spans="1:28" x14ac:dyDescent="0.2">
      <c r="C405" s="23" t="s">
        <v>1992</v>
      </c>
      <c r="D405" s="82" t="s">
        <v>187</v>
      </c>
      <c r="E405" s="82"/>
      <c r="F405" s="82"/>
      <c r="G405" s="82"/>
      <c r="H405" s="82"/>
    </row>
    <row r="406" spans="1:28" x14ac:dyDescent="0.2">
      <c r="C406" s="9" t="s">
        <v>1982</v>
      </c>
      <c r="D406" s="33"/>
      <c r="E406" s="33"/>
      <c r="F406" s="33">
        <f>Source!BZ109</f>
        <v>118</v>
      </c>
      <c r="G406" s="57">
        <f>(Source!AF109+Source!AE109)*Source!FX109/100</f>
        <v>360.03924000000001</v>
      </c>
      <c r="H406" s="57">
        <f>Source!X109</f>
        <v>792.09</v>
      </c>
    </row>
    <row r="407" spans="1:28" x14ac:dyDescent="0.2">
      <c r="C407" s="9" t="s">
        <v>1983</v>
      </c>
      <c r="D407" s="33"/>
      <c r="E407" s="33"/>
      <c r="F407" s="33"/>
      <c r="G407" s="33" t="str">
        <f>CONCATENATE(Source!DL109,Source!FT109, "=", Source!FX109, "%")</f>
        <v>*0,9=106,2%</v>
      </c>
      <c r="H407" s="33" t="str">
        <f>CONCATENATE(Source!AT109)</f>
        <v>106</v>
      </c>
    </row>
    <row r="408" spans="1:28" x14ac:dyDescent="0.2">
      <c r="C408" s="9" t="s">
        <v>1984</v>
      </c>
      <c r="D408" s="33"/>
      <c r="E408" s="33"/>
      <c r="F408" s="33">
        <f>Source!CA109</f>
        <v>63</v>
      </c>
      <c r="G408" s="57">
        <f>(Source!AF109+Source!AE109)*Source!FY109/100</f>
        <v>181.54520999999997</v>
      </c>
      <c r="H408" s="57">
        <f>Source!Y109</f>
        <v>403.52</v>
      </c>
    </row>
    <row r="409" spans="1:28" x14ac:dyDescent="0.2">
      <c r="C409" s="9" t="s">
        <v>1985</v>
      </c>
      <c r="D409" s="33"/>
      <c r="E409" s="33"/>
      <c r="F409" s="33"/>
      <c r="G409" s="33" t="str">
        <f>CONCATENATE(Source!DM109,Source!FU109, "=", Source!FY109, "%")</f>
        <v>*0,85=53,55%</v>
      </c>
      <c r="H409" s="33" t="str">
        <f>CONCATENATE(Source!AU109)</f>
        <v>54</v>
      </c>
    </row>
    <row r="410" spans="1:28" x14ac:dyDescent="0.2">
      <c r="C410" s="9" t="s">
        <v>1986</v>
      </c>
      <c r="D410" s="33"/>
      <c r="E410" s="33"/>
      <c r="F410" s="33"/>
      <c r="G410" s="57">
        <f>((Source!AF109+Source!AE109)*Source!FX109/100)+((Source!AF109+Source!AE109)*Source!FY109/100)+Source!AB109</f>
        <v>71011.604449999999</v>
      </c>
      <c r="H410" s="57">
        <f>Source!O109+Source!X109+Source!Y109</f>
        <v>156522.79999999999</v>
      </c>
    </row>
    <row r="411" spans="1:28" ht="57" x14ac:dyDescent="0.2">
      <c r="A411" s="45">
        <v>44</v>
      </c>
      <c r="B411" s="45" t="str">
        <f>Source!E110</f>
        <v>26</v>
      </c>
      <c r="C411" s="45" t="str">
        <f>Source!G110</f>
        <v>Ремонт штукатурки откосов внутри здания по камню и бетону цементно-известковым раствором прямолинейных</v>
      </c>
      <c r="D411" s="45" t="str">
        <f>Source!F110</f>
        <v>61-7-1</v>
      </c>
      <c r="E411" s="30" t="str">
        <f>Source!H110</f>
        <v>100 м2</v>
      </c>
      <c r="F411" s="12">
        <f>Source!I110</f>
        <v>6.6400000000000001E-2</v>
      </c>
      <c r="G411" s="22">
        <f>Source!AB110</f>
        <v>5751.96</v>
      </c>
      <c r="H411" s="22">
        <f>Source!O110</f>
        <v>2505.46</v>
      </c>
      <c r="T411">
        <f>Source!O110+Source!X110+Source!Y110</f>
        <v>4444.99</v>
      </c>
      <c r="U411">
        <f>Source!P110</f>
        <v>992.98</v>
      </c>
      <c r="V411">
        <f>Source!S110</f>
        <v>1496.69</v>
      </c>
      <c r="W411">
        <f>Source!Q110</f>
        <v>15.79</v>
      </c>
      <c r="X411">
        <f>Source!R110</f>
        <v>6.82</v>
      </c>
      <c r="Y411">
        <f>Source!U110</f>
        <v>25.435184</v>
      </c>
      <c r="Z411">
        <f>Source!V110</f>
        <v>7.7023999999999995E-2</v>
      </c>
      <c r="AA411">
        <f>Source!X110</f>
        <v>1187.77</v>
      </c>
      <c r="AB411">
        <f>Source!Y110</f>
        <v>751.76</v>
      </c>
    </row>
    <row r="412" spans="1:28" ht="14.25" x14ac:dyDescent="0.2">
      <c r="C412" s="23" t="str">
        <f>"Объем: "&amp;Source!I110&amp;"=6,64/"&amp;"100"</f>
        <v>Объем: 0,0664=6,64/100</v>
      </c>
      <c r="F412" s="12"/>
      <c r="G412" s="12"/>
      <c r="H412" s="12"/>
    </row>
    <row r="413" spans="1:28" x14ac:dyDescent="0.2">
      <c r="C413" s="23" t="s">
        <v>1978</v>
      </c>
      <c r="D413" s="23">
        <f>Source!BA110</f>
        <v>6.56</v>
      </c>
    </row>
    <row r="414" spans="1:28" x14ac:dyDescent="0.2">
      <c r="C414" s="23" t="s">
        <v>1979</v>
      </c>
      <c r="D414" s="23">
        <f>Source!BB110</f>
        <v>6.56</v>
      </c>
    </row>
    <row r="415" spans="1:28" x14ac:dyDescent="0.2">
      <c r="C415" s="23" t="s">
        <v>1980</v>
      </c>
      <c r="D415" s="23">
        <f>Source!BC110</f>
        <v>6.56</v>
      </c>
    </row>
    <row r="416" spans="1:28" x14ac:dyDescent="0.2">
      <c r="C416" s="23" t="s">
        <v>1981</v>
      </c>
      <c r="D416" s="23">
        <f>Source!BS110</f>
        <v>6.56</v>
      </c>
    </row>
    <row r="417" spans="1:28" x14ac:dyDescent="0.2">
      <c r="C417" s="9" t="s">
        <v>1982</v>
      </c>
      <c r="D417" s="33"/>
      <c r="E417" s="33"/>
      <c r="F417" s="33">
        <f>Source!BZ110</f>
        <v>79</v>
      </c>
      <c r="G417" s="57">
        <f>(Source!AF110+Source!AE110)*Source!FX110/100</f>
        <v>2726.8509000000004</v>
      </c>
      <c r="H417" s="57">
        <f>Source!X110</f>
        <v>1187.77</v>
      </c>
    </row>
    <row r="418" spans="1:28" x14ac:dyDescent="0.2">
      <c r="C418" s="9" t="s">
        <v>1984</v>
      </c>
      <c r="D418" s="33"/>
      <c r="E418" s="33"/>
      <c r="F418" s="33">
        <f>Source!CA110</f>
        <v>50</v>
      </c>
      <c r="G418" s="57">
        <f>(Source!AF110+Source!AE110)*Source!FY110/100</f>
        <v>1725.855</v>
      </c>
      <c r="H418" s="57">
        <f>Source!Y110</f>
        <v>751.76</v>
      </c>
    </row>
    <row r="419" spans="1:28" x14ac:dyDescent="0.2">
      <c r="C419" s="9" t="s">
        <v>1986</v>
      </c>
      <c r="D419" s="33"/>
      <c r="E419" s="33"/>
      <c r="F419" s="33"/>
      <c r="G419" s="57">
        <f>((Source!AF110+Source!AE110)*Source!FX110/100)+((Source!AF110+Source!AE110)*Source!FY110/100)+Source!AB110</f>
        <v>10204.6659</v>
      </c>
      <c r="H419" s="57">
        <f>Source!O110+Source!X110+Source!Y110</f>
        <v>4444.99</v>
      </c>
    </row>
    <row r="420" spans="1:28" ht="14.25" x14ac:dyDescent="0.2">
      <c r="A420" s="45">
        <v>45</v>
      </c>
      <c r="B420" s="45" t="str">
        <f>Source!E111</f>
        <v>26,1</v>
      </c>
      <c r="C420" s="45" t="str">
        <f>Source!G111</f>
        <v>Строительный мусор</v>
      </c>
      <c r="D420" s="45" t="str">
        <f>Source!F111</f>
        <v>01.7.07.07</v>
      </c>
      <c r="E420" s="30" t="str">
        <f>Source!H111</f>
        <v>т</v>
      </c>
      <c r="F420" s="12">
        <f>Source!I111</f>
        <v>0.53783999999999998</v>
      </c>
      <c r="G420" s="22">
        <f>Source!AB111</f>
        <v>0</v>
      </c>
      <c r="H420" s="22">
        <f>Source!O111</f>
        <v>0</v>
      </c>
      <c r="T420">
        <f>Source!O111+Source!X111+Source!Y111</f>
        <v>0</v>
      </c>
      <c r="U420">
        <f>Source!P111</f>
        <v>0</v>
      </c>
      <c r="V420">
        <f>Source!S111</f>
        <v>0</v>
      </c>
      <c r="W420">
        <f>Source!Q111</f>
        <v>0</v>
      </c>
      <c r="X420">
        <f>Source!R111</f>
        <v>0</v>
      </c>
      <c r="Y420">
        <f>Source!U111</f>
        <v>0</v>
      </c>
      <c r="Z420">
        <f>Source!V111</f>
        <v>0</v>
      </c>
      <c r="AA420">
        <f>Source!X111</f>
        <v>0</v>
      </c>
      <c r="AB420">
        <f>Source!Y111</f>
        <v>0</v>
      </c>
    </row>
    <row r="421" spans="1:28" ht="14.25" x14ac:dyDescent="0.2">
      <c r="C421" s="23" t="s">
        <v>1980</v>
      </c>
      <c r="D421" s="23">
        <f>Source!BC111</f>
        <v>6.56</v>
      </c>
      <c r="F421" s="12"/>
      <c r="G421" s="12"/>
      <c r="H421" s="12"/>
    </row>
    <row r="422" spans="1:28" ht="28.5" x14ac:dyDescent="0.2">
      <c r="A422" s="45">
        <v>46</v>
      </c>
      <c r="B422" s="45" t="str">
        <f>Source!E112</f>
        <v>27</v>
      </c>
      <c r="C422" s="45" t="str">
        <f>Source!G112</f>
        <v>Устройство металлических перемычек в стенах существующих зданий</v>
      </c>
      <c r="D422" s="45" t="str">
        <f>Source!F112</f>
        <v>53-25-1</v>
      </c>
      <c r="E422" s="30" t="str">
        <f>Source!H112</f>
        <v>т</v>
      </c>
      <c r="F422" s="12">
        <f>Source!I112</f>
        <v>2.7E-2</v>
      </c>
      <c r="G422" s="22">
        <f>Source!AB112</f>
        <v>1581.13</v>
      </c>
      <c r="H422" s="22">
        <f>Source!O112</f>
        <v>280.05</v>
      </c>
      <c r="T422">
        <f>Source!O112+Source!X112+Source!Y112</f>
        <v>678.01</v>
      </c>
      <c r="U422">
        <f>Source!P112</f>
        <v>15.02</v>
      </c>
      <c r="V422">
        <f>Source!S112</f>
        <v>253.85</v>
      </c>
      <c r="W422">
        <f>Source!Q112</f>
        <v>11.18</v>
      </c>
      <c r="X422">
        <f>Source!R112</f>
        <v>1.25</v>
      </c>
      <c r="Y422">
        <f>Source!U112</f>
        <v>4.4787599999999994</v>
      </c>
      <c r="Z422">
        <f>Source!V112</f>
        <v>1.8090000000000002E-2</v>
      </c>
      <c r="AA422">
        <f>Source!X112</f>
        <v>219.39</v>
      </c>
      <c r="AB422">
        <f>Source!Y112</f>
        <v>178.57</v>
      </c>
    </row>
    <row r="423" spans="1:28" ht="14.25" x14ac:dyDescent="0.2">
      <c r="C423" s="23" t="s">
        <v>1978</v>
      </c>
      <c r="D423" s="23">
        <f>Source!BA112</f>
        <v>6.56</v>
      </c>
      <c r="F423" s="12"/>
      <c r="G423" s="12"/>
      <c r="H423" s="12"/>
    </row>
    <row r="424" spans="1:28" x14ac:dyDescent="0.2">
      <c r="C424" s="23" t="s">
        <v>1979</v>
      </c>
      <c r="D424" s="23">
        <f>Source!BB112</f>
        <v>6.56</v>
      </c>
    </row>
    <row r="425" spans="1:28" x14ac:dyDescent="0.2">
      <c r="C425" s="23" t="s">
        <v>1980</v>
      </c>
      <c r="D425" s="23">
        <f>Source!BC112</f>
        <v>6.56</v>
      </c>
    </row>
    <row r="426" spans="1:28" x14ac:dyDescent="0.2">
      <c r="C426" s="23" t="s">
        <v>1981</v>
      </c>
      <c r="D426" s="23">
        <f>Source!BS112</f>
        <v>6.56</v>
      </c>
    </row>
    <row r="427" spans="1:28" x14ac:dyDescent="0.2">
      <c r="C427" s="9" t="s">
        <v>1982</v>
      </c>
      <c r="D427" s="33"/>
      <c r="E427" s="33"/>
      <c r="F427" s="33">
        <f>Source!BZ112</f>
        <v>86</v>
      </c>
      <c r="G427" s="57">
        <f>(Source!AF112+Source!AE112)*Source!FX112/100</f>
        <v>1238.615</v>
      </c>
      <c r="H427" s="57">
        <f>Source!X112</f>
        <v>219.39</v>
      </c>
    </row>
    <row r="428" spans="1:28" x14ac:dyDescent="0.2">
      <c r="C428" s="9" t="s">
        <v>1984</v>
      </c>
      <c r="D428" s="33"/>
      <c r="E428" s="33"/>
      <c r="F428" s="33">
        <f>Source!CA112</f>
        <v>70</v>
      </c>
      <c r="G428" s="57">
        <f>(Source!AF112+Source!AE112)*Source!FY112/100</f>
        <v>1008.175</v>
      </c>
      <c r="H428" s="57">
        <f>Source!Y112</f>
        <v>178.57</v>
      </c>
    </row>
    <row r="429" spans="1:28" x14ac:dyDescent="0.2">
      <c r="C429" s="9" t="s">
        <v>1986</v>
      </c>
      <c r="D429" s="33"/>
      <c r="E429" s="33"/>
      <c r="F429" s="33"/>
      <c r="G429" s="57">
        <f>((Source!AF112+Source!AE112)*Source!FX112/100)+((Source!AF112+Source!AE112)*Source!FY112/100)+Source!AB112</f>
        <v>3827.92</v>
      </c>
      <c r="H429" s="57">
        <f>Source!O112+Source!X112+Source!Y112</f>
        <v>678.01</v>
      </c>
    </row>
    <row r="430" spans="1:28" ht="28.5" x14ac:dyDescent="0.2">
      <c r="A430" s="45">
        <v>47</v>
      </c>
      <c r="B430" s="45" t="str">
        <f>Source!E113</f>
        <v>27,1</v>
      </c>
      <c r="C430" s="45" t="str">
        <f>Source!G113</f>
        <v>Раствор готовый кладочный цементный марки 100</v>
      </c>
      <c r="D430" s="45" t="str">
        <f>Source!F113</f>
        <v>04.3.01.09-0014</v>
      </c>
      <c r="E430" s="30" t="str">
        <f>Source!H113</f>
        <v>м3</v>
      </c>
      <c r="F430" s="12">
        <f>Source!I113</f>
        <v>1.4579999999999997E-2</v>
      </c>
      <c r="G430" s="22">
        <f>Source!AB113</f>
        <v>519.79999999999995</v>
      </c>
      <c r="H430" s="22">
        <f>Source!O113</f>
        <v>49.72</v>
      </c>
      <c r="T430">
        <f>Source!O113+Source!X113+Source!Y113</f>
        <v>49.72</v>
      </c>
      <c r="U430">
        <f>Source!P113</f>
        <v>49.72</v>
      </c>
      <c r="V430">
        <f>Source!S113</f>
        <v>0</v>
      </c>
      <c r="W430">
        <f>Source!Q113</f>
        <v>0</v>
      </c>
      <c r="X430">
        <f>Source!R113</f>
        <v>0</v>
      </c>
      <c r="Y430">
        <f>Source!U113</f>
        <v>0</v>
      </c>
      <c r="Z430">
        <f>Source!V113</f>
        <v>0</v>
      </c>
      <c r="AA430">
        <f>Source!X113</f>
        <v>0</v>
      </c>
      <c r="AB430">
        <f>Source!Y113</f>
        <v>0</v>
      </c>
    </row>
    <row r="431" spans="1:28" ht="14.25" x14ac:dyDescent="0.2">
      <c r="C431" s="23" t="s">
        <v>1980</v>
      </c>
      <c r="D431" s="23">
        <f>Source!BC113</f>
        <v>6.56</v>
      </c>
      <c r="F431" s="12"/>
      <c r="G431" s="12"/>
      <c r="H431" s="12"/>
    </row>
    <row r="432" spans="1:28" ht="28.5" x14ac:dyDescent="0.2">
      <c r="A432" s="45">
        <v>48</v>
      </c>
      <c r="B432" s="45" t="str">
        <f>Source!E114</f>
        <v>27,2</v>
      </c>
      <c r="C432" s="45" t="str">
        <f>Source!G114</f>
        <v>Кирпич керамический одинарный, размером 250х120х65 мм, марка 125</v>
      </c>
      <c r="D432" s="45" t="str">
        <f>Source!F114</f>
        <v>06.1.01.05-0036</v>
      </c>
      <c r="E432" s="30" t="str">
        <f>Source!H114</f>
        <v>1000 шт.</v>
      </c>
      <c r="F432" s="12">
        <f>Source!I114</f>
        <v>1.5389999999999999E-2</v>
      </c>
      <c r="G432" s="22">
        <f>Source!AB114</f>
        <v>1863.37</v>
      </c>
      <c r="H432" s="22">
        <f>Source!O114</f>
        <v>188.12</v>
      </c>
      <c r="T432">
        <f>Source!O114+Source!X114+Source!Y114</f>
        <v>188.12</v>
      </c>
      <c r="U432">
        <f>Source!P114</f>
        <v>188.12</v>
      </c>
      <c r="V432">
        <f>Source!S114</f>
        <v>0</v>
      </c>
      <c r="W432">
        <f>Source!Q114</f>
        <v>0</v>
      </c>
      <c r="X432">
        <f>Source!R114</f>
        <v>0</v>
      </c>
      <c r="Y432">
        <f>Source!U114</f>
        <v>0</v>
      </c>
      <c r="Z432">
        <f>Source!V114</f>
        <v>0</v>
      </c>
      <c r="AA432">
        <f>Source!X114</f>
        <v>0</v>
      </c>
      <c r="AB432">
        <f>Source!Y114</f>
        <v>0</v>
      </c>
    </row>
    <row r="433" spans="1:28" ht="14.25" x14ac:dyDescent="0.2">
      <c r="C433" s="23" t="s">
        <v>1980</v>
      </c>
      <c r="D433" s="23">
        <f>Source!BC114</f>
        <v>6.56</v>
      </c>
      <c r="F433" s="12"/>
      <c r="G433" s="12"/>
      <c r="H433" s="12"/>
    </row>
    <row r="434" spans="1:28" ht="28.5" x14ac:dyDescent="0.2">
      <c r="A434" s="45">
        <v>49</v>
      </c>
      <c r="B434" s="45" t="str">
        <f>Source!E115</f>
        <v>27,3</v>
      </c>
      <c r="C434" s="45" t="str">
        <f>Source!G115</f>
        <v>Сталь угловая равнополочная, марка стали Ст3сп, размером 45х45 мм</v>
      </c>
      <c r="D434" s="45" t="str">
        <f>Source!F115</f>
        <v>08.3.08.02-0083</v>
      </c>
      <c r="E434" s="30" t="str">
        <f>Source!H115</f>
        <v>т</v>
      </c>
      <c r="F434" s="12">
        <f>Source!I115</f>
        <v>2.8080000000000001E-2</v>
      </c>
      <c r="G434" s="22">
        <f>Source!AB115</f>
        <v>6743.51</v>
      </c>
      <c r="H434" s="22">
        <f>Source!O115</f>
        <v>1242.19</v>
      </c>
      <c r="T434">
        <f>Source!O115+Source!X115+Source!Y115</f>
        <v>1242.19</v>
      </c>
      <c r="U434">
        <f>Source!P115</f>
        <v>1242.19</v>
      </c>
      <c r="V434">
        <f>Source!S115</f>
        <v>0</v>
      </c>
      <c r="W434">
        <f>Source!Q115</f>
        <v>0</v>
      </c>
      <c r="X434">
        <f>Source!R115</f>
        <v>0</v>
      </c>
      <c r="Y434">
        <f>Source!U115</f>
        <v>0</v>
      </c>
      <c r="Z434">
        <f>Source!V115</f>
        <v>0</v>
      </c>
      <c r="AA434">
        <f>Source!X115</f>
        <v>0</v>
      </c>
      <c r="AB434">
        <f>Source!Y115</f>
        <v>0</v>
      </c>
    </row>
    <row r="435" spans="1:28" ht="14.25" x14ac:dyDescent="0.2">
      <c r="C435" s="23" t="s">
        <v>1980</v>
      </c>
      <c r="D435" s="23">
        <f>Source!BC115</f>
        <v>6.56</v>
      </c>
      <c r="F435" s="12"/>
      <c r="G435" s="12"/>
      <c r="H435" s="12"/>
    </row>
    <row r="436" spans="1:28" ht="14.25" x14ac:dyDescent="0.2">
      <c r="A436" s="45">
        <v>50</v>
      </c>
      <c r="B436" s="45" t="str">
        <f>Source!E116</f>
        <v>27,4</v>
      </c>
      <c r="C436" s="45" t="str">
        <f>Source!G116</f>
        <v>Раствор цементно-известковый М50</v>
      </c>
      <c r="D436" s="45" t="str">
        <f>Source!F116</f>
        <v>04.3.01.12</v>
      </c>
      <c r="E436" s="30" t="str">
        <f>Source!H116</f>
        <v>м3</v>
      </c>
      <c r="F436" s="12">
        <f>Source!I116</f>
        <v>1.4579999999999997E-2</v>
      </c>
      <c r="G436" s="22">
        <f>Source!AB116</f>
        <v>0</v>
      </c>
      <c r="H436" s="22">
        <f>Source!O116</f>
        <v>0</v>
      </c>
      <c r="T436">
        <f>Source!O116+Source!X116+Source!Y116</f>
        <v>0</v>
      </c>
      <c r="U436">
        <f>Source!P116</f>
        <v>0</v>
      </c>
      <c r="V436">
        <f>Source!S116</f>
        <v>0</v>
      </c>
      <c r="W436">
        <f>Source!Q116</f>
        <v>0</v>
      </c>
      <c r="X436">
        <f>Source!R116</f>
        <v>0</v>
      </c>
      <c r="Y436">
        <f>Source!U116</f>
        <v>0</v>
      </c>
      <c r="Z436">
        <f>Source!V116</f>
        <v>0</v>
      </c>
      <c r="AA436">
        <f>Source!X116</f>
        <v>0</v>
      </c>
      <c r="AB436">
        <f>Source!Y116</f>
        <v>0</v>
      </c>
    </row>
    <row r="437" spans="1:28" ht="14.25" x14ac:dyDescent="0.2">
      <c r="C437" s="23" t="s">
        <v>1980</v>
      </c>
      <c r="D437" s="23">
        <f>Source!BC116</f>
        <v>6.56</v>
      </c>
      <c r="F437" s="12"/>
      <c r="G437" s="12"/>
      <c r="H437" s="12"/>
    </row>
    <row r="438" spans="1:28" ht="14.25" x14ac:dyDescent="0.2">
      <c r="A438" s="45">
        <v>51</v>
      </c>
      <c r="B438" s="45" t="str">
        <f>Source!E117</f>
        <v>27,5</v>
      </c>
      <c r="C438" s="45" t="str">
        <f>Source!G117</f>
        <v>Кирпич</v>
      </c>
      <c r="D438" s="45" t="str">
        <f>Source!F117</f>
        <v>06.1.01.05</v>
      </c>
      <c r="E438" s="30" t="str">
        <f>Source!H117</f>
        <v>1000 шт.</v>
      </c>
      <c r="F438" s="12">
        <f>Source!I117</f>
        <v>1.5389999999999999E-2</v>
      </c>
      <c r="G438" s="22">
        <f>Source!AB117</f>
        <v>0</v>
      </c>
      <c r="H438" s="22">
        <f>Source!O117</f>
        <v>0</v>
      </c>
      <c r="T438">
        <f>Source!O117+Source!X117+Source!Y117</f>
        <v>0</v>
      </c>
      <c r="U438">
        <f>Source!P117</f>
        <v>0</v>
      </c>
      <c r="V438">
        <f>Source!S117</f>
        <v>0</v>
      </c>
      <c r="W438">
        <f>Source!Q117</f>
        <v>0</v>
      </c>
      <c r="X438">
        <f>Source!R117</f>
        <v>0</v>
      </c>
      <c r="Y438">
        <f>Source!U117</f>
        <v>0</v>
      </c>
      <c r="Z438">
        <f>Source!V117</f>
        <v>0</v>
      </c>
      <c r="AA438">
        <f>Source!X117</f>
        <v>0</v>
      </c>
      <c r="AB438">
        <f>Source!Y117</f>
        <v>0</v>
      </c>
    </row>
    <row r="439" spans="1:28" ht="14.25" x14ac:dyDescent="0.2">
      <c r="C439" s="23" t="s">
        <v>1980</v>
      </c>
      <c r="D439" s="23">
        <f>Source!BC117</f>
        <v>6.56</v>
      </c>
      <c r="F439" s="12"/>
      <c r="G439" s="12"/>
      <c r="H439" s="12"/>
    </row>
    <row r="440" spans="1:28" ht="14.25" x14ac:dyDescent="0.2">
      <c r="A440" s="45">
        <v>52</v>
      </c>
      <c r="B440" s="45" t="str">
        <f>Source!E118</f>
        <v>27,6</v>
      </c>
      <c r="C440" s="45" t="str">
        <f>Source!G118</f>
        <v>Конструкции стальные</v>
      </c>
      <c r="D440" s="45" t="str">
        <f>Source!F118</f>
        <v>07.2.07.13</v>
      </c>
      <c r="E440" s="30" t="str">
        <f>Source!H118</f>
        <v>т</v>
      </c>
      <c r="F440" s="12">
        <f>Source!I118</f>
        <v>2.8080000000000001E-2</v>
      </c>
      <c r="G440" s="22">
        <f>Source!AB118</f>
        <v>0</v>
      </c>
      <c r="H440" s="22">
        <f>Source!O118</f>
        <v>0</v>
      </c>
      <c r="T440">
        <f>Source!O118+Source!X118+Source!Y118</f>
        <v>0</v>
      </c>
      <c r="U440">
        <f>Source!P118</f>
        <v>0</v>
      </c>
      <c r="V440">
        <f>Source!S118</f>
        <v>0</v>
      </c>
      <c r="W440">
        <f>Source!Q118</f>
        <v>0</v>
      </c>
      <c r="X440">
        <f>Source!R118</f>
        <v>0</v>
      </c>
      <c r="Y440">
        <f>Source!U118</f>
        <v>0</v>
      </c>
      <c r="Z440">
        <f>Source!V118</f>
        <v>0</v>
      </c>
      <c r="AA440">
        <f>Source!X118</f>
        <v>0</v>
      </c>
      <c r="AB440">
        <f>Source!Y118</f>
        <v>0</v>
      </c>
    </row>
    <row r="441" spans="1:28" ht="14.25" x14ac:dyDescent="0.2">
      <c r="C441" s="23" t="s">
        <v>1980</v>
      </c>
      <c r="D441" s="23">
        <f>Source!BC118</f>
        <v>6.56</v>
      </c>
      <c r="F441" s="12"/>
      <c r="G441" s="12"/>
      <c r="H441" s="12"/>
    </row>
    <row r="442" spans="1:28" ht="42.75" x14ac:dyDescent="0.2">
      <c r="A442" s="45">
        <v>53</v>
      </c>
      <c r="B442" s="45" t="str">
        <f>Source!E119</f>
        <v>28</v>
      </c>
      <c r="C442" s="45" t="str">
        <f>Source!G119</f>
        <v>Кладка перегородок из газобетонных блоков на клее толщиной 200 мм при высоте этажа до 4 м</v>
      </c>
      <c r="D442" s="45" t="str">
        <f>Source!F119</f>
        <v>08-04-003-03</v>
      </c>
      <c r="E442" s="30" t="str">
        <f>Source!H119</f>
        <v>100 м2</v>
      </c>
      <c r="F442" s="12">
        <f>Source!I119</f>
        <v>0.19409999999999999</v>
      </c>
      <c r="G442" s="22">
        <f>Source!AB119</f>
        <v>1170.1300000000001</v>
      </c>
      <c r="H442" s="22">
        <f>Source!O119</f>
        <v>1489.93</v>
      </c>
      <c r="T442">
        <f>Source!O119+Source!X119+Source!Y119</f>
        <v>3099.94</v>
      </c>
      <c r="U442">
        <f>Source!P119</f>
        <v>347.42</v>
      </c>
      <c r="V442">
        <f>Source!S119</f>
        <v>863.82</v>
      </c>
      <c r="W442">
        <f>Source!Q119</f>
        <v>278.69</v>
      </c>
      <c r="X442">
        <f>Source!R119</f>
        <v>40.68</v>
      </c>
      <c r="Y442">
        <f>Source!U119</f>
        <v>15.564878999999999</v>
      </c>
      <c r="Z442">
        <f>Source!V119</f>
        <v>0.48524999999999996</v>
      </c>
      <c r="AA442">
        <f>Source!X119</f>
        <v>994.95</v>
      </c>
      <c r="AB442">
        <f>Source!Y119</f>
        <v>615.05999999999995</v>
      </c>
    </row>
    <row r="443" spans="1:28" ht="14.25" x14ac:dyDescent="0.2">
      <c r="C443" s="23" t="str">
        <f>"Объем: "&amp;Source!I119&amp;"=19,41/"&amp;"100"</f>
        <v>Объем: 0,1941=19,41/100</v>
      </c>
      <c r="F443" s="12"/>
      <c r="G443" s="12"/>
      <c r="H443" s="12"/>
    </row>
    <row r="444" spans="1:28" x14ac:dyDescent="0.2">
      <c r="C444" s="23" t="s">
        <v>1978</v>
      </c>
      <c r="D444" s="23">
        <f>Source!BA119</f>
        <v>6.56</v>
      </c>
    </row>
    <row r="445" spans="1:28" x14ac:dyDescent="0.2">
      <c r="C445" s="23" t="s">
        <v>1979</v>
      </c>
      <c r="D445" s="23">
        <f>Source!BB119</f>
        <v>6.56</v>
      </c>
    </row>
    <row r="446" spans="1:28" x14ac:dyDescent="0.2">
      <c r="C446" s="23" t="s">
        <v>1980</v>
      </c>
      <c r="D446" s="23">
        <f>Source!BC119</f>
        <v>6.56</v>
      </c>
    </row>
    <row r="447" spans="1:28" x14ac:dyDescent="0.2">
      <c r="C447" s="23" t="s">
        <v>1981</v>
      </c>
      <c r="D447" s="23">
        <f>Source!BS119</f>
        <v>6.56</v>
      </c>
    </row>
    <row r="448" spans="1:28" x14ac:dyDescent="0.2">
      <c r="C448" s="9" t="s">
        <v>1982</v>
      </c>
      <c r="D448" s="33"/>
      <c r="E448" s="33"/>
      <c r="F448" s="33">
        <f>Source!BZ119</f>
        <v>122</v>
      </c>
      <c r="G448" s="57">
        <f>(Source!AF119+Source!AE119)*Source!FX119/100</f>
        <v>779.97528000000011</v>
      </c>
      <c r="H448" s="57">
        <f>Source!X119</f>
        <v>994.95</v>
      </c>
    </row>
    <row r="449" spans="1:28" x14ac:dyDescent="0.2">
      <c r="C449" s="9" t="s">
        <v>1983</v>
      </c>
      <c r="D449" s="33"/>
      <c r="E449" s="33"/>
      <c r="F449" s="33"/>
      <c r="G449" s="33" t="str">
        <f>CONCATENATE(Source!DL119,Source!FT119, "=", Source!FX119, "%")</f>
        <v>*0,9=109,8%</v>
      </c>
      <c r="H449" s="33" t="str">
        <f>CONCATENATE(Source!AT119)</f>
        <v>110</v>
      </c>
    </row>
    <row r="450" spans="1:28" x14ac:dyDescent="0.2">
      <c r="C450" s="9" t="s">
        <v>1984</v>
      </c>
      <c r="D450" s="33"/>
      <c r="E450" s="33"/>
      <c r="F450" s="33">
        <f>Source!CA119</f>
        <v>80</v>
      </c>
      <c r="G450" s="57">
        <f>(Source!AF119+Source!AE119)*Source!FY119/100</f>
        <v>483.04480000000001</v>
      </c>
      <c r="H450" s="57">
        <f>Source!Y119</f>
        <v>615.05999999999995</v>
      </c>
    </row>
    <row r="451" spans="1:28" x14ac:dyDescent="0.2">
      <c r="C451" s="9" t="s">
        <v>1985</v>
      </c>
      <c r="D451" s="33"/>
      <c r="E451" s="33"/>
      <c r="F451" s="33"/>
      <c r="G451" s="33" t="str">
        <f>CONCATENATE(Source!DM119,Source!FU119, "=", Source!FY119, "%")</f>
        <v>*0,85=68%</v>
      </c>
      <c r="H451" s="33" t="str">
        <f>CONCATENATE(Source!AU119)</f>
        <v>68</v>
      </c>
    </row>
    <row r="452" spans="1:28" x14ac:dyDescent="0.2">
      <c r="C452" s="9" t="s">
        <v>1986</v>
      </c>
      <c r="D452" s="33"/>
      <c r="E452" s="33"/>
      <c r="F452" s="33"/>
      <c r="G452" s="57">
        <f>((Source!AF119+Source!AE119)*Source!FX119/100)+((Source!AF119+Source!AE119)*Source!FY119/100)+Source!AB119</f>
        <v>2433.1500800000003</v>
      </c>
      <c r="H452" s="57">
        <f>Source!O119+Source!X119+Source!Y119</f>
        <v>3099.94</v>
      </c>
    </row>
    <row r="453" spans="1:28" ht="42.75" x14ac:dyDescent="0.2">
      <c r="A453" s="45">
        <v>54</v>
      </c>
      <c r="B453" s="45" t="str">
        <f>Source!E120</f>
        <v>28,1</v>
      </c>
      <c r="C453" s="45" t="str">
        <f>Source!G120</f>
        <v>Блок пенобетонный, размером 20х30х60, D500 (Пеноблок газоселикатный 600х250х100мм) прим.</v>
      </c>
      <c r="D453" s="45" t="str">
        <f>Source!F120</f>
        <v>05.2.02.07-0010</v>
      </c>
      <c r="E453" s="30" t="str">
        <f>Source!H120</f>
        <v>шт.</v>
      </c>
      <c r="F453" s="12">
        <f>Source!I120</f>
        <v>129.33333300000001</v>
      </c>
      <c r="G453" s="22">
        <f>Source!AB120</f>
        <v>39.880000000000003</v>
      </c>
      <c r="H453" s="22">
        <f>Source!O120</f>
        <v>33835.26</v>
      </c>
      <c r="T453">
        <f>Source!O120+Source!X120+Source!Y120</f>
        <v>33835.26</v>
      </c>
      <c r="U453">
        <f>Source!P120</f>
        <v>33835.26</v>
      </c>
      <c r="V453">
        <f>Source!S120</f>
        <v>0</v>
      </c>
      <c r="W453">
        <f>Source!Q120</f>
        <v>0</v>
      </c>
      <c r="X453">
        <f>Source!R120</f>
        <v>0</v>
      </c>
      <c r="Y453">
        <f>Source!U120</f>
        <v>0</v>
      </c>
      <c r="Z453">
        <f>Source!V120</f>
        <v>0</v>
      </c>
      <c r="AA453">
        <f>Source!X120</f>
        <v>0</v>
      </c>
      <c r="AB453">
        <f>Source!Y120</f>
        <v>0</v>
      </c>
    </row>
    <row r="454" spans="1:28" ht="14.25" x14ac:dyDescent="0.2">
      <c r="C454" s="23" t="s">
        <v>1980</v>
      </c>
      <c r="D454" s="23">
        <f>Source!BC120</f>
        <v>6.56</v>
      </c>
      <c r="F454" s="12"/>
      <c r="G454" s="12"/>
      <c r="H454" s="12"/>
    </row>
    <row r="455" spans="1:28" ht="28.5" x14ac:dyDescent="0.2">
      <c r="A455" s="45">
        <v>55</v>
      </c>
      <c r="B455" s="45" t="str">
        <f>Source!E121</f>
        <v>28,2</v>
      </c>
      <c r="C455" s="45" t="str">
        <f>Source!G121</f>
        <v>Клей для облицовочных работ водостойкий «Плюс» (сухая смесь)</v>
      </c>
      <c r="D455" s="45" t="str">
        <f>Source!F121</f>
        <v>14.1.06.02-0001</v>
      </c>
      <c r="E455" s="30" t="str">
        <f>Source!H121</f>
        <v>т</v>
      </c>
      <c r="F455" s="12">
        <f>Source!I121</f>
        <v>7.9576999999999995E-2</v>
      </c>
      <c r="G455" s="22">
        <f>Source!AB121</f>
        <v>4316</v>
      </c>
      <c r="H455" s="22">
        <f>Source!O121</f>
        <v>2253.06</v>
      </c>
      <c r="T455">
        <f>Source!O121+Source!X121+Source!Y121</f>
        <v>2253.06</v>
      </c>
      <c r="U455">
        <f>Source!P121</f>
        <v>2253.06</v>
      </c>
      <c r="V455">
        <f>Source!S121</f>
        <v>0</v>
      </c>
      <c r="W455">
        <f>Source!Q121</f>
        <v>0</v>
      </c>
      <c r="X455">
        <f>Source!R121</f>
        <v>0</v>
      </c>
      <c r="Y455">
        <f>Source!U121</f>
        <v>0</v>
      </c>
      <c r="Z455">
        <f>Source!V121</f>
        <v>0</v>
      </c>
      <c r="AA455">
        <f>Source!X121</f>
        <v>0</v>
      </c>
      <c r="AB455">
        <f>Source!Y121</f>
        <v>0</v>
      </c>
    </row>
    <row r="456" spans="1:28" ht="14.25" x14ac:dyDescent="0.2">
      <c r="C456" s="23" t="s">
        <v>1980</v>
      </c>
      <c r="D456" s="23">
        <f>Source!BC121</f>
        <v>6.56</v>
      </c>
      <c r="F456" s="12"/>
      <c r="G456" s="12"/>
      <c r="H456" s="12"/>
    </row>
    <row r="457" spans="1:28" ht="14.25" x14ac:dyDescent="0.2">
      <c r="A457" s="45">
        <v>56</v>
      </c>
      <c r="B457" s="45" t="str">
        <f>Source!E122</f>
        <v>28,3</v>
      </c>
      <c r="C457" s="45" t="str">
        <f>Source!G122</f>
        <v>Блоки из ячеистых бетонов стеновые</v>
      </c>
      <c r="D457" s="45" t="str">
        <f>Source!F122</f>
        <v>05.2.02.09</v>
      </c>
      <c r="E457" s="30" t="str">
        <f>Source!H122</f>
        <v>м3</v>
      </c>
      <c r="F457" s="12">
        <f>Source!I122</f>
        <v>3.92082</v>
      </c>
      <c r="G457" s="22">
        <f>Source!AB122</f>
        <v>0</v>
      </c>
      <c r="H457" s="22">
        <f>Source!O122</f>
        <v>0</v>
      </c>
      <c r="T457">
        <f>Source!O122+Source!X122+Source!Y122</f>
        <v>0</v>
      </c>
      <c r="U457">
        <f>Source!P122</f>
        <v>0</v>
      </c>
      <c r="V457">
        <f>Source!S122</f>
        <v>0</v>
      </c>
      <c r="W457">
        <f>Source!Q122</f>
        <v>0</v>
      </c>
      <c r="X457">
        <f>Source!R122</f>
        <v>0</v>
      </c>
      <c r="Y457">
        <f>Source!U122</f>
        <v>0</v>
      </c>
      <c r="Z457">
        <f>Source!V122</f>
        <v>0</v>
      </c>
      <c r="AA457">
        <f>Source!X122</f>
        <v>0</v>
      </c>
      <c r="AB457">
        <f>Source!Y122</f>
        <v>0</v>
      </c>
    </row>
    <row r="458" spans="1:28" ht="14.25" x14ac:dyDescent="0.2">
      <c r="C458" s="23" t="s">
        <v>1980</v>
      </c>
      <c r="D458" s="23">
        <f>Source!BC122</f>
        <v>6.56</v>
      </c>
      <c r="F458" s="12"/>
      <c r="G458" s="12"/>
      <c r="H458" s="12"/>
    </row>
    <row r="459" spans="1:28" ht="14.25" x14ac:dyDescent="0.2">
      <c r="A459" s="45">
        <v>57</v>
      </c>
      <c r="B459" s="45" t="str">
        <f>Source!E123</f>
        <v>28,4</v>
      </c>
      <c r="C459" s="45" t="str">
        <f>Source!G123</f>
        <v>Состав клеящий</v>
      </c>
      <c r="D459" s="45" t="str">
        <f>Source!F123</f>
        <v>14.1.06.05</v>
      </c>
      <c r="E459" s="30" t="str">
        <f>Source!H123</f>
        <v>кг</v>
      </c>
      <c r="F459" s="12">
        <f>Source!I123</f>
        <v>79.577117999999999</v>
      </c>
      <c r="G459" s="22">
        <f>Source!AB123</f>
        <v>0</v>
      </c>
      <c r="H459" s="22">
        <f>Source!O123</f>
        <v>0</v>
      </c>
      <c r="T459">
        <f>Source!O123+Source!X123+Source!Y123</f>
        <v>0</v>
      </c>
      <c r="U459">
        <f>Source!P123</f>
        <v>0</v>
      </c>
      <c r="V459">
        <f>Source!S123</f>
        <v>0</v>
      </c>
      <c r="W459">
        <f>Source!Q123</f>
        <v>0</v>
      </c>
      <c r="X459">
        <f>Source!R123</f>
        <v>0</v>
      </c>
      <c r="Y459">
        <f>Source!U123</f>
        <v>0</v>
      </c>
      <c r="Z459">
        <f>Source!V123</f>
        <v>0</v>
      </c>
      <c r="AA459">
        <f>Source!X123</f>
        <v>0</v>
      </c>
      <c r="AB459">
        <f>Source!Y123</f>
        <v>0</v>
      </c>
    </row>
    <row r="460" spans="1:28" ht="14.25" x14ac:dyDescent="0.2">
      <c r="C460" s="23" t="s">
        <v>1980</v>
      </c>
      <c r="D460" s="23">
        <f>Source!BC123</f>
        <v>6.56</v>
      </c>
      <c r="F460" s="12"/>
      <c r="G460" s="12"/>
      <c r="H460" s="12"/>
    </row>
    <row r="461" spans="1:28" ht="57" x14ac:dyDescent="0.2">
      <c r="A461" s="45">
        <v>58</v>
      </c>
      <c r="B461" s="45" t="str">
        <f>Source!E124</f>
        <v>29</v>
      </c>
      <c r="C461" s="45" t="str">
        <f>Source!G124</f>
        <v>Кладка отдельных участков кирпичных стен и заделка проемов в кирпичных стенах при объеме кладки в одном месте до 5 м3</v>
      </c>
      <c r="D461" s="45" t="str">
        <f>Source!F124</f>
        <v>46-02-007-01</v>
      </c>
      <c r="E461" s="30" t="str">
        <f>Source!H124</f>
        <v>м3</v>
      </c>
      <c r="F461" s="12">
        <f>Source!I124</f>
        <v>1.62</v>
      </c>
      <c r="G461" s="22">
        <f>Source!AB124</f>
        <v>246.41</v>
      </c>
      <c r="H461" s="22">
        <f>Source!O124</f>
        <v>2618.65</v>
      </c>
      <c r="T461">
        <f>Source!O124+Source!X124+Source!Y124</f>
        <v>4638.38</v>
      </c>
      <c r="U461">
        <f>Source!P124</f>
        <v>1325.74</v>
      </c>
      <c r="V461">
        <f>Source!S124</f>
        <v>1270.27</v>
      </c>
      <c r="W461">
        <f>Source!Q124</f>
        <v>22.64</v>
      </c>
      <c r="X461">
        <f>Source!R124</f>
        <v>0</v>
      </c>
      <c r="Y461">
        <f>Source!U124</f>
        <v>23.700600000000001</v>
      </c>
      <c r="Z461">
        <f>Source!V124</f>
        <v>0</v>
      </c>
      <c r="AA461">
        <f>Source!X124</f>
        <v>1257.57</v>
      </c>
      <c r="AB461">
        <f>Source!Y124</f>
        <v>762.16</v>
      </c>
    </row>
    <row r="462" spans="1:28" ht="14.25" x14ac:dyDescent="0.2">
      <c r="C462" s="23" t="s">
        <v>1978</v>
      </c>
      <c r="D462" s="23">
        <f>Source!BA124</f>
        <v>6.56</v>
      </c>
      <c r="F462" s="12"/>
      <c r="G462" s="12"/>
      <c r="H462" s="12"/>
    </row>
    <row r="463" spans="1:28" x14ac:dyDescent="0.2">
      <c r="C463" s="23" t="s">
        <v>1979</v>
      </c>
      <c r="D463" s="23">
        <f>Source!BB124</f>
        <v>6.56</v>
      </c>
    </row>
    <row r="464" spans="1:28" x14ac:dyDescent="0.2">
      <c r="C464" s="23" t="s">
        <v>1980</v>
      </c>
      <c r="D464" s="23">
        <f>Source!BC124</f>
        <v>6.56</v>
      </c>
    </row>
    <row r="465" spans="1:28" x14ac:dyDescent="0.2">
      <c r="C465" s="23" t="s">
        <v>1981</v>
      </c>
      <c r="D465" s="23">
        <f>Source!BS124</f>
        <v>6.56</v>
      </c>
    </row>
    <row r="466" spans="1:28" x14ac:dyDescent="0.2">
      <c r="C466" s="9" t="s">
        <v>1982</v>
      </c>
      <c r="D466" s="33"/>
      <c r="E466" s="33"/>
      <c r="F466" s="33">
        <f>Source!BZ124</f>
        <v>110</v>
      </c>
      <c r="G466" s="57">
        <f>(Source!AF124+Source!AE124)*Source!FX124/100</f>
        <v>118.3347</v>
      </c>
      <c r="H466" s="57">
        <f>Source!X124</f>
        <v>1257.57</v>
      </c>
    </row>
    <row r="467" spans="1:28" x14ac:dyDescent="0.2">
      <c r="C467" s="9" t="s">
        <v>1983</v>
      </c>
      <c r="D467" s="33"/>
      <c r="E467" s="33"/>
      <c r="F467" s="33"/>
      <c r="G467" s="33" t="str">
        <f>CONCATENATE(Source!DL124,Source!FT124, "=", Source!FX124, "%")</f>
        <v>*0,9=99%</v>
      </c>
      <c r="H467" s="33" t="str">
        <f>CONCATENATE(Source!AT124)</f>
        <v>99</v>
      </c>
    </row>
    <row r="468" spans="1:28" x14ac:dyDescent="0.2">
      <c r="C468" s="9" t="s">
        <v>1984</v>
      </c>
      <c r="D468" s="33"/>
      <c r="E468" s="33"/>
      <c r="F468" s="33">
        <f>Source!CA124</f>
        <v>70</v>
      </c>
      <c r="G468" s="57">
        <f>(Source!AF124+Source!AE124)*Source!FY124/100</f>
        <v>71.120350000000002</v>
      </c>
      <c r="H468" s="57">
        <f>Source!Y124</f>
        <v>762.16</v>
      </c>
    </row>
    <row r="469" spans="1:28" x14ac:dyDescent="0.2">
      <c r="C469" s="9" t="s">
        <v>1985</v>
      </c>
      <c r="D469" s="33"/>
      <c r="E469" s="33"/>
      <c r="F469" s="33"/>
      <c r="G469" s="33" t="str">
        <f>CONCATENATE(Source!DM124,Source!FU124, "=", Source!FY124, "%")</f>
        <v>*0,85=59,5%</v>
      </c>
      <c r="H469" s="33" t="str">
        <f>CONCATENATE(Source!AU124)</f>
        <v>60</v>
      </c>
    </row>
    <row r="470" spans="1:28" x14ac:dyDescent="0.2">
      <c r="C470" s="9" t="s">
        <v>1986</v>
      </c>
      <c r="D470" s="33"/>
      <c r="E470" s="33"/>
      <c r="F470" s="33"/>
      <c r="G470" s="57">
        <f>((Source!AF124+Source!AE124)*Source!FX124/100)+((Source!AF124+Source!AE124)*Source!FY124/100)+Source!AB124</f>
        <v>435.86505</v>
      </c>
      <c r="H470" s="57">
        <f>Source!O124+Source!X124+Source!Y124</f>
        <v>4638.38</v>
      </c>
    </row>
    <row r="471" spans="1:28" ht="28.5" x14ac:dyDescent="0.2">
      <c r="A471" s="45">
        <v>59</v>
      </c>
      <c r="B471" s="45" t="str">
        <f>Source!E125</f>
        <v>29,1</v>
      </c>
      <c r="C471" s="45" t="str">
        <f>Source!G125</f>
        <v>Кирпич-половняк силикатный</v>
      </c>
      <c r="D471" s="45" t="str">
        <f>Source!F125</f>
        <v>06.1.01.09-0002</v>
      </c>
      <c r="E471" s="30" t="str">
        <f>Source!H125</f>
        <v>м3</v>
      </c>
      <c r="F471" s="12">
        <f>Source!I125</f>
        <v>1.62</v>
      </c>
      <c r="G471" s="22">
        <f>Source!AB125</f>
        <v>103.41</v>
      </c>
      <c r="H471" s="22">
        <f>Source!O125</f>
        <v>1098.96</v>
      </c>
      <c r="T471">
        <f>Source!O125+Source!X125+Source!Y125</f>
        <v>1098.96</v>
      </c>
      <c r="U471">
        <f>Source!P125</f>
        <v>1098.96</v>
      </c>
      <c r="V471">
        <f>Source!S125</f>
        <v>0</v>
      </c>
      <c r="W471">
        <f>Source!Q125</f>
        <v>0</v>
      </c>
      <c r="X471">
        <f>Source!R125</f>
        <v>0</v>
      </c>
      <c r="Y471">
        <f>Source!U125</f>
        <v>0</v>
      </c>
      <c r="Z471">
        <f>Source!V125</f>
        <v>0</v>
      </c>
      <c r="AA471">
        <f>Source!X125</f>
        <v>0</v>
      </c>
      <c r="AB471">
        <f>Source!Y125</f>
        <v>0</v>
      </c>
    </row>
    <row r="472" spans="1:28" ht="14.25" x14ac:dyDescent="0.2">
      <c r="C472" s="23" t="s">
        <v>1980</v>
      </c>
      <c r="D472" s="23">
        <f>Source!BC125</f>
        <v>6.56</v>
      </c>
      <c r="F472" s="12"/>
      <c r="G472" s="12"/>
      <c r="H472" s="12"/>
    </row>
    <row r="473" spans="1:28" ht="14.25" x14ac:dyDescent="0.2">
      <c r="A473" s="45">
        <v>60</v>
      </c>
      <c r="B473" s="45" t="str">
        <f>Source!E126</f>
        <v>29,2</v>
      </c>
      <c r="C473" s="45" t="str">
        <f>Source!G126</f>
        <v>Кирпич глиняный обыкновенный</v>
      </c>
      <c r="D473" s="45" t="str">
        <f>Source!F126</f>
        <v>06.1.01.05</v>
      </c>
      <c r="E473" s="30" t="str">
        <f>Source!H126</f>
        <v>1000 шт.</v>
      </c>
      <c r="F473" s="12">
        <f>Source!I126</f>
        <v>0.64800000000000002</v>
      </c>
      <c r="G473" s="22">
        <f>Source!AB126</f>
        <v>0</v>
      </c>
      <c r="H473" s="22">
        <f>Source!O126</f>
        <v>0</v>
      </c>
      <c r="T473">
        <f>Source!O126+Source!X126+Source!Y126</f>
        <v>0</v>
      </c>
      <c r="U473">
        <f>Source!P126</f>
        <v>0</v>
      </c>
      <c r="V473">
        <f>Source!S126</f>
        <v>0</v>
      </c>
      <c r="W473">
        <f>Source!Q126</f>
        <v>0</v>
      </c>
      <c r="X473">
        <f>Source!R126</f>
        <v>0</v>
      </c>
      <c r="Y473">
        <f>Source!U126</f>
        <v>0</v>
      </c>
      <c r="Z473">
        <f>Source!V126</f>
        <v>0</v>
      </c>
      <c r="AA473">
        <f>Source!X126</f>
        <v>0</v>
      </c>
      <c r="AB473">
        <f>Source!Y126</f>
        <v>0</v>
      </c>
    </row>
    <row r="474" spans="1:28" ht="14.25" x14ac:dyDescent="0.2">
      <c r="C474" s="23" t="s">
        <v>1980</v>
      </c>
      <c r="D474" s="23">
        <f>Source!BC126</f>
        <v>6.56</v>
      </c>
      <c r="F474" s="12"/>
      <c r="G474" s="12"/>
      <c r="H474" s="12"/>
    </row>
    <row r="475" spans="1:28" ht="28.5" x14ac:dyDescent="0.2">
      <c r="A475" s="45">
        <v>61</v>
      </c>
      <c r="B475" s="45" t="str">
        <f>Source!E127</f>
        <v>30</v>
      </c>
      <c r="C475" s="45" t="str">
        <f>Source!G127</f>
        <v>Покрытие поверхностей грунтовкой глубокого проникновения за 1 раз стен</v>
      </c>
      <c r="D475" s="45" t="str">
        <f>Source!F127</f>
        <v>15-04-006-03</v>
      </c>
      <c r="E475" s="30" t="str">
        <f>Source!H127</f>
        <v>100 м2</v>
      </c>
      <c r="F475" s="12">
        <f>Source!I127</f>
        <v>3.484</v>
      </c>
      <c r="G475" s="22">
        <f>Source!AB127</f>
        <v>64.16</v>
      </c>
      <c r="H475" s="22">
        <f>Source!O127</f>
        <v>1466.38</v>
      </c>
      <c r="T475">
        <f>Source!O127+Source!X127+Source!Y127</f>
        <v>3519.7599999999998</v>
      </c>
      <c r="U475">
        <f>Source!P127</f>
        <v>4.1100000000000003</v>
      </c>
      <c r="V475">
        <f>Source!S127</f>
        <v>1440.1</v>
      </c>
      <c r="W475">
        <f>Source!Q127</f>
        <v>22.17</v>
      </c>
      <c r="X475">
        <f>Source!R127</f>
        <v>5.94</v>
      </c>
      <c r="Y475">
        <f>Source!U127</f>
        <v>22.8202</v>
      </c>
      <c r="Z475">
        <f>Source!V127</f>
        <v>6.9680000000000006E-2</v>
      </c>
      <c r="AA475">
        <f>Source!X127</f>
        <v>1373.74</v>
      </c>
      <c r="AB475">
        <f>Source!Y127</f>
        <v>679.64</v>
      </c>
    </row>
    <row r="476" spans="1:28" ht="14.25" x14ac:dyDescent="0.2">
      <c r="C476" s="23" t="str">
        <f>"Объем: "&amp;Source!I127&amp;"=348,4/"&amp;"100"</f>
        <v>Объем: 3,484=348,4/100</v>
      </c>
      <c r="F476" s="12"/>
      <c r="G476" s="12"/>
      <c r="H476" s="12"/>
    </row>
    <row r="477" spans="1:28" x14ac:dyDescent="0.2">
      <c r="C477" s="23" t="s">
        <v>1978</v>
      </c>
      <c r="D477" s="23">
        <f>Source!BA127</f>
        <v>6.56</v>
      </c>
    </row>
    <row r="478" spans="1:28" x14ac:dyDescent="0.2">
      <c r="C478" s="23" t="s">
        <v>1979</v>
      </c>
      <c r="D478" s="23">
        <f>Source!BB127</f>
        <v>6.56</v>
      </c>
    </row>
    <row r="479" spans="1:28" x14ac:dyDescent="0.2">
      <c r="C479" s="23" t="s">
        <v>1980</v>
      </c>
      <c r="D479" s="23">
        <f>Source!BC127</f>
        <v>6.56</v>
      </c>
    </row>
    <row r="480" spans="1:28" x14ac:dyDescent="0.2">
      <c r="C480" s="23" t="s">
        <v>1981</v>
      </c>
      <c r="D480" s="23">
        <f>Source!BS127</f>
        <v>6.56</v>
      </c>
    </row>
    <row r="481" spans="1:28" x14ac:dyDescent="0.2">
      <c r="C481" s="9" t="s">
        <v>1982</v>
      </c>
      <c r="D481" s="33"/>
      <c r="E481" s="33"/>
      <c r="F481" s="33">
        <f>Source!BZ127</f>
        <v>105</v>
      </c>
      <c r="G481" s="57">
        <f>(Source!AF127+Source!AE127)*Source!FX127/100</f>
        <v>59.790149999999997</v>
      </c>
      <c r="H481" s="57">
        <f>Source!X127</f>
        <v>1373.74</v>
      </c>
    </row>
    <row r="482" spans="1:28" x14ac:dyDescent="0.2">
      <c r="C482" s="9" t="s">
        <v>1983</v>
      </c>
      <c r="D482" s="33"/>
      <c r="E482" s="33"/>
      <c r="F482" s="33"/>
      <c r="G482" s="33" t="str">
        <f>CONCATENATE(Source!DL127,Source!FT127, "=", Source!FX127, "%")</f>
        <v>*0,9=94,5%</v>
      </c>
      <c r="H482" s="33" t="str">
        <f>CONCATENATE(Source!AT127)</f>
        <v>95</v>
      </c>
    </row>
    <row r="483" spans="1:28" x14ac:dyDescent="0.2">
      <c r="C483" s="9" t="s">
        <v>1984</v>
      </c>
      <c r="D483" s="33"/>
      <c r="E483" s="33"/>
      <c r="F483" s="33">
        <f>Source!CA127</f>
        <v>55</v>
      </c>
      <c r="G483" s="57">
        <f>(Source!AF127+Source!AE127)*Source!FY127/100</f>
        <v>29.578724999999999</v>
      </c>
      <c r="H483" s="57">
        <f>Source!Y127</f>
        <v>679.64</v>
      </c>
    </row>
    <row r="484" spans="1:28" x14ac:dyDescent="0.2">
      <c r="C484" s="9" t="s">
        <v>1985</v>
      </c>
      <c r="D484" s="33"/>
      <c r="E484" s="33"/>
      <c r="F484" s="33"/>
      <c r="G484" s="33" t="str">
        <f>CONCATENATE(Source!DM127,Source!FU127, "=", Source!FY127, "%")</f>
        <v>*0,85=46,75%</v>
      </c>
      <c r="H484" s="33" t="str">
        <f>CONCATENATE(Source!AU127)</f>
        <v>47</v>
      </c>
    </row>
    <row r="485" spans="1:28" x14ac:dyDescent="0.2">
      <c r="C485" s="9" t="s">
        <v>1986</v>
      </c>
      <c r="D485" s="33"/>
      <c r="E485" s="33"/>
      <c r="F485" s="33"/>
      <c r="G485" s="57">
        <f>((Source!AF127+Source!AE127)*Source!FX127/100)+((Source!AF127+Source!AE127)*Source!FY127/100)+Source!AB127</f>
        <v>153.528875</v>
      </c>
      <c r="H485" s="57">
        <f>Source!O127+Source!X127+Source!Y127</f>
        <v>3519.7599999999998</v>
      </c>
    </row>
    <row r="486" spans="1:28" ht="28.5" x14ac:dyDescent="0.2">
      <c r="A486" s="45">
        <v>62</v>
      </c>
      <c r="B486" s="45" t="str">
        <f>Source!E128</f>
        <v>30,1</v>
      </c>
      <c r="C486" s="45" t="str">
        <f>Source!G128</f>
        <v>Грунтовка: «Бетоконтакт», КНАУФ</v>
      </c>
      <c r="D486" s="45" t="str">
        <f>Source!F128</f>
        <v>14.3.01.01-0001</v>
      </c>
      <c r="E486" s="30" t="str">
        <f>Source!H128</f>
        <v>кг</v>
      </c>
      <c r="F486" s="12">
        <f>Source!I128</f>
        <v>45.292000000000002</v>
      </c>
      <c r="G486" s="22">
        <f>Source!AB128</f>
        <v>15.09</v>
      </c>
      <c r="H486" s="22">
        <f>Source!O128</f>
        <v>4483.47</v>
      </c>
      <c r="T486">
        <f>Source!O128+Source!X128+Source!Y128</f>
        <v>4483.47</v>
      </c>
      <c r="U486">
        <f>Source!P128</f>
        <v>4483.47</v>
      </c>
      <c r="V486">
        <f>Source!S128</f>
        <v>0</v>
      </c>
      <c r="W486">
        <f>Source!Q128</f>
        <v>0</v>
      </c>
      <c r="X486">
        <f>Source!R128</f>
        <v>0</v>
      </c>
      <c r="Y486">
        <f>Source!U128</f>
        <v>0</v>
      </c>
      <c r="Z486">
        <f>Source!V128</f>
        <v>0</v>
      </c>
      <c r="AA486">
        <f>Source!X128</f>
        <v>0</v>
      </c>
      <c r="AB486">
        <f>Source!Y128</f>
        <v>0</v>
      </c>
    </row>
    <row r="487" spans="1:28" ht="14.25" x14ac:dyDescent="0.2">
      <c r="C487" s="23" t="s">
        <v>1980</v>
      </c>
      <c r="D487" s="23">
        <f>Source!BC128</f>
        <v>6.56</v>
      </c>
      <c r="F487" s="12"/>
      <c r="G487" s="12"/>
      <c r="H487" s="12"/>
    </row>
    <row r="488" spans="1:28" ht="14.25" x14ac:dyDescent="0.2">
      <c r="A488" s="45">
        <v>63</v>
      </c>
      <c r="B488" s="45" t="str">
        <f>Source!E129</f>
        <v>30,2</v>
      </c>
      <c r="C488" s="45" t="str">
        <f>Source!G129</f>
        <v>Грунтовка</v>
      </c>
      <c r="D488" s="45" t="str">
        <f>Source!F129</f>
        <v>14.4.01.21</v>
      </c>
      <c r="E488" s="30" t="str">
        <f>Source!H129</f>
        <v>т</v>
      </c>
      <c r="F488" s="12">
        <f>Source!I129</f>
        <v>4.5291999999999999E-2</v>
      </c>
      <c r="G488" s="22">
        <f>Source!AB129</f>
        <v>0</v>
      </c>
      <c r="H488" s="22">
        <f>Source!O129</f>
        <v>0</v>
      </c>
      <c r="T488">
        <f>Source!O129+Source!X129+Source!Y129</f>
        <v>0</v>
      </c>
      <c r="U488">
        <f>Source!P129</f>
        <v>0</v>
      </c>
      <c r="V488">
        <f>Source!S129</f>
        <v>0</v>
      </c>
      <c r="W488">
        <f>Source!Q129</f>
        <v>0</v>
      </c>
      <c r="X488">
        <f>Source!R129</f>
        <v>0</v>
      </c>
      <c r="Y488">
        <f>Source!U129</f>
        <v>0</v>
      </c>
      <c r="Z488">
        <f>Source!V129</f>
        <v>0</v>
      </c>
      <c r="AA488">
        <f>Source!X129</f>
        <v>0</v>
      </c>
      <c r="AB488">
        <f>Source!Y129</f>
        <v>0</v>
      </c>
    </row>
    <row r="489" spans="1:28" ht="14.25" x14ac:dyDescent="0.2">
      <c r="C489" s="23" t="s">
        <v>1980</v>
      </c>
      <c r="D489" s="23">
        <f>Source!BC129</f>
        <v>6.56</v>
      </c>
      <c r="F489" s="12"/>
      <c r="G489" s="12"/>
      <c r="H489" s="12"/>
    </row>
    <row r="490" spans="1:28" ht="85.5" x14ac:dyDescent="0.2">
      <c r="A490" s="45">
        <v>64</v>
      </c>
      <c r="B490" s="45" t="str">
        <f>Source!E130</f>
        <v>31</v>
      </c>
      <c r="C490" s="45" t="str">
        <f>Source!G130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490" s="45" t="str">
        <f>Source!F130</f>
        <v>61-1-9</v>
      </c>
      <c r="E490" s="30" t="str">
        <f>Source!H130</f>
        <v>100 м2</v>
      </c>
      <c r="F490" s="12">
        <f>Source!I130</f>
        <v>7.9081999999999999</v>
      </c>
      <c r="G490" s="22">
        <f>Source!AB130</f>
        <v>321.52999999999997</v>
      </c>
      <c r="H490" s="22">
        <f>Source!O130</f>
        <v>16680.27</v>
      </c>
      <c r="T490">
        <f>Source!O130+Source!X130+Source!Y130</f>
        <v>37647.050000000003</v>
      </c>
      <c r="U490">
        <f>Source!P130</f>
        <v>64.849999999999994</v>
      </c>
      <c r="V490">
        <f>Source!S130</f>
        <v>15725.2</v>
      </c>
      <c r="W490">
        <f>Source!Q130</f>
        <v>890.22</v>
      </c>
      <c r="X490">
        <f>Source!R130</f>
        <v>528.12</v>
      </c>
      <c r="Y490">
        <f>Source!U130</f>
        <v>283.35080599999998</v>
      </c>
      <c r="Z490">
        <f>Source!V130</f>
        <v>7.4337079999999993</v>
      </c>
      <c r="AA490">
        <f>Source!X130</f>
        <v>12840.12</v>
      </c>
      <c r="AB490">
        <f>Source!Y130</f>
        <v>8126.66</v>
      </c>
    </row>
    <row r="491" spans="1:28" ht="14.25" x14ac:dyDescent="0.2">
      <c r="C491" s="23" t="str">
        <f>"Объем: "&amp;Source!I130&amp;"=790,82/"&amp;"100"</f>
        <v>Объем: 7,9082=790,82/100</v>
      </c>
      <c r="F491" s="12"/>
      <c r="G491" s="12"/>
      <c r="H491" s="12"/>
    </row>
    <row r="492" spans="1:28" x14ac:dyDescent="0.2">
      <c r="C492" s="23" t="s">
        <v>1978</v>
      </c>
      <c r="D492" s="23">
        <f>Source!BA130</f>
        <v>6.56</v>
      </c>
    </row>
    <row r="493" spans="1:28" x14ac:dyDescent="0.2">
      <c r="C493" s="23" t="s">
        <v>1979</v>
      </c>
      <c r="D493" s="23">
        <f>Source!BB130</f>
        <v>6.56</v>
      </c>
    </row>
    <row r="494" spans="1:28" x14ac:dyDescent="0.2">
      <c r="C494" s="23" t="s">
        <v>1980</v>
      </c>
      <c r="D494" s="23">
        <f>Source!BC130</f>
        <v>6.56</v>
      </c>
    </row>
    <row r="495" spans="1:28" x14ac:dyDescent="0.2">
      <c r="C495" s="23" t="s">
        <v>1981</v>
      </c>
      <c r="D495" s="23">
        <f>Source!BS130</f>
        <v>6.56</v>
      </c>
    </row>
    <row r="496" spans="1:28" x14ac:dyDescent="0.2">
      <c r="C496" s="9" t="s">
        <v>1982</v>
      </c>
      <c r="D496" s="33"/>
      <c r="E496" s="33"/>
      <c r="F496" s="33">
        <f>Source!BZ130</f>
        <v>79</v>
      </c>
      <c r="G496" s="57">
        <f>(Source!AF130+Source!AE130)*Source!FX130/100</f>
        <v>247.50700000000001</v>
      </c>
      <c r="H496" s="57">
        <f>Source!X130</f>
        <v>12840.12</v>
      </c>
    </row>
    <row r="497" spans="1:28" x14ac:dyDescent="0.2">
      <c r="C497" s="9" t="s">
        <v>1984</v>
      </c>
      <c r="D497" s="33"/>
      <c r="E497" s="33"/>
      <c r="F497" s="33">
        <f>Source!CA130</f>
        <v>50</v>
      </c>
      <c r="G497" s="57">
        <f>(Source!AF130+Source!AE130)*Source!FY130/100</f>
        <v>156.65</v>
      </c>
      <c r="H497" s="57">
        <f>Source!Y130</f>
        <v>8126.66</v>
      </c>
    </row>
    <row r="498" spans="1:28" x14ac:dyDescent="0.2">
      <c r="C498" s="9" t="s">
        <v>1986</v>
      </c>
      <c r="D498" s="33"/>
      <c r="E498" s="33"/>
      <c r="F498" s="33"/>
      <c r="G498" s="57">
        <f>((Source!AF130+Source!AE130)*Source!FX130/100)+((Source!AF130+Source!AE130)*Source!FY130/100)+Source!AB130</f>
        <v>725.68700000000001</v>
      </c>
      <c r="H498" s="57">
        <f>Source!O130+Source!X130+Source!Y130</f>
        <v>37647.050000000003</v>
      </c>
    </row>
    <row r="499" spans="1:28" ht="28.5" x14ac:dyDescent="0.2">
      <c r="A499" s="45">
        <v>65</v>
      </c>
      <c r="B499" s="45" t="str">
        <f>Source!E131</f>
        <v>31,1</v>
      </c>
      <c r="C499" s="45" t="str">
        <f>Source!G131</f>
        <v>Смесь штукатурная «Ротбанд», КНАУФ</v>
      </c>
      <c r="D499" s="45" t="str">
        <f>Source!F131</f>
        <v>04.3.02.05-0002</v>
      </c>
      <c r="E499" s="30" t="str">
        <f>Source!H131</f>
        <v>кг</v>
      </c>
      <c r="F499" s="12">
        <f>Source!I131</f>
        <v>6761.5111580000003</v>
      </c>
      <c r="G499" s="22">
        <f>Source!AB131</f>
        <v>2.0699999999999998</v>
      </c>
      <c r="H499" s="22">
        <f>Source!O131</f>
        <v>91815.91</v>
      </c>
      <c r="T499">
        <f>Source!O131+Source!X131+Source!Y131</f>
        <v>91815.91</v>
      </c>
      <c r="U499">
        <f>Source!P131</f>
        <v>91815.91</v>
      </c>
      <c r="V499">
        <f>Source!S131</f>
        <v>0</v>
      </c>
      <c r="W499">
        <f>Source!Q131</f>
        <v>0</v>
      </c>
      <c r="X499">
        <f>Source!R131</f>
        <v>0</v>
      </c>
      <c r="Y499">
        <f>Source!U131</f>
        <v>0</v>
      </c>
      <c r="Z499">
        <f>Source!V131</f>
        <v>0</v>
      </c>
      <c r="AA499">
        <f>Source!X131</f>
        <v>0</v>
      </c>
      <c r="AB499">
        <f>Source!Y131</f>
        <v>0</v>
      </c>
    </row>
    <row r="500" spans="1:28" ht="14.25" x14ac:dyDescent="0.2">
      <c r="C500" s="23" t="s">
        <v>1980</v>
      </c>
      <c r="D500" s="23">
        <f>Source!BC131</f>
        <v>6.56</v>
      </c>
      <c r="F500" s="12"/>
      <c r="G500" s="12"/>
      <c r="H500" s="12"/>
    </row>
    <row r="501" spans="1:28" ht="14.25" x14ac:dyDescent="0.2">
      <c r="A501" s="45">
        <v>66</v>
      </c>
      <c r="B501" s="45" t="str">
        <f>Source!E132</f>
        <v>31,2</v>
      </c>
      <c r="C501" s="45" t="str">
        <f>Source!G132</f>
        <v>Смеси на цементной основе</v>
      </c>
      <c r="D501" s="45" t="str">
        <f>Source!F132</f>
        <v>04.3.02.09</v>
      </c>
      <c r="E501" s="30" t="str">
        <f>Source!H132</f>
        <v>т</v>
      </c>
      <c r="F501" s="12">
        <f>Source!I132</f>
        <v>6.7615109999999996</v>
      </c>
      <c r="G501" s="22">
        <f>Source!AB132</f>
        <v>0</v>
      </c>
      <c r="H501" s="22">
        <f>Source!O132</f>
        <v>0</v>
      </c>
      <c r="T501">
        <f>Source!O132+Source!X132+Source!Y132</f>
        <v>0</v>
      </c>
      <c r="U501">
        <f>Source!P132</f>
        <v>0</v>
      </c>
      <c r="V501">
        <f>Source!S132</f>
        <v>0</v>
      </c>
      <c r="W501">
        <f>Source!Q132</f>
        <v>0</v>
      </c>
      <c r="X501">
        <f>Source!R132</f>
        <v>0</v>
      </c>
      <c r="Y501">
        <f>Source!U132</f>
        <v>0</v>
      </c>
      <c r="Z501">
        <f>Source!V132</f>
        <v>0</v>
      </c>
      <c r="AA501">
        <f>Source!X132</f>
        <v>0</v>
      </c>
      <c r="AB501">
        <f>Source!Y132</f>
        <v>0</v>
      </c>
    </row>
    <row r="502" spans="1:28" ht="14.25" x14ac:dyDescent="0.2">
      <c r="C502" s="23" t="s">
        <v>1980</v>
      </c>
      <c r="D502" s="23">
        <f>Source!BC132</f>
        <v>6.56</v>
      </c>
      <c r="F502" s="12"/>
      <c r="G502" s="12"/>
      <c r="H502" s="12"/>
    </row>
    <row r="503" spans="1:28" ht="57" x14ac:dyDescent="0.2">
      <c r="A503" s="45">
        <v>67</v>
      </c>
      <c r="B503" s="45" t="str">
        <f>Source!E133</f>
        <v>32</v>
      </c>
      <c r="C503" s="45" t="str">
        <f>Source!G133</f>
        <v>Штукатурка поверхностей внутри здания цементно-известковым или цементным раствором по камню и бетону улучшенная стен</v>
      </c>
      <c r="D503" s="45" t="str">
        <f>Source!F133</f>
        <v>15-02-016-03</v>
      </c>
      <c r="E503" s="30" t="str">
        <f>Source!H133</f>
        <v>100 м2</v>
      </c>
      <c r="F503" s="12">
        <f>Source!I133</f>
        <v>1.19</v>
      </c>
      <c r="G503" s="22">
        <f>Source!AB133</f>
        <v>2040.68</v>
      </c>
      <c r="H503" s="22">
        <f>Source!O133</f>
        <v>15930.36</v>
      </c>
      <c r="T503">
        <f>Source!O133+Source!X133+Source!Y133</f>
        <v>25538.9</v>
      </c>
      <c r="U503">
        <f>Source!P133</f>
        <v>8824.35</v>
      </c>
      <c r="V503">
        <f>Source!S133</f>
        <v>6298.98</v>
      </c>
      <c r="W503">
        <f>Source!Q133</f>
        <v>807.03</v>
      </c>
      <c r="X503">
        <f>Source!R133</f>
        <v>467.6</v>
      </c>
      <c r="Y503">
        <f>Source!U133</f>
        <v>102.14959999999999</v>
      </c>
      <c r="Z503">
        <f>Source!V133</f>
        <v>7.4851000000000001</v>
      </c>
      <c r="AA503">
        <f>Source!X133</f>
        <v>6428.25</v>
      </c>
      <c r="AB503">
        <f>Source!Y133</f>
        <v>3180.29</v>
      </c>
    </row>
    <row r="504" spans="1:28" ht="14.25" x14ac:dyDescent="0.2">
      <c r="C504" s="23" t="str">
        <f>"Объем: "&amp;Source!I133&amp;"=119/"&amp;"100"</f>
        <v>Объем: 1,19=119/100</v>
      </c>
      <c r="F504" s="12"/>
      <c r="G504" s="12"/>
      <c r="H504" s="12"/>
    </row>
    <row r="505" spans="1:28" x14ac:dyDescent="0.2">
      <c r="C505" s="23" t="s">
        <v>1978</v>
      </c>
      <c r="D505" s="23">
        <f>Source!BA133</f>
        <v>6.56</v>
      </c>
    </row>
    <row r="506" spans="1:28" x14ac:dyDescent="0.2">
      <c r="C506" s="23" t="s">
        <v>1979</v>
      </c>
      <c r="D506" s="23">
        <f>Source!BB133</f>
        <v>6.56</v>
      </c>
    </row>
    <row r="507" spans="1:28" x14ac:dyDescent="0.2">
      <c r="C507" s="23" t="s">
        <v>1980</v>
      </c>
      <c r="D507" s="23">
        <f>Source!BC133</f>
        <v>6.56</v>
      </c>
    </row>
    <row r="508" spans="1:28" x14ac:dyDescent="0.2">
      <c r="C508" s="23" t="s">
        <v>1981</v>
      </c>
      <c r="D508" s="23">
        <f>Source!BS133</f>
        <v>6.56</v>
      </c>
    </row>
    <row r="509" spans="1:28" x14ac:dyDescent="0.2">
      <c r="C509" s="9" t="s">
        <v>1982</v>
      </c>
      <c r="D509" s="33"/>
      <c r="E509" s="33"/>
      <c r="F509" s="33">
        <f>Source!BZ133</f>
        <v>105</v>
      </c>
      <c r="G509" s="57">
        <f>(Source!AF133+Source!AE133)*Source!FX133/100</f>
        <v>819.12599999999986</v>
      </c>
      <c r="H509" s="57">
        <f>Source!X133</f>
        <v>6428.25</v>
      </c>
    </row>
    <row r="510" spans="1:28" x14ac:dyDescent="0.2">
      <c r="C510" s="9" t="s">
        <v>1983</v>
      </c>
      <c r="D510" s="33"/>
      <c r="E510" s="33"/>
      <c r="F510" s="33"/>
      <c r="G510" s="33" t="str">
        <f>CONCATENATE(Source!DL133,Source!FT133, "=", Source!FX133, "%")</f>
        <v>*0,9=94,5%</v>
      </c>
      <c r="H510" s="33" t="str">
        <f>CONCATENATE(Source!AT133)</f>
        <v>95</v>
      </c>
    </row>
    <row r="511" spans="1:28" x14ac:dyDescent="0.2">
      <c r="C511" s="9" t="s">
        <v>1984</v>
      </c>
      <c r="D511" s="33"/>
      <c r="E511" s="33"/>
      <c r="F511" s="33">
        <f>Source!CA133</f>
        <v>55</v>
      </c>
      <c r="G511" s="57">
        <f>(Source!AF133+Source!AE133)*Source!FY133/100</f>
        <v>405.22900000000004</v>
      </c>
      <c r="H511" s="57">
        <f>Source!Y133</f>
        <v>3180.29</v>
      </c>
    </row>
    <row r="512" spans="1:28" x14ac:dyDescent="0.2">
      <c r="C512" s="9" t="s">
        <v>1985</v>
      </c>
      <c r="D512" s="33"/>
      <c r="E512" s="33"/>
      <c r="F512" s="33"/>
      <c r="G512" s="33" t="str">
        <f>CONCATENATE(Source!DM133,Source!FU133, "=", Source!FY133, "%")</f>
        <v>*0,85=46,75%</v>
      </c>
      <c r="H512" s="33" t="str">
        <f>CONCATENATE(Source!AU133)</f>
        <v>47</v>
      </c>
    </row>
    <row r="513" spans="1:28" x14ac:dyDescent="0.2">
      <c r="C513" s="9" t="s">
        <v>1986</v>
      </c>
      <c r="D513" s="33"/>
      <c r="E513" s="33"/>
      <c r="F513" s="33"/>
      <c r="G513" s="57">
        <f>((Source!AF133+Source!AE133)*Source!FX133/100)+((Source!AF133+Source!AE133)*Source!FY133/100)+Source!AB133</f>
        <v>3265.0349999999999</v>
      </c>
      <c r="H513" s="57">
        <f>Source!O133+Source!X133+Source!Y133</f>
        <v>25538.9</v>
      </c>
    </row>
    <row r="514" spans="1:28" ht="71.25" x14ac:dyDescent="0.2">
      <c r="A514" s="45">
        <v>68</v>
      </c>
      <c r="B514" s="45" t="str">
        <f>Source!E134</f>
        <v>33</v>
      </c>
      <c r="C514" s="45" t="str">
        <f>Source!G134</f>
        <v>Окрашивание водоэмульсионными составами поверхностей стен, ранее окрашенных водоэмульсионной краской с расчисткой старой краски до 35%</v>
      </c>
      <c r="D514" s="45" t="str">
        <f>Source!F134</f>
        <v>62-16-3</v>
      </c>
      <c r="E514" s="30" t="str">
        <f>Source!H134</f>
        <v>100 м2</v>
      </c>
      <c r="F514" s="12">
        <f>Source!I134</f>
        <v>5.8792999999999997</v>
      </c>
      <c r="G514" s="22">
        <f>Source!AB134</f>
        <v>681.71</v>
      </c>
      <c r="H514" s="22">
        <f>Source!O134</f>
        <v>26292.34</v>
      </c>
      <c r="T514">
        <f>Source!O134+Source!X134+Source!Y134</f>
        <v>38533.19</v>
      </c>
      <c r="U514">
        <f>Source!P134</f>
        <v>16682.68</v>
      </c>
      <c r="V514">
        <f>Source!S134</f>
        <v>9336.98</v>
      </c>
      <c r="W514">
        <f>Source!Q134</f>
        <v>272.68</v>
      </c>
      <c r="X514">
        <f>Source!R134</f>
        <v>79.06</v>
      </c>
      <c r="Y514">
        <f>Source!U134</f>
        <v>164.73798599999998</v>
      </c>
      <c r="Z514">
        <f>Source!V134</f>
        <v>0.94068799999999997</v>
      </c>
      <c r="AA514">
        <f>Source!X134</f>
        <v>7532.83</v>
      </c>
      <c r="AB514">
        <f>Source!Y134</f>
        <v>4708.0200000000004</v>
      </c>
    </row>
    <row r="515" spans="1:28" ht="14.25" x14ac:dyDescent="0.2">
      <c r="C515" s="23" t="str">
        <f>"Объем: "&amp;Source!I134&amp;"=587,93/"&amp;"100"</f>
        <v>Объем: 5,8793=587,93/100</v>
      </c>
      <c r="F515" s="12"/>
      <c r="G515" s="12"/>
      <c r="H515" s="12"/>
    </row>
    <row r="516" spans="1:28" x14ac:dyDescent="0.2">
      <c r="C516" s="23" t="s">
        <v>1978</v>
      </c>
      <c r="D516" s="23">
        <f>Source!BA134</f>
        <v>6.56</v>
      </c>
    </row>
    <row r="517" spans="1:28" x14ac:dyDescent="0.2">
      <c r="C517" s="23" t="s">
        <v>1979</v>
      </c>
      <c r="D517" s="23">
        <f>Source!BB134</f>
        <v>6.56</v>
      </c>
    </row>
    <row r="518" spans="1:28" x14ac:dyDescent="0.2">
      <c r="C518" s="23" t="s">
        <v>1980</v>
      </c>
      <c r="D518" s="23">
        <f>Source!BC134</f>
        <v>6.56</v>
      </c>
    </row>
    <row r="519" spans="1:28" x14ac:dyDescent="0.2">
      <c r="C519" s="23" t="s">
        <v>1981</v>
      </c>
      <c r="D519" s="23">
        <f>Source!BS134</f>
        <v>6.56</v>
      </c>
    </row>
    <row r="520" spans="1:28" x14ac:dyDescent="0.2">
      <c r="C520" s="9" t="s">
        <v>1982</v>
      </c>
      <c r="D520" s="33"/>
      <c r="E520" s="33"/>
      <c r="F520" s="33">
        <f>Source!BZ134</f>
        <v>80</v>
      </c>
      <c r="G520" s="57">
        <f>(Source!AF134+Source!AE134)*Source!FX134/100</f>
        <v>195.31200000000001</v>
      </c>
      <c r="H520" s="57">
        <f>Source!X134</f>
        <v>7532.83</v>
      </c>
    </row>
    <row r="521" spans="1:28" x14ac:dyDescent="0.2">
      <c r="C521" s="9" t="s">
        <v>1984</v>
      </c>
      <c r="D521" s="33"/>
      <c r="E521" s="33"/>
      <c r="F521" s="33">
        <f>Source!CA134</f>
        <v>50</v>
      </c>
      <c r="G521" s="57">
        <f>(Source!AF134+Source!AE134)*Source!FY134/100</f>
        <v>122.07</v>
      </c>
      <c r="H521" s="57">
        <f>Source!Y134</f>
        <v>4708.0200000000004</v>
      </c>
    </row>
    <row r="522" spans="1:28" x14ac:dyDescent="0.2">
      <c r="C522" s="9" t="s">
        <v>1986</v>
      </c>
      <c r="D522" s="33"/>
      <c r="E522" s="33"/>
      <c r="F522" s="33"/>
      <c r="G522" s="57">
        <f>((Source!AF134+Source!AE134)*Source!FX134/100)+((Source!AF134+Source!AE134)*Source!FY134/100)+Source!AB134</f>
        <v>999.0920000000001</v>
      </c>
      <c r="H522" s="57">
        <f>Source!O134+Source!X134+Source!Y134</f>
        <v>38533.19</v>
      </c>
    </row>
    <row r="523" spans="1:28" ht="28.5" x14ac:dyDescent="0.2">
      <c r="A523" s="45">
        <v>69</v>
      </c>
      <c r="B523" s="45" t="str">
        <f>Source!E135</f>
        <v>33,1</v>
      </c>
      <c r="C523" s="45" t="str">
        <f>Source!G135</f>
        <v>Краска акриловая АКВА ВД-АК-11</v>
      </c>
      <c r="D523" s="45" t="str">
        <f>Source!F135</f>
        <v>14.3.02.01-0026</v>
      </c>
      <c r="E523" s="30" t="str">
        <f>Source!H135</f>
        <v>т</v>
      </c>
      <c r="F523" s="12">
        <f>Source!I135</f>
        <v>0.39391300000000001</v>
      </c>
      <c r="G523" s="22">
        <f>Source!AB135</f>
        <v>8505</v>
      </c>
      <c r="H523" s="22">
        <f>Source!O135</f>
        <v>21977.51</v>
      </c>
      <c r="T523">
        <f>Source!O135+Source!X135+Source!Y135</f>
        <v>21977.51</v>
      </c>
      <c r="U523">
        <f>Source!P135</f>
        <v>21977.51</v>
      </c>
      <c r="V523">
        <f>Source!S135</f>
        <v>0</v>
      </c>
      <c r="W523">
        <f>Source!Q135</f>
        <v>0</v>
      </c>
      <c r="X523">
        <f>Source!R135</f>
        <v>0</v>
      </c>
      <c r="Y523">
        <f>Source!U135</f>
        <v>0</v>
      </c>
      <c r="Z523">
        <f>Source!V135</f>
        <v>0</v>
      </c>
      <c r="AA523">
        <f>Source!X135</f>
        <v>0</v>
      </c>
      <c r="AB523">
        <f>Source!Y135</f>
        <v>0</v>
      </c>
    </row>
    <row r="524" spans="1:28" ht="14.25" x14ac:dyDescent="0.2">
      <c r="C524" s="23" t="s">
        <v>1980</v>
      </c>
      <c r="D524" s="23">
        <f>Source!BC135</f>
        <v>6.56</v>
      </c>
      <c r="F524" s="12"/>
      <c r="G524" s="12"/>
      <c r="H524" s="12"/>
    </row>
    <row r="525" spans="1:28" ht="14.25" x14ac:dyDescent="0.2">
      <c r="A525" s="45">
        <v>70</v>
      </c>
      <c r="B525" s="45" t="str">
        <f>Source!E136</f>
        <v>33,2</v>
      </c>
      <c r="C525" s="45" t="str">
        <f>Source!G136</f>
        <v>Краска водоэмульсионная</v>
      </c>
      <c r="D525" s="45" t="str">
        <f>Source!F136</f>
        <v>14.3.02.01</v>
      </c>
      <c r="E525" s="30" t="str">
        <f>Source!H136</f>
        <v>т</v>
      </c>
      <c r="F525" s="12">
        <f>Source!I136</f>
        <v>0.39391300000000001</v>
      </c>
      <c r="G525" s="22">
        <f>Source!AB136</f>
        <v>0</v>
      </c>
      <c r="H525" s="22">
        <f>Source!O136</f>
        <v>0</v>
      </c>
      <c r="T525">
        <f>Source!O136+Source!X136+Source!Y136</f>
        <v>0</v>
      </c>
      <c r="U525">
        <f>Source!P136</f>
        <v>0</v>
      </c>
      <c r="V525">
        <f>Source!S136</f>
        <v>0</v>
      </c>
      <c r="W525">
        <f>Source!Q136</f>
        <v>0</v>
      </c>
      <c r="X525">
        <f>Source!R136</f>
        <v>0</v>
      </c>
      <c r="Y525">
        <f>Source!U136</f>
        <v>0</v>
      </c>
      <c r="Z525">
        <f>Source!V136</f>
        <v>0</v>
      </c>
      <c r="AA525">
        <f>Source!X136</f>
        <v>0</v>
      </c>
      <c r="AB525">
        <f>Source!Y136</f>
        <v>0</v>
      </c>
    </row>
    <row r="526" spans="1:28" ht="14.25" x14ac:dyDescent="0.2">
      <c r="C526" s="23" t="s">
        <v>1980</v>
      </c>
      <c r="D526" s="23">
        <f>Source!BC136</f>
        <v>6.56</v>
      </c>
      <c r="F526" s="12"/>
      <c r="G526" s="12"/>
      <c r="H526" s="12"/>
    </row>
    <row r="527" spans="1:28" ht="42.75" x14ac:dyDescent="0.2">
      <c r="A527" s="45">
        <v>71</v>
      </c>
      <c r="B527" s="45" t="str">
        <f>Source!E137</f>
        <v>34</v>
      </c>
      <c r="C527" s="45" t="str">
        <f>Source!G137</f>
        <v>Оклейка обоями стен по монолитной штукатурке и бетону простыми и средней плотности</v>
      </c>
      <c r="D527" s="45" t="str">
        <f>Source!F137</f>
        <v>15-06-001-01</v>
      </c>
      <c r="E527" s="30" t="str">
        <f>Source!H137</f>
        <v>100 м2</v>
      </c>
      <c r="F527" s="12">
        <f>Source!I137</f>
        <v>2.0952999999999999</v>
      </c>
      <c r="G527" s="22">
        <f>Source!AB137</f>
        <v>419.87</v>
      </c>
      <c r="H527" s="22">
        <f>Source!O137</f>
        <v>5771.18</v>
      </c>
      <c r="T527">
        <f>Source!O137+Source!X137+Source!Y137</f>
        <v>11591.880000000001</v>
      </c>
      <c r="U527">
        <f>Source!P137</f>
        <v>1662.34</v>
      </c>
      <c r="V527">
        <f>Source!S137</f>
        <v>4095.51</v>
      </c>
      <c r="W527">
        <f>Source!Q137</f>
        <v>13.33</v>
      </c>
      <c r="X527">
        <f>Source!R137</f>
        <v>3.57</v>
      </c>
      <c r="Y527">
        <f>Source!U137</f>
        <v>70.464939000000001</v>
      </c>
      <c r="Z527">
        <f>Source!V137</f>
        <v>4.1905999999999999E-2</v>
      </c>
      <c r="AA527">
        <f>Source!X137</f>
        <v>3894.13</v>
      </c>
      <c r="AB527">
        <f>Source!Y137</f>
        <v>1926.57</v>
      </c>
    </row>
    <row r="528" spans="1:28" ht="14.25" x14ac:dyDescent="0.2">
      <c r="C528" s="23" t="str">
        <f>"Объем: "&amp;Source!I137&amp;"=209,53/"&amp;"100"</f>
        <v>Объем: 2,0953=209,53/100</v>
      </c>
      <c r="F528" s="12"/>
      <c r="G528" s="12"/>
      <c r="H528" s="12"/>
    </row>
    <row r="529" spans="1:28" x14ac:dyDescent="0.2">
      <c r="C529" s="23" t="s">
        <v>1978</v>
      </c>
      <c r="D529" s="23">
        <f>Source!BA137</f>
        <v>6.56</v>
      </c>
    </row>
    <row r="530" spans="1:28" x14ac:dyDescent="0.2">
      <c r="C530" s="23" t="s">
        <v>1979</v>
      </c>
      <c r="D530" s="23">
        <f>Source!BB137</f>
        <v>6.56</v>
      </c>
    </row>
    <row r="531" spans="1:28" x14ac:dyDescent="0.2">
      <c r="C531" s="23" t="s">
        <v>1980</v>
      </c>
      <c r="D531" s="23">
        <f>Source!BC137</f>
        <v>6.56</v>
      </c>
    </row>
    <row r="532" spans="1:28" x14ac:dyDescent="0.2">
      <c r="C532" s="23" t="s">
        <v>1981</v>
      </c>
      <c r="D532" s="23">
        <f>Source!BS137</f>
        <v>6.56</v>
      </c>
    </row>
    <row r="533" spans="1:28" x14ac:dyDescent="0.2">
      <c r="C533" s="9" t="s">
        <v>1982</v>
      </c>
      <c r="D533" s="33"/>
      <c r="E533" s="33"/>
      <c r="F533" s="33">
        <f>Source!BZ137</f>
        <v>105</v>
      </c>
      <c r="G533" s="57">
        <f>(Source!AF137+Source!AE137)*Source!FX137/100</f>
        <v>281.81789999999995</v>
      </c>
      <c r="H533" s="57">
        <f>Source!X137</f>
        <v>3894.13</v>
      </c>
    </row>
    <row r="534" spans="1:28" x14ac:dyDescent="0.2">
      <c r="C534" s="9" t="s">
        <v>1983</v>
      </c>
      <c r="D534" s="33"/>
      <c r="E534" s="33"/>
      <c r="F534" s="33"/>
      <c r="G534" s="33" t="str">
        <f>CONCATENATE(Source!DL137,Source!FT137, "=", Source!FX137, "%")</f>
        <v>*0,9=94,5%</v>
      </c>
      <c r="H534" s="33" t="str">
        <f>CONCATENATE(Source!AT137)</f>
        <v>95</v>
      </c>
    </row>
    <row r="535" spans="1:28" x14ac:dyDescent="0.2">
      <c r="C535" s="9" t="s">
        <v>1984</v>
      </c>
      <c r="D535" s="33"/>
      <c r="E535" s="33"/>
      <c r="F535" s="33">
        <f>Source!CA137</f>
        <v>55</v>
      </c>
      <c r="G535" s="57">
        <f>(Source!AF137+Source!AE137)*Source!FY137/100</f>
        <v>139.41784999999999</v>
      </c>
      <c r="H535" s="57">
        <f>Source!Y137</f>
        <v>1926.57</v>
      </c>
    </row>
    <row r="536" spans="1:28" x14ac:dyDescent="0.2">
      <c r="C536" s="9" t="s">
        <v>1985</v>
      </c>
      <c r="D536" s="33"/>
      <c r="E536" s="33"/>
      <c r="F536" s="33"/>
      <c r="G536" s="33" t="str">
        <f>CONCATENATE(Source!DM137,Source!FU137, "=", Source!FY137, "%")</f>
        <v>*0,85=46,75%</v>
      </c>
      <c r="H536" s="33" t="str">
        <f>CONCATENATE(Source!AU137)</f>
        <v>47</v>
      </c>
    </row>
    <row r="537" spans="1:28" x14ac:dyDescent="0.2">
      <c r="C537" s="9" t="s">
        <v>1986</v>
      </c>
      <c r="D537" s="33"/>
      <c r="E537" s="33"/>
      <c r="F537" s="33"/>
      <c r="G537" s="57">
        <f>((Source!AF137+Source!AE137)*Source!FX137/100)+((Source!AF137+Source!AE137)*Source!FY137/100)+Source!AB137</f>
        <v>841.10574999999994</v>
      </c>
      <c r="H537" s="57">
        <f>Source!O137+Source!X137+Source!Y137</f>
        <v>11591.880000000001</v>
      </c>
    </row>
    <row r="538" spans="1:28" ht="14.25" x14ac:dyDescent="0.2">
      <c r="A538" s="45">
        <v>72</v>
      </c>
      <c r="B538" s="45" t="str">
        <f>Source!E138</f>
        <v>34,1</v>
      </c>
      <c r="C538" s="45" t="str">
        <f>Source!G138</f>
        <v>Обои</v>
      </c>
      <c r="D538" s="45" t="str">
        <f>Source!F138</f>
        <v>01.6.02.01</v>
      </c>
      <c r="E538" s="30" t="str">
        <f>Source!H138</f>
        <v>100 м2</v>
      </c>
      <c r="F538" s="12">
        <f>Source!I138</f>
        <v>2.3676889999999995</v>
      </c>
      <c r="G538" s="22">
        <f>Source!AB138</f>
        <v>0</v>
      </c>
      <c r="H538" s="22">
        <f>Source!O138</f>
        <v>0</v>
      </c>
      <c r="T538">
        <f>Source!O138+Source!X138+Source!Y138</f>
        <v>0</v>
      </c>
      <c r="U538">
        <f>Source!P138</f>
        <v>0</v>
      </c>
      <c r="V538">
        <f>Source!S138</f>
        <v>0</v>
      </c>
      <c r="W538">
        <f>Source!Q138</f>
        <v>0</v>
      </c>
      <c r="X538">
        <f>Source!R138</f>
        <v>0</v>
      </c>
      <c r="Y538">
        <f>Source!U138</f>
        <v>0</v>
      </c>
      <c r="Z538">
        <f>Source!V138</f>
        <v>0</v>
      </c>
      <c r="AA538">
        <f>Source!X138</f>
        <v>0</v>
      </c>
      <c r="AB538">
        <f>Source!Y138</f>
        <v>0</v>
      </c>
    </row>
    <row r="539" spans="1:28" ht="14.25" x14ac:dyDescent="0.2">
      <c r="C539" s="23" t="s">
        <v>1980</v>
      </c>
      <c r="D539" s="23">
        <f>Source!BC138</f>
        <v>6.56</v>
      </c>
      <c r="F539" s="12"/>
      <c r="G539" s="12"/>
      <c r="H539" s="12"/>
    </row>
    <row r="540" spans="1:28" ht="28.5" x14ac:dyDescent="0.2">
      <c r="A540" s="45">
        <v>73</v>
      </c>
      <c r="B540" s="45" t="str">
        <f>Source!E139</f>
        <v>35</v>
      </c>
      <c r="C540" s="45" t="str">
        <f>Source!G139</f>
        <v>Вторая окраска стен, оклееных стеклообоями, красками</v>
      </c>
      <c r="D540" s="45" t="str">
        <f>Source!F139</f>
        <v>15-06-004-01</v>
      </c>
      <c r="E540" s="30" t="str">
        <f>Source!H139</f>
        <v>100 м2</v>
      </c>
      <c r="F540" s="12">
        <f>Source!I139</f>
        <v>2.0952999999999999</v>
      </c>
      <c r="G540" s="22">
        <f>Source!AB139</f>
        <v>80.62</v>
      </c>
      <c r="H540" s="22">
        <f>Source!O139</f>
        <v>1108.1400000000001</v>
      </c>
      <c r="T540">
        <f>Source!O139+Source!X139+Source!Y139</f>
        <v>2681.7</v>
      </c>
      <c r="U540">
        <f>Source!P139</f>
        <v>0</v>
      </c>
      <c r="V540">
        <f>Source!S139</f>
        <v>1108.1400000000001</v>
      </c>
      <c r="W540">
        <f>Source!Q139</f>
        <v>0</v>
      </c>
      <c r="X540">
        <f>Source!R139</f>
        <v>0</v>
      </c>
      <c r="Y540">
        <f>Source!U139</f>
        <v>17.558614000000002</v>
      </c>
      <c r="Z540">
        <f>Source!V139</f>
        <v>0</v>
      </c>
      <c r="AA540">
        <f>Source!X139</f>
        <v>1052.73</v>
      </c>
      <c r="AB540">
        <f>Source!Y139</f>
        <v>520.83000000000004</v>
      </c>
    </row>
    <row r="541" spans="1:28" ht="14.25" x14ac:dyDescent="0.2">
      <c r="C541" s="23" t="str">
        <f>"Объем: "&amp;Source!I139&amp;"=209,53/"&amp;"100"</f>
        <v>Объем: 2,0953=209,53/100</v>
      </c>
      <c r="F541" s="12"/>
      <c r="G541" s="12"/>
      <c r="H541" s="12"/>
    </row>
    <row r="542" spans="1:28" x14ac:dyDescent="0.2">
      <c r="C542" s="23" t="s">
        <v>1978</v>
      </c>
      <c r="D542" s="23">
        <f>Source!BA139</f>
        <v>6.56</v>
      </c>
    </row>
    <row r="543" spans="1:28" x14ac:dyDescent="0.2">
      <c r="C543" s="23" t="s">
        <v>1979</v>
      </c>
      <c r="D543" s="23">
        <f>Source!BB139</f>
        <v>6.56</v>
      </c>
    </row>
    <row r="544" spans="1:28" x14ac:dyDescent="0.2">
      <c r="C544" s="23" t="s">
        <v>1980</v>
      </c>
      <c r="D544" s="23">
        <f>Source!BC139</f>
        <v>6.56</v>
      </c>
    </row>
    <row r="545" spans="1:28" x14ac:dyDescent="0.2">
      <c r="C545" s="23" t="s">
        <v>1981</v>
      </c>
      <c r="D545" s="23">
        <f>Source!BS139</f>
        <v>6.56</v>
      </c>
    </row>
    <row r="546" spans="1:28" x14ac:dyDescent="0.2">
      <c r="C546" s="9" t="s">
        <v>1982</v>
      </c>
      <c r="D546" s="33"/>
      <c r="E546" s="33"/>
      <c r="F546" s="33">
        <f>Source!BZ139</f>
        <v>105</v>
      </c>
      <c r="G546" s="57">
        <f>(Source!AF139+Source!AE139)*Source!FX139/100</f>
        <v>76.185900000000004</v>
      </c>
      <c r="H546" s="57">
        <f>Source!X139</f>
        <v>1052.73</v>
      </c>
    </row>
    <row r="547" spans="1:28" x14ac:dyDescent="0.2">
      <c r="C547" s="9" t="s">
        <v>1983</v>
      </c>
      <c r="D547" s="33"/>
      <c r="E547" s="33"/>
      <c r="F547" s="33"/>
      <c r="G547" s="33" t="str">
        <f>CONCATENATE(Source!DL139,Source!FT139, "=", Source!FX139, "%")</f>
        <v>*0,9=94,5%</v>
      </c>
      <c r="H547" s="33" t="str">
        <f>CONCATENATE(Source!AT139)</f>
        <v>95</v>
      </c>
    </row>
    <row r="548" spans="1:28" x14ac:dyDescent="0.2">
      <c r="C548" s="9" t="s">
        <v>1984</v>
      </c>
      <c r="D548" s="33"/>
      <c r="E548" s="33"/>
      <c r="F548" s="33">
        <f>Source!CA139</f>
        <v>55</v>
      </c>
      <c r="G548" s="57">
        <f>(Source!AF139+Source!AE139)*Source!FY139/100</f>
        <v>37.68985</v>
      </c>
      <c r="H548" s="57">
        <f>Source!Y139</f>
        <v>520.83000000000004</v>
      </c>
    </row>
    <row r="549" spans="1:28" x14ac:dyDescent="0.2">
      <c r="C549" s="9" t="s">
        <v>1985</v>
      </c>
      <c r="D549" s="33"/>
      <c r="E549" s="33"/>
      <c r="F549" s="33"/>
      <c r="G549" s="33" t="str">
        <f>CONCATENATE(Source!DM139,Source!FU139, "=", Source!FY139, "%")</f>
        <v>*0,85=46,75%</v>
      </c>
      <c r="H549" s="33" t="str">
        <f>CONCATENATE(Source!AU139)</f>
        <v>47</v>
      </c>
    </row>
    <row r="550" spans="1:28" x14ac:dyDescent="0.2">
      <c r="C550" s="9" t="s">
        <v>1986</v>
      </c>
      <c r="D550" s="33"/>
      <c r="E550" s="33"/>
      <c r="F550" s="33"/>
      <c r="G550" s="57">
        <f>((Source!AF139+Source!AE139)*Source!FX139/100)+((Source!AF139+Source!AE139)*Source!FY139/100)+Source!AB139</f>
        <v>194.49575000000002</v>
      </c>
      <c r="H550" s="57">
        <f>Source!O139+Source!X139+Source!Y139</f>
        <v>2681.7</v>
      </c>
    </row>
    <row r="551" spans="1:28" ht="28.5" x14ac:dyDescent="0.2">
      <c r="A551" s="45">
        <v>74</v>
      </c>
      <c r="B551" s="45" t="str">
        <f>Source!E140</f>
        <v>35,1</v>
      </c>
      <c r="C551" s="45" t="str">
        <f>Source!G140</f>
        <v>Краска акриловая АКВА ВД-АК-11</v>
      </c>
      <c r="D551" s="45" t="str">
        <f>Source!F140</f>
        <v>14.3.02.01-0026</v>
      </c>
      <c r="E551" s="30" t="str">
        <f>Source!H140</f>
        <v>т</v>
      </c>
      <c r="F551" s="12">
        <f>Source!I140</f>
        <v>3.3524999999999999E-2</v>
      </c>
      <c r="G551" s="22">
        <f>Source!AB140</f>
        <v>8505</v>
      </c>
      <c r="H551" s="22">
        <f>Source!O140</f>
        <v>1870.45</v>
      </c>
      <c r="T551">
        <f>Source!O140+Source!X140+Source!Y140</f>
        <v>1870.45</v>
      </c>
      <c r="U551">
        <f>Source!P140</f>
        <v>1870.45</v>
      </c>
      <c r="V551">
        <f>Source!S140</f>
        <v>0</v>
      </c>
      <c r="W551">
        <f>Source!Q140</f>
        <v>0</v>
      </c>
      <c r="X551">
        <f>Source!R140</f>
        <v>0</v>
      </c>
      <c r="Y551">
        <f>Source!U140</f>
        <v>0</v>
      </c>
      <c r="Z551">
        <f>Source!V140</f>
        <v>0</v>
      </c>
      <c r="AA551">
        <f>Source!X140</f>
        <v>0</v>
      </c>
      <c r="AB551">
        <f>Source!Y140</f>
        <v>0</v>
      </c>
    </row>
    <row r="552" spans="1:28" ht="14.25" x14ac:dyDescent="0.2">
      <c r="C552" s="23" t="s">
        <v>1980</v>
      </c>
      <c r="D552" s="23">
        <f>Source!BC140</f>
        <v>6.56</v>
      </c>
      <c r="F552" s="12"/>
      <c r="G552" s="12"/>
      <c r="H552" s="12"/>
    </row>
    <row r="553" spans="1:28" ht="14.25" x14ac:dyDescent="0.2">
      <c r="A553" s="45">
        <v>75</v>
      </c>
      <c r="B553" s="45" t="str">
        <f>Source!E141</f>
        <v>35,2</v>
      </c>
      <c r="C553" s="45" t="str">
        <f>Source!G141</f>
        <v>Краска</v>
      </c>
      <c r="D553" s="45" t="str">
        <f>Source!F141</f>
        <v>14.4.02.09</v>
      </c>
      <c r="E553" s="30" t="str">
        <f>Source!H141</f>
        <v>т</v>
      </c>
      <c r="F553" s="12">
        <f>Source!I141</f>
        <v>3.3524999999999999E-2</v>
      </c>
      <c r="G553" s="22">
        <f>Source!AB141</f>
        <v>0</v>
      </c>
      <c r="H553" s="22">
        <f>Source!O141</f>
        <v>0</v>
      </c>
      <c r="T553">
        <f>Source!O141+Source!X141+Source!Y141</f>
        <v>0</v>
      </c>
      <c r="U553">
        <f>Source!P141</f>
        <v>0</v>
      </c>
      <c r="V553">
        <f>Source!S141</f>
        <v>0</v>
      </c>
      <c r="W553">
        <f>Source!Q141</f>
        <v>0</v>
      </c>
      <c r="X553">
        <f>Source!R141</f>
        <v>0</v>
      </c>
      <c r="Y553">
        <f>Source!U141</f>
        <v>0</v>
      </c>
      <c r="Z553">
        <f>Source!V141</f>
        <v>0</v>
      </c>
      <c r="AA553">
        <f>Source!X141</f>
        <v>0</v>
      </c>
      <c r="AB553">
        <f>Source!Y141</f>
        <v>0</v>
      </c>
    </row>
    <row r="554" spans="1:28" ht="14.25" x14ac:dyDescent="0.2">
      <c r="C554" s="23" t="s">
        <v>1980</v>
      </c>
      <c r="D554" s="23">
        <f>Source!BC141</f>
        <v>6.56</v>
      </c>
      <c r="F554" s="12"/>
      <c r="G554" s="12"/>
      <c r="H554" s="12"/>
    </row>
    <row r="555" spans="1:28" ht="57" x14ac:dyDescent="0.2">
      <c r="A555" s="45">
        <v>76</v>
      </c>
      <c r="B555" s="45" t="str">
        <f>Source!E142</f>
        <v>36</v>
      </c>
      <c r="C555" s="45" t="str">
        <f>Source!G142</f>
        <v>Устройство металлического каркаса из направляющих профилей под облицовку различными материалами перегородок (канализационные стояки)</v>
      </c>
      <c r="D555" s="45" t="str">
        <f>Source!F142</f>
        <v>15-02-041-02 прим.</v>
      </c>
      <c r="E555" s="30" t="str">
        <f>Source!H142</f>
        <v>100 м2</v>
      </c>
      <c r="F555" s="12">
        <f>Source!I142</f>
        <v>5.6000000000000001E-2</v>
      </c>
      <c r="G555" s="22">
        <f>Source!AB142</f>
        <v>3433.66</v>
      </c>
      <c r="H555" s="22">
        <f>Source!O142</f>
        <v>1261.3900000000001</v>
      </c>
      <c r="T555">
        <f>Source!O142+Source!X142+Source!Y142</f>
        <v>1554.88</v>
      </c>
      <c r="U555">
        <f>Source!P142</f>
        <v>1054.18</v>
      </c>
      <c r="V555">
        <f>Source!S142</f>
        <v>206.34</v>
      </c>
      <c r="W555">
        <f>Source!Q142</f>
        <v>0.87</v>
      </c>
      <c r="X555">
        <f>Source!R142</f>
        <v>0.34</v>
      </c>
      <c r="Y555">
        <f>Source!U142</f>
        <v>3.6875439999999995</v>
      </c>
      <c r="Z555">
        <f>Source!V142</f>
        <v>4.1999999999999997E-3</v>
      </c>
      <c r="AA555">
        <f>Source!X142</f>
        <v>196.35</v>
      </c>
      <c r="AB555">
        <f>Source!Y142</f>
        <v>97.14</v>
      </c>
    </row>
    <row r="556" spans="1:28" ht="14.25" x14ac:dyDescent="0.2">
      <c r="C556" s="23" t="str">
        <f>"Объем: "&amp;Source!I142&amp;"=5,6/"&amp;"100"</f>
        <v>Объем: 0,056=5,6/100</v>
      </c>
      <c r="F556" s="12"/>
      <c r="G556" s="12"/>
      <c r="H556" s="12"/>
    </row>
    <row r="557" spans="1:28" x14ac:dyDescent="0.2">
      <c r="C557" s="23" t="s">
        <v>1978</v>
      </c>
      <c r="D557" s="23">
        <f>Source!BA142</f>
        <v>6.56</v>
      </c>
    </row>
    <row r="558" spans="1:28" x14ac:dyDescent="0.2">
      <c r="C558" s="23" t="s">
        <v>1979</v>
      </c>
      <c r="D558" s="23">
        <f>Source!BB142</f>
        <v>6.56</v>
      </c>
    </row>
    <row r="559" spans="1:28" x14ac:dyDescent="0.2">
      <c r="C559" s="23" t="s">
        <v>1980</v>
      </c>
      <c r="D559" s="23">
        <f>Source!BC142</f>
        <v>6.56</v>
      </c>
    </row>
    <row r="560" spans="1:28" x14ac:dyDescent="0.2">
      <c r="C560" s="23" t="s">
        <v>1981</v>
      </c>
      <c r="D560" s="23">
        <f>Source!BS142</f>
        <v>6.56</v>
      </c>
    </row>
    <row r="561" spans="1:28" x14ac:dyDescent="0.2">
      <c r="C561" s="23" t="s">
        <v>1988</v>
      </c>
      <c r="D561" s="82" t="s">
        <v>187</v>
      </c>
      <c r="E561" s="82"/>
      <c r="F561" s="82"/>
      <c r="G561" s="82"/>
      <c r="H561" s="82"/>
    </row>
    <row r="562" spans="1:28" x14ac:dyDescent="0.2">
      <c r="C562" s="23" t="s">
        <v>1989</v>
      </c>
      <c r="D562" s="82" t="s">
        <v>187</v>
      </c>
      <c r="E562" s="82"/>
      <c r="F562" s="82"/>
      <c r="G562" s="82"/>
      <c r="H562" s="82"/>
    </row>
    <row r="563" spans="1:28" x14ac:dyDescent="0.2">
      <c r="C563" s="23" t="s">
        <v>1990</v>
      </c>
      <c r="D563" s="82" t="s">
        <v>188</v>
      </c>
      <c r="E563" s="82"/>
      <c r="F563" s="82"/>
      <c r="G563" s="82"/>
      <c r="H563" s="82"/>
    </row>
    <row r="564" spans="1:28" x14ac:dyDescent="0.2">
      <c r="C564" s="23" t="s">
        <v>1991</v>
      </c>
      <c r="D564" s="82" t="s">
        <v>188</v>
      </c>
      <c r="E564" s="82"/>
      <c r="F564" s="82"/>
      <c r="G564" s="82"/>
      <c r="H564" s="82"/>
    </row>
    <row r="565" spans="1:28" x14ac:dyDescent="0.2">
      <c r="C565" s="23" t="s">
        <v>1992</v>
      </c>
      <c r="D565" s="82" t="s">
        <v>187</v>
      </c>
      <c r="E565" s="82"/>
      <c r="F565" s="82"/>
      <c r="G565" s="82"/>
      <c r="H565" s="82"/>
    </row>
    <row r="566" spans="1:28" x14ac:dyDescent="0.2">
      <c r="C566" s="9" t="s">
        <v>1982</v>
      </c>
      <c r="D566" s="33"/>
      <c r="E566" s="33"/>
      <c r="F566" s="33">
        <f>Source!BZ142</f>
        <v>105</v>
      </c>
      <c r="G566" s="57">
        <f>(Source!AF142+Source!AE142)*Source!FX142/100</f>
        <v>531.67590000000007</v>
      </c>
      <c r="H566" s="57">
        <f>Source!X142</f>
        <v>196.35</v>
      </c>
    </row>
    <row r="567" spans="1:28" x14ac:dyDescent="0.2">
      <c r="C567" s="9" t="s">
        <v>1983</v>
      </c>
      <c r="D567" s="33"/>
      <c r="E567" s="33"/>
      <c r="F567" s="33"/>
      <c r="G567" s="33" t="str">
        <f>CONCATENATE(Source!DL142,Source!FT142, "=", Source!FX142, "%")</f>
        <v>*0,9=94,5%</v>
      </c>
      <c r="H567" s="33" t="str">
        <f>CONCATENATE(Source!AT142)</f>
        <v>95</v>
      </c>
    </row>
    <row r="568" spans="1:28" x14ac:dyDescent="0.2">
      <c r="C568" s="9" t="s">
        <v>1984</v>
      </c>
      <c r="D568" s="33"/>
      <c r="E568" s="33"/>
      <c r="F568" s="33">
        <f>Source!CA142</f>
        <v>55</v>
      </c>
      <c r="G568" s="57">
        <f>(Source!AF142+Source!AE142)*Source!FY142/100</f>
        <v>263.02485000000001</v>
      </c>
      <c r="H568" s="57">
        <f>Source!Y142</f>
        <v>97.14</v>
      </c>
    </row>
    <row r="569" spans="1:28" x14ac:dyDescent="0.2">
      <c r="C569" s="9" t="s">
        <v>1985</v>
      </c>
      <c r="D569" s="33"/>
      <c r="E569" s="33"/>
      <c r="F569" s="33"/>
      <c r="G569" s="33" t="str">
        <f>CONCATENATE(Source!DM142,Source!FU142, "=", Source!FY142, "%")</f>
        <v>*0,85=46,75%</v>
      </c>
      <c r="H569" s="33" t="str">
        <f>CONCATENATE(Source!AU142)</f>
        <v>47</v>
      </c>
    </row>
    <row r="570" spans="1:28" x14ac:dyDescent="0.2">
      <c r="C570" s="9" t="s">
        <v>1986</v>
      </c>
      <c r="D570" s="33"/>
      <c r="E570" s="33"/>
      <c r="F570" s="33"/>
      <c r="G570" s="57">
        <f>((Source!AF142+Source!AE142)*Source!FX142/100)+((Source!AF142+Source!AE142)*Source!FY142/100)+Source!AB142</f>
        <v>4228.3607499999998</v>
      </c>
      <c r="H570" s="57">
        <f>Source!O142+Source!X142+Source!Y142</f>
        <v>1554.88</v>
      </c>
    </row>
    <row r="571" spans="1:28" ht="42.75" x14ac:dyDescent="0.2">
      <c r="A571" s="45">
        <v>77</v>
      </c>
      <c r="B571" s="45" t="str">
        <f>Source!E143</f>
        <v>37</v>
      </c>
      <c r="C571" s="45" t="str">
        <f>Source!G143</f>
        <v>Обшивка каркасных стен плитами древесноволокнистыми твердыми 5 мм (канализационные стояки)</v>
      </c>
      <c r="D571" s="45" t="str">
        <f>Source!F143</f>
        <v>10-01-012-02 прим.</v>
      </c>
      <c r="E571" s="30" t="str">
        <f>Source!H143</f>
        <v>100 м2</v>
      </c>
      <c r="F571" s="12">
        <f>Source!I143</f>
        <v>5.6000000000000001E-2</v>
      </c>
      <c r="G571" s="22">
        <f>Source!AB143</f>
        <v>1477.49</v>
      </c>
      <c r="H571" s="22">
        <f>Source!O143</f>
        <v>542.76</v>
      </c>
      <c r="T571">
        <f>Source!O143+Source!X143+Source!Y143</f>
        <v>649.11</v>
      </c>
      <c r="U571">
        <f>Source!P143</f>
        <v>463.37</v>
      </c>
      <c r="V571">
        <f>Source!S143</f>
        <v>63.7</v>
      </c>
      <c r="W571">
        <f>Source!Q143</f>
        <v>15.69</v>
      </c>
      <c r="X571">
        <f>Source!R143</f>
        <v>2.77</v>
      </c>
      <c r="Y571">
        <f>Source!U143</f>
        <v>1.17852</v>
      </c>
      <c r="Z571">
        <f>Source!V143</f>
        <v>3.6400000000000002E-2</v>
      </c>
      <c r="AA571">
        <f>Source!X143</f>
        <v>70.459999999999994</v>
      </c>
      <c r="AB571">
        <f>Source!Y143</f>
        <v>35.89</v>
      </c>
    </row>
    <row r="572" spans="1:28" ht="14.25" x14ac:dyDescent="0.2">
      <c r="C572" s="23" t="str">
        <f>"Объем: "&amp;Source!I143&amp;"=5,6/"&amp;"100"</f>
        <v>Объем: 0,056=5,6/100</v>
      </c>
      <c r="F572" s="12"/>
      <c r="G572" s="12"/>
      <c r="H572" s="12"/>
    </row>
    <row r="573" spans="1:28" x14ac:dyDescent="0.2">
      <c r="C573" s="23" t="s">
        <v>1978</v>
      </c>
      <c r="D573" s="23">
        <f>Source!BA143</f>
        <v>6.56</v>
      </c>
    </row>
    <row r="574" spans="1:28" x14ac:dyDescent="0.2">
      <c r="C574" s="23" t="s">
        <v>1979</v>
      </c>
      <c r="D574" s="23">
        <f>Source!BB143</f>
        <v>6.56</v>
      </c>
    </row>
    <row r="575" spans="1:28" x14ac:dyDescent="0.2">
      <c r="C575" s="23" t="s">
        <v>1980</v>
      </c>
      <c r="D575" s="23">
        <f>Source!BC143</f>
        <v>6.56</v>
      </c>
    </row>
    <row r="576" spans="1:28" x14ac:dyDescent="0.2">
      <c r="C576" s="23" t="s">
        <v>1981</v>
      </c>
      <c r="D576" s="23">
        <f>Source!BS143</f>
        <v>6.56</v>
      </c>
    </row>
    <row r="577" spans="1:28" x14ac:dyDescent="0.2">
      <c r="C577" s="23" t="s">
        <v>1988</v>
      </c>
      <c r="D577" s="82" t="s">
        <v>187</v>
      </c>
      <c r="E577" s="82"/>
      <c r="F577" s="82"/>
      <c r="G577" s="82"/>
      <c r="H577" s="82"/>
    </row>
    <row r="578" spans="1:28" x14ac:dyDescent="0.2">
      <c r="C578" s="23" t="s">
        <v>1989</v>
      </c>
      <c r="D578" s="82" t="s">
        <v>187</v>
      </c>
      <c r="E578" s="82"/>
      <c r="F578" s="82"/>
      <c r="G578" s="82"/>
      <c r="H578" s="82"/>
    </row>
    <row r="579" spans="1:28" x14ac:dyDescent="0.2">
      <c r="C579" s="23" t="s">
        <v>1990</v>
      </c>
      <c r="D579" s="82" t="s">
        <v>188</v>
      </c>
      <c r="E579" s="82"/>
      <c r="F579" s="82"/>
      <c r="G579" s="82"/>
      <c r="H579" s="82"/>
    </row>
    <row r="580" spans="1:28" x14ac:dyDescent="0.2">
      <c r="C580" s="23" t="s">
        <v>1991</v>
      </c>
      <c r="D580" s="82" t="s">
        <v>188</v>
      </c>
      <c r="E580" s="82"/>
      <c r="F580" s="82"/>
      <c r="G580" s="82"/>
      <c r="H580" s="82"/>
    </row>
    <row r="581" spans="1:28" x14ac:dyDescent="0.2">
      <c r="C581" s="23" t="s">
        <v>1992</v>
      </c>
      <c r="D581" s="82" t="s">
        <v>187</v>
      </c>
      <c r="E581" s="82"/>
      <c r="F581" s="82"/>
      <c r="G581" s="82"/>
      <c r="H581" s="82"/>
    </row>
    <row r="582" spans="1:28" x14ac:dyDescent="0.2">
      <c r="C582" s="9" t="s">
        <v>1982</v>
      </c>
      <c r="D582" s="33"/>
      <c r="E582" s="33"/>
      <c r="F582" s="33">
        <f>Source!BZ143</f>
        <v>118</v>
      </c>
      <c r="G582" s="57">
        <f>(Source!AF143+Source!AE143)*Source!FX143/100</f>
        <v>192.16890000000001</v>
      </c>
      <c r="H582" s="57">
        <f>Source!X143</f>
        <v>70.459999999999994</v>
      </c>
    </row>
    <row r="583" spans="1:28" x14ac:dyDescent="0.2">
      <c r="C583" s="9" t="s">
        <v>1983</v>
      </c>
      <c r="D583" s="33"/>
      <c r="E583" s="33"/>
      <c r="F583" s="33"/>
      <c r="G583" s="33" t="str">
        <f>CONCATENATE(Source!DL143,Source!FT143, "=", Source!FX143, "%")</f>
        <v>*0,9=106,2%</v>
      </c>
      <c r="H583" s="33" t="str">
        <f>CONCATENATE(Source!AT143)</f>
        <v>106</v>
      </c>
    </row>
    <row r="584" spans="1:28" x14ac:dyDescent="0.2">
      <c r="C584" s="9" t="s">
        <v>1984</v>
      </c>
      <c r="D584" s="33"/>
      <c r="E584" s="33"/>
      <c r="F584" s="33">
        <f>Source!CA143</f>
        <v>63</v>
      </c>
      <c r="G584" s="57">
        <f>(Source!AF143+Source!AE143)*Source!FY143/100</f>
        <v>96.898724999999999</v>
      </c>
      <c r="H584" s="57">
        <f>Source!Y143</f>
        <v>35.89</v>
      </c>
    </row>
    <row r="585" spans="1:28" x14ac:dyDescent="0.2">
      <c r="C585" s="9" t="s">
        <v>1985</v>
      </c>
      <c r="D585" s="33"/>
      <c r="E585" s="33"/>
      <c r="F585" s="33"/>
      <c r="G585" s="33" t="str">
        <f>CONCATENATE(Source!DM143,Source!FU143, "=", Source!FY143, "%")</f>
        <v>*0,85=53,55%</v>
      </c>
      <c r="H585" s="33" t="str">
        <f>CONCATENATE(Source!AU143)</f>
        <v>54</v>
      </c>
    </row>
    <row r="586" spans="1:28" x14ac:dyDescent="0.2">
      <c r="C586" s="9" t="s">
        <v>1986</v>
      </c>
      <c r="D586" s="33"/>
      <c r="E586" s="33"/>
      <c r="F586" s="33"/>
      <c r="G586" s="57">
        <f>((Source!AF143+Source!AE143)*Source!FX143/100)+((Source!AF143+Source!AE143)*Source!FY143/100)+Source!AB143</f>
        <v>1766.5576249999999</v>
      </c>
      <c r="H586" s="57">
        <f>Source!O143+Source!X143+Source!Y143</f>
        <v>649.11</v>
      </c>
    </row>
    <row r="587" spans="1:28" ht="28.5" x14ac:dyDescent="0.2">
      <c r="A587" s="45">
        <v>78</v>
      </c>
      <c r="B587" s="45" t="str">
        <f>Source!E144</f>
        <v>37,1</v>
      </c>
      <c r="C587" s="45" t="str">
        <f>Source!G144</f>
        <v>Листы гипсокартонные ГКЛВ 12,5 мм</v>
      </c>
      <c r="D587" s="45" t="str">
        <f>Source!F144</f>
        <v>01.6.01.02-0008</v>
      </c>
      <c r="E587" s="30" t="str">
        <f>Source!H144</f>
        <v>м2</v>
      </c>
      <c r="F587" s="12">
        <f>Source!I144</f>
        <v>5.74</v>
      </c>
      <c r="G587" s="22">
        <f>Source!AB144</f>
        <v>20.47</v>
      </c>
      <c r="H587" s="22">
        <f>Source!O144</f>
        <v>770.79</v>
      </c>
      <c r="T587">
        <f>Source!O144+Source!X144+Source!Y144</f>
        <v>770.79</v>
      </c>
      <c r="U587">
        <f>Source!P144</f>
        <v>770.79</v>
      </c>
      <c r="V587">
        <f>Source!S144</f>
        <v>0</v>
      </c>
      <c r="W587">
        <f>Source!Q144</f>
        <v>0</v>
      </c>
      <c r="X587">
        <f>Source!R144</f>
        <v>0</v>
      </c>
      <c r="Y587">
        <f>Source!U144</f>
        <v>0</v>
      </c>
      <c r="Z587">
        <f>Source!V144</f>
        <v>0</v>
      </c>
      <c r="AA587">
        <f>Source!X144</f>
        <v>0</v>
      </c>
      <c r="AB587">
        <f>Source!Y144</f>
        <v>0</v>
      </c>
    </row>
    <row r="588" spans="1:28" ht="14.25" x14ac:dyDescent="0.2">
      <c r="C588" s="23" t="s">
        <v>1980</v>
      </c>
      <c r="D588" s="23">
        <f>Source!BC144</f>
        <v>6.56</v>
      </c>
      <c r="F588" s="12"/>
      <c r="G588" s="12"/>
      <c r="H588" s="12"/>
    </row>
    <row r="589" spans="1:28" ht="57" x14ac:dyDescent="0.2">
      <c r="A589" s="45">
        <v>79</v>
      </c>
      <c r="B589" s="45" t="str">
        <f>Source!E145</f>
        <v>37,2</v>
      </c>
      <c r="C589" s="45" t="s">
        <v>1993</v>
      </c>
      <c r="D589" s="45" t="str">
        <f>Source!F145</f>
        <v>11.2.08.02-0010</v>
      </c>
      <c r="E589" s="30" t="str">
        <f>Source!H145</f>
        <v>1000 м2</v>
      </c>
      <c r="F589" s="12">
        <f>Source!I145</f>
        <v>-5.7400000000000003E-3</v>
      </c>
      <c r="G589" s="22">
        <f>Source!AB145</f>
        <v>12000</v>
      </c>
      <c r="H589" s="22">
        <f>Source!O145</f>
        <v>-451.85</v>
      </c>
      <c r="T589">
        <f>Source!O145+Source!X145+Source!Y145</f>
        <v>-451.85</v>
      </c>
      <c r="U589">
        <f>Source!P145</f>
        <v>-451.85</v>
      </c>
      <c r="V589">
        <f>Source!S145</f>
        <v>0</v>
      </c>
      <c r="W589">
        <f>Source!Q145</f>
        <v>0</v>
      </c>
      <c r="X589">
        <f>Source!R145</f>
        <v>0</v>
      </c>
      <c r="Y589">
        <f>Source!U145</f>
        <v>0</v>
      </c>
      <c r="Z589">
        <f>Source!V145</f>
        <v>0</v>
      </c>
      <c r="AA589">
        <f>Source!X145</f>
        <v>0</v>
      </c>
      <c r="AB589">
        <f>Source!Y145</f>
        <v>0</v>
      </c>
    </row>
    <row r="590" spans="1:28" ht="14.25" x14ac:dyDescent="0.2">
      <c r="C590" s="23" t="s">
        <v>1980</v>
      </c>
      <c r="D590" s="23">
        <f>Source!BC145</f>
        <v>6.56</v>
      </c>
      <c r="F590" s="12"/>
      <c r="G590" s="12"/>
      <c r="H590" s="12"/>
    </row>
    <row r="591" spans="1:28" ht="85.5" x14ac:dyDescent="0.2">
      <c r="A591" s="45">
        <v>80</v>
      </c>
      <c r="B591" s="45" t="str">
        <f>Source!E146</f>
        <v>38</v>
      </c>
      <c r="C591" s="45" t="str">
        <f>Source!G146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591" s="45" t="str">
        <f>Source!F146</f>
        <v>15-01-019-05</v>
      </c>
      <c r="E591" s="30" t="str">
        <f>Source!H146</f>
        <v>100 м2</v>
      </c>
      <c r="F591" s="12">
        <f>Source!I146</f>
        <v>1.19</v>
      </c>
      <c r="G591" s="22">
        <f>Source!AB146</f>
        <v>1728.51</v>
      </c>
      <c r="H591" s="22">
        <f>Source!O146</f>
        <v>13493.44</v>
      </c>
      <c r="T591">
        <f>Source!O146+Source!X146+Source!Y146</f>
        <v>32421.79</v>
      </c>
      <c r="U591">
        <f>Source!P146</f>
        <v>24.82</v>
      </c>
      <c r="V591">
        <f>Source!S146</f>
        <v>13158.78</v>
      </c>
      <c r="W591">
        <f>Source!Q146</f>
        <v>309.83999999999997</v>
      </c>
      <c r="X591">
        <f>Source!R146</f>
        <v>171.04</v>
      </c>
      <c r="Y591">
        <f>Source!U146</f>
        <v>218.50839499999995</v>
      </c>
      <c r="Z591">
        <f>Source!V146</f>
        <v>2.4543749999999998</v>
      </c>
      <c r="AA591">
        <f>Source!X146</f>
        <v>12663.33</v>
      </c>
      <c r="AB591">
        <f>Source!Y146</f>
        <v>6265.02</v>
      </c>
    </row>
    <row r="592" spans="1:28" ht="14.25" x14ac:dyDescent="0.2">
      <c r="C592" s="23" t="str">
        <f>"Объем: "&amp;Source!I146&amp;"=119/"&amp;"100"</f>
        <v>Объем: 1,19=119/100</v>
      </c>
      <c r="F592" s="12"/>
      <c r="G592" s="12"/>
      <c r="H592" s="12"/>
    </row>
    <row r="593" spans="1:28" x14ac:dyDescent="0.2">
      <c r="C593" s="23" t="s">
        <v>1978</v>
      </c>
      <c r="D593" s="23">
        <f>Source!BA146</f>
        <v>6.56</v>
      </c>
    </row>
    <row r="594" spans="1:28" x14ac:dyDescent="0.2">
      <c r="C594" s="23" t="s">
        <v>1979</v>
      </c>
      <c r="D594" s="23">
        <f>Source!BB146</f>
        <v>6.56</v>
      </c>
    </row>
    <row r="595" spans="1:28" x14ac:dyDescent="0.2">
      <c r="C595" s="23" t="s">
        <v>1980</v>
      </c>
      <c r="D595" s="23">
        <f>Source!BC146</f>
        <v>6.56</v>
      </c>
    </row>
    <row r="596" spans="1:28" x14ac:dyDescent="0.2">
      <c r="C596" s="23" t="s">
        <v>1981</v>
      </c>
      <c r="D596" s="23">
        <f>Source!BS146</f>
        <v>6.56</v>
      </c>
    </row>
    <row r="597" spans="1:28" x14ac:dyDescent="0.2">
      <c r="C597" s="23" t="s">
        <v>1988</v>
      </c>
      <c r="D597" s="82" t="s">
        <v>187</v>
      </c>
      <c r="E597" s="82"/>
      <c r="F597" s="82"/>
      <c r="G597" s="82"/>
      <c r="H597" s="82"/>
    </row>
    <row r="598" spans="1:28" x14ac:dyDescent="0.2">
      <c r="C598" s="23" t="s">
        <v>1989</v>
      </c>
      <c r="D598" s="82" t="s">
        <v>187</v>
      </c>
      <c r="E598" s="82"/>
      <c r="F598" s="82"/>
      <c r="G598" s="82"/>
      <c r="H598" s="82"/>
    </row>
    <row r="599" spans="1:28" x14ac:dyDescent="0.2">
      <c r="C599" s="23" t="s">
        <v>1990</v>
      </c>
      <c r="D599" s="82" t="s">
        <v>188</v>
      </c>
      <c r="E599" s="82"/>
      <c r="F599" s="82"/>
      <c r="G599" s="82"/>
      <c r="H599" s="82"/>
    </row>
    <row r="600" spans="1:28" x14ac:dyDescent="0.2">
      <c r="C600" s="23" t="s">
        <v>1991</v>
      </c>
      <c r="D600" s="82" t="s">
        <v>188</v>
      </c>
      <c r="E600" s="82"/>
      <c r="F600" s="82"/>
      <c r="G600" s="82"/>
      <c r="H600" s="82"/>
    </row>
    <row r="601" spans="1:28" x14ac:dyDescent="0.2">
      <c r="C601" s="23" t="s">
        <v>1992</v>
      </c>
      <c r="D601" s="82" t="s">
        <v>187</v>
      </c>
      <c r="E601" s="82"/>
      <c r="F601" s="82"/>
      <c r="G601" s="82"/>
      <c r="H601" s="82"/>
    </row>
    <row r="602" spans="1:28" x14ac:dyDescent="0.2">
      <c r="C602" s="9" t="s">
        <v>1982</v>
      </c>
      <c r="D602" s="33"/>
      <c r="E602" s="33"/>
      <c r="F602" s="33">
        <f>Source!BZ146</f>
        <v>105</v>
      </c>
      <c r="G602" s="57">
        <f>(Source!AF146+Source!AE146)*Source!FX146/100</f>
        <v>1613.6347500000002</v>
      </c>
      <c r="H602" s="57">
        <f>Source!X146</f>
        <v>12663.33</v>
      </c>
    </row>
    <row r="603" spans="1:28" x14ac:dyDescent="0.2">
      <c r="C603" s="9" t="s">
        <v>1983</v>
      </c>
      <c r="D603" s="33"/>
      <c r="E603" s="33"/>
      <c r="F603" s="33"/>
      <c r="G603" s="33" t="str">
        <f>CONCATENATE(Source!DL146,Source!FT146, "=", Source!FX146, "%")</f>
        <v>*0,9=94,5%</v>
      </c>
      <c r="H603" s="33" t="str">
        <f>CONCATENATE(Source!AT146)</f>
        <v>95</v>
      </c>
    </row>
    <row r="604" spans="1:28" x14ac:dyDescent="0.2">
      <c r="C604" s="9" t="s">
        <v>1984</v>
      </c>
      <c r="D604" s="33"/>
      <c r="E604" s="33"/>
      <c r="F604" s="33">
        <f>Source!CA146</f>
        <v>55</v>
      </c>
      <c r="G604" s="57">
        <f>(Source!AF146+Source!AE146)*Source!FY146/100</f>
        <v>798.27962500000012</v>
      </c>
      <c r="H604" s="57">
        <f>Source!Y146</f>
        <v>6265.02</v>
      </c>
    </row>
    <row r="605" spans="1:28" x14ac:dyDescent="0.2">
      <c r="C605" s="9" t="s">
        <v>1985</v>
      </c>
      <c r="D605" s="33"/>
      <c r="E605" s="33"/>
      <c r="F605" s="33"/>
      <c r="G605" s="33" t="str">
        <f>CONCATENATE(Source!DM146,Source!FU146, "=", Source!FY146, "%")</f>
        <v>*0,85=46,75%</v>
      </c>
      <c r="H605" s="33" t="str">
        <f>CONCATENATE(Source!AU146)</f>
        <v>47</v>
      </c>
    </row>
    <row r="606" spans="1:28" x14ac:dyDescent="0.2">
      <c r="C606" s="9" t="s">
        <v>1986</v>
      </c>
      <c r="D606" s="33"/>
      <c r="E606" s="33"/>
      <c r="F606" s="33"/>
      <c r="G606" s="57">
        <f>((Source!AF146+Source!AE146)*Source!FX146/100)+((Source!AF146+Source!AE146)*Source!FY146/100)+Source!AB146</f>
        <v>4140.4243750000005</v>
      </c>
      <c r="H606" s="57">
        <f>Source!O146+Source!X146+Source!Y146</f>
        <v>32421.79</v>
      </c>
    </row>
    <row r="607" spans="1:28" ht="14.25" x14ac:dyDescent="0.2">
      <c r="A607" s="45">
        <v>81</v>
      </c>
      <c r="B607" s="45" t="str">
        <f>Source!E147</f>
        <v>38,1</v>
      </c>
      <c r="C607" s="45" t="str">
        <f>Source!G147</f>
        <v>Смесь сухая для заделки швов</v>
      </c>
      <c r="D607" s="45" t="str">
        <f>Source!F147</f>
        <v>04.3.02.09</v>
      </c>
      <c r="E607" s="30" t="str">
        <f>Source!H147</f>
        <v>т</v>
      </c>
      <c r="F607" s="12">
        <f>Source!I147</f>
        <v>5.9499999999999997E-2</v>
      </c>
      <c r="G607" s="22">
        <f>Source!AB147</f>
        <v>0</v>
      </c>
      <c r="H607" s="22">
        <f>Source!O147</f>
        <v>0</v>
      </c>
      <c r="T607">
        <f>Source!O147+Source!X147+Source!Y147</f>
        <v>0</v>
      </c>
      <c r="U607">
        <f>Source!P147</f>
        <v>0</v>
      </c>
      <c r="V607">
        <f>Source!S147</f>
        <v>0</v>
      </c>
      <c r="W607">
        <f>Source!Q147</f>
        <v>0</v>
      </c>
      <c r="X607">
        <f>Source!R147</f>
        <v>0</v>
      </c>
      <c r="Y607">
        <f>Source!U147</f>
        <v>0</v>
      </c>
      <c r="Z607">
        <f>Source!V147</f>
        <v>0</v>
      </c>
      <c r="AA607">
        <f>Source!X147</f>
        <v>0</v>
      </c>
      <c r="AB607">
        <f>Source!Y147</f>
        <v>0</v>
      </c>
    </row>
    <row r="608" spans="1:28" ht="14.25" x14ac:dyDescent="0.2">
      <c r="C608" s="23" t="s">
        <v>1980</v>
      </c>
      <c r="D608" s="23">
        <f>Source!BC147</f>
        <v>6.56</v>
      </c>
      <c r="F608" s="12"/>
      <c r="G608" s="12"/>
      <c r="H608" s="12"/>
    </row>
    <row r="609" spans="1:28" ht="28.5" x14ac:dyDescent="0.2">
      <c r="A609" s="45">
        <v>82</v>
      </c>
      <c r="B609" s="45" t="str">
        <f>Source!E148</f>
        <v>38,2</v>
      </c>
      <c r="C609" s="45" t="str">
        <f>Source!G148</f>
        <v>Смесь сухая (фуга) АТЛАС разных цветов для заделки швов водостойкая</v>
      </c>
      <c r="D609" s="45" t="str">
        <f>Source!F148</f>
        <v>04.3.02.09-0741</v>
      </c>
      <c r="E609" s="30" t="str">
        <f>Source!H148</f>
        <v>т</v>
      </c>
      <c r="F609" s="12">
        <f>Source!I148</f>
        <v>5.9499999999999997E-2</v>
      </c>
      <c r="G609" s="22">
        <f>Source!AB148</f>
        <v>9000</v>
      </c>
      <c r="H609" s="22">
        <f>Source!O148</f>
        <v>3512.88</v>
      </c>
      <c r="T609">
        <f>Source!O148+Source!X148+Source!Y148</f>
        <v>3512.88</v>
      </c>
      <c r="U609">
        <f>Source!P148</f>
        <v>3512.88</v>
      </c>
      <c r="V609">
        <f>Source!S148</f>
        <v>0</v>
      </c>
      <c r="W609">
        <f>Source!Q148</f>
        <v>0</v>
      </c>
      <c r="X609">
        <f>Source!R148</f>
        <v>0</v>
      </c>
      <c r="Y609">
        <f>Source!U148</f>
        <v>0</v>
      </c>
      <c r="Z609">
        <f>Source!V148</f>
        <v>0</v>
      </c>
      <c r="AA609">
        <f>Source!X148</f>
        <v>0</v>
      </c>
      <c r="AB609">
        <f>Source!Y148</f>
        <v>0</v>
      </c>
    </row>
    <row r="610" spans="1:28" ht="14.25" x14ac:dyDescent="0.2">
      <c r="C610" s="23" t="s">
        <v>1980</v>
      </c>
      <c r="D610" s="23">
        <f>Source!BC148</f>
        <v>6.56</v>
      </c>
      <c r="F610" s="12"/>
      <c r="G610" s="12"/>
      <c r="H610" s="12"/>
    </row>
    <row r="611" spans="1:28" ht="57" x14ac:dyDescent="0.2">
      <c r="A611" s="45">
        <v>83</v>
      </c>
      <c r="B611" s="45" t="str">
        <f>Source!E149</f>
        <v>38,3</v>
      </c>
      <c r="C611" s="45" t="str">
        <f>Source!G149</f>
        <v>Плитки керамические глазурованные для внутренней облицовки стен гладкие без завала цветные (однотонные)</v>
      </c>
      <c r="D611" s="45" t="str">
        <f>Source!F149</f>
        <v>06.2.01.02-0012</v>
      </c>
      <c r="E611" s="30" t="str">
        <f>Source!H149</f>
        <v>м2</v>
      </c>
      <c r="F611" s="12">
        <f>Source!I149</f>
        <v>119</v>
      </c>
      <c r="G611" s="22">
        <f>Source!AB149</f>
        <v>108.12</v>
      </c>
      <c r="H611" s="22">
        <f>Source!O149</f>
        <v>84402.8</v>
      </c>
      <c r="T611">
        <f>Source!O149+Source!X149+Source!Y149</f>
        <v>84402.8</v>
      </c>
      <c r="U611">
        <f>Source!P149</f>
        <v>84402.8</v>
      </c>
      <c r="V611">
        <f>Source!S149</f>
        <v>0</v>
      </c>
      <c r="W611">
        <f>Source!Q149</f>
        <v>0</v>
      </c>
      <c r="X611">
        <f>Source!R149</f>
        <v>0</v>
      </c>
      <c r="Y611">
        <f>Source!U149</f>
        <v>0</v>
      </c>
      <c r="Z611">
        <f>Source!V149</f>
        <v>0</v>
      </c>
      <c r="AA611">
        <f>Source!X149</f>
        <v>0</v>
      </c>
      <c r="AB611">
        <f>Source!Y149</f>
        <v>0</v>
      </c>
    </row>
    <row r="612" spans="1:28" ht="14.25" x14ac:dyDescent="0.2">
      <c r="C612" s="23" t="s">
        <v>1980</v>
      </c>
      <c r="D612" s="23">
        <f>Source!BC149</f>
        <v>6.56</v>
      </c>
      <c r="F612" s="12"/>
      <c r="G612" s="12"/>
      <c r="H612" s="12"/>
    </row>
    <row r="613" spans="1:28" ht="28.5" x14ac:dyDescent="0.2">
      <c r="A613" s="45">
        <v>84</v>
      </c>
      <c r="B613" s="45" t="str">
        <f>Source!E150</f>
        <v>38,4</v>
      </c>
      <c r="C613" s="45" t="str">
        <f>Source!G150</f>
        <v>Клей для плитки Ветонит "Renovation FIX" (сухая смесь)</v>
      </c>
      <c r="D613" s="45" t="str">
        <f>Source!F150</f>
        <v>14.1.06.02-0006</v>
      </c>
      <c r="E613" s="30" t="str">
        <f>Source!H150</f>
        <v>т</v>
      </c>
      <c r="F613" s="12">
        <f>Source!I150</f>
        <v>0.44624999999999998</v>
      </c>
      <c r="G613" s="22">
        <f>Source!AB150</f>
        <v>5607.68</v>
      </c>
      <c r="H613" s="22">
        <f>Source!O150</f>
        <v>16415.919999999998</v>
      </c>
      <c r="T613">
        <f>Source!O150+Source!X150+Source!Y150</f>
        <v>16415.919999999998</v>
      </c>
      <c r="U613">
        <f>Source!P150</f>
        <v>16415.919999999998</v>
      </c>
      <c r="V613">
        <f>Source!S150</f>
        <v>0</v>
      </c>
      <c r="W613">
        <f>Source!Q150</f>
        <v>0</v>
      </c>
      <c r="X613">
        <f>Source!R150</f>
        <v>0</v>
      </c>
      <c r="Y613">
        <f>Source!U150</f>
        <v>0</v>
      </c>
      <c r="Z613">
        <f>Source!V150</f>
        <v>0</v>
      </c>
      <c r="AA613">
        <f>Source!X150</f>
        <v>0</v>
      </c>
      <c r="AB613">
        <f>Source!Y150</f>
        <v>0</v>
      </c>
    </row>
    <row r="614" spans="1:28" ht="14.25" x14ac:dyDescent="0.2">
      <c r="C614" s="23" t="s">
        <v>1980</v>
      </c>
      <c r="D614" s="23">
        <f>Source!BC150</f>
        <v>6.56</v>
      </c>
      <c r="F614" s="12"/>
      <c r="G614" s="12"/>
      <c r="H614" s="12"/>
    </row>
    <row r="615" spans="1:28" ht="14.25" x14ac:dyDescent="0.2">
      <c r="A615" s="45">
        <v>85</v>
      </c>
      <c r="B615" s="45" t="str">
        <f>Source!E151</f>
        <v>38,5</v>
      </c>
      <c r="C615" s="45" t="str">
        <f>Source!G151</f>
        <v>Плитки рядовые</v>
      </c>
      <c r="D615" s="45" t="str">
        <f>Source!F151</f>
        <v>06.2.05.04</v>
      </c>
      <c r="E615" s="30" t="str">
        <f>Source!H151</f>
        <v>м2</v>
      </c>
      <c r="F615" s="12">
        <f>Source!I151</f>
        <v>119</v>
      </c>
      <c r="G615" s="22">
        <f>Source!AB151</f>
        <v>0</v>
      </c>
      <c r="H615" s="22">
        <f>Source!O151</f>
        <v>0</v>
      </c>
      <c r="T615">
        <f>Source!O151+Source!X151+Source!Y151</f>
        <v>0</v>
      </c>
      <c r="U615">
        <f>Source!P151</f>
        <v>0</v>
      </c>
      <c r="V615">
        <f>Source!S151</f>
        <v>0</v>
      </c>
      <c r="W615">
        <f>Source!Q151</f>
        <v>0</v>
      </c>
      <c r="X615">
        <f>Source!R151</f>
        <v>0</v>
      </c>
      <c r="Y615">
        <f>Source!U151</f>
        <v>0</v>
      </c>
      <c r="Z615">
        <f>Source!V151</f>
        <v>0</v>
      </c>
      <c r="AA615">
        <f>Source!X151</f>
        <v>0</v>
      </c>
      <c r="AB615">
        <f>Source!Y151</f>
        <v>0</v>
      </c>
    </row>
    <row r="616" spans="1:28" ht="14.25" x14ac:dyDescent="0.2">
      <c r="C616" s="23" t="s">
        <v>1980</v>
      </c>
      <c r="D616" s="23">
        <f>Source!BC151</f>
        <v>6.56</v>
      </c>
      <c r="F616" s="12"/>
      <c r="G616" s="12"/>
      <c r="H616" s="12"/>
    </row>
    <row r="617" spans="1:28" ht="28.5" x14ac:dyDescent="0.2">
      <c r="A617" s="45">
        <v>86</v>
      </c>
      <c r="B617" s="45" t="str">
        <f>Source!E152</f>
        <v>38,6</v>
      </c>
      <c r="C617" s="45" t="str">
        <f>Source!G152</f>
        <v>Клей для облицовочных работ (сухая смесь)</v>
      </c>
      <c r="D617" s="45" t="str">
        <f>Source!F152</f>
        <v>14.1.06.02</v>
      </c>
      <c r="E617" s="30" t="str">
        <f>Source!H152</f>
        <v>т</v>
      </c>
      <c r="F617" s="12">
        <f>Source!I152</f>
        <v>0.44624999999999998</v>
      </c>
      <c r="G617" s="22">
        <f>Source!AB152</f>
        <v>0</v>
      </c>
      <c r="H617" s="22">
        <f>Source!O152</f>
        <v>0</v>
      </c>
      <c r="T617">
        <f>Source!O152+Source!X152+Source!Y152</f>
        <v>0</v>
      </c>
      <c r="U617">
        <f>Source!P152</f>
        <v>0</v>
      </c>
      <c r="V617">
        <f>Source!S152</f>
        <v>0</v>
      </c>
      <c r="W617">
        <f>Source!Q152</f>
        <v>0</v>
      </c>
      <c r="X617">
        <f>Source!R152</f>
        <v>0</v>
      </c>
      <c r="Y617">
        <f>Source!U152</f>
        <v>0</v>
      </c>
      <c r="Z617">
        <f>Source!V152</f>
        <v>0</v>
      </c>
      <c r="AA617">
        <f>Source!X152</f>
        <v>0</v>
      </c>
      <c r="AB617">
        <f>Source!Y152</f>
        <v>0</v>
      </c>
    </row>
    <row r="618" spans="1:28" ht="14.25" x14ac:dyDescent="0.2">
      <c r="C618" s="23" t="s">
        <v>1980</v>
      </c>
      <c r="D618" s="23">
        <f>Source!BC152</f>
        <v>6.56</v>
      </c>
      <c r="F618" s="12"/>
      <c r="G618" s="12"/>
      <c r="H618" s="12"/>
    </row>
    <row r="619" spans="1:28" ht="28.5" x14ac:dyDescent="0.2">
      <c r="A619" s="45">
        <v>87</v>
      </c>
      <c r="B619" s="45" t="str">
        <f>Source!E153</f>
        <v>39</v>
      </c>
      <c r="C619" s="45" t="str">
        <f>Source!G153</f>
        <v>Установка люков герметических (лючки ревизионные)</v>
      </c>
      <c r="D619" s="45" t="str">
        <f>Source!F153</f>
        <v>20-02-017-07 прим.</v>
      </c>
      <c r="E619" s="30" t="str">
        <f>Source!H153</f>
        <v>ШТ</v>
      </c>
      <c r="F619" s="12">
        <f>Source!I153</f>
        <v>2</v>
      </c>
      <c r="G619" s="22">
        <f>Source!AB153</f>
        <v>46.12</v>
      </c>
      <c r="H619" s="22">
        <f>Source!O153</f>
        <v>605.09</v>
      </c>
      <c r="T619">
        <f>Source!O153+Source!X153+Source!Y153</f>
        <v>980.16</v>
      </c>
      <c r="U619">
        <f>Source!P153</f>
        <v>292.05</v>
      </c>
      <c r="V619">
        <f>Source!S153</f>
        <v>194.04</v>
      </c>
      <c r="W619">
        <f>Source!Q153</f>
        <v>119</v>
      </c>
      <c r="X619">
        <f>Source!R153</f>
        <v>7.61</v>
      </c>
      <c r="Y619">
        <f>Source!U153</f>
        <v>2.8979999999999997</v>
      </c>
      <c r="Z619">
        <f>Source!V153</f>
        <v>0.1</v>
      </c>
      <c r="AA619">
        <f>Source!X153</f>
        <v>231.9</v>
      </c>
      <c r="AB619">
        <f>Source!Y153</f>
        <v>143.16999999999999</v>
      </c>
    </row>
    <row r="620" spans="1:28" ht="14.25" x14ac:dyDescent="0.2">
      <c r="C620" s="23" t="s">
        <v>1978</v>
      </c>
      <c r="D620" s="23">
        <f>Source!BA153</f>
        <v>6.56</v>
      </c>
      <c r="F620" s="12"/>
      <c r="G620" s="12"/>
      <c r="H620" s="12"/>
    </row>
    <row r="621" spans="1:28" x14ac:dyDescent="0.2">
      <c r="C621" s="23" t="s">
        <v>1979</v>
      </c>
      <c r="D621" s="23">
        <f>Source!BB153</f>
        <v>6.56</v>
      </c>
    </row>
    <row r="622" spans="1:28" x14ac:dyDescent="0.2">
      <c r="C622" s="23" t="s">
        <v>1980</v>
      </c>
      <c r="D622" s="23">
        <f>Source!BC153</f>
        <v>6.56</v>
      </c>
    </row>
    <row r="623" spans="1:28" x14ac:dyDescent="0.2">
      <c r="C623" s="23" t="s">
        <v>1981</v>
      </c>
      <c r="D623" s="23">
        <f>Source!BS153</f>
        <v>6.56</v>
      </c>
    </row>
    <row r="624" spans="1:28" x14ac:dyDescent="0.2">
      <c r="C624" s="23" t="s">
        <v>1988</v>
      </c>
      <c r="D624" s="82" t="s">
        <v>187</v>
      </c>
      <c r="E624" s="82"/>
      <c r="F624" s="82"/>
      <c r="G624" s="82"/>
      <c r="H624" s="82"/>
    </row>
    <row r="625" spans="1:28" x14ac:dyDescent="0.2">
      <c r="C625" s="23" t="s">
        <v>1989</v>
      </c>
      <c r="D625" s="82" t="s">
        <v>187</v>
      </c>
      <c r="E625" s="82"/>
      <c r="F625" s="82"/>
      <c r="G625" s="82"/>
      <c r="H625" s="82"/>
    </row>
    <row r="626" spans="1:28" x14ac:dyDescent="0.2">
      <c r="C626" s="23" t="s">
        <v>1990</v>
      </c>
      <c r="D626" s="82" t="s">
        <v>188</v>
      </c>
      <c r="E626" s="82"/>
      <c r="F626" s="82"/>
      <c r="G626" s="82"/>
      <c r="H626" s="82"/>
    </row>
    <row r="627" spans="1:28" x14ac:dyDescent="0.2">
      <c r="C627" s="23" t="s">
        <v>1991</v>
      </c>
      <c r="D627" s="82" t="s">
        <v>188</v>
      </c>
      <c r="E627" s="82"/>
      <c r="F627" s="82"/>
      <c r="G627" s="82"/>
      <c r="H627" s="82"/>
    </row>
    <row r="628" spans="1:28" x14ac:dyDescent="0.2">
      <c r="C628" s="23" t="s">
        <v>1992</v>
      </c>
      <c r="D628" s="82" t="s">
        <v>187</v>
      </c>
      <c r="E628" s="82"/>
      <c r="F628" s="82"/>
      <c r="G628" s="82"/>
      <c r="H628" s="82"/>
    </row>
    <row r="629" spans="1:28" x14ac:dyDescent="0.2">
      <c r="C629" s="9" t="s">
        <v>1982</v>
      </c>
      <c r="D629" s="33"/>
      <c r="E629" s="33"/>
      <c r="F629" s="33">
        <f>Source!BZ153</f>
        <v>128</v>
      </c>
      <c r="G629" s="57">
        <f>(Source!AF153+Source!AE153)*Source!FX153/100</f>
        <v>17.706240000000001</v>
      </c>
      <c r="H629" s="57">
        <f>Source!X153</f>
        <v>231.9</v>
      </c>
    </row>
    <row r="630" spans="1:28" x14ac:dyDescent="0.2">
      <c r="C630" s="9" t="s">
        <v>1983</v>
      </c>
      <c r="D630" s="33"/>
      <c r="E630" s="33"/>
      <c r="F630" s="33"/>
      <c r="G630" s="33" t="str">
        <f>CONCATENATE(Source!DL153,Source!FT153, "=", Source!FX153, "%")</f>
        <v>*0,9=115,2%</v>
      </c>
      <c r="H630" s="33" t="str">
        <f>CONCATENATE(Source!AT153)</f>
        <v>115</v>
      </c>
    </row>
    <row r="631" spans="1:28" x14ac:dyDescent="0.2">
      <c r="C631" s="9" t="s">
        <v>1984</v>
      </c>
      <c r="D631" s="33"/>
      <c r="E631" s="33"/>
      <c r="F631" s="33">
        <f>Source!CA153</f>
        <v>83</v>
      </c>
      <c r="G631" s="57">
        <f>(Source!AF153+Source!AE153)*Source!FY153/100</f>
        <v>10.843534999999999</v>
      </c>
      <c r="H631" s="57">
        <f>Source!Y153</f>
        <v>143.16999999999999</v>
      </c>
    </row>
    <row r="632" spans="1:28" x14ac:dyDescent="0.2">
      <c r="C632" s="9" t="s">
        <v>1985</v>
      </c>
      <c r="D632" s="33"/>
      <c r="E632" s="33"/>
      <c r="F632" s="33"/>
      <c r="G632" s="33" t="str">
        <f>CONCATENATE(Source!DM153,Source!FU153, "=", Source!FY153, "%")</f>
        <v>*0,85=70,55%</v>
      </c>
      <c r="H632" s="33" t="str">
        <f>CONCATENATE(Source!AU153)</f>
        <v>71</v>
      </c>
    </row>
    <row r="633" spans="1:28" x14ac:dyDescent="0.2">
      <c r="C633" s="9" t="s">
        <v>1986</v>
      </c>
      <c r="D633" s="33"/>
      <c r="E633" s="33"/>
      <c r="F633" s="33"/>
      <c r="G633" s="57">
        <f>((Source!AF153+Source!AE153)*Source!FX153/100)+((Source!AF153+Source!AE153)*Source!FY153/100)+Source!AB153</f>
        <v>74.669775000000001</v>
      </c>
      <c r="H633" s="57">
        <f>Source!O153+Source!X153+Source!Y153</f>
        <v>980.16</v>
      </c>
    </row>
    <row r="634" spans="1:28" ht="57" x14ac:dyDescent="0.2">
      <c r="A634" s="45">
        <v>88</v>
      </c>
      <c r="B634" s="45" t="str">
        <f>Source!E154</f>
        <v>39,1</v>
      </c>
      <c r="C634" s="45" t="str">
        <f>Source!G154</f>
        <v>Ревизия полиэтиленовая с крышкой размером 100х50 мм (Ревизионные лючки ПВХ  размером 400х300мм) прим.</v>
      </c>
      <c r="D634" s="45" t="str">
        <f>Source!F154</f>
        <v>24.3.05.12-0002</v>
      </c>
      <c r="E634" s="30" t="str">
        <f>Source!H154</f>
        <v>шт.</v>
      </c>
      <c r="F634" s="12">
        <f>Source!I154</f>
        <v>2</v>
      </c>
      <c r="G634" s="22">
        <f>Source!AB154</f>
        <v>6.78</v>
      </c>
      <c r="H634" s="22">
        <f>Source!O154</f>
        <v>88.95</v>
      </c>
      <c r="T634">
        <f>Source!O154+Source!X154+Source!Y154</f>
        <v>88.95</v>
      </c>
      <c r="U634">
        <f>Source!P154</f>
        <v>88.95</v>
      </c>
      <c r="V634">
        <f>Source!S154</f>
        <v>0</v>
      </c>
      <c r="W634">
        <f>Source!Q154</f>
        <v>0</v>
      </c>
      <c r="X634">
        <f>Source!R154</f>
        <v>0</v>
      </c>
      <c r="Y634">
        <f>Source!U154</f>
        <v>0</v>
      </c>
      <c r="Z634">
        <f>Source!V154</f>
        <v>0</v>
      </c>
      <c r="AA634">
        <f>Source!X154</f>
        <v>0</v>
      </c>
      <c r="AB634">
        <f>Source!Y154</f>
        <v>0</v>
      </c>
    </row>
    <row r="635" spans="1:28" ht="14.25" x14ac:dyDescent="0.2">
      <c r="C635" s="23" t="s">
        <v>1980</v>
      </c>
      <c r="D635" s="23">
        <f>Source!BC154</f>
        <v>6.56</v>
      </c>
      <c r="F635" s="12"/>
      <c r="G635" s="12"/>
      <c r="H635" s="12"/>
    </row>
    <row r="636" spans="1:28" ht="14.25" x14ac:dyDescent="0.2">
      <c r="A636" s="45">
        <v>89</v>
      </c>
      <c r="B636" s="45" t="str">
        <f>Source!E155</f>
        <v>39,2</v>
      </c>
      <c r="C636" s="45" t="str">
        <f>Source!G155</f>
        <v>Люки герметические</v>
      </c>
      <c r="D636" s="45" t="str">
        <f>Source!F155</f>
        <v>22.2.02.10</v>
      </c>
      <c r="E636" s="30" t="str">
        <f>Source!H155</f>
        <v>шт.</v>
      </c>
      <c r="F636" s="12">
        <f>Source!I155</f>
        <v>2</v>
      </c>
      <c r="G636" s="22">
        <f>Source!AB155</f>
        <v>0</v>
      </c>
      <c r="H636" s="22">
        <f>Source!O155</f>
        <v>0</v>
      </c>
      <c r="T636">
        <f>Source!O155+Source!X155+Source!Y155</f>
        <v>0</v>
      </c>
      <c r="U636">
        <f>Source!P155</f>
        <v>0</v>
      </c>
      <c r="V636">
        <f>Source!S155</f>
        <v>0</v>
      </c>
      <c r="W636">
        <f>Source!Q155</f>
        <v>0</v>
      </c>
      <c r="X636">
        <f>Source!R155</f>
        <v>0</v>
      </c>
      <c r="Y636">
        <f>Source!U155</f>
        <v>0</v>
      </c>
      <c r="Z636">
        <f>Source!V155</f>
        <v>0</v>
      </c>
      <c r="AA636">
        <f>Source!X155</f>
        <v>0</v>
      </c>
      <c r="AB636">
        <f>Source!Y155</f>
        <v>0</v>
      </c>
    </row>
    <row r="637" spans="1:28" ht="14.25" x14ac:dyDescent="0.2">
      <c r="C637" s="23" t="s">
        <v>1980</v>
      </c>
      <c r="D637" s="23">
        <f>Source!BC155</f>
        <v>6.56</v>
      </c>
      <c r="F637" s="12"/>
      <c r="G637" s="12"/>
      <c r="H637" s="12"/>
    </row>
    <row r="638" spans="1:28" ht="28.5" x14ac:dyDescent="0.2">
      <c r="A638" s="45">
        <v>90</v>
      </c>
      <c r="B638" s="45" t="str">
        <f>Source!E156</f>
        <v>40</v>
      </c>
      <c r="C638" s="45" t="str">
        <f>Source!G156</f>
        <v>Устройство стяжек бетонных толщиной 20 мм</v>
      </c>
      <c r="D638" s="45" t="str">
        <f>Source!F156</f>
        <v>11-01-011-03</v>
      </c>
      <c r="E638" s="30" t="str">
        <f>Source!H156</f>
        <v>100 м2</v>
      </c>
      <c r="F638" s="12">
        <f>Source!I156</f>
        <v>2.2115999999999998</v>
      </c>
      <c r="G638" s="22">
        <f>Source!AB156</f>
        <v>425.74</v>
      </c>
      <c r="H638" s="22">
        <f>Source!O156</f>
        <v>6176.68</v>
      </c>
      <c r="T638">
        <f>Source!O156+Source!X156+Source!Y156</f>
        <v>15978.68</v>
      </c>
      <c r="U638">
        <f>Source!P156</f>
        <v>123.9</v>
      </c>
      <c r="V638">
        <f>Source!S156</f>
        <v>5290.09</v>
      </c>
      <c r="W638">
        <f>Source!Q156</f>
        <v>762.69</v>
      </c>
      <c r="X638">
        <f>Source!R156</f>
        <v>311.05</v>
      </c>
      <c r="Y638">
        <f>Source!U156</f>
        <v>103.38677099999998</v>
      </c>
      <c r="Z638">
        <f>Source!V156</f>
        <v>3.5109149999999993</v>
      </c>
      <c r="AA638">
        <f>Source!X156</f>
        <v>6217.27</v>
      </c>
      <c r="AB638">
        <f>Source!Y156</f>
        <v>3584.73</v>
      </c>
    </row>
    <row r="639" spans="1:28" ht="14.25" x14ac:dyDescent="0.2">
      <c r="C639" s="23" t="str">
        <f>"Объем: "&amp;Source!I156&amp;"=221,16/"&amp;"100"</f>
        <v>Объем: 2,2116=221,16/100</v>
      </c>
      <c r="F639" s="12"/>
      <c r="G639" s="12"/>
      <c r="H639" s="12"/>
    </row>
    <row r="640" spans="1:28" x14ac:dyDescent="0.2">
      <c r="C640" s="23" t="s">
        <v>1978</v>
      </c>
      <c r="D640" s="23">
        <f>Source!BA156</f>
        <v>6.56</v>
      </c>
    </row>
    <row r="641" spans="1:28" x14ac:dyDescent="0.2">
      <c r="C641" s="23" t="s">
        <v>1979</v>
      </c>
      <c r="D641" s="23">
        <f>Source!BB156</f>
        <v>6.56</v>
      </c>
    </row>
    <row r="642" spans="1:28" x14ac:dyDescent="0.2">
      <c r="C642" s="23" t="s">
        <v>1980</v>
      </c>
      <c r="D642" s="23">
        <f>Source!BC156</f>
        <v>6.56</v>
      </c>
    </row>
    <row r="643" spans="1:28" x14ac:dyDescent="0.2">
      <c r="C643" s="23" t="s">
        <v>1981</v>
      </c>
      <c r="D643" s="23">
        <f>Source!BS156</f>
        <v>6.56</v>
      </c>
    </row>
    <row r="644" spans="1:28" x14ac:dyDescent="0.2">
      <c r="C644" s="23" t="s">
        <v>1988</v>
      </c>
      <c r="D644" s="82" t="s">
        <v>187</v>
      </c>
      <c r="E644" s="82"/>
      <c r="F644" s="82"/>
      <c r="G644" s="82"/>
      <c r="H644" s="82"/>
    </row>
    <row r="645" spans="1:28" x14ac:dyDescent="0.2">
      <c r="C645" s="23" t="s">
        <v>1989</v>
      </c>
      <c r="D645" s="82" t="s">
        <v>187</v>
      </c>
      <c r="E645" s="82"/>
      <c r="F645" s="82"/>
      <c r="G645" s="82"/>
      <c r="H645" s="82"/>
    </row>
    <row r="646" spans="1:28" x14ac:dyDescent="0.2">
      <c r="C646" s="23" t="s">
        <v>1990</v>
      </c>
      <c r="D646" s="82" t="s">
        <v>188</v>
      </c>
      <c r="E646" s="82"/>
      <c r="F646" s="82"/>
      <c r="G646" s="82"/>
      <c r="H646" s="82"/>
    </row>
    <row r="647" spans="1:28" x14ac:dyDescent="0.2">
      <c r="C647" s="23" t="s">
        <v>1991</v>
      </c>
      <c r="D647" s="82" t="s">
        <v>188</v>
      </c>
      <c r="E647" s="82"/>
      <c r="F647" s="82"/>
      <c r="G647" s="82"/>
      <c r="H647" s="82"/>
    </row>
    <row r="648" spans="1:28" x14ac:dyDescent="0.2">
      <c r="C648" s="23" t="s">
        <v>1992</v>
      </c>
      <c r="D648" s="82" t="s">
        <v>187</v>
      </c>
      <c r="E648" s="82"/>
      <c r="F648" s="82"/>
      <c r="G648" s="82"/>
      <c r="H648" s="82"/>
    </row>
    <row r="649" spans="1:28" x14ac:dyDescent="0.2">
      <c r="C649" s="9" t="s">
        <v>1982</v>
      </c>
      <c r="D649" s="33"/>
      <c r="E649" s="33"/>
      <c r="F649" s="33">
        <f>Source!BZ156</f>
        <v>123</v>
      </c>
      <c r="G649" s="57">
        <f>(Source!AF156+Source!AE156)*Source!FX156/100</f>
        <v>427.37949000000003</v>
      </c>
      <c r="H649" s="57">
        <f>Source!X156</f>
        <v>6217.27</v>
      </c>
    </row>
    <row r="650" spans="1:28" x14ac:dyDescent="0.2">
      <c r="C650" s="9" t="s">
        <v>1983</v>
      </c>
      <c r="D650" s="33"/>
      <c r="E650" s="33"/>
      <c r="F650" s="33"/>
      <c r="G650" s="33" t="str">
        <f>CONCATENATE(Source!DL156,Source!FT156, "=", Source!FX156, "%")</f>
        <v>*0,9=110,7%</v>
      </c>
      <c r="H650" s="33" t="str">
        <f>CONCATENATE(Source!AT156)</f>
        <v>111</v>
      </c>
    </row>
    <row r="651" spans="1:28" x14ac:dyDescent="0.2">
      <c r="C651" s="9" t="s">
        <v>1984</v>
      </c>
      <c r="D651" s="33"/>
      <c r="E651" s="33"/>
      <c r="F651" s="33">
        <f>Source!CA156</f>
        <v>75</v>
      </c>
      <c r="G651" s="57">
        <f>(Source!AF156+Source!AE156)*Source!FY156/100</f>
        <v>246.11962499999998</v>
      </c>
      <c r="H651" s="57">
        <f>Source!Y156</f>
        <v>3584.73</v>
      </c>
    </row>
    <row r="652" spans="1:28" x14ac:dyDescent="0.2">
      <c r="C652" s="9" t="s">
        <v>1985</v>
      </c>
      <c r="D652" s="33"/>
      <c r="E652" s="33"/>
      <c r="F652" s="33"/>
      <c r="G652" s="33" t="str">
        <f>CONCATENATE(Source!DM156,Source!FU156, "=", Source!FY156, "%")</f>
        <v>*0,85=63,75%</v>
      </c>
      <c r="H652" s="33" t="str">
        <f>CONCATENATE(Source!AU156)</f>
        <v>64</v>
      </c>
    </row>
    <row r="653" spans="1:28" x14ac:dyDescent="0.2">
      <c r="C653" s="9" t="s">
        <v>1986</v>
      </c>
      <c r="D653" s="33"/>
      <c r="E653" s="33"/>
      <c r="F653" s="33"/>
      <c r="G653" s="57">
        <f>((Source!AF156+Source!AE156)*Source!FX156/100)+((Source!AF156+Source!AE156)*Source!FY156/100)+Source!AB156</f>
        <v>1099.2391150000001</v>
      </c>
      <c r="H653" s="57">
        <f>Source!O156+Source!X156+Source!Y156</f>
        <v>15978.68</v>
      </c>
    </row>
    <row r="654" spans="1:28" ht="28.5" x14ac:dyDescent="0.2">
      <c r="A654" s="45">
        <v>91</v>
      </c>
      <c r="B654" s="45" t="str">
        <f>Source!E157</f>
        <v>40,1</v>
      </c>
      <c r="C654" s="45" t="str">
        <f>Source!G157</f>
        <v>Бетон мелкозернистый, класс В22,5 (М300)</v>
      </c>
      <c r="D654" s="45" t="str">
        <f>Source!F157</f>
        <v>04.1.02.01-0008</v>
      </c>
      <c r="E654" s="30" t="str">
        <f>Source!H157</f>
        <v>м3</v>
      </c>
      <c r="F654" s="12">
        <f>Source!I157</f>
        <v>4.5116639999999997</v>
      </c>
      <c r="G654" s="22">
        <f>Source!AB157</f>
        <v>643.42999999999995</v>
      </c>
      <c r="H654" s="22">
        <f>Source!O157</f>
        <v>19043.29</v>
      </c>
      <c r="T654">
        <f>Source!O157+Source!X157+Source!Y157</f>
        <v>19043.29</v>
      </c>
      <c r="U654">
        <f>Source!P157</f>
        <v>19043.29</v>
      </c>
      <c r="V654">
        <f>Source!S157</f>
        <v>0</v>
      </c>
      <c r="W654">
        <f>Source!Q157</f>
        <v>0</v>
      </c>
      <c r="X654">
        <f>Source!R157</f>
        <v>0</v>
      </c>
      <c r="Y654">
        <f>Source!U157</f>
        <v>0</v>
      </c>
      <c r="Z654">
        <f>Source!V157</f>
        <v>0</v>
      </c>
      <c r="AA654">
        <f>Source!X157</f>
        <v>0</v>
      </c>
      <c r="AB654">
        <f>Source!Y157</f>
        <v>0</v>
      </c>
    </row>
    <row r="655" spans="1:28" ht="14.25" x14ac:dyDescent="0.2">
      <c r="C655" s="23" t="s">
        <v>1980</v>
      </c>
      <c r="D655" s="23">
        <f>Source!BC157</f>
        <v>6.56</v>
      </c>
      <c r="F655" s="12"/>
      <c r="G655" s="12"/>
      <c r="H655" s="12"/>
    </row>
    <row r="656" spans="1:28" ht="14.25" x14ac:dyDescent="0.2">
      <c r="A656" s="45">
        <v>92</v>
      </c>
      <c r="B656" s="45" t="str">
        <f>Source!E158</f>
        <v>40,2</v>
      </c>
      <c r="C656" s="45" t="str">
        <f>Source!G158</f>
        <v>Бетон тяжелый</v>
      </c>
      <c r="D656" s="45" t="str">
        <f>Source!F158</f>
        <v>04.1.02.06</v>
      </c>
      <c r="E656" s="30" t="str">
        <f>Source!H158</f>
        <v>м3</v>
      </c>
      <c r="F656" s="12">
        <f>Source!I158</f>
        <v>4.5116639999999997</v>
      </c>
      <c r="G656" s="22">
        <f>Source!AB158</f>
        <v>0</v>
      </c>
      <c r="H656" s="22">
        <f>Source!O158</f>
        <v>0</v>
      </c>
      <c r="T656">
        <f>Source!O158+Source!X158+Source!Y158</f>
        <v>0</v>
      </c>
      <c r="U656">
        <f>Source!P158</f>
        <v>0</v>
      </c>
      <c r="V656">
        <f>Source!S158</f>
        <v>0</v>
      </c>
      <c r="W656">
        <f>Source!Q158</f>
        <v>0</v>
      </c>
      <c r="X656">
        <f>Source!R158</f>
        <v>0</v>
      </c>
      <c r="Y656">
        <f>Source!U158</f>
        <v>0</v>
      </c>
      <c r="Z656">
        <f>Source!V158</f>
        <v>0</v>
      </c>
      <c r="AA656">
        <f>Source!X158</f>
        <v>0</v>
      </c>
      <c r="AB656">
        <f>Source!Y158</f>
        <v>0</v>
      </c>
    </row>
    <row r="657" spans="1:28" ht="14.25" x14ac:dyDescent="0.2">
      <c r="C657" s="23" t="s">
        <v>1980</v>
      </c>
      <c r="D657" s="23">
        <f>Source!BC158</f>
        <v>6.56</v>
      </c>
      <c r="F657" s="12"/>
      <c r="G657" s="12"/>
      <c r="H657" s="12"/>
    </row>
    <row r="658" spans="1:28" ht="57" x14ac:dyDescent="0.2">
      <c r="A658" s="45">
        <v>93</v>
      </c>
      <c r="B658" s="45" t="str">
        <f>Source!E159</f>
        <v>41</v>
      </c>
      <c r="C658" s="45" t="str">
        <f>Source!G159</f>
        <v>Устройство стяжек на каждые 5 мм изменения толщины стяжки добавлять или исключать к расценке 11-01-011-03 (тол.30мм)</v>
      </c>
      <c r="D658" s="45" t="str">
        <f>Source!F159</f>
        <v>11-01-011-04</v>
      </c>
      <c r="E658" s="30" t="str">
        <f>Source!H159</f>
        <v>100 м2</v>
      </c>
      <c r="F658" s="12">
        <f>Source!I159</f>
        <v>2.2115999999999998</v>
      </c>
      <c r="G658" s="22">
        <f>Source!AB159</f>
        <v>84.81</v>
      </c>
      <c r="H658" s="22">
        <f>Source!O159</f>
        <v>1230.43</v>
      </c>
      <c r="T658">
        <f>Source!O159+Source!X159+Source!Y159</f>
        <v>2454.44</v>
      </c>
      <c r="U658">
        <f>Source!P159</f>
        <v>0</v>
      </c>
      <c r="V658">
        <f>Source!S159</f>
        <v>390.41</v>
      </c>
      <c r="W658">
        <f>Source!Q159</f>
        <v>840.02</v>
      </c>
      <c r="X658">
        <f>Source!R159</f>
        <v>309.02</v>
      </c>
      <c r="Y658">
        <f>Source!U159</f>
        <v>7.6300199999999982</v>
      </c>
      <c r="Z658">
        <f>Source!V159</f>
        <v>3.4832700000000001</v>
      </c>
      <c r="AA658">
        <f>Source!X159</f>
        <v>776.37</v>
      </c>
      <c r="AB658">
        <f>Source!Y159</f>
        <v>447.64</v>
      </c>
    </row>
    <row r="659" spans="1:28" ht="14.25" x14ac:dyDescent="0.2">
      <c r="C659" s="23" t="str">
        <f>"Объем: "&amp;Source!I159&amp;"=221,16/"&amp;"100"</f>
        <v>Объем: 2,2116=221,16/100</v>
      </c>
      <c r="F659" s="12"/>
      <c r="G659" s="12"/>
      <c r="H659" s="12"/>
    </row>
    <row r="660" spans="1:28" x14ac:dyDescent="0.2">
      <c r="C660" s="23" t="s">
        <v>1978</v>
      </c>
      <c r="D660" s="23">
        <f>Source!BA159</f>
        <v>6.56</v>
      </c>
    </row>
    <row r="661" spans="1:28" x14ac:dyDescent="0.2">
      <c r="C661" s="23" t="s">
        <v>1979</v>
      </c>
      <c r="D661" s="23">
        <f>Source!BB159</f>
        <v>6.56</v>
      </c>
    </row>
    <row r="662" spans="1:28" x14ac:dyDescent="0.2">
      <c r="C662" s="23" t="s">
        <v>1980</v>
      </c>
      <c r="D662" s="23">
        <f>Source!BC159</f>
        <v>6.56</v>
      </c>
    </row>
    <row r="663" spans="1:28" x14ac:dyDescent="0.2">
      <c r="C663" s="23" t="s">
        <v>1981</v>
      </c>
      <c r="D663" s="23">
        <f>Source!BS159</f>
        <v>6.56</v>
      </c>
    </row>
    <row r="664" spans="1:28" x14ac:dyDescent="0.2">
      <c r="C664" s="23" t="s">
        <v>1987</v>
      </c>
      <c r="D664" s="82" t="s">
        <v>472</v>
      </c>
      <c r="E664" s="82"/>
      <c r="F664" s="82"/>
      <c r="G664" s="82"/>
      <c r="H664" s="82"/>
    </row>
    <row r="665" spans="1:28" x14ac:dyDescent="0.2">
      <c r="C665" s="23" t="s">
        <v>1988</v>
      </c>
      <c r="D665" s="82" t="s">
        <v>473</v>
      </c>
      <c r="E665" s="82"/>
      <c r="F665" s="82"/>
      <c r="G665" s="82"/>
      <c r="H665" s="82"/>
    </row>
    <row r="666" spans="1:28" x14ac:dyDescent="0.2">
      <c r="C666" s="23" t="s">
        <v>1989</v>
      </c>
      <c r="D666" s="82" t="s">
        <v>473</v>
      </c>
      <c r="E666" s="82"/>
      <c r="F666" s="82"/>
      <c r="G666" s="82"/>
      <c r="H666" s="82"/>
    </row>
    <row r="667" spans="1:28" x14ac:dyDescent="0.2">
      <c r="C667" s="23" t="s">
        <v>1990</v>
      </c>
      <c r="D667" s="82" t="s">
        <v>474</v>
      </c>
      <c r="E667" s="82"/>
      <c r="F667" s="82"/>
      <c r="G667" s="82"/>
      <c r="H667" s="82"/>
    </row>
    <row r="668" spans="1:28" x14ac:dyDescent="0.2">
      <c r="C668" s="23" t="s">
        <v>1991</v>
      </c>
      <c r="D668" s="82" t="s">
        <v>474</v>
      </c>
      <c r="E668" s="82"/>
      <c r="F668" s="82"/>
      <c r="G668" s="82"/>
      <c r="H668" s="82"/>
    </row>
    <row r="669" spans="1:28" x14ac:dyDescent="0.2">
      <c r="C669" s="23" t="s">
        <v>1992</v>
      </c>
      <c r="D669" s="82" t="s">
        <v>473</v>
      </c>
      <c r="E669" s="82"/>
      <c r="F669" s="82"/>
      <c r="G669" s="82"/>
      <c r="H669" s="82"/>
    </row>
    <row r="670" spans="1:28" x14ac:dyDescent="0.2">
      <c r="C670" s="9" t="s">
        <v>1982</v>
      </c>
      <c r="D670" s="33"/>
      <c r="E670" s="33"/>
      <c r="F670" s="33">
        <f>Source!BZ159</f>
        <v>123</v>
      </c>
      <c r="G670" s="57">
        <f>(Source!AF159+Source!AE159)*Source!FX159/100</f>
        <v>53.368470000000009</v>
      </c>
      <c r="H670" s="57">
        <f>Source!X159</f>
        <v>776.37</v>
      </c>
    </row>
    <row r="671" spans="1:28" x14ac:dyDescent="0.2">
      <c r="C671" s="9" t="s">
        <v>1983</v>
      </c>
      <c r="D671" s="33"/>
      <c r="E671" s="33"/>
      <c r="F671" s="33"/>
      <c r="G671" s="33" t="str">
        <f>CONCATENATE(Source!DL159,Source!FT159, "=", Source!FX159, "%")</f>
        <v>*0,9=110,7%</v>
      </c>
      <c r="H671" s="33" t="str">
        <f>CONCATENATE(Source!AT159)</f>
        <v>111</v>
      </c>
    </row>
    <row r="672" spans="1:28" x14ac:dyDescent="0.2">
      <c r="C672" s="9" t="s">
        <v>1984</v>
      </c>
      <c r="D672" s="33"/>
      <c r="E672" s="33"/>
      <c r="F672" s="33">
        <f>Source!CA159</f>
        <v>75</v>
      </c>
      <c r="G672" s="57">
        <f>(Source!AF159+Source!AE159)*Source!FY159/100</f>
        <v>30.733875000000001</v>
      </c>
      <c r="H672" s="57">
        <f>Source!Y159</f>
        <v>447.64</v>
      </c>
    </row>
    <row r="673" spans="1:28" x14ac:dyDescent="0.2">
      <c r="C673" s="9" t="s">
        <v>1985</v>
      </c>
      <c r="D673" s="33"/>
      <c r="E673" s="33"/>
      <c r="F673" s="33"/>
      <c r="G673" s="33" t="str">
        <f>CONCATENATE(Source!DM159,Source!FU159, "=", Source!FY159, "%")</f>
        <v>*0,85=63,75%</v>
      </c>
      <c r="H673" s="33" t="str">
        <f>CONCATENATE(Source!AU159)</f>
        <v>64</v>
      </c>
    </row>
    <row r="674" spans="1:28" x14ac:dyDescent="0.2">
      <c r="C674" s="9" t="s">
        <v>1986</v>
      </c>
      <c r="D674" s="33"/>
      <c r="E674" s="33"/>
      <c r="F674" s="33"/>
      <c r="G674" s="57">
        <f>((Source!AF159+Source!AE159)*Source!FX159/100)+((Source!AF159+Source!AE159)*Source!FY159/100)+Source!AB159</f>
        <v>168.91234500000002</v>
      </c>
      <c r="H674" s="57">
        <f>Source!O159+Source!X159+Source!Y159</f>
        <v>2454.44</v>
      </c>
    </row>
    <row r="675" spans="1:28" ht="28.5" x14ac:dyDescent="0.2">
      <c r="A675" s="45">
        <v>94</v>
      </c>
      <c r="B675" s="45" t="str">
        <f>Source!E160</f>
        <v>41,1</v>
      </c>
      <c r="C675" s="45" t="str">
        <f>Source!G160</f>
        <v>Бетон мелкозернистый, класс В22,5 (М300)</v>
      </c>
      <c r="D675" s="45" t="str">
        <f>Source!F160</f>
        <v>04.1.02.01-0008</v>
      </c>
      <c r="E675" s="30" t="str">
        <f>Source!H160</f>
        <v>м3</v>
      </c>
      <c r="F675" s="12">
        <f>Source!I160</f>
        <v>6.7674960000000004</v>
      </c>
      <c r="G675" s="22">
        <f>Source!AB160</f>
        <v>643.42999999999995</v>
      </c>
      <c r="H675" s="22">
        <f>Source!O160</f>
        <v>28564.93</v>
      </c>
      <c r="T675">
        <f>Source!O160+Source!X160+Source!Y160</f>
        <v>28564.93</v>
      </c>
      <c r="U675">
        <f>Source!P160</f>
        <v>28564.93</v>
      </c>
      <c r="V675">
        <f>Source!S160</f>
        <v>0</v>
      </c>
      <c r="W675">
        <f>Source!Q160</f>
        <v>0</v>
      </c>
      <c r="X675">
        <f>Source!R160</f>
        <v>0</v>
      </c>
      <c r="Y675">
        <f>Source!U160</f>
        <v>0</v>
      </c>
      <c r="Z675">
        <f>Source!V160</f>
        <v>0</v>
      </c>
      <c r="AA675">
        <f>Source!X160</f>
        <v>0</v>
      </c>
      <c r="AB675">
        <f>Source!Y160</f>
        <v>0</v>
      </c>
    </row>
    <row r="676" spans="1:28" ht="14.25" x14ac:dyDescent="0.2">
      <c r="C676" s="23" t="s">
        <v>1980</v>
      </c>
      <c r="D676" s="23">
        <f>Source!BC160</f>
        <v>6.56</v>
      </c>
      <c r="F676" s="12"/>
      <c r="G676" s="12"/>
      <c r="H676" s="12"/>
    </row>
    <row r="677" spans="1:28" ht="14.25" x14ac:dyDescent="0.2">
      <c r="A677" s="45">
        <v>95</v>
      </c>
      <c r="B677" s="45" t="str">
        <f>Source!E161</f>
        <v>41,2</v>
      </c>
      <c r="C677" s="45" t="str">
        <f>Source!G161</f>
        <v>Бетон тяжелый</v>
      </c>
      <c r="D677" s="45" t="str">
        <f>Source!F161</f>
        <v>04.1.02.06</v>
      </c>
      <c r="E677" s="30" t="str">
        <f>Source!H161</f>
        <v>м3</v>
      </c>
      <c r="F677" s="12">
        <f>Source!I161</f>
        <v>6.7674960000000004</v>
      </c>
      <c r="G677" s="22">
        <f>Source!AB161</f>
        <v>0</v>
      </c>
      <c r="H677" s="22">
        <f>Source!O161</f>
        <v>0</v>
      </c>
      <c r="T677">
        <f>Source!O161+Source!X161+Source!Y161</f>
        <v>0</v>
      </c>
      <c r="U677">
        <f>Source!P161</f>
        <v>0</v>
      </c>
      <c r="V677">
        <f>Source!S161</f>
        <v>0</v>
      </c>
      <c r="W677">
        <f>Source!Q161</f>
        <v>0</v>
      </c>
      <c r="X677">
        <f>Source!R161</f>
        <v>0</v>
      </c>
      <c r="Y677">
        <f>Source!U161</f>
        <v>0</v>
      </c>
      <c r="Z677">
        <f>Source!V161</f>
        <v>0</v>
      </c>
      <c r="AA677">
        <f>Source!X161</f>
        <v>0</v>
      </c>
      <c r="AB677">
        <f>Source!Y161</f>
        <v>0</v>
      </c>
    </row>
    <row r="678" spans="1:28" ht="14.25" x14ac:dyDescent="0.2">
      <c r="C678" s="23" t="s">
        <v>1980</v>
      </c>
      <c r="D678" s="23">
        <f>Source!BC161</f>
        <v>6.56</v>
      </c>
      <c r="F678" s="12"/>
      <c r="G678" s="12"/>
      <c r="H678" s="12"/>
    </row>
    <row r="679" spans="1:28" ht="42.75" x14ac:dyDescent="0.2">
      <c r="A679" s="45">
        <v>96</v>
      </c>
      <c r="B679" s="45" t="str">
        <f>Source!E162</f>
        <v>42</v>
      </c>
      <c r="C679" s="45" t="str">
        <f>Source!G162</f>
        <v>Устройство стяжек из выравнивающей смеси типа "Ветонит" 5000, толщиной 5 мм</v>
      </c>
      <c r="D679" s="45" t="str">
        <f>Source!F162</f>
        <v>11-01-011-08</v>
      </c>
      <c r="E679" s="30" t="str">
        <f>Source!H162</f>
        <v>100 м2</v>
      </c>
      <c r="F679" s="12">
        <f>Source!I162</f>
        <v>2.0015999999999998</v>
      </c>
      <c r="G679" s="22">
        <f>Source!AB162</f>
        <v>11078.65</v>
      </c>
      <c r="H679" s="22">
        <f>Source!O162</f>
        <v>145468.17000000001</v>
      </c>
      <c r="T679">
        <f>Source!O162+Source!X162+Source!Y162</f>
        <v>154015.89000000001</v>
      </c>
      <c r="U679">
        <f>Source!P162</f>
        <v>140513.76999999999</v>
      </c>
      <c r="V679">
        <f>Source!S162</f>
        <v>4852.1099999999997</v>
      </c>
      <c r="W679">
        <f>Source!Q162</f>
        <v>102.29</v>
      </c>
      <c r="X679">
        <f>Source!R162</f>
        <v>32.299999999999997</v>
      </c>
      <c r="Y679">
        <f>Source!U162</f>
        <v>86.710312799999983</v>
      </c>
      <c r="Z679">
        <f>Source!V162</f>
        <v>0.42534</v>
      </c>
      <c r="AA679">
        <f>Source!X162</f>
        <v>5421.7</v>
      </c>
      <c r="AB679">
        <f>Source!Y162</f>
        <v>3126.02</v>
      </c>
    </row>
    <row r="680" spans="1:28" ht="14.25" x14ac:dyDescent="0.2">
      <c r="C680" s="23" t="str">
        <f>"Объем: "&amp;Source!I162&amp;"=200,16/"&amp;"100"</f>
        <v>Объем: 2,0016=200,16/100</v>
      </c>
      <c r="F680" s="12"/>
      <c r="G680" s="12"/>
      <c r="H680" s="12"/>
    </row>
    <row r="681" spans="1:28" x14ac:dyDescent="0.2">
      <c r="C681" s="23" t="s">
        <v>1978</v>
      </c>
      <c r="D681" s="23">
        <f>Source!BA162</f>
        <v>6.56</v>
      </c>
    </row>
    <row r="682" spans="1:28" x14ac:dyDescent="0.2">
      <c r="C682" s="23" t="s">
        <v>1979</v>
      </c>
      <c r="D682" s="23">
        <f>Source!BB162</f>
        <v>6.56</v>
      </c>
    </row>
    <row r="683" spans="1:28" x14ac:dyDescent="0.2">
      <c r="C683" s="23" t="s">
        <v>1980</v>
      </c>
      <c r="D683" s="23">
        <f>Source!BC162</f>
        <v>6.56</v>
      </c>
    </row>
    <row r="684" spans="1:28" x14ac:dyDescent="0.2">
      <c r="C684" s="23" t="s">
        <v>1981</v>
      </c>
      <c r="D684" s="23">
        <f>Source!BS162</f>
        <v>6.56</v>
      </c>
    </row>
    <row r="685" spans="1:28" x14ac:dyDescent="0.2">
      <c r="C685" s="23" t="s">
        <v>1988</v>
      </c>
      <c r="D685" s="82" t="s">
        <v>187</v>
      </c>
      <c r="E685" s="82"/>
      <c r="F685" s="82"/>
      <c r="G685" s="82"/>
      <c r="H685" s="82"/>
    </row>
    <row r="686" spans="1:28" x14ac:dyDescent="0.2">
      <c r="C686" s="23" t="s">
        <v>1989</v>
      </c>
      <c r="D686" s="82" t="s">
        <v>187</v>
      </c>
      <c r="E686" s="82"/>
      <c r="F686" s="82"/>
      <c r="G686" s="82"/>
      <c r="H686" s="82"/>
    </row>
    <row r="687" spans="1:28" x14ac:dyDescent="0.2">
      <c r="C687" s="23" t="s">
        <v>1990</v>
      </c>
      <c r="D687" s="82" t="s">
        <v>188</v>
      </c>
      <c r="E687" s="82"/>
      <c r="F687" s="82"/>
      <c r="G687" s="82"/>
      <c r="H687" s="82"/>
    </row>
    <row r="688" spans="1:28" x14ac:dyDescent="0.2">
      <c r="C688" s="23" t="s">
        <v>1991</v>
      </c>
      <c r="D688" s="82" t="s">
        <v>188</v>
      </c>
      <c r="E688" s="82"/>
      <c r="F688" s="82"/>
      <c r="G688" s="82"/>
      <c r="H688" s="82"/>
    </row>
    <row r="689" spans="1:28" x14ac:dyDescent="0.2">
      <c r="C689" s="23" t="s">
        <v>1992</v>
      </c>
      <c r="D689" s="82" t="s">
        <v>187</v>
      </c>
      <c r="E689" s="82"/>
      <c r="F689" s="82"/>
      <c r="G689" s="82"/>
      <c r="H689" s="82"/>
    </row>
    <row r="690" spans="1:28" x14ac:dyDescent="0.2">
      <c r="C690" s="9" t="s">
        <v>1982</v>
      </c>
      <c r="D690" s="33"/>
      <c r="E690" s="33"/>
      <c r="F690" s="33">
        <f>Source!BZ162</f>
        <v>123</v>
      </c>
      <c r="G690" s="57">
        <f>(Source!AF162+Source!AE162)*Source!FX162/100</f>
        <v>411.79292999999996</v>
      </c>
      <c r="H690" s="57">
        <f>Source!X162</f>
        <v>5421.7</v>
      </c>
    </row>
    <row r="691" spans="1:28" x14ac:dyDescent="0.2">
      <c r="C691" s="9" t="s">
        <v>1983</v>
      </c>
      <c r="D691" s="33"/>
      <c r="E691" s="33"/>
      <c r="F691" s="33"/>
      <c r="G691" s="33" t="str">
        <f>CONCATENATE(Source!DL162,Source!FT162, "=", Source!FX162, "%")</f>
        <v>*0,9=110,7%</v>
      </c>
      <c r="H691" s="33" t="str">
        <f>CONCATENATE(Source!AT162)</f>
        <v>111</v>
      </c>
    </row>
    <row r="692" spans="1:28" x14ac:dyDescent="0.2">
      <c r="C692" s="9" t="s">
        <v>1984</v>
      </c>
      <c r="D692" s="33"/>
      <c r="E692" s="33"/>
      <c r="F692" s="33">
        <f>Source!CA162</f>
        <v>75</v>
      </c>
      <c r="G692" s="57">
        <f>(Source!AF162+Source!AE162)*Source!FY162/100</f>
        <v>237.14362499999996</v>
      </c>
      <c r="H692" s="57">
        <f>Source!Y162</f>
        <v>3126.02</v>
      </c>
    </row>
    <row r="693" spans="1:28" x14ac:dyDescent="0.2">
      <c r="C693" s="9" t="s">
        <v>1985</v>
      </c>
      <c r="D693" s="33"/>
      <c r="E693" s="33"/>
      <c r="F693" s="33"/>
      <c r="G693" s="33" t="str">
        <f>CONCATENATE(Source!DM162,Source!FU162, "=", Source!FY162, "%")</f>
        <v>*0,85=63,75%</v>
      </c>
      <c r="H693" s="33" t="str">
        <f>CONCATENATE(Source!AU162)</f>
        <v>64</v>
      </c>
    </row>
    <row r="694" spans="1:28" x14ac:dyDescent="0.2">
      <c r="C694" s="9" t="s">
        <v>1986</v>
      </c>
      <c r="D694" s="33"/>
      <c r="E694" s="33"/>
      <c r="F694" s="33"/>
      <c r="G694" s="57">
        <f>((Source!AF162+Source!AE162)*Source!FX162/100)+((Source!AF162+Source!AE162)*Source!FY162/100)+Source!AB162</f>
        <v>11727.586555</v>
      </c>
      <c r="H694" s="57">
        <f>Source!O162+Source!X162+Source!Y162</f>
        <v>154015.89000000001</v>
      </c>
    </row>
    <row r="695" spans="1:28" ht="57" x14ac:dyDescent="0.2">
      <c r="A695" s="45">
        <v>97</v>
      </c>
      <c r="B695" s="45" t="str">
        <f>Source!E163</f>
        <v>43</v>
      </c>
      <c r="C695" s="45" t="str">
        <f>Source!G163</f>
        <v>Устройство стяжек на каждый последующий слой толщиной 1 мм добавлять к расценке 11-01-011-08 (тол.5мм)</v>
      </c>
      <c r="D695" s="45" t="str">
        <f>Source!F163</f>
        <v>11-01-011-10</v>
      </c>
      <c r="E695" s="30" t="str">
        <f>Source!H163</f>
        <v>100 м2</v>
      </c>
      <c r="F695" s="12">
        <f>Source!I163</f>
        <v>2.0015999999999998</v>
      </c>
      <c r="G695" s="22">
        <f>Source!AB163</f>
        <v>10370</v>
      </c>
      <c r="H695" s="22">
        <f>Source!O163</f>
        <v>136163.25</v>
      </c>
      <c r="T695">
        <f>Source!O163+Source!X163+Source!Y163</f>
        <v>138940.66</v>
      </c>
      <c r="U695">
        <f>Source!P163</f>
        <v>134505.51999999999</v>
      </c>
      <c r="V695">
        <f>Source!S163</f>
        <v>1558.33</v>
      </c>
      <c r="W695">
        <f>Source!Q163</f>
        <v>99.4</v>
      </c>
      <c r="X695">
        <f>Source!R163</f>
        <v>28.76</v>
      </c>
      <c r="Y695">
        <f>Source!U163</f>
        <v>27.852263999999995</v>
      </c>
      <c r="Z695">
        <f>Source!V163</f>
        <v>0.37529999999999997</v>
      </c>
      <c r="AA695">
        <f>Source!X163</f>
        <v>1761.67</v>
      </c>
      <c r="AB695">
        <f>Source!Y163</f>
        <v>1015.74</v>
      </c>
    </row>
    <row r="696" spans="1:28" ht="14.25" x14ac:dyDescent="0.2">
      <c r="C696" s="23" t="str">
        <f>"Объем: "&amp;Source!I163&amp;"=200,16/"&amp;"100"</f>
        <v>Объем: 2,0016=200,16/100</v>
      </c>
      <c r="F696" s="12"/>
      <c r="G696" s="12"/>
      <c r="H696" s="12"/>
    </row>
    <row r="697" spans="1:28" x14ac:dyDescent="0.2">
      <c r="C697" s="23" t="s">
        <v>1978</v>
      </c>
      <c r="D697" s="23">
        <f>Source!BA163</f>
        <v>6.56</v>
      </c>
    </row>
    <row r="698" spans="1:28" x14ac:dyDescent="0.2">
      <c r="C698" s="23" t="s">
        <v>1979</v>
      </c>
      <c r="D698" s="23">
        <f>Source!BB163</f>
        <v>6.56</v>
      </c>
    </row>
    <row r="699" spans="1:28" x14ac:dyDescent="0.2">
      <c r="C699" s="23" t="s">
        <v>1980</v>
      </c>
      <c r="D699" s="23">
        <f>Source!BC163</f>
        <v>6.56</v>
      </c>
    </row>
    <row r="700" spans="1:28" x14ac:dyDescent="0.2">
      <c r="C700" s="23" t="s">
        <v>1981</v>
      </c>
      <c r="D700" s="23">
        <f>Source!BS163</f>
        <v>6.56</v>
      </c>
    </row>
    <row r="701" spans="1:28" x14ac:dyDescent="0.2">
      <c r="C701" s="23" t="s">
        <v>1987</v>
      </c>
      <c r="D701" s="82" t="s">
        <v>485</v>
      </c>
      <c r="E701" s="82"/>
      <c r="F701" s="82"/>
      <c r="G701" s="82"/>
      <c r="H701" s="82"/>
    </row>
    <row r="702" spans="1:28" x14ac:dyDescent="0.2">
      <c r="C702" s="23" t="s">
        <v>1988</v>
      </c>
      <c r="D702" s="82" t="s">
        <v>486</v>
      </c>
      <c r="E702" s="82"/>
      <c r="F702" s="82"/>
      <c r="G702" s="82"/>
      <c r="H702" s="82"/>
    </row>
    <row r="703" spans="1:28" x14ac:dyDescent="0.2">
      <c r="C703" s="23" t="s">
        <v>1989</v>
      </c>
      <c r="D703" s="82" t="s">
        <v>486</v>
      </c>
      <c r="E703" s="82"/>
      <c r="F703" s="82"/>
      <c r="G703" s="82"/>
      <c r="H703" s="82"/>
    </row>
    <row r="704" spans="1:28" x14ac:dyDescent="0.2">
      <c r="C704" s="23" t="s">
        <v>1990</v>
      </c>
      <c r="D704" s="82" t="s">
        <v>487</v>
      </c>
      <c r="E704" s="82"/>
      <c r="F704" s="82"/>
      <c r="G704" s="82"/>
      <c r="H704" s="82"/>
    </row>
    <row r="705" spans="1:28" x14ac:dyDescent="0.2">
      <c r="C705" s="23" t="s">
        <v>1991</v>
      </c>
      <c r="D705" s="82" t="s">
        <v>487</v>
      </c>
      <c r="E705" s="82"/>
      <c r="F705" s="82"/>
      <c r="G705" s="82"/>
      <c r="H705" s="82"/>
    </row>
    <row r="706" spans="1:28" x14ac:dyDescent="0.2">
      <c r="C706" s="23" t="s">
        <v>1992</v>
      </c>
      <c r="D706" s="82" t="s">
        <v>486</v>
      </c>
      <c r="E706" s="82"/>
      <c r="F706" s="82"/>
      <c r="G706" s="82"/>
      <c r="H706" s="82"/>
    </row>
    <row r="707" spans="1:28" x14ac:dyDescent="0.2">
      <c r="C707" s="9" t="s">
        <v>1982</v>
      </c>
      <c r="D707" s="33"/>
      <c r="E707" s="33"/>
      <c r="F707" s="33">
        <f>Source!BZ163</f>
        <v>123</v>
      </c>
      <c r="G707" s="57">
        <f>(Source!AF163+Source!AE163)*Source!FX163/100</f>
        <v>133.80309</v>
      </c>
      <c r="H707" s="57">
        <f>Source!X163</f>
        <v>1761.67</v>
      </c>
    </row>
    <row r="708" spans="1:28" x14ac:dyDescent="0.2">
      <c r="C708" s="9" t="s">
        <v>1983</v>
      </c>
      <c r="D708" s="33"/>
      <c r="E708" s="33"/>
      <c r="F708" s="33"/>
      <c r="G708" s="33" t="str">
        <f>CONCATENATE(Source!DL163,Source!FT163, "=", Source!FX163, "%")</f>
        <v>*0,9=110,7%</v>
      </c>
      <c r="H708" s="33" t="str">
        <f>CONCATENATE(Source!AT163)</f>
        <v>111</v>
      </c>
    </row>
    <row r="709" spans="1:28" x14ac:dyDescent="0.2">
      <c r="C709" s="9" t="s">
        <v>1984</v>
      </c>
      <c r="D709" s="33"/>
      <c r="E709" s="33"/>
      <c r="F709" s="33">
        <f>Source!CA163</f>
        <v>75</v>
      </c>
      <c r="G709" s="57">
        <f>(Source!AF163+Source!AE163)*Source!FY163/100</f>
        <v>77.054625000000001</v>
      </c>
      <c r="H709" s="57">
        <f>Source!Y163</f>
        <v>1015.74</v>
      </c>
    </row>
    <row r="710" spans="1:28" x14ac:dyDescent="0.2">
      <c r="C710" s="9" t="s">
        <v>1985</v>
      </c>
      <c r="D710" s="33"/>
      <c r="E710" s="33"/>
      <c r="F710" s="33"/>
      <c r="G710" s="33" t="str">
        <f>CONCATENATE(Source!DM163,Source!FU163, "=", Source!FY163, "%")</f>
        <v>*0,85=63,75%</v>
      </c>
      <c r="H710" s="33" t="str">
        <f>CONCATENATE(Source!AU163)</f>
        <v>64</v>
      </c>
    </row>
    <row r="711" spans="1:28" x14ac:dyDescent="0.2">
      <c r="C711" s="9" t="s">
        <v>1986</v>
      </c>
      <c r="D711" s="33"/>
      <c r="E711" s="33"/>
      <c r="F711" s="33"/>
      <c r="G711" s="57">
        <f>((Source!AF163+Source!AE163)*Source!FX163/100)+((Source!AF163+Source!AE163)*Source!FY163/100)+Source!AB163</f>
        <v>10580.857715</v>
      </c>
      <c r="H711" s="57">
        <f>Source!O163+Source!X163+Source!Y163</f>
        <v>138940.66</v>
      </c>
    </row>
    <row r="712" spans="1:28" ht="28.5" x14ac:dyDescent="0.2">
      <c r="A712" s="45">
        <v>98</v>
      </c>
      <c r="B712" s="45" t="str">
        <f>Source!E164</f>
        <v>44</v>
      </c>
      <c r="C712" s="45" t="str">
        <f>Source!G164</f>
        <v>Заделка выбоин в полах мозаичных площадью до 1,0 м2</v>
      </c>
      <c r="D712" s="45" t="str">
        <f>Source!F164</f>
        <v>57-10-6</v>
      </c>
      <c r="E712" s="30" t="str">
        <f>Source!H164</f>
        <v>100 мест</v>
      </c>
      <c r="F712" s="12">
        <f>Source!I164</f>
        <v>0.02</v>
      </c>
      <c r="G712" s="22">
        <f>Source!AB164</f>
        <v>3261.04</v>
      </c>
      <c r="H712" s="22">
        <f>Source!O164</f>
        <v>427.85</v>
      </c>
      <c r="T712">
        <f>Source!O164+Source!X164+Source!Y164</f>
        <v>1044.3000000000002</v>
      </c>
      <c r="U712">
        <f>Source!P164</f>
        <v>0.03</v>
      </c>
      <c r="V712">
        <f>Source!S164</f>
        <v>416.52</v>
      </c>
      <c r="W712">
        <f>Source!Q164</f>
        <v>11.3</v>
      </c>
      <c r="X712">
        <f>Source!R164</f>
        <v>0</v>
      </c>
      <c r="Y712">
        <f>Source!U164</f>
        <v>7.4436</v>
      </c>
      <c r="Z712">
        <f>Source!V164</f>
        <v>0</v>
      </c>
      <c r="AA712">
        <f>Source!X164</f>
        <v>333.22</v>
      </c>
      <c r="AB712">
        <f>Source!Y164</f>
        <v>283.23</v>
      </c>
    </row>
    <row r="713" spans="1:28" ht="14.25" x14ac:dyDescent="0.2">
      <c r="C713" s="23" t="str">
        <f>"Объем: "&amp;Source!I164&amp;"=2/"&amp;"100"</f>
        <v>Объем: 0,02=2/100</v>
      </c>
      <c r="F713" s="12"/>
      <c r="G713" s="12"/>
      <c r="H713" s="12"/>
    </row>
    <row r="714" spans="1:28" x14ac:dyDescent="0.2">
      <c r="C714" s="23" t="s">
        <v>1978</v>
      </c>
      <c r="D714" s="23">
        <f>Source!BA164</f>
        <v>6.56</v>
      </c>
    </row>
    <row r="715" spans="1:28" x14ac:dyDescent="0.2">
      <c r="C715" s="23" t="s">
        <v>1979</v>
      </c>
      <c r="D715" s="23">
        <f>Source!BB164</f>
        <v>6.56</v>
      </c>
    </row>
    <row r="716" spans="1:28" x14ac:dyDescent="0.2">
      <c r="C716" s="23" t="s">
        <v>1980</v>
      </c>
      <c r="D716" s="23">
        <f>Source!BC164</f>
        <v>6.56</v>
      </c>
    </row>
    <row r="717" spans="1:28" x14ac:dyDescent="0.2">
      <c r="C717" s="23" t="s">
        <v>1981</v>
      </c>
      <c r="D717" s="23">
        <f>Source!BS164</f>
        <v>6.56</v>
      </c>
    </row>
    <row r="718" spans="1:28" x14ac:dyDescent="0.2">
      <c r="C718" s="9" t="s">
        <v>1982</v>
      </c>
      <c r="D718" s="33"/>
      <c r="E718" s="33"/>
      <c r="F718" s="33">
        <f>Source!BZ164</f>
        <v>80</v>
      </c>
      <c r="G718" s="57">
        <f>(Source!AF164+Source!AE164)*Source!FX164/100</f>
        <v>2539.7600000000002</v>
      </c>
      <c r="H718" s="57">
        <f>Source!X164</f>
        <v>333.22</v>
      </c>
    </row>
    <row r="719" spans="1:28" x14ac:dyDescent="0.2">
      <c r="C719" s="9" t="s">
        <v>1984</v>
      </c>
      <c r="D719" s="33"/>
      <c r="E719" s="33"/>
      <c r="F719" s="33">
        <f>Source!CA164</f>
        <v>68</v>
      </c>
      <c r="G719" s="57">
        <f>(Source!AF164+Source!AE164)*Source!FY164/100</f>
        <v>2158.7959999999998</v>
      </c>
      <c r="H719" s="57">
        <f>Source!Y164</f>
        <v>283.23</v>
      </c>
    </row>
    <row r="720" spans="1:28" x14ac:dyDescent="0.2">
      <c r="C720" s="9" t="s">
        <v>1986</v>
      </c>
      <c r="D720" s="33"/>
      <c r="E720" s="33"/>
      <c r="F720" s="33"/>
      <c r="G720" s="57">
        <f>((Source!AF164+Source!AE164)*Source!FX164/100)+((Source!AF164+Source!AE164)*Source!FY164/100)+Source!AB164</f>
        <v>7959.5960000000005</v>
      </c>
      <c r="H720" s="57">
        <f>Source!O164+Source!X164+Source!Y164</f>
        <v>1044.3000000000002</v>
      </c>
    </row>
    <row r="721" spans="1:28" ht="28.5" x14ac:dyDescent="0.2">
      <c r="A721" s="45">
        <v>99</v>
      </c>
      <c r="B721" s="45" t="str">
        <f>Source!E165</f>
        <v>44,1</v>
      </c>
      <c r="C721" s="45" t="str">
        <f>Source!G165</f>
        <v>Раствор декоративный (с каменной крошкой)</v>
      </c>
      <c r="D721" s="45" t="str">
        <f>Source!F165</f>
        <v>04.3.01.06-0001</v>
      </c>
      <c r="E721" s="30" t="str">
        <f>Source!H165</f>
        <v>м3</v>
      </c>
      <c r="F721" s="12">
        <f>Source!I165</f>
        <v>4.2799999999999998E-2</v>
      </c>
      <c r="G721" s="22">
        <f>Source!AB165</f>
        <v>572</v>
      </c>
      <c r="H721" s="22">
        <f>Source!O165</f>
        <v>160.6</v>
      </c>
      <c r="T721">
        <f>Source!O165+Source!X165+Source!Y165</f>
        <v>160.6</v>
      </c>
      <c r="U721">
        <f>Source!P165</f>
        <v>160.6</v>
      </c>
      <c r="V721">
        <f>Source!S165</f>
        <v>0</v>
      </c>
      <c r="W721">
        <f>Source!Q165</f>
        <v>0</v>
      </c>
      <c r="X721">
        <f>Source!R165</f>
        <v>0</v>
      </c>
      <c r="Y721">
        <f>Source!U165</f>
        <v>0</v>
      </c>
      <c r="Z721">
        <f>Source!V165</f>
        <v>0</v>
      </c>
      <c r="AA721">
        <f>Source!X165</f>
        <v>0</v>
      </c>
      <c r="AB721">
        <f>Source!Y165</f>
        <v>0</v>
      </c>
    </row>
    <row r="722" spans="1:28" ht="14.25" x14ac:dyDescent="0.2">
      <c r="C722" s="23" t="s">
        <v>1980</v>
      </c>
      <c r="D722" s="23">
        <f>Source!BC165</f>
        <v>6.56</v>
      </c>
      <c r="F722" s="12"/>
      <c r="G722" s="12"/>
      <c r="H722" s="12"/>
    </row>
    <row r="723" spans="1:28" ht="28.5" x14ac:dyDescent="0.2">
      <c r="A723" s="45">
        <v>100</v>
      </c>
      <c r="B723" s="45" t="str">
        <f>Source!E166</f>
        <v>44,2</v>
      </c>
      <c r="C723" s="45" t="str">
        <f>Source!G166</f>
        <v>Раствор готовый кладочный цементный марки 150</v>
      </c>
      <c r="D723" s="45" t="str">
        <f>Source!F166</f>
        <v>04.3.01.09-0015</v>
      </c>
      <c r="E723" s="30" t="str">
        <f>Source!H166</f>
        <v>м3</v>
      </c>
      <c r="F723" s="12">
        <f>Source!I166</f>
        <v>3.0599999999999995E-2</v>
      </c>
      <c r="G723" s="22">
        <f>Source!AB166</f>
        <v>548.29999999999995</v>
      </c>
      <c r="H723" s="22">
        <f>Source!O166</f>
        <v>110.06</v>
      </c>
      <c r="T723">
        <f>Source!O166+Source!X166+Source!Y166</f>
        <v>110.06</v>
      </c>
      <c r="U723">
        <f>Source!P166</f>
        <v>110.06</v>
      </c>
      <c r="V723">
        <f>Source!S166</f>
        <v>0</v>
      </c>
      <c r="W723">
        <f>Source!Q166</f>
        <v>0</v>
      </c>
      <c r="X723">
        <f>Source!R166</f>
        <v>0</v>
      </c>
      <c r="Y723">
        <f>Source!U166</f>
        <v>0</v>
      </c>
      <c r="Z723">
        <f>Source!V166</f>
        <v>0</v>
      </c>
      <c r="AA723">
        <f>Source!X166</f>
        <v>0</v>
      </c>
      <c r="AB723">
        <f>Source!Y166</f>
        <v>0</v>
      </c>
    </row>
    <row r="724" spans="1:28" ht="14.25" x14ac:dyDescent="0.2">
      <c r="C724" s="23" t="s">
        <v>1980</v>
      </c>
      <c r="D724" s="23">
        <f>Source!BC166</f>
        <v>6.56</v>
      </c>
      <c r="F724" s="12"/>
      <c r="G724" s="12"/>
      <c r="H724" s="12"/>
    </row>
    <row r="725" spans="1:28" ht="14.25" x14ac:dyDescent="0.2">
      <c r="A725" s="45">
        <v>101</v>
      </c>
      <c r="B725" s="45" t="str">
        <f>Source!E167</f>
        <v>44,3</v>
      </c>
      <c r="C725" s="45" t="str">
        <f>Source!G167</f>
        <v>Строительный мусор</v>
      </c>
      <c r="D725" s="45" t="str">
        <f>Source!F167</f>
        <v>01.7.07.07</v>
      </c>
      <c r="E725" s="30" t="str">
        <f>Source!H167</f>
        <v>т</v>
      </c>
      <c r="F725" s="12">
        <f>Source!I167</f>
        <v>5.0800000000000005E-2</v>
      </c>
      <c r="G725" s="22">
        <f>Source!AB167</f>
        <v>0</v>
      </c>
      <c r="H725" s="22">
        <f>Source!O167</f>
        <v>0</v>
      </c>
      <c r="T725">
        <f>Source!O167+Source!X167+Source!Y167</f>
        <v>0</v>
      </c>
      <c r="U725">
        <f>Source!P167</f>
        <v>0</v>
      </c>
      <c r="V725">
        <f>Source!S167</f>
        <v>0</v>
      </c>
      <c r="W725">
        <f>Source!Q167</f>
        <v>0</v>
      </c>
      <c r="X725">
        <f>Source!R167</f>
        <v>0</v>
      </c>
      <c r="Y725">
        <f>Source!U167</f>
        <v>0</v>
      </c>
      <c r="Z725">
        <f>Source!V167</f>
        <v>0</v>
      </c>
      <c r="AA725">
        <f>Source!X167</f>
        <v>0</v>
      </c>
      <c r="AB725">
        <f>Source!Y167</f>
        <v>0</v>
      </c>
    </row>
    <row r="726" spans="1:28" ht="14.25" x14ac:dyDescent="0.2">
      <c r="C726" s="23" t="s">
        <v>1980</v>
      </c>
      <c r="D726" s="23">
        <f>Source!BC167</f>
        <v>6.56</v>
      </c>
      <c r="F726" s="12"/>
      <c r="G726" s="12"/>
      <c r="H726" s="12"/>
    </row>
    <row r="727" spans="1:28" ht="28.5" x14ac:dyDescent="0.2">
      <c r="A727" s="45">
        <v>102</v>
      </c>
      <c r="B727" s="45" t="str">
        <f>Source!E168</f>
        <v>44,4</v>
      </c>
      <c r="C727" s="45" t="str">
        <f>Source!G168</f>
        <v>Раствор декоративный (с каменной крошкой)</v>
      </c>
      <c r="D727" s="45" t="str">
        <f>Source!F168</f>
        <v>04.3.01.06</v>
      </c>
      <c r="E727" s="30" t="str">
        <f>Source!H168</f>
        <v>м3</v>
      </c>
      <c r="F727" s="12">
        <f>Source!I168</f>
        <v>4.2799999999999998E-2</v>
      </c>
      <c r="G727" s="22">
        <f>Source!AB168</f>
        <v>0</v>
      </c>
      <c r="H727" s="22">
        <f>Source!O168</f>
        <v>0</v>
      </c>
      <c r="T727">
        <f>Source!O168+Source!X168+Source!Y168</f>
        <v>0</v>
      </c>
      <c r="U727">
        <f>Source!P168</f>
        <v>0</v>
      </c>
      <c r="V727">
        <f>Source!S168</f>
        <v>0</v>
      </c>
      <c r="W727">
        <f>Source!Q168</f>
        <v>0</v>
      </c>
      <c r="X727">
        <f>Source!R168</f>
        <v>0</v>
      </c>
      <c r="Y727">
        <f>Source!U168</f>
        <v>0</v>
      </c>
      <c r="Z727">
        <f>Source!V168</f>
        <v>0</v>
      </c>
      <c r="AA727">
        <f>Source!X168</f>
        <v>0</v>
      </c>
      <c r="AB727">
        <f>Source!Y168</f>
        <v>0</v>
      </c>
    </row>
    <row r="728" spans="1:28" ht="14.25" x14ac:dyDescent="0.2">
      <c r="C728" s="23" t="s">
        <v>1980</v>
      </c>
      <c r="D728" s="23">
        <f>Source!BC168</f>
        <v>6.56</v>
      </c>
      <c r="F728" s="12"/>
      <c r="G728" s="12"/>
      <c r="H728" s="12"/>
    </row>
    <row r="729" spans="1:28" ht="28.5" x14ac:dyDescent="0.2">
      <c r="A729" s="45">
        <v>103</v>
      </c>
      <c r="B729" s="45" t="str">
        <f>Source!E169</f>
        <v>44,5</v>
      </c>
      <c r="C729" s="45" t="str">
        <f>Source!G169</f>
        <v>Раствор готовый кладочный тяжелый цементный</v>
      </c>
      <c r="D729" s="45" t="str">
        <f>Source!F169</f>
        <v>04.3.01.09</v>
      </c>
      <c r="E729" s="30" t="str">
        <f>Source!H169</f>
        <v>м3</v>
      </c>
      <c r="F729" s="12">
        <f>Source!I169</f>
        <v>3.0599999999999995E-2</v>
      </c>
      <c r="G729" s="22">
        <f>Source!AB169</f>
        <v>0</v>
      </c>
      <c r="H729" s="22">
        <f>Source!O169</f>
        <v>0</v>
      </c>
      <c r="T729">
        <f>Source!O169+Source!X169+Source!Y169</f>
        <v>0</v>
      </c>
      <c r="U729">
        <f>Source!P169</f>
        <v>0</v>
      </c>
      <c r="V729">
        <f>Source!S169</f>
        <v>0</v>
      </c>
      <c r="W729">
        <f>Source!Q169</f>
        <v>0</v>
      </c>
      <c r="X729">
        <f>Source!R169</f>
        <v>0</v>
      </c>
      <c r="Y729">
        <f>Source!U169</f>
        <v>0</v>
      </c>
      <c r="Z729">
        <f>Source!V169</f>
        <v>0</v>
      </c>
      <c r="AA729">
        <f>Source!X169</f>
        <v>0</v>
      </c>
      <c r="AB729">
        <f>Source!Y169</f>
        <v>0</v>
      </c>
    </row>
    <row r="730" spans="1:28" ht="14.25" x14ac:dyDescent="0.2">
      <c r="C730" s="23" t="s">
        <v>1980</v>
      </c>
      <c r="D730" s="23">
        <f>Source!BC169</f>
        <v>6.56</v>
      </c>
      <c r="F730" s="12"/>
      <c r="G730" s="12"/>
      <c r="H730" s="12"/>
    </row>
    <row r="731" spans="1:28" ht="42.75" x14ac:dyDescent="0.2">
      <c r="A731" s="45">
        <v>104</v>
      </c>
      <c r="B731" s="45" t="str">
        <f>Source!E170</f>
        <v>45</v>
      </c>
      <c r="C731" s="45" t="str">
        <f>Source!G170</f>
        <v>Шлифовка бетонных или металлоцементных покрытий (мраморных плит) прим.</v>
      </c>
      <c r="D731" s="45" t="str">
        <f>Source!F170</f>
        <v>11-01-015-07</v>
      </c>
      <c r="E731" s="30" t="str">
        <f>Source!H170</f>
        <v>100 м2</v>
      </c>
      <c r="F731" s="12">
        <f>Source!I170</f>
        <v>0.86299999999999999</v>
      </c>
      <c r="G731" s="22">
        <f>Source!AB170</f>
        <v>1146.28</v>
      </c>
      <c r="H731" s="22">
        <f>Source!O170</f>
        <v>6489.41</v>
      </c>
      <c r="T731">
        <f>Source!O170+Source!X170+Source!Y170</f>
        <v>15020.94</v>
      </c>
      <c r="U731">
        <f>Source!P170</f>
        <v>92.28</v>
      </c>
      <c r="V731">
        <f>Source!S170</f>
        <v>4726.32</v>
      </c>
      <c r="W731">
        <f>Source!Q170</f>
        <v>1670.81</v>
      </c>
      <c r="X731">
        <f>Source!R170</f>
        <v>148.84</v>
      </c>
      <c r="Y731">
        <f>Source!U170</f>
        <v>79.435698000000002</v>
      </c>
      <c r="Z731">
        <f>Source!V170</f>
        <v>2.2545875</v>
      </c>
      <c r="AA731">
        <f>Source!X170</f>
        <v>5411.43</v>
      </c>
      <c r="AB731">
        <f>Source!Y170</f>
        <v>3120.1</v>
      </c>
    </row>
    <row r="732" spans="1:28" ht="14.25" x14ac:dyDescent="0.2">
      <c r="C732" s="23" t="str">
        <f>"Объем: "&amp;Source!I170&amp;"=86,3/"&amp;"100"</f>
        <v>Объем: 0,863=86,3/100</v>
      </c>
      <c r="F732" s="12"/>
      <c r="G732" s="12"/>
      <c r="H732" s="12"/>
    </row>
    <row r="733" spans="1:28" x14ac:dyDescent="0.2">
      <c r="C733" s="23" t="s">
        <v>1978</v>
      </c>
      <c r="D733" s="23">
        <f>Source!BA170</f>
        <v>6.56</v>
      </c>
    </row>
    <row r="734" spans="1:28" x14ac:dyDescent="0.2">
      <c r="C734" s="23" t="s">
        <v>1979</v>
      </c>
      <c r="D734" s="23">
        <f>Source!BB170</f>
        <v>6.56</v>
      </c>
    </row>
    <row r="735" spans="1:28" x14ac:dyDescent="0.2">
      <c r="C735" s="23" t="s">
        <v>1980</v>
      </c>
      <c r="D735" s="23">
        <f>Source!BC170</f>
        <v>6.56</v>
      </c>
    </row>
    <row r="736" spans="1:28" x14ac:dyDescent="0.2">
      <c r="C736" s="23" t="s">
        <v>1981</v>
      </c>
      <c r="D736" s="23">
        <f>Source!BS170</f>
        <v>6.56</v>
      </c>
    </row>
    <row r="737" spans="1:28" x14ac:dyDescent="0.2">
      <c r="C737" s="23" t="s">
        <v>1988</v>
      </c>
      <c r="D737" s="82" t="s">
        <v>187</v>
      </c>
      <c r="E737" s="82"/>
      <c r="F737" s="82"/>
      <c r="G737" s="82"/>
      <c r="H737" s="82"/>
    </row>
    <row r="738" spans="1:28" x14ac:dyDescent="0.2">
      <c r="C738" s="23" t="s">
        <v>1989</v>
      </c>
      <c r="D738" s="82" t="s">
        <v>187</v>
      </c>
      <c r="E738" s="82"/>
      <c r="F738" s="82"/>
      <c r="G738" s="82"/>
      <c r="H738" s="82"/>
    </row>
    <row r="739" spans="1:28" x14ac:dyDescent="0.2">
      <c r="C739" s="23" t="s">
        <v>1990</v>
      </c>
      <c r="D739" s="82" t="s">
        <v>188</v>
      </c>
      <c r="E739" s="82"/>
      <c r="F739" s="82"/>
      <c r="G739" s="82"/>
      <c r="H739" s="82"/>
    </row>
    <row r="740" spans="1:28" x14ac:dyDescent="0.2">
      <c r="C740" s="23" t="s">
        <v>1991</v>
      </c>
      <c r="D740" s="82" t="s">
        <v>188</v>
      </c>
      <c r="E740" s="82"/>
      <c r="F740" s="82"/>
      <c r="G740" s="82"/>
      <c r="H740" s="82"/>
    </row>
    <row r="741" spans="1:28" x14ac:dyDescent="0.2">
      <c r="C741" s="23" t="s">
        <v>1992</v>
      </c>
      <c r="D741" s="82" t="s">
        <v>187</v>
      </c>
      <c r="E741" s="82"/>
      <c r="F741" s="82"/>
      <c r="G741" s="82"/>
      <c r="H741" s="82"/>
    </row>
    <row r="742" spans="1:28" x14ac:dyDescent="0.2">
      <c r="C742" s="9" t="s">
        <v>1982</v>
      </c>
      <c r="D742" s="33"/>
      <c r="E742" s="33"/>
      <c r="F742" s="33">
        <f>Source!BZ170</f>
        <v>123</v>
      </c>
      <c r="G742" s="57">
        <f>(Source!AF170+Source!AE170)*Source!FX170/100</f>
        <v>953.28198000000009</v>
      </c>
      <c r="H742" s="57">
        <f>Source!X170</f>
        <v>5411.43</v>
      </c>
    </row>
    <row r="743" spans="1:28" x14ac:dyDescent="0.2">
      <c r="C743" s="9" t="s">
        <v>1983</v>
      </c>
      <c r="D743" s="33"/>
      <c r="E743" s="33"/>
      <c r="F743" s="33"/>
      <c r="G743" s="33" t="str">
        <f>CONCATENATE(Source!DL170,Source!FT170, "=", Source!FX170, "%")</f>
        <v>*0,9=110,7%</v>
      </c>
      <c r="H743" s="33" t="str">
        <f>CONCATENATE(Source!AT170)</f>
        <v>111</v>
      </c>
    </row>
    <row r="744" spans="1:28" x14ac:dyDescent="0.2">
      <c r="C744" s="9" t="s">
        <v>1984</v>
      </c>
      <c r="D744" s="33"/>
      <c r="E744" s="33"/>
      <c r="F744" s="33">
        <f>Source!CA170</f>
        <v>75</v>
      </c>
      <c r="G744" s="57">
        <f>(Source!AF170+Source!AE170)*Source!FY170/100</f>
        <v>548.97674999999992</v>
      </c>
      <c r="H744" s="57">
        <f>Source!Y170</f>
        <v>3120.1</v>
      </c>
    </row>
    <row r="745" spans="1:28" x14ac:dyDescent="0.2">
      <c r="C745" s="9" t="s">
        <v>1985</v>
      </c>
      <c r="D745" s="33"/>
      <c r="E745" s="33"/>
      <c r="F745" s="33"/>
      <c r="G745" s="33" t="str">
        <f>CONCATENATE(Source!DM170,Source!FU170, "=", Source!FY170, "%")</f>
        <v>*0,85=63,75%</v>
      </c>
      <c r="H745" s="33" t="str">
        <f>CONCATENATE(Source!AU170)</f>
        <v>64</v>
      </c>
    </row>
    <row r="746" spans="1:28" x14ac:dyDescent="0.2">
      <c r="C746" s="9" t="s">
        <v>1986</v>
      </c>
      <c r="D746" s="33"/>
      <c r="E746" s="33"/>
      <c r="F746" s="33"/>
      <c r="G746" s="57">
        <f>((Source!AF170+Source!AE170)*Source!FX170/100)+((Source!AF170+Source!AE170)*Source!FY170/100)+Source!AB170</f>
        <v>2648.5387300000002</v>
      </c>
      <c r="H746" s="57">
        <f>Source!O170+Source!X170+Source!Y170</f>
        <v>15020.94</v>
      </c>
    </row>
    <row r="747" spans="1:28" ht="28.5" x14ac:dyDescent="0.2">
      <c r="A747" s="45">
        <v>105</v>
      </c>
      <c r="B747" s="45" t="str">
        <f>Source!E171</f>
        <v>46</v>
      </c>
      <c r="C747" s="45" t="str">
        <f>Source!G171</f>
        <v>Устройство покрытий из плит керамогранитных размером 40х40 см</v>
      </c>
      <c r="D747" s="45" t="str">
        <f>Source!F171</f>
        <v>11-01-047-01</v>
      </c>
      <c r="E747" s="30" t="str">
        <f>Source!H171</f>
        <v>100 м2</v>
      </c>
      <c r="F747" s="12">
        <f>Source!I171</f>
        <v>0.21</v>
      </c>
      <c r="G747" s="22">
        <f>Source!AB171</f>
        <v>21989.86</v>
      </c>
      <c r="H747" s="22">
        <f>Source!O171</f>
        <v>30293.23</v>
      </c>
      <c r="T747">
        <f>Source!O171+Source!X171+Source!Y171</f>
        <v>37867.770000000004</v>
      </c>
      <c r="U747">
        <f>Source!P171</f>
        <v>25953.49</v>
      </c>
      <c r="V747">
        <f>Source!S171</f>
        <v>4298.1499999999996</v>
      </c>
      <c r="W747">
        <f>Source!Q171</f>
        <v>41.59</v>
      </c>
      <c r="X747">
        <f>Source!R171</f>
        <v>30.16</v>
      </c>
      <c r="Y747">
        <f>Source!U171</f>
        <v>74.966430000000003</v>
      </c>
      <c r="Z747">
        <f>Source!V171</f>
        <v>0.454125</v>
      </c>
      <c r="AA747">
        <f>Source!X171</f>
        <v>4804.42</v>
      </c>
      <c r="AB747">
        <f>Source!Y171</f>
        <v>2770.12</v>
      </c>
    </row>
    <row r="748" spans="1:28" ht="14.25" x14ac:dyDescent="0.2">
      <c r="C748" s="23" t="str">
        <f>"Объем: "&amp;Source!I171&amp;"=21/"&amp;"100"</f>
        <v>Объем: 0,21=21/100</v>
      </c>
      <c r="F748" s="12"/>
      <c r="G748" s="12"/>
      <c r="H748" s="12"/>
    </row>
    <row r="749" spans="1:28" x14ac:dyDescent="0.2">
      <c r="C749" s="23" t="s">
        <v>1978</v>
      </c>
      <c r="D749" s="23">
        <f>Source!BA171</f>
        <v>6.56</v>
      </c>
    </row>
    <row r="750" spans="1:28" x14ac:dyDescent="0.2">
      <c r="C750" s="23" t="s">
        <v>1979</v>
      </c>
      <c r="D750" s="23">
        <f>Source!BB171</f>
        <v>6.56</v>
      </c>
    </row>
    <row r="751" spans="1:28" x14ac:dyDescent="0.2">
      <c r="C751" s="23" t="s">
        <v>1980</v>
      </c>
      <c r="D751" s="23">
        <f>Source!BC171</f>
        <v>6.56</v>
      </c>
    </row>
    <row r="752" spans="1:28" x14ac:dyDescent="0.2">
      <c r="C752" s="23" t="s">
        <v>1981</v>
      </c>
      <c r="D752" s="23">
        <f>Source!BS171</f>
        <v>6.56</v>
      </c>
    </row>
    <row r="753" spans="1:28" x14ac:dyDescent="0.2">
      <c r="C753" s="23" t="s">
        <v>1988</v>
      </c>
      <c r="D753" s="82" t="s">
        <v>187</v>
      </c>
      <c r="E753" s="82"/>
      <c r="F753" s="82"/>
      <c r="G753" s="82"/>
      <c r="H753" s="82"/>
    </row>
    <row r="754" spans="1:28" x14ac:dyDescent="0.2">
      <c r="C754" s="23" t="s">
        <v>1989</v>
      </c>
      <c r="D754" s="82" t="s">
        <v>187</v>
      </c>
      <c r="E754" s="82"/>
      <c r="F754" s="82"/>
      <c r="G754" s="82"/>
      <c r="H754" s="82"/>
    </row>
    <row r="755" spans="1:28" x14ac:dyDescent="0.2">
      <c r="C755" s="23" t="s">
        <v>1990</v>
      </c>
      <c r="D755" s="82" t="s">
        <v>188</v>
      </c>
      <c r="E755" s="82"/>
      <c r="F755" s="82"/>
      <c r="G755" s="82"/>
      <c r="H755" s="82"/>
    </row>
    <row r="756" spans="1:28" x14ac:dyDescent="0.2">
      <c r="C756" s="23" t="s">
        <v>1991</v>
      </c>
      <c r="D756" s="82" t="s">
        <v>188</v>
      </c>
      <c r="E756" s="82"/>
      <c r="F756" s="82"/>
      <c r="G756" s="82"/>
      <c r="H756" s="82"/>
    </row>
    <row r="757" spans="1:28" x14ac:dyDescent="0.2">
      <c r="C757" s="23" t="s">
        <v>1992</v>
      </c>
      <c r="D757" s="82" t="s">
        <v>187</v>
      </c>
      <c r="E757" s="82"/>
      <c r="F757" s="82"/>
      <c r="G757" s="82"/>
      <c r="H757" s="82"/>
    </row>
    <row r="758" spans="1:28" x14ac:dyDescent="0.2">
      <c r="C758" s="9" t="s">
        <v>1982</v>
      </c>
      <c r="D758" s="33"/>
      <c r="E758" s="33"/>
      <c r="F758" s="33">
        <f>Source!BZ171</f>
        <v>123</v>
      </c>
      <c r="G758" s="57">
        <f>(Source!AF171+Source!AE171)*Source!FX171/100</f>
        <v>3478.1054399999998</v>
      </c>
      <c r="H758" s="57">
        <f>Source!X171</f>
        <v>4804.42</v>
      </c>
    </row>
    <row r="759" spans="1:28" x14ac:dyDescent="0.2">
      <c r="C759" s="9" t="s">
        <v>1983</v>
      </c>
      <c r="D759" s="33"/>
      <c r="E759" s="33"/>
      <c r="F759" s="33"/>
      <c r="G759" s="33" t="str">
        <f>CONCATENATE(Source!DL171,Source!FT171, "=", Source!FX171, "%")</f>
        <v>*0,9=110,7%</v>
      </c>
      <c r="H759" s="33" t="str">
        <f>CONCATENATE(Source!AT171)</f>
        <v>111</v>
      </c>
    </row>
    <row r="760" spans="1:28" x14ac:dyDescent="0.2">
      <c r="C760" s="9" t="s">
        <v>1984</v>
      </c>
      <c r="D760" s="33"/>
      <c r="E760" s="33"/>
      <c r="F760" s="33">
        <f>Source!CA171</f>
        <v>75</v>
      </c>
      <c r="G760" s="57">
        <f>(Source!AF171+Source!AE171)*Source!FY171/100</f>
        <v>2002.9739999999999</v>
      </c>
      <c r="H760" s="57">
        <f>Source!Y171</f>
        <v>2770.12</v>
      </c>
    </row>
    <row r="761" spans="1:28" x14ac:dyDescent="0.2">
      <c r="C761" s="9" t="s">
        <v>1985</v>
      </c>
      <c r="D761" s="33"/>
      <c r="E761" s="33"/>
      <c r="F761" s="33"/>
      <c r="G761" s="33" t="str">
        <f>CONCATENATE(Source!DM171,Source!FU171, "=", Source!FY171, "%")</f>
        <v>*0,85=63,75%</v>
      </c>
      <c r="H761" s="33" t="str">
        <f>CONCATENATE(Source!AU171)</f>
        <v>64</v>
      </c>
    </row>
    <row r="762" spans="1:28" x14ac:dyDescent="0.2">
      <c r="C762" s="9" t="s">
        <v>1986</v>
      </c>
      <c r="D762" s="33"/>
      <c r="E762" s="33"/>
      <c r="F762" s="33"/>
      <c r="G762" s="57">
        <f>((Source!AF171+Source!AE171)*Source!FX171/100)+((Source!AF171+Source!AE171)*Source!FY171/100)+Source!AB171</f>
        <v>27470.939440000002</v>
      </c>
      <c r="H762" s="57">
        <f>Source!O171+Source!X171+Source!Y171</f>
        <v>37867.770000000004</v>
      </c>
    </row>
    <row r="763" spans="1:28" ht="57" x14ac:dyDescent="0.2">
      <c r="A763" s="45">
        <v>106</v>
      </c>
      <c r="B763" s="45" t="str">
        <f>Source!E172</f>
        <v>46,1</v>
      </c>
      <c r="C763" s="45" t="s">
        <v>1994</v>
      </c>
      <c r="D763" s="45" t="str">
        <f>Source!F172</f>
        <v>06.2.05.03-0003</v>
      </c>
      <c r="E763" s="30" t="str">
        <f>Source!H172</f>
        <v>м2</v>
      </c>
      <c r="F763" s="12">
        <f>Source!I172</f>
        <v>-21.42</v>
      </c>
      <c r="G763" s="22">
        <f>Source!AB172</f>
        <v>140.44999999999999</v>
      </c>
      <c r="H763" s="22">
        <f>Source!O172</f>
        <v>-19735.36</v>
      </c>
      <c r="T763">
        <f>Source!O172+Source!X172+Source!Y172</f>
        <v>-19735.36</v>
      </c>
      <c r="U763">
        <f>Source!P172</f>
        <v>-19735.36</v>
      </c>
      <c r="V763">
        <f>Source!S172</f>
        <v>0</v>
      </c>
      <c r="W763">
        <f>Source!Q172</f>
        <v>0</v>
      </c>
      <c r="X763">
        <f>Source!R172</f>
        <v>0</v>
      </c>
      <c r="Y763">
        <f>Source!U172</f>
        <v>0</v>
      </c>
      <c r="Z763">
        <f>Source!V172</f>
        <v>0</v>
      </c>
      <c r="AA763">
        <f>Source!X172</f>
        <v>0</v>
      </c>
      <c r="AB763">
        <f>Source!Y172</f>
        <v>0</v>
      </c>
    </row>
    <row r="764" spans="1:28" ht="14.25" x14ac:dyDescent="0.2">
      <c r="C764" s="23" t="s">
        <v>1980</v>
      </c>
      <c r="D764" s="23">
        <f>Source!BC172</f>
        <v>6.56</v>
      </c>
      <c r="F764" s="12"/>
      <c r="G764" s="12"/>
      <c r="H764" s="12"/>
    </row>
    <row r="765" spans="1:28" ht="42.75" x14ac:dyDescent="0.2">
      <c r="A765" s="45">
        <v>107</v>
      </c>
      <c r="B765" s="45" t="str">
        <f>Source!E173</f>
        <v>46,2</v>
      </c>
      <c r="C765" s="45" t="str">
        <f>Source!G173</f>
        <v>Плитка керамогранитная неполированная Керабуд размером 300х300 мм</v>
      </c>
      <c r="D765" s="45" t="str">
        <f>Source!F173</f>
        <v>06.2.05.03-0021</v>
      </c>
      <c r="E765" s="30" t="str">
        <f>Source!H173</f>
        <v>м2</v>
      </c>
      <c r="F765" s="12">
        <f>Source!I173</f>
        <v>21.42</v>
      </c>
      <c r="G765" s="22">
        <f>Source!AB173</f>
        <v>56.77</v>
      </c>
      <c r="H765" s="22">
        <f>Source!O173</f>
        <v>7977.05</v>
      </c>
      <c r="T765">
        <f>Source!O173+Source!X173+Source!Y173</f>
        <v>7977.05</v>
      </c>
      <c r="U765">
        <f>Source!P173</f>
        <v>7977.05</v>
      </c>
      <c r="V765">
        <f>Source!S173</f>
        <v>0</v>
      </c>
      <c r="W765">
        <f>Source!Q173</f>
        <v>0</v>
      </c>
      <c r="X765">
        <f>Source!R173</f>
        <v>0</v>
      </c>
      <c r="Y765">
        <f>Source!U173</f>
        <v>0</v>
      </c>
      <c r="Z765">
        <f>Source!V173</f>
        <v>0</v>
      </c>
      <c r="AA765">
        <f>Source!X173</f>
        <v>0</v>
      </c>
      <c r="AB765">
        <f>Source!Y173</f>
        <v>0</v>
      </c>
    </row>
    <row r="766" spans="1:28" ht="14.25" x14ac:dyDescent="0.2">
      <c r="C766" s="23" t="s">
        <v>1980</v>
      </c>
      <c r="D766" s="23">
        <f>Source!BC173</f>
        <v>6.56</v>
      </c>
      <c r="F766" s="12"/>
      <c r="G766" s="12"/>
      <c r="H766" s="12"/>
    </row>
    <row r="767" spans="1:28" ht="42.75" x14ac:dyDescent="0.2">
      <c r="A767" s="45">
        <v>108</v>
      </c>
      <c r="B767" s="45" t="str">
        <f>Source!E174</f>
        <v>47</v>
      </c>
      <c r="C767" s="45" t="str">
        <f>Source!G174</f>
        <v>Устройство гидроизоляции обмазочной в один слой толщиной 2 мм</v>
      </c>
      <c r="D767" s="45" t="str">
        <f>Source!F174</f>
        <v>11-01-004-05</v>
      </c>
      <c r="E767" s="30" t="str">
        <f>Source!H174</f>
        <v>100 м2</v>
      </c>
      <c r="F767" s="12">
        <f>Source!I174</f>
        <v>0.21</v>
      </c>
      <c r="G767" s="22">
        <f>Source!AB174</f>
        <v>1228.44</v>
      </c>
      <c r="H767" s="22">
        <f>Source!O174</f>
        <v>1692.29</v>
      </c>
      <c r="T767">
        <f>Source!O174+Source!X174+Source!Y174</f>
        <v>2526.3399999999997</v>
      </c>
      <c r="U767">
        <f>Source!P174</f>
        <v>954.15</v>
      </c>
      <c r="V767">
        <f>Source!S174</f>
        <v>467.43</v>
      </c>
      <c r="W767">
        <f>Source!Q174</f>
        <v>270.70999999999998</v>
      </c>
      <c r="X767">
        <f>Source!R174</f>
        <v>9.17</v>
      </c>
      <c r="Y767">
        <f>Source!U174</f>
        <v>6.5132549999999991</v>
      </c>
      <c r="Z767">
        <f>Source!V174</f>
        <v>0.11287499999999999</v>
      </c>
      <c r="AA767">
        <f>Source!X174</f>
        <v>529.03</v>
      </c>
      <c r="AB767">
        <f>Source!Y174</f>
        <v>305.02</v>
      </c>
    </row>
    <row r="768" spans="1:28" ht="14.25" x14ac:dyDescent="0.2">
      <c r="C768" s="23" t="str">
        <f>"Объем: "&amp;Source!I174&amp;"=21/"&amp;"100"</f>
        <v>Объем: 0,21=21/100</v>
      </c>
      <c r="F768" s="12"/>
      <c r="G768" s="12"/>
      <c r="H768" s="12"/>
    </row>
    <row r="769" spans="1:28" x14ac:dyDescent="0.2">
      <c r="C769" s="23" t="s">
        <v>1978</v>
      </c>
      <c r="D769" s="23">
        <f>Source!BA174</f>
        <v>6.56</v>
      </c>
    </row>
    <row r="770" spans="1:28" x14ac:dyDescent="0.2">
      <c r="C770" s="23" t="s">
        <v>1979</v>
      </c>
      <c r="D770" s="23">
        <f>Source!BB174</f>
        <v>6.56</v>
      </c>
    </row>
    <row r="771" spans="1:28" x14ac:dyDescent="0.2">
      <c r="C771" s="23" t="s">
        <v>1980</v>
      </c>
      <c r="D771" s="23">
        <f>Source!BC174</f>
        <v>6.56</v>
      </c>
    </row>
    <row r="772" spans="1:28" x14ac:dyDescent="0.2">
      <c r="C772" s="23" t="s">
        <v>1981</v>
      </c>
      <c r="D772" s="23">
        <f>Source!BS174</f>
        <v>6.56</v>
      </c>
    </row>
    <row r="773" spans="1:28" x14ac:dyDescent="0.2">
      <c r="C773" s="23" t="s">
        <v>1988</v>
      </c>
      <c r="D773" s="82" t="s">
        <v>187</v>
      </c>
      <c r="E773" s="82"/>
      <c r="F773" s="82"/>
      <c r="G773" s="82"/>
      <c r="H773" s="82"/>
    </row>
    <row r="774" spans="1:28" x14ac:dyDescent="0.2">
      <c r="C774" s="23" t="s">
        <v>1989</v>
      </c>
      <c r="D774" s="82" t="s">
        <v>187</v>
      </c>
      <c r="E774" s="82"/>
      <c r="F774" s="82"/>
      <c r="G774" s="82"/>
      <c r="H774" s="82"/>
    </row>
    <row r="775" spans="1:28" x14ac:dyDescent="0.2">
      <c r="C775" s="23" t="s">
        <v>1990</v>
      </c>
      <c r="D775" s="82" t="s">
        <v>188</v>
      </c>
      <c r="E775" s="82"/>
      <c r="F775" s="82"/>
      <c r="G775" s="82"/>
      <c r="H775" s="82"/>
    </row>
    <row r="776" spans="1:28" x14ac:dyDescent="0.2">
      <c r="C776" s="23" t="s">
        <v>1991</v>
      </c>
      <c r="D776" s="82" t="s">
        <v>188</v>
      </c>
      <c r="E776" s="82"/>
      <c r="F776" s="82"/>
      <c r="G776" s="82"/>
      <c r="H776" s="82"/>
    </row>
    <row r="777" spans="1:28" x14ac:dyDescent="0.2">
      <c r="C777" s="23" t="s">
        <v>1992</v>
      </c>
      <c r="D777" s="82" t="s">
        <v>187</v>
      </c>
      <c r="E777" s="82"/>
      <c r="F777" s="82"/>
      <c r="G777" s="82"/>
      <c r="H777" s="82"/>
    </row>
    <row r="778" spans="1:28" x14ac:dyDescent="0.2">
      <c r="C778" s="9" t="s">
        <v>1982</v>
      </c>
      <c r="D778" s="33"/>
      <c r="E778" s="33"/>
      <c r="F778" s="33">
        <f>Source!BZ174</f>
        <v>123</v>
      </c>
      <c r="G778" s="57">
        <f>(Source!AF174+Source!AE174)*Source!FX174/100</f>
        <v>382.98878999999999</v>
      </c>
      <c r="H778" s="57">
        <f>Source!X174</f>
        <v>529.03</v>
      </c>
    </row>
    <row r="779" spans="1:28" x14ac:dyDescent="0.2">
      <c r="C779" s="9" t="s">
        <v>1983</v>
      </c>
      <c r="D779" s="33"/>
      <c r="E779" s="33"/>
      <c r="F779" s="33"/>
      <c r="G779" s="33" t="str">
        <f>CONCATENATE(Source!DL174,Source!FT174, "=", Source!FX174, "%")</f>
        <v>*0,9=110,7%</v>
      </c>
      <c r="H779" s="33" t="str">
        <f>CONCATENATE(Source!AT174)</f>
        <v>111</v>
      </c>
    </row>
    <row r="780" spans="1:28" x14ac:dyDescent="0.2">
      <c r="C780" s="9" t="s">
        <v>1984</v>
      </c>
      <c r="D780" s="33"/>
      <c r="E780" s="33"/>
      <c r="F780" s="33">
        <f>Source!CA174</f>
        <v>75</v>
      </c>
      <c r="G780" s="57">
        <f>(Source!AF174+Source!AE174)*Source!FY174/100</f>
        <v>220.55587500000001</v>
      </c>
      <c r="H780" s="57">
        <f>Source!Y174</f>
        <v>305.02</v>
      </c>
    </row>
    <row r="781" spans="1:28" x14ac:dyDescent="0.2">
      <c r="C781" s="9" t="s">
        <v>1985</v>
      </c>
      <c r="D781" s="33"/>
      <c r="E781" s="33"/>
      <c r="F781" s="33"/>
      <c r="G781" s="33" t="str">
        <f>CONCATENATE(Source!DM174,Source!FU174, "=", Source!FY174, "%")</f>
        <v>*0,85=63,75%</v>
      </c>
      <c r="H781" s="33" t="str">
        <f>CONCATENATE(Source!AU174)</f>
        <v>64</v>
      </c>
    </row>
    <row r="782" spans="1:28" x14ac:dyDescent="0.2">
      <c r="C782" s="9" t="s">
        <v>1986</v>
      </c>
      <c r="D782" s="33"/>
      <c r="E782" s="33"/>
      <c r="F782" s="33"/>
      <c r="G782" s="57">
        <f>((Source!AF174+Source!AE174)*Source!FX174/100)+((Source!AF174+Source!AE174)*Source!FY174/100)+Source!AB174</f>
        <v>1831.9846649999999</v>
      </c>
      <c r="H782" s="57">
        <f>Source!O174+Source!X174+Source!Y174</f>
        <v>2526.3399999999997</v>
      </c>
    </row>
    <row r="783" spans="1:28" ht="28.5" x14ac:dyDescent="0.2">
      <c r="A783" s="45">
        <v>109</v>
      </c>
      <c r="B783" s="45" t="str">
        <f>Source!E175</f>
        <v>48</v>
      </c>
      <c r="C783" s="45" t="str">
        <f>Source!G175</f>
        <v>Устройство покрытий из линолеума на клее</v>
      </c>
      <c r="D783" s="45" t="str">
        <f>Source!F175</f>
        <v>11-01-036-01</v>
      </c>
      <c r="E783" s="30" t="str">
        <f>Source!H175</f>
        <v>100 м2</v>
      </c>
      <c r="F783" s="12">
        <f>Source!I175</f>
        <v>0.999</v>
      </c>
      <c r="G783" s="22">
        <f>Source!AB175</f>
        <v>460.85</v>
      </c>
      <c r="H783" s="22">
        <f>Source!O175</f>
        <v>3020.15</v>
      </c>
      <c r="T783">
        <f>Source!O175+Source!X175+Source!Y175</f>
        <v>7818.0000000000009</v>
      </c>
      <c r="U783">
        <f>Source!P175</f>
        <v>5.96</v>
      </c>
      <c r="V783">
        <f>Source!S175</f>
        <v>2655.39</v>
      </c>
      <c r="W783">
        <f>Source!Q175</f>
        <v>358.8</v>
      </c>
      <c r="X783">
        <f>Source!R175</f>
        <v>86.24</v>
      </c>
      <c r="Y783">
        <f>Source!U175</f>
        <v>48.711239999999997</v>
      </c>
      <c r="Z783">
        <f>Source!V175</f>
        <v>1.0614375</v>
      </c>
      <c r="AA783">
        <f>Source!X175</f>
        <v>3043.21</v>
      </c>
      <c r="AB783">
        <f>Source!Y175</f>
        <v>1754.64</v>
      </c>
    </row>
    <row r="784" spans="1:28" ht="14.25" x14ac:dyDescent="0.2">
      <c r="C784" s="23" t="str">
        <f>"Объем: "&amp;Source!I175&amp;"=99,9/"&amp;"100"</f>
        <v>Объем: 0,999=99,9/100</v>
      </c>
      <c r="F784" s="12"/>
      <c r="G784" s="12"/>
      <c r="H784" s="12"/>
    </row>
    <row r="785" spans="1:28" x14ac:dyDescent="0.2">
      <c r="C785" s="23" t="s">
        <v>1978</v>
      </c>
      <c r="D785" s="23">
        <f>Source!BA175</f>
        <v>6.56</v>
      </c>
    </row>
    <row r="786" spans="1:28" x14ac:dyDescent="0.2">
      <c r="C786" s="23" t="s">
        <v>1979</v>
      </c>
      <c r="D786" s="23">
        <f>Source!BB175</f>
        <v>6.56</v>
      </c>
    </row>
    <row r="787" spans="1:28" x14ac:dyDescent="0.2">
      <c r="C787" s="23" t="s">
        <v>1980</v>
      </c>
      <c r="D787" s="23">
        <f>Source!BC175</f>
        <v>6.56</v>
      </c>
    </row>
    <row r="788" spans="1:28" x14ac:dyDescent="0.2">
      <c r="C788" s="23" t="s">
        <v>1981</v>
      </c>
      <c r="D788" s="23">
        <f>Source!BS175</f>
        <v>6.56</v>
      </c>
    </row>
    <row r="789" spans="1:28" x14ac:dyDescent="0.2">
      <c r="C789" s="23" t="s">
        <v>1988</v>
      </c>
      <c r="D789" s="82" t="s">
        <v>187</v>
      </c>
      <c r="E789" s="82"/>
      <c r="F789" s="82"/>
      <c r="G789" s="82"/>
      <c r="H789" s="82"/>
    </row>
    <row r="790" spans="1:28" x14ac:dyDescent="0.2">
      <c r="C790" s="23" t="s">
        <v>1989</v>
      </c>
      <c r="D790" s="82" t="s">
        <v>187</v>
      </c>
      <c r="E790" s="82"/>
      <c r="F790" s="82"/>
      <c r="G790" s="82"/>
      <c r="H790" s="82"/>
    </row>
    <row r="791" spans="1:28" x14ac:dyDescent="0.2">
      <c r="C791" s="23" t="s">
        <v>1990</v>
      </c>
      <c r="D791" s="82" t="s">
        <v>188</v>
      </c>
      <c r="E791" s="82"/>
      <c r="F791" s="82"/>
      <c r="G791" s="82"/>
      <c r="H791" s="82"/>
    </row>
    <row r="792" spans="1:28" x14ac:dyDescent="0.2">
      <c r="C792" s="23" t="s">
        <v>1991</v>
      </c>
      <c r="D792" s="82" t="s">
        <v>188</v>
      </c>
      <c r="E792" s="82"/>
      <c r="F792" s="82"/>
      <c r="G792" s="82"/>
      <c r="H792" s="82"/>
    </row>
    <row r="793" spans="1:28" x14ac:dyDescent="0.2">
      <c r="C793" s="23" t="s">
        <v>1992</v>
      </c>
      <c r="D793" s="82" t="s">
        <v>187</v>
      </c>
      <c r="E793" s="82"/>
      <c r="F793" s="82"/>
      <c r="G793" s="82"/>
      <c r="H793" s="82"/>
    </row>
    <row r="794" spans="1:28" x14ac:dyDescent="0.2">
      <c r="C794" s="9" t="s">
        <v>1982</v>
      </c>
      <c r="D794" s="33"/>
      <c r="E794" s="33"/>
      <c r="F794" s="33">
        <f>Source!BZ175</f>
        <v>123</v>
      </c>
      <c r="G794" s="57">
        <f>(Source!AF175+Source!AE175)*Source!FX175/100</f>
        <v>463.11345</v>
      </c>
      <c r="H794" s="57">
        <f>Source!X175</f>
        <v>3043.21</v>
      </c>
    </row>
    <row r="795" spans="1:28" x14ac:dyDescent="0.2">
      <c r="C795" s="9" t="s">
        <v>1983</v>
      </c>
      <c r="D795" s="33"/>
      <c r="E795" s="33"/>
      <c r="F795" s="33"/>
      <c r="G795" s="33" t="str">
        <f>CONCATENATE(Source!DL175,Source!FT175, "=", Source!FX175, "%")</f>
        <v>*0,9=110,7%</v>
      </c>
      <c r="H795" s="33" t="str">
        <f>CONCATENATE(Source!AT175)</f>
        <v>111</v>
      </c>
    </row>
    <row r="796" spans="1:28" x14ac:dyDescent="0.2">
      <c r="C796" s="9" t="s">
        <v>1984</v>
      </c>
      <c r="D796" s="33"/>
      <c r="E796" s="33"/>
      <c r="F796" s="33">
        <f>Source!CA175</f>
        <v>75</v>
      </c>
      <c r="G796" s="57">
        <f>(Source!AF175+Source!AE175)*Source!FY175/100</f>
        <v>266.698125</v>
      </c>
      <c r="H796" s="57">
        <f>Source!Y175</f>
        <v>1754.64</v>
      </c>
    </row>
    <row r="797" spans="1:28" x14ac:dyDescent="0.2">
      <c r="C797" s="9" t="s">
        <v>1985</v>
      </c>
      <c r="D797" s="33"/>
      <c r="E797" s="33"/>
      <c r="F797" s="33"/>
      <c r="G797" s="33" t="str">
        <f>CONCATENATE(Source!DM175,Source!FU175, "=", Source!FY175, "%")</f>
        <v>*0,85=63,75%</v>
      </c>
      <c r="H797" s="33" t="str">
        <f>CONCATENATE(Source!AU175)</f>
        <v>64</v>
      </c>
    </row>
    <row r="798" spans="1:28" x14ac:dyDescent="0.2">
      <c r="C798" s="9" t="s">
        <v>1986</v>
      </c>
      <c r="D798" s="33"/>
      <c r="E798" s="33"/>
      <c r="F798" s="33"/>
      <c r="G798" s="57">
        <f>((Source!AF175+Source!AE175)*Source!FX175/100)+((Source!AF175+Source!AE175)*Source!FY175/100)+Source!AB175</f>
        <v>1190.6615750000001</v>
      </c>
      <c r="H798" s="57">
        <f>Source!O175+Source!X175+Source!Y175</f>
        <v>7818.0000000000009</v>
      </c>
    </row>
    <row r="799" spans="1:28" ht="57" x14ac:dyDescent="0.2">
      <c r="A799" s="45">
        <v>110</v>
      </c>
      <c r="B799" s="45" t="str">
        <f>Source!E176</f>
        <v>48,1</v>
      </c>
      <c r="C799" s="45" t="str">
        <f>Source!G176</f>
        <v>Линолеум коммерческий гомогенный "ТАРКЕТТ ", антискользящий (толщина 2 мм, класс 34/43, пож. безопасность Г4, В3, РП1, Д2, Т2)</v>
      </c>
      <c r="D799" s="45" t="str">
        <f>Source!F176</f>
        <v>01.6.03.04-0116</v>
      </c>
      <c r="E799" s="30" t="str">
        <f>Source!H176</f>
        <v>м2</v>
      </c>
      <c r="F799" s="12">
        <f>Source!I176</f>
        <v>101.898</v>
      </c>
      <c r="G799" s="22">
        <f>Source!AB176</f>
        <v>181.33</v>
      </c>
      <c r="H799" s="22">
        <f>Source!O176</f>
        <v>121210.2</v>
      </c>
      <c r="T799">
        <f>Source!O176+Source!X176+Source!Y176</f>
        <v>121210.2</v>
      </c>
      <c r="U799">
        <f>Source!P176</f>
        <v>121210.2</v>
      </c>
      <c r="V799">
        <f>Source!S176</f>
        <v>0</v>
      </c>
      <c r="W799">
        <f>Source!Q176</f>
        <v>0</v>
      </c>
      <c r="X799">
        <f>Source!R176</f>
        <v>0</v>
      </c>
      <c r="Y799">
        <f>Source!U176</f>
        <v>0</v>
      </c>
      <c r="Z799">
        <f>Source!V176</f>
        <v>0</v>
      </c>
      <c r="AA799">
        <f>Source!X176</f>
        <v>0</v>
      </c>
      <c r="AB799">
        <f>Source!Y176</f>
        <v>0</v>
      </c>
    </row>
    <row r="800" spans="1:28" ht="14.25" x14ac:dyDescent="0.2">
      <c r="C800" s="23" t="s">
        <v>1980</v>
      </c>
      <c r="D800" s="23">
        <f>Source!BC176</f>
        <v>6.56</v>
      </c>
      <c r="F800" s="12"/>
      <c r="G800" s="12"/>
      <c r="H800" s="12"/>
    </row>
    <row r="801" spans="1:28" ht="28.5" x14ac:dyDescent="0.2">
      <c r="A801" s="45">
        <v>111</v>
      </c>
      <c r="B801" s="45" t="str">
        <f>Source!E177</f>
        <v>48,2</v>
      </c>
      <c r="C801" s="45" t="str">
        <f>Source!G177</f>
        <v>Линолеум на теплозвукоизолирующей подоснове</v>
      </c>
      <c r="D801" s="45" t="str">
        <f>Source!F177</f>
        <v>01.6.03.04</v>
      </c>
      <c r="E801" s="30" t="str">
        <f>Source!H177</f>
        <v>м2</v>
      </c>
      <c r="F801" s="12">
        <f>Source!I177</f>
        <v>101.898</v>
      </c>
      <c r="G801" s="22">
        <f>Source!AB177</f>
        <v>0</v>
      </c>
      <c r="H801" s="22">
        <f>Source!O177</f>
        <v>0</v>
      </c>
      <c r="T801">
        <f>Source!O177+Source!X177+Source!Y177</f>
        <v>0</v>
      </c>
      <c r="U801">
        <f>Source!P177</f>
        <v>0</v>
      </c>
      <c r="V801">
        <f>Source!S177</f>
        <v>0</v>
      </c>
      <c r="W801">
        <f>Source!Q177</f>
        <v>0</v>
      </c>
      <c r="X801">
        <f>Source!R177</f>
        <v>0</v>
      </c>
      <c r="Y801">
        <f>Source!U177</f>
        <v>0</v>
      </c>
      <c r="Z801">
        <f>Source!V177</f>
        <v>0</v>
      </c>
      <c r="AA801">
        <f>Source!X177</f>
        <v>0</v>
      </c>
      <c r="AB801">
        <f>Source!Y177</f>
        <v>0</v>
      </c>
    </row>
    <row r="802" spans="1:28" ht="14.25" x14ac:dyDescent="0.2">
      <c r="C802" s="23" t="s">
        <v>1980</v>
      </c>
      <c r="D802" s="23">
        <f>Source!BC177</f>
        <v>6.56</v>
      </c>
      <c r="F802" s="12"/>
      <c r="G802" s="12"/>
      <c r="H802" s="12"/>
    </row>
    <row r="803" spans="1:28" ht="28.5" x14ac:dyDescent="0.2">
      <c r="A803" s="45">
        <v>112</v>
      </c>
      <c r="B803" s="45" t="str">
        <f>Source!E178</f>
        <v>48,3</v>
      </c>
      <c r="C803" s="45" t="str">
        <f>Source!G178</f>
        <v>Клей Forbo 522, для укладки ПВХ-покрытий</v>
      </c>
      <c r="D803" s="45" t="str">
        <f>Source!F178</f>
        <v>14.1.02.04-0102</v>
      </c>
      <c r="E803" s="30" t="str">
        <f>Source!H178</f>
        <v>кг</v>
      </c>
      <c r="F803" s="12">
        <f>Source!I178</f>
        <v>49.95</v>
      </c>
      <c r="G803" s="22">
        <f>Source!AB178</f>
        <v>25.56</v>
      </c>
      <c r="H803" s="22">
        <f>Source!O178</f>
        <v>8375.2999999999993</v>
      </c>
      <c r="T803">
        <f>Source!O178+Source!X178+Source!Y178</f>
        <v>8375.2999999999993</v>
      </c>
      <c r="U803">
        <f>Source!P178</f>
        <v>8375.2999999999993</v>
      </c>
      <c r="V803">
        <f>Source!S178</f>
        <v>0</v>
      </c>
      <c r="W803">
        <f>Source!Q178</f>
        <v>0</v>
      </c>
      <c r="X803">
        <f>Source!R178</f>
        <v>0</v>
      </c>
      <c r="Y803">
        <f>Source!U178</f>
        <v>0</v>
      </c>
      <c r="Z803">
        <f>Source!V178</f>
        <v>0</v>
      </c>
      <c r="AA803">
        <f>Source!X178</f>
        <v>0</v>
      </c>
      <c r="AB803">
        <f>Source!Y178</f>
        <v>0</v>
      </c>
    </row>
    <row r="804" spans="1:28" ht="14.25" x14ac:dyDescent="0.2">
      <c r="C804" s="23" t="s">
        <v>1980</v>
      </c>
      <c r="D804" s="23">
        <f>Source!BC178</f>
        <v>6.56</v>
      </c>
      <c r="F804" s="12"/>
      <c r="G804" s="12"/>
      <c r="H804" s="12"/>
    </row>
    <row r="805" spans="1:28" ht="14.25" x14ac:dyDescent="0.2">
      <c r="A805" s="45">
        <v>113</v>
      </c>
      <c r="B805" s="45" t="str">
        <f>Source!E179</f>
        <v>48,4</v>
      </c>
      <c r="C805" s="45" t="str">
        <f>Source!G179</f>
        <v>Состав клеящий</v>
      </c>
      <c r="D805" s="45" t="str">
        <f>Source!F179</f>
        <v>14.1.06.05</v>
      </c>
      <c r="E805" s="30" t="str">
        <f>Source!H179</f>
        <v>кг</v>
      </c>
      <c r="F805" s="12">
        <f>Source!I179</f>
        <v>49.95</v>
      </c>
      <c r="G805" s="22">
        <f>Source!AB179</f>
        <v>0</v>
      </c>
      <c r="H805" s="22">
        <f>Source!O179</f>
        <v>0</v>
      </c>
      <c r="T805">
        <f>Source!O179+Source!X179+Source!Y179</f>
        <v>0</v>
      </c>
      <c r="U805">
        <f>Source!P179</f>
        <v>0</v>
      </c>
      <c r="V805">
        <f>Source!S179</f>
        <v>0</v>
      </c>
      <c r="W805">
        <f>Source!Q179</f>
        <v>0</v>
      </c>
      <c r="X805">
        <f>Source!R179</f>
        <v>0</v>
      </c>
      <c r="Y805">
        <f>Source!U179</f>
        <v>0</v>
      </c>
      <c r="Z805">
        <f>Source!V179</f>
        <v>0</v>
      </c>
      <c r="AA805">
        <f>Source!X179</f>
        <v>0</v>
      </c>
      <c r="AB805">
        <f>Source!Y179</f>
        <v>0</v>
      </c>
    </row>
    <row r="806" spans="1:28" ht="14.25" x14ac:dyDescent="0.2">
      <c r="C806" s="23" t="s">
        <v>1980</v>
      </c>
      <c r="D806" s="23">
        <f>Source!BC179</f>
        <v>6.56</v>
      </c>
      <c r="F806" s="12"/>
      <c r="G806" s="12"/>
      <c r="H806" s="12"/>
    </row>
    <row r="807" spans="1:28" ht="28.5" x14ac:dyDescent="0.2">
      <c r="A807" s="45">
        <v>114</v>
      </c>
      <c r="B807" s="45" t="str">
        <f>Source!E180</f>
        <v>49</v>
      </c>
      <c r="C807" s="45" t="str">
        <f>Source!G180</f>
        <v>Устройство покрытий из досок ламинированных замковым способом</v>
      </c>
      <c r="D807" s="45" t="str">
        <f>Source!F180</f>
        <v>11-01-034-04</v>
      </c>
      <c r="E807" s="30" t="str">
        <f>Source!H180</f>
        <v>100 м2</v>
      </c>
      <c r="F807" s="12">
        <f>Source!I180</f>
        <v>1.0025999999999999</v>
      </c>
      <c r="G807" s="22">
        <f>Source!AB180</f>
        <v>651.5</v>
      </c>
      <c r="H807" s="22">
        <f>Source!O180</f>
        <v>4284.95</v>
      </c>
      <c r="T807">
        <f>Source!O180+Source!X180+Source!Y180</f>
        <v>7488.03</v>
      </c>
      <c r="U807">
        <f>Source!P180</f>
        <v>2410.16</v>
      </c>
      <c r="V807">
        <f>Source!S180</f>
        <v>1820.79</v>
      </c>
      <c r="W807">
        <f>Source!Q180</f>
        <v>54</v>
      </c>
      <c r="X807">
        <f>Source!R180</f>
        <v>9.5399999999999991</v>
      </c>
      <c r="Y807">
        <f>Source!U180</f>
        <v>29.528073899999995</v>
      </c>
      <c r="Z807">
        <f>Source!V180</f>
        <v>0.12532499999999999</v>
      </c>
      <c r="AA807">
        <f>Source!X180</f>
        <v>2031.67</v>
      </c>
      <c r="AB807">
        <f>Source!Y180</f>
        <v>1171.4100000000001</v>
      </c>
    </row>
    <row r="808" spans="1:28" ht="14.25" x14ac:dyDescent="0.2">
      <c r="C808" s="23" t="str">
        <f>"Объем: "&amp;Source!I180&amp;"=100,26/"&amp;"100"</f>
        <v>Объем: 1,0026=100,26/100</v>
      </c>
      <c r="F808" s="12"/>
      <c r="G808" s="12"/>
      <c r="H808" s="12"/>
    </row>
    <row r="809" spans="1:28" x14ac:dyDescent="0.2">
      <c r="C809" s="23" t="s">
        <v>1978</v>
      </c>
      <c r="D809" s="23">
        <f>Source!BA180</f>
        <v>6.56</v>
      </c>
    </row>
    <row r="810" spans="1:28" x14ac:dyDescent="0.2">
      <c r="C810" s="23" t="s">
        <v>1979</v>
      </c>
      <c r="D810" s="23">
        <f>Source!BB180</f>
        <v>6.56</v>
      </c>
    </row>
    <row r="811" spans="1:28" x14ac:dyDescent="0.2">
      <c r="C811" s="23" t="s">
        <v>1980</v>
      </c>
      <c r="D811" s="23">
        <f>Source!BC180</f>
        <v>6.56</v>
      </c>
    </row>
    <row r="812" spans="1:28" x14ac:dyDescent="0.2">
      <c r="C812" s="23" t="s">
        <v>1981</v>
      </c>
      <c r="D812" s="23">
        <f>Source!BS180</f>
        <v>6.56</v>
      </c>
    </row>
    <row r="813" spans="1:28" x14ac:dyDescent="0.2">
      <c r="C813" s="23" t="s">
        <v>1988</v>
      </c>
      <c r="D813" s="82" t="s">
        <v>187</v>
      </c>
      <c r="E813" s="82"/>
      <c r="F813" s="82"/>
      <c r="G813" s="82"/>
      <c r="H813" s="82"/>
    </row>
    <row r="814" spans="1:28" x14ac:dyDescent="0.2">
      <c r="C814" s="23" t="s">
        <v>1989</v>
      </c>
      <c r="D814" s="82" t="s">
        <v>187</v>
      </c>
      <c r="E814" s="82"/>
      <c r="F814" s="82"/>
      <c r="G814" s="82"/>
      <c r="H814" s="82"/>
    </row>
    <row r="815" spans="1:28" x14ac:dyDescent="0.2">
      <c r="C815" s="23" t="s">
        <v>1990</v>
      </c>
      <c r="D815" s="82" t="s">
        <v>188</v>
      </c>
      <c r="E815" s="82"/>
      <c r="F815" s="82"/>
      <c r="G815" s="82"/>
      <c r="H815" s="82"/>
    </row>
    <row r="816" spans="1:28" x14ac:dyDescent="0.2">
      <c r="C816" s="23" t="s">
        <v>1991</v>
      </c>
      <c r="D816" s="82" t="s">
        <v>188</v>
      </c>
      <c r="E816" s="82"/>
      <c r="F816" s="82"/>
      <c r="G816" s="82"/>
      <c r="H816" s="82"/>
    </row>
    <row r="817" spans="1:28" x14ac:dyDescent="0.2">
      <c r="C817" s="23" t="s">
        <v>1992</v>
      </c>
      <c r="D817" s="82" t="s">
        <v>187</v>
      </c>
      <c r="E817" s="82"/>
      <c r="F817" s="82"/>
      <c r="G817" s="82"/>
      <c r="H817" s="82"/>
    </row>
    <row r="818" spans="1:28" x14ac:dyDescent="0.2">
      <c r="C818" s="9" t="s">
        <v>1982</v>
      </c>
      <c r="D818" s="33"/>
      <c r="E818" s="33"/>
      <c r="F818" s="33">
        <f>Source!BZ180</f>
        <v>123</v>
      </c>
      <c r="G818" s="57">
        <f>(Source!AF180+Source!AE180)*Source!FX180/100</f>
        <v>308.06702999999999</v>
      </c>
      <c r="H818" s="57">
        <f>Source!X180</f>
        <v>2031.67</v>
      </c>
    </row>
    <row r="819" spans="1:28" x14ac:dyDescent="0.2">
      <c r="C819" s="9" t="s">
        <v>1983</v>
      </c>
      <c r="D819" s="33"/>
      <c r="E819" s="33"/>
      <c r="F819" s="33"/>
      <c r="G819" s="33" t="str">
        <f>CONCATENATE(Source!DL180,Source!FT180, "=", Source!FX180, "%")</f>
        <v>*0,9=110,7%</v>
      </c>
      <c r="H819" s="33" t="str">
        <f>CONCATENATE(Source!AT180)</f>
        <v>111</v>
      </c>
    </row>
    <row r="820" spans="1:28" x14ac:dyDescent="0.2">
      <c r="C820" s="9" t="s">
        <v>1984</v>
      </c>
      <c r="D820" s="33"/>
      <c r="E820" s="33"/>
      <c r="F820" s="33">
        <f>Source!CA180</f>
        <v>75</v>
      </c>
      <c r="G820" s="57">
        <f>(Source!AF180+Source!AE180)*Source!FY180/100</f>
        <v>177.409875</v>
      </c>
      <c r="H820" s="57">
        <f>Source!Y180</f>
        <v>1171.4100000000001</v>
      </c>
    </row>
    <row r="821" spans="1:28" x14ac:dyDescent="0.2">
      <c r="C821" s="9" t="s">
        <v>1985</v>
      </c>
      <c r="D821" s="33"/>
      <c r="E821" s="33"/>
      <c r="F821" s="33"/>
      <c r="G821" s="33" t="str">
        <f>CONCATENATE(Source!DM180,Source!FU180, "=", Source!FY180, "%")</f>
        <v>*0,85=63,75%</v>
      </c>
      <c r="H821" s="33" t="str">
        <f>CONCATENATE(Source!AU180)</f>
        <v>64</v>
      </c>
    </row>
    <row r="822" spans="1:28" x14ac:dyDescent="0.2">
      <c r="C822" s="9" t="s">
        <v>1986</v>
      </c>
      <c r="D822" s="33"/>
      <c r="E822" s="33"/>
      <c r="F822" s="33"/>
      <c r="G822" s="57">
        <f>((Source!AF180+Source!AE180)*Source!FX180/100)+((Source!AF180+Source!AE180)*Source!FY180/100)+Source!AB180</f>
        <v>1136.976905</v>
      </c>
      <c r="H822" s="57">
        <f>Source!O180+Source!X180+Source!Y180</f>
        <v>7488.03</v>
      </c>
    </row>
    <row r="823" spans="1:28" ht="28.5" x14ac:dyDescent="0.2">
      <c r="A823" s="45">
        <v>115</v>
      </c>
      <c r="B823" s="45" t="str">
        <f>Source!E181</f>
        <v>49,1</v>
      </c>
      <c r="C823" s="45" t="str">
        <f>Source!G181</f>
        <v>Ламинат "TARKETT  (33 класс, размер 1292х194 мм, толщина 8 мм) прим.</v>
      </c>
      <c r="D823" s="45" t="str">
        <f>Source!F181</f>
        <v>11.2.03.02-0008</v>
      </c>
      <c r="E823" s="30" t="str">
        <f>Source!H181</f>
        <v>м2</v>
      </c>
      <c r="F823" s="12">
        <f>Source!I181</f>
        <v>102.76649999999999</v>
      </c>
      <c r="G823" s="22">
        <f>Source!AB181</f>
        <v>120.14</v>
      </c>
      <c r="H823" s="22">
        <f>Source!O181</f>
        <v>80992.17</v>
      </c>
      <c r="T823">
        <f>Source!O181+Source!X181+Source!Y181</f>
        <v>80992.17</v>
      </c>
      <c r="U823">
        <f>Source!P181</f>
        <v>80992.17</v>
      </c>
      <c r="V823">
        <f>Source!S181</f>
        <v>0</v>
      </c>
      <c r="W823">
        <f>Source!Q181</f>
        <v>0</v>
      </c>
      <c r="X823">
        <f>Source!R181</f>
        <v>0</v>
      </c>
      <c r="Y823">
        <f>Source!U181</f>
        <v>0</v>
      </c>
      <c r="Z823">
        <f>Source!V181</f>
        <v>0</v>
      </c>
      <c r="AA823">
        <f>Source!X181</f>
        <v>0</v>
      </c>
      <c r="AB823">
        <f>Source!Y181</f>
        <v>0</v>
      </c>
    </row>
    <row r="824" spans="1:28" ht="14.25" x14ac:dyDescent="0.2">
      <c r="C824" s="23" t="s">
        <v>1980</v>
      </c>
      <c r="D824" s="23">
        <f>Source!BC181</f>
        <v>6.56</v>
      </c>
      <c r="F824" s="12"/>
      <c r="G824" s="12"/>
      <c r="H824" s="12"/>
    </row>
    <row r="825" spans="1:28" ht="28.5" x14ac:dyDescent="0.2">
      <c r="A825" s="45">
        <v>116</v>
      </c>
      <c r="B825" s="45" t="str">
        <f>Source!E182</f>
        <v>49,2</v>
      </c>
      <c r="C825" s="45" t="str">
        <f>Source!G182</f>
        <v>Покрытие напольное ламинированное (ламинат)</v>
      </c>
      <c r="D825" s="45" t="str">
        <f>Source!F182</f>
        <v>11.2.03.02</v>
      </c>
      <c r="E825" s="30" t="str">
        <f>Source!H182</f>
        <v>м2</v>
      </c>
      <c r="F825" s="12">
        <f>Source!I182</f>
        <v>102.76649999999999</v>
      </c>
      <c r="G825" s="22">
        <f>Source!AB182</f>
        <v>0</v>
      </c>
      <c r="H825" s="22">
        <f>Source!O182</f>
        <v>0</v>
      </c>
      <c r="T825">
        <f>Source!O182+Source!X182+Source!Y182</f>
        <v>0</v>
      </c>
      <c r="U825">
        <f>Source!P182</f>
        <v>0</v>
      </c>
      <c r="V825">
        <f>Source!S182</f>
        <v>0</v>
      </c>
      <c r="W825">
        <f>Source!Q182</f>
        <v>0</v>
      </c>
      <c r="X825">
        <f>Source!R182</f>
        <v>0</v>
      </c>
      <c r="Y825">
        <f>Source!U182</f>
        <v>0</v>
      </c>
      <c r="Z825">
        <f>Source!V182</f>
        <v>0</v>
      </c>
      <c r="AA825">
        <f>Source!X182</f>
        <v>0</v>
      </c>
      <c r="AB825">
        <f>Source!Y182</f>
        <v>0</v>
      </c>
    </row>
    <row r="826" spans="1:28" ht="14.25" x14ac:dyDescent="0.2">
      <c r="C826" s="23" t="s">
        <v>1980</v>
      </c>
      <c r="D826" s="23">
        <f>Source!BC182</f>
        <v>6.56</v>
      </c>
      <c r="F826" s="12"/>
      <c r="G826" s="12"/>
      <c r="H826" s="12"/>
    </row>
    <row r="827" spans="1:28" ht="28.5" x14ac:dyDescent="0.2">
      <c r="A827" s="45">
        <v>117</v>
      </c>
      <c r="B827" s="45" t="str">
        <f>Source!E183</f>
        <v>50</v>
      </c>
      <c r="C827" s="45" t="str">
        <f>Source!G183</f>
        <v>Устройство плинтусов поливинилхлоридных на клее КН-2</v>
      </c>
      <c r="D827" s="45" t="str">
        <f>Source!F183</f>
        <v>11-01-040-01</v>
      </c>
      <c r="E827" s="30" t="str">
        <f>Source!H183</f>
        <v>100 м</v>
      </c>
      <c r="F827" s="12">
        <f>Source!I183</f>
        <v>1.1996</v>
      </c>
      <c r="G827" s="22">
        <f>Source!AB183</f>
        <v>146.85</v>
      </c>
      <c r="H827" s="22">
        <f>Source!O183</f>
        <v>1155.6199999999999</v>
      </c>
      <c r="T827">
        <f>Source!O183+Source!X183+Source!Y183</f>
        <v>2555.62</v>
      </c>
      <c r="U827">
        <f>Source!P183</f>
        <v>338.78</v>
      </c>
      <c r="V827">
        <f>Source!S183</f>
        <v>795.83</v>
      </c>
      <c r="W827">
        <f>Source!Q183</f>
        <v>21.01</v>
      </c>
      <c r="X827">
        <f>Source!R183</f>
        <v>4.17</v>
      </c>
      <c r="Y827">
        <f>Source!U183</f>
        <v>12.4296554</v>
      </c>
      <c r="Z827">
        <f>Source!V183</f>
        <v>5.9980000000000006E-2</v>
      </c>
      <c r="AA827">
        <f>Source!X183</f>
        <v>888</v>
      </c>
      <c r="AB827">
        <f>Source!Y183</f>
        <v>512</v>
      </c>
    </row>
    <row r="828" spans="1:28" ht="14.25" x14ac:dyDescent="0.2">
      <c r="C828" s="23" t="str">
        <f>"Объем: "&amp;Source!I183&amp;"=119,96/"&amp;"100"</f>
        <v>Объем: 1,1996=119,96/100</v>
      </c>
      <c r="F828" s="12"/>
      <c r="G828" s="12"/>
      <c r="H828" s="12"/>
    </row>
    <row r="829" spans="1:28" x14ac:dyDescent="0.2">
      <c r="C829" s="23" t="s">
        <v>1978</v>
      </c>
      <c r="D829" s="23">
        <f>Source!BA183</f>
        <v>6.56</v>
      </c>
    </row>
    <row r="830" spans="1:28" x14ac:dyDescent="0.2">
      <c r="C830" s="23" t="s">
        <v>1979</v>
      </c>
      <c r="D830" s="23">
        <f>Source!BB183</f>
        <v>6.56</v>
      </c>
    </row>
    <row r="831" spans="1:28" x14ac:dyDescent="0.2">
      <c r="C831" s="23" t="s">
        <v>1980</v>
      </c>
      <c r="D831" s="23">
        <f>Source!BC183</f>
        <v>6.56</v>
      </c>
    </row>
    <row r="832" spans="1:28" x14ac:dyDescent="0.2">
      <c r="C832" s="23" t="s">
        <v>1981</v>
      </c>
      <c r="D832" s="23">
        <f>Source!BS183</f>
        <v>6.56</v>
      </c>
    </row>
    <row r="833" spans="1:28" x14ac:dyDescent="0.2">
      <c r="C833" s="23" t="s">
        <v>1988</v>
      </c>
      <c r="D833" s="82" t="s">
        <v>187</v>
      </c>
      <c r="E833" s="82"/>
      <c r="F833" s="82"/>
      <c r="G833" s="82"/>
      <c r="H833" s="82"/>
    </row>
    <row r="834" spans="1:28" x14ac:dyDescent="0.2">
      <c r="C834" s="23" t="s">
        <v>1989</v>
      </c>
      <c r="D834" s="82" t="s">
        <v>187</v>
      </c>
      <c r="E834" s="82"/>
      <c r="F834" s="82"/>
      <c r="G834" s="82"/>
      <c r="H834" s="82"/>
    </row>
    <row r="835" spans="1:28" x14ac:dyDescent="0.2">
      <c r="C835" s="23" t="s">
        <v>1990</v>
      </c>
      <c r="D835" s="82" t="s">
        <v>188</v>
      </c>
      <c r="E835" s="82"/>
      <c r="F835" s="82"/>
      <c r="G835" s="82"/>
      <c r="H835" s="82"/>
    </row>
    <row r="836" spans="1:28" x14ac:dyDescent="0.2">
      <c r="C836" s="23" t="s">
        <v>1991</v>
      </c>
      <c r="D836" s="82" t="s">
        <v>188</v>
      </c>
      <c r="E836" s="82"/>
      <c r="F836" s="82"/>
      <c r="G836" s="82"/>
      <c r="H836" s="82"/>
    </row>
    <row r="837" spans="1:28" x14ac:dyDescent="0.2">
      <c r="C837" s="23" t="s">
        <v>1992</v>
      </c>
      <c r="D837" s="82" t="s">
        <v>187</v>
      </c>
      <c r="E837" s="82"/>
      <c r="F837" s="82"/>
      <c r="G837" s="82"/>
      <c r="H837" s="82"/>
    </row>
    <row r="838" spans="1:28" x14ac:dyDescent="0.2">
      <c r="C838" s="9" t="s">
        <v>1982</v>
      </c>
      <c r="D838" s="33"/>
      <c r="E838" s="33"/>
      <c r="F838" s="33">
        <f>Source!BZ183</f>
        <v>123</v>
      </c>
      <c r="G838" s="57">
        <f>(Source!AF183+Source!AE183)*Source!FX183/100</f>
        <v>112.53762</v>
      </c>
      <c r="H838" s="57">
        <f>Source!X183</f>
        <v>888</v>
      </c>
    </row>
    <row r="839" spans="1:28" x14ac:dyDescent="0.2">
      <c r="C839" s="9" t="s">
        <v>1983</v>
      </c>
      <c r="D839" s="33"/>
      <c r="E839" s="33"/>
      <c r="F839" s="33"/>
      <c r="G839" s="33" t="str">
        <f>CONCATENATE(Source!DL183,Source!FT183, "=", Source!FX183, "%")</f>
        <v>*0,9=110,7%</v>
      </c>
      <c r="H839" s="33" t="str">
        <f>CONCATENATE(Source!AT183)</f>
        <v>111</v>
      </c>
    </row>
    <row r="840" spans="1:28" x14ac:dyDescent="0.2">
      <c r="C840" s="9" t="s">
        <v>1984</v>
      </c>
      <c r="D840" s="33"/>
      <c r="E840" s="33"/>
      <c r="F840" s="33">
        <f>Source!CA183</f>
        <v>75</v>
      </c>
      <c r="G840" s="57">
        <f>(Source!AF183+Source!AE183)*Source!FY183/100</f>
        <v>64.808250000000001</v>
      </c>
      <c r="H840" s="57">
        <f>Source!Y183</f>
        <v>512</v>
      </c>
    </row>
    <row r="841" spans="1:28" x14ac:dyDescent="0.2">
      <c r="C841" s="9" t="s">
        <v>1985</v>
      </c>
      <c r="D841" s="33"/>
      <c r="E841" s="33"/>
      <c r="F841" s="33"/>
      <c r="G841" s="33" t="str">
        <f>CONCATENATE(Source!DM183,Source!FU183, "=", Source!FY183, "%")</f>
        <v>*0,85=63,75%</v>
      </c>
      <c r="H841" s="33" t="str">
        <f>CONCATENATE(Source!AU183)</f>
        <v>64</v>
      </c>
    </row>
    <row r="842" spans="1:28" x14ac:dyDescent="0.2">
      <c r="C842" s="9" t="s">
        <v>1986</v>
      </c>
      <c r="D842" s="33"/>
      <c r="E842" s="33"/>
      <c r="F842" s="33"/>
      <c r="G842" s="57">
        <f>((Source!AF183+Source!AE183)*Source!FX183/100)+((Source!AF183+Source!AE183)*Source!FY183/100)+Source!AB183</f>
        <v>324.19587000000001</v>
      </c>
      <c r="H842" s="57">
        <f>Source!O183+Source!X183+Source!Y183</f>
        <v>2555.62</v>
      </c>
    </row>
    <row r="843" spans="1:28" ht="28.5" x14ac:dyDescent="0.2">
      <c r="A843" s="45">
        <v>118</v>
      </c>
      <c r="B843" s="45" t="str">
        <f>Source!E184</f>
        <v>50,1</v>
      </c>
      <c r="C843" s="45" t="str">
        <f>Source!G184</f>
        <v>Плинтуса для полов с кабель-каналом пластиковые, 22х49 мм</v>
      </c>
      <c r="D843" s="45" t="str">
        <f>Source!F184</f>
        <v>11.3.03.06-0002</v>
      </c>
      <c r="E843" s="30" t="str">
        <f>Source!H184</f>
        <v>м</v>
      </c>
      <c r="F843" s="12">
        <f>Source!I184</f>
        <v>121.1596</v>
      </c>
      <c r="G843" s="22">
        <f>Source!AB184</f>
        <v>20.5</v>
      </c>
      <c r="H843" s="22">
        <f>Source!O184</f>
        <v>16293.54</v>
      </c>
      <c r="T843">
        <f>Source!O184+Source!X184+Source!Y184</f>
        <v>16293.54</v>
      </c>
      <c r="U843">
        <f>Source!P184</f>
        <v>16293.54</v>
      </c>
      <c r="V843">
        <f>Source!S184</f>
        <v>0</v>
      </c>
      <c r="W843">
        <f>Source!Q184</f>
        <v>0</v>
      </c>
      <c r="X843">
        <f>Source!R184</f>
        <v>0</v>
      </c>
      <c r="Y843">
        <f>Source!U184</f>
        <v>0</v>
      </c>
      <c r="Z843">
        <f>Source!V184</f>
        <v>0</v>
      </c>
      <c r="AA843">
        <f>Source!X184</f>
        <v>0</v>
      </c>
      <c r="AB843">
        <f>Source!Y184</f>
        <v>0</v>
      </c>
    </row>
    <row r="844" spans="1:28" ht="14.25" x14ac:dyDescent="0.2">
      <c r="C844" s="23" t="s">
        <v>1980</v>
      </c>
      <c r="D844" s="23">
        <f>Source!BC184</f>
        <v>6.56</v>
      </c>
      <c r="F844" s="12"/>
      <c r="G844" s="12"/>
      <c r="H844" s="12"/>
    </row>
    <row r="845" spans="1:28" ht="14.25" x14ac:dyDescent="0.2">
      <c r="A845" s="45">
        <v>119</v>
      </c>
      <c r="B845" s="45" t="str">
        <f>Source!E185</f>
        <v>50,2</v>
      </c>
      <c r="C845" s="45" t="str">
        <f>Source!G185</f>
        <v>Плинтуса для полов пластиковые</v>
      </c>
      <c r="D845" s="45" t="str">
        <f>Source!F185</f>
        <v>11.3.03.06</v>
      </c>
      <c r="E845" s="30" t="str">
        <f>Source!H185</f>
        <v>м</v>
      </c>
      <c r="F845" s="12">
        <f>Source!I185</f>
        <v>121.1596</v>
      </c>
      <c r="G845" s="22">
        <f>Source!AB185</f>
        <v>0</v>
      </c>
      <c r="H845" s="22">
        <f>Source!O185</f>
        <v>0</v>
      </c>
      <c r="T845">
        <f>Source!O185+Source!X185+Source!Y185</f>
        <v>0</v>
      </c>
      <c r="U845">
        <f>Source!P185</f>
        <v>0</v>
      </c>
      <c r="V845">
        <f>Source!S185</f>
        <v>0</v>
      </c>
      <c r="W845">
        <f>Source!Q185</f>
        <v>0</v>
      </c>
      <c r="X845">
        <f>Source!R185</f>
        <v>0</v>
      </c>
      <c r="Y845">
        <f>Source!U185</f>
        <v>0</v>
      </c>
      <c r="Z845">
        <f>Source!V185</f>
        <v>0</v>
      </c>
      <c r="AA845">
        <f>Source!X185</f>
        <v>0</v>
      </c>
      <c r="AB845">
        <f>Source!Y185</f>
        <v>0</v>
      </c>
    </row>
    <row r="846" spans="1:28" ht="14.25" x14ac:dyDescent="0.2">
      <c r="C846" s="23" t="s">
        <v>1980</v>
      </c>
      <c r="D846" s="23">
        <f>Source!BC185</f>
        <v>6.56</v>
      </c>
      <c r="F846" s="12"/>
      <c r="G846" s="12"/>
      <c r="H846" s="12"/>
    </row>
    <row r="847" spans="1:28" ht="28.5" x14ac:dyDescent="0.2">
      <c r="A847" s="45">
        <v>120</v>
      </c>
      <c r="B847" s="45" t="str">
        <f>Source!E186</f>
        <v>51</v>
      </c>
      <c r="C847" s="45" t="str">
        <f>Source!G186</f>
        <v>Устройство плинтусов из плиток керамических</v>
      </c>
      <c r="D847" s="45" t="str">
        <f>Source!F186</f>
        <v>11-01-039-04</v>
      </c>
      <c r="E847" s="30" t="str">
        <f>Source!H186</f>
        <v>100 м</v>
      </c>
      <c r="F847" s="12">
        <f>Source!I186</f>
        <v>0.70799999999999996</v>
      </c>
      <c r="G847" s="22">
        <f>Source!AB186</f>
        <v>267.39</v>
      </c>
      <c r="H847" s="22">
        <f>Source!O186</f>
        <v>1241.8800000000001</v>
      </c>
      <c r="T847">
        <f>Source!O186+Source!X186+Source!Y186</f>
        <v>3373.3100000000004</v>
      </c>
      <c r="U847">
        <f>Source!P186</f>
        <v>0</v>
      </c>
      <c r="V847">
        <f>Source!S186</f>
        <v>1209.93</v>
      </c>
      <c r="W847">
        <f>Source!Q186</f>
        <v>31.95</v>
      </c>
      <c r="X847">
        <f>Source!R186</f>
        <v>8.0299999999999994</v>
      </c>
      <c r="Y847">
        <f>Source!U186</f>
        <v>19.394243999999997</v>
      </c>
      <c r="Z847">
        <f>Source!V186</f>
        <v>9.7350000000000006E-2</v>
      </c>
      <c r="AA847">
        <f>Source!X186</f>
        <v>1351.94</v>
      </c>
      <c r="AB847">
        <f>Source!Y186</f>
        <v>779.49</v>
      </c>
    </row>
    <row r="848" spans="1:28" ht="14.25" x14ac:dyDescent="0.2">
      <c r="C848" s="23" t="str">
        <f>"Объем: "&amp;Source!I186&amp;"=70,8/"&amp;"100"</f>
        <v>Объем: 0,708=70,8/100</v>
      </c>
      <c r="F848" s="12"/>
      <c r="G848" s="12"/>
      <c r="H848" s="12"/>
    </row>
    <row r="849" spans="1:28" x14ac:dyDescent="0.2">
      <c r="C849" s="23" t="s">
        <v>1978</v>
      </c>
      <c r="D849" s="23">
        <f>Source!BA186</f>
        <v>6.56</v>
      </c>
    </row>
    <row r="850" spans="1:28" x14ac:dyDescent="0.2">
      <c r="C850" s="23" t="s">
        <v>1979</v>
      </c>
      <c r="D850" s="23">
        <f>Source!BB186</f>
        <v>6.56</v>
      </c>
    </row>
    <row r="851" spans="1:28" x14ac:dyDescent="0.2">
      <c r="C851" s="23" t="s">
        <v>1980</v>
      </c>
      <c r="D851" s="23">
        <f>Source!BC186</f>
        <v>6.56</v>
      </c>
    </row>
    <row r="852" spans="1:28" x14ac:dyDescent="0.2">
      <c r="C852" s="23" t="s">
        <v>1981</v>
      </c>
      <c r="D852" s="23">
        <f>Source!BS186</f>
        <v>6.56</v>
      </c>
    </row>
    <row r="853" spans="1:28" x14ac:dyDescent="0.2">
      <c r="C853" s="23" t="s">
        <v>1988</v>
      </c>
      <c r="D853" s="82" t="s">
        <v>187</v>
      </c>
      <c r="E853" s="82"/>
      <c r="F853" s="82"/>
      <c r="G853" s="82"/>
      <c r="H853" s="82"/>
    </row>
    <row r="854" spans="1:28" x14ac:dyDescent="0.2">
      <c r="C854" s="23" t="s">
        <v>1989</v>
      </c>
      <c r="D854" s="82" t="s">
        <v>187</v>
      </c>
      <c r="E854" s="82"/>
      <c r="F854" s="82"/>
      <c r="G854" s="82"/>
      <c r="H854" s="82"/>
    </row>
    <row r="855" spans="1:28" x14ac:dyDescent="0.2">
      <c r="C855" s="23" t="s">
        <v>1990</v>
      </c>
      <c r="D855" s="82" t="s">
        <v>188</v>
      </c>
      <c r="E855" s="82"/>
      <c r="F855" s="82"/>
      <c r="G855" s="82"/>
      <c r="H855" s="82"/>
    </row>
    <row r="856" spans="1:28" x14ac:dyDescent="0.2">
      <c r="C856" s="23" t="s">
        <v>1991</v>
      </c>
      <c r="D856" s="82" t="s">
        <v>188</v>
      </c>
      <c r="E856" s="82"/>
      <c r="F856" s="82"/>
      <c r="G856" s="82"/>
      <c r="H856" s="82"/>
    </row>
    <row r="857" spans="1:28" x14ac:dyDescent="0.2">
      <c r="C857" s="23" t="s">
        <v>1992</v>
      </c>
      <c r="D857" s="82" t="s">
        <v>187</v>
      </c>
      <c r="E857" s="82"/>
      <c r="F857" s="82"/>
      <c r="G857" s="82"/>
      <c r="H857" s="82"/>
    </row>
    <row r="858" spans="1:28" x14ac:dyDescent="0.2">
      <c r="C858" s="9" t="s">
        <v>1982</v>
      </c>
      <c r="D858" s="33"/>
      <c r="E858" s="33"/>
      <c r="F858" s="33">
        <f>Source!BZ186</f>
        <v>123</v>
      </c>
      <c r="G858" s="57">
        <f>(Source!AF186+Source!AE186)*Source!FX186/100</f>
        <v>290.29968000000002</v>
      </c>
      <c r="H858" s="57">
        <f>Source!X186</f>
        <v>1351.94</v>
      </c>
    </row>
    <row r="859" spans="1:28" x14ac:dyDescent="0.2">
      <c r="C859" s="9" t="s">
        <v>1983</v>
      </c>
      <c r="D859" s="33"/>
      <c r="E859" s="33"/>
      <c r="F859" s="33"/>
      <c r="G859" s="33" t="str">
        <f>CONCATENATE(Source!DL186,Source!FT186, "=", Source!FX186, "%")</f>
        <v>*0,9=110,7%</v>
      </c>
      <c r="H859" s="33" t="str">
        <f>CONCATENATE(Source!AT186)</f>
        <v>111</v>
      </c>
    </row>
    <row r="860" spans="1:28" x14ac:dyDescent="0.2">
      <c r="C860" s="9" t="s">
        <v>1984</v>
      </c>
      <c r="D860" s="33"/>
      <c r="E860" s="33"/>
      <c r="F860" s="33">
        <f>Source!CA186</f>
        <v>75</v>
      </c>
      <c r="G860" s="57">
        <f>(Source!AF186+Source!AE186)*Source!FY186/100</f>
        <v>167.178</v>
      </c>
      <c r="H860" s="57">
        <f>Source!Y186</f>
        <v>779.49</v>
      </c>
    </row>
    <row r="861" spans="1:28" x14ac:dyDescent="0.2">
      <c r="C861" s="9" t="s">
        <v>1985</v>
      </c>
      <c r="D861" s="33"/>
      <c r="E861" s="33"/>
      <c r="F861" s="33"/>
      <c r="G861" s="33" t="str">
        <f>CONCATENATE(Source!DM186,Source!FU186, "=", Source!FY186, "%")</f>
        <v>*0,85=63,75%</v>
      </c>
      <c r="H861" s="33" t="str">
        <f>CONCATENATE(Source!AU186)</f>
        <v>64</v>
      </c>
    </row>
    <row r="862" spans="1:28" x14ac:dyDescent="0.2">
      <c r="C862" s="9" t="s">
        <v>1986</v>
      </c>
      <c r="D862" s="33"/>
      <c r="E862" s="33"/>
      <c r="F862" s="33"/>
      <c r="G862" s="57">
        <f>((Source!AF186+Source!AE186)*Source!FX186/100)+((Source!AF186+Source!AE186)*Source!FY186/100)+Source!AB186</f>
        <v>724.86768000000006</v>
      </c>
      <c r="H862" s="57">
        <f>Source!O186+Source!X186+Source!Y186</f>
        <v>3373.3100000000004</v>
      </c>
    </row>
    <row r="863" spans="1:28" ht="28.5" x14ac:dyDescent="0.2">
      <c r="A863" s="45">
        <v>121</v>
      </c>
      <c r="B863" s="45" t="str">
        <f>Source!E187</f>
        <v>51,1</v>
      </c>
      <c r="C863" s="45" t="str">
        <f>Source!G187</f>
        <v>Плитки керамические плинтусные прямые</v>
      </c>
      <c r="D863" s="45" t="str">
        <f>Source!F187</f>
        <v>06.2.05.03-0031</v>
      </c>
      <c r="E863" s="30" t="str">
        <f>Source!H187</f>
        <v>м</v>
      </c>
      <c r="F863" s="12">
        <f>Source!I187</f>
        <v>71.507999999999996</v>
      </c>
      <c r="G863" s="22">
        <f>Source!AB187</f>
        <v>23.73</v>
      </c>
      <c r="H863" s="22">
        <f>Source!O187</f>
        <v>11131.56</v>
      </c>
      <c r="T863">
        <f>Source!O187+Source!X187+Source!Y187</f>
        <v>11131.56</v>
      </c>
      <c r="U863">
        <f>Source!P187</f>
        <v>11131.56</v>
      </c>
      <c r="V863">
        <f>Source!S187</f>
        <v>0</v>
      </c>
      <c r="W863">
        <f>Source!Q187</f>
        <v>0</v>
      </c>
      <c r="X863">
        <f>Source!R187</f>
        <v>0</v>
      </c>
      <c r="Y863">
        <f>Source!U187</f>
        <v>0</v>
      </c>
      <c r="Z863">
        <f>Source!V187</f>
        <v>0</v>
      </c>
      <c r="AA863">
        <f>Source!X187</f>
        <v>0</v>
      </c>
      <c r="AB863">
        <f>Source!Y187</f>
        <v>0</v>
      </c>
    </row>
    <row r="864" spans="1:28" ht="14.25" x14ac:dyDescent="0.2">
      <c r="C864" s="23" t="s">
        <v>1980</v>
      </c>
      <c r="D864" s="23">
        <f>Source!BC187</f>
        <v>6.56</v>
      </c>
      <c r="F864" s="12"/>
      <c r="G864" s="12"/>
      <c r="H864" s="12"/>
    </row>
    <row r="865" spans="1:28" ht="14.25" x14ac:dyDescent="0.2">
      <c r="A865" s="45">
        <v>122</v>
      </c>
      <c r="B865" s="45" t="str">
        <f>Source!E188</f>
        <v>51,2</v>
      </c>
      <c r="C865" s="45" t="str">
        <f>Source!G188</f>
        <v>Плитки керамические плинтусные</v>
      </c>
      <c r="D865" s="45" t="str">
        <f>Source!F188</f>
        <v>06.2.05.03</v>
      </c>
      <c r="E865" s="30" t="str">
        <f>Source!H188</f>
        <v>м</v>
      </c>
      <c r="F865" s="12">
        <f>Source!I188</f>
        <v>71.507999999999996</v>
      </c>
      <c r="G865" s="22">
        <f>Source!AB188</f>
        <v>0</v>
      </c>
      <c r="H865" s="22">
        <f>Source!O188</f>
        <v>0</v>
      </c>
      <c r="T865">
        <f>Source!O188+Source!X188+Source!Y188</f>
        <v>0</v>
      </c>
      <c r="U865">
        <f>Source!P188</f>
        <v>0</v>
      </c>
      <c r="V865">
        <f>Source!S188</f>
        <v>0</v>
      </c>
      <c r="W865">
        <f>Source!Q188</f>
        <v>0</v>
      </c>
      <c r="X865">
        <f>Source!R188</f>
        <v>0</v>
      </c>
      <c r="Y865">
        <f>Source!U188</f>
        <v>0</v>
      </c>
      <c r="Z865">
        <f>Source!V188</f>
        <v>0</v>
      </c>
      <c r="AA865">
        <f>Source!X188</f>
        <v>0</v>
      </c>
      <c r="AB865">
        <f>Source!Y188</f>
        <v>0</v>
      </c>
    </row>
    <row r="866" spans="1:28" ht="14.25" x14ac:dyDescent="0.2">
      <c r="C866" s="23" t="s">
        <v>1980</v>
      </c>
      <c r="D866" s="23">
        <f>Source!BC188</f>
        <v>6.56</v>
      </c>
      <c r="F866" s="12"/>
      <c r="G866" s="12"/>
      <c r="H866" s="12"/>
    </row>
    <row r="867" spans="1:28" ht="28.5" x14ac:dyDescent="0.2">
      <c r="A867" s="45">
        <v>123</v>
      </c>
      <c r="B867" s="45" t="str">
        <f>Source!E189</f>
        <v>52</v>
      </c>
      <c r="C867" s="45" t="str">
        <f>Source!G189</f>
        <v>Укладка металлического накладного профиля (порога)</v>
      </c>
      <c r="D867" s="45" t="str">
        <f>Source!F189</f>
        <v>11-01-049-01</v>
      </c>
      <c r="E867" s="30" t="str">
        <f>Source!H189</f>
        <v>100 м</v>
      </c>
      <c r="F867" s="12">
        <f>Source!I189</f>
        <v>0.09</v>
      </c>
      <c r="G867" s="22">
        <f>Source!AB189</f>
        <v>247.64</v>
      </c>
      <c r="H867" s="22">
        <f>Source!O189</f>
        <v>146.21</v>
      </c>
      <c r="T867">
        <f>Source!O189+Source!X189+Source!Y189</f>
        <v>319</v>
      </c>
      <c r="U867">
        <f>Source!P189</f>
        <v>47.47</v>
      </c>
      <c r="V867">
        <f>Source!S189</f>
        <v>98.74</v>
      </c>
      <c r="W867">
        <f>Source!Q189</f>
        <v>0</v>
      </c>
      <c r="X867">
        <f>Source!R189</f>
        <v>0</v>
      </c>
      <c r="Y867">
        <f>Source!U189</f>
        <v>1.7222399999999998</v>
      </c>
      <c r="Z867">
        <f>Source!V189</f>
        <v>0</v>
      </c>
      <c r="AA867">
        <f>Source!X189</f>
        <v>109.6</v>
      </c>
      <c r="AB867">
        <f>Source!Y189</f>
        <v>63.19</v>
      </c>
    </row>
    <row r="868" spans="1:28" ht="14.25" x14ac:dyDescent="0.2">
      <c r="C868" s="23" t="str">
        <f>"Объем: "&amp;Source!I189&amp;"=9/"&amp;"100"</f>
        <v>Объем: 0,09=9/100</v>
      </c>
      <c r="F868" s="12"/>
      <c r="G868" s="12"/>
      <c r="H868" s="12"/>
    </row>
    <row r="869" spans="1:28" x14ac:dyDescent="0.2">
      <c r="C869" s="23" t="s">
        <v>1978</v>
      </c>
      <c r="D869" s="23">
        <f>Source!BA189</f>
        <v>6.56</v>
      </c>
    </row>
    <row r="870" spans="1:28" x14ac:dyDescent="0.2">
      <c r="C870" s="23" t="s">
        <v>1979</v>
      </c>
      <c r="D870" s="23">
        <f>Source!BB189</f>
        <v>6.56</v>
      </c>
    </row>
    <row r="871" spans="1:28" x14ac:dyDescent="0.2">
      <c r="C871" s="23" t="s">
        <v>1980</v>
      </c>
      <c r="D871" s="23">
        <f>Source!BC189</f>
        <v>6.56</v>
      </c>
    </row>
    <row r="872" spans="1:28" x14ac:dyDescent="0.2">
      <c r="C872" s="23" t="s">
        <v>1981</v>
      </c>
      <c r="D872" s="23">
        <f>Source!BS189</f>
        <v>6.56</v>
      </c>
    </row>
    <row r="873" spans="1:28" x14ac:dyDescent="0.2">
      <c r="C873" s="23" t="s">
        <v>1988</v>
      </c>
      <c r="D873" s="82" t="s">
        <v>187</v>
      </c>
      <c r="E873" s="82"/>
      <c r="F873" s="82"/>
      <c r="G873" s="82"/>
      <c r="H873" s="82"/>
    </row>
    <row r="874" spans="1:28" x14ac:dyDescent="0.2">
      <c r="C874" s="23" t="s">
        <v>1989</v>
      </c>
      <c r="D874" s="82" t="s">
        <v>187</v>
      </c>
      <c r="E874" s="82"/>
      <c r="F874" s="82"/>
      <c r="G874" s="82"/>
      <c r="H874" s="82"/>
    </row>
    <row r="875" spans="1:28" x14ac:dyDescent="0.2">
      <c r="C875" s="23" t="s">
        <v>1990</v>
      </c>
      <c r="D875" s="82" t="s">
        <v>188</v>
      </c>
      <c r="E875" s="82"/>
      <c r="F875" s="82"/>
      <c r="G875" s="82"/>
      <c r="H875" s="82"/>
    </row>
    <row r="876" spans="1:28" x14ac:dyDescent="0.2">
      <c r="C876" s="23" t="s">
        <v>1991</v>
      </c>
      <c r="D876" s="82" t="s">
        <v>188</v>
      </c>
      <c r="E876" s="82"/>
      <c r="F876" s="82"/>
      <c r="G876" s="82"/>
      <c r="H876" s="82"/>
    </row>
    <row r="877" spans="1:28" x14ac:dyDescent="0.2">
      <c r="C877" s="23" t="s">
        <v>1992</v>
      </c>
      <c r="D877" s="82" t="s">
        <v>187</v>
      </c>
      <c r="E877" s="82"/>
      <c r="F877" s="82"/>
      <c r="G877" s="82"/>
      <c r="H877" s="82"/>
    </row>
    <row r="878" spans="1:28" x14ac:dyDescent="0.2">
      <c r="C878" s="9" t="s">
        <v>1982</v>
      </c>
      <c r="D878" s="33"/>
      <c r="E878" s="33"/>
      <c r="F878" s="33">
        <f>Source!BZ189</f>
        <v>123</v>
      </c>
      <c r="G878" s="57">
        <f>(Source!AF189+Source!AE189)*Source!FX189/100</f>
        <v>185.13468</v>
      </c>
      <c r="H878" s="57">
        <f>Source!X189</f>
        <v>109.6</v>
      </c>
    </row>
    <row r="879" spans="1:28" x14ac:dyDescent="0.2">
      <c r="C879" s="9" t="s">
        <v>1983</v>
      </c>
      <c r="D879" s="33"/>
      <c r="E879" s="33"/>
      <c r="F879" s="33"/>
      <c r="G879" s="33" t="str">
        <f>CONCATENATE(Source!DL189,Source!FT189, "=", Source!FX189, "%")</f>
        <v>*0,9=110,7%</v>
      </c>
      <c r="H879" s="33" t="str">
        <f>CONCATENATE(Source!AT189)</f>
        <v>111</v>
      </c>
    </row>
    <row r="880" spans="1:28" x14ac:dyDescent="0.2">
      <c r="C880" s="9" t="s">
        <v>1984</v>
      </c>
      <c r="D880" s="33"/>
      <c r="E880" s="33"/>
      <c r="F880" s="33">
        <f>Source!CA189</f>
        <v>75</v>
      </c>
      <c r="G880" s="57">
        <f>(Source!AF189+Source!AE189)*Source!FY189/100</f>
        <v>106.61550000000001</v>
      </c>
      <c r="H880" s="57">
        <f>Source!Y189</f>
        <v>63.19</v>
      </c>
    </row>
    <row r="881" spans="1:28" x14ac:dyDescent="0.2">
      <c r="C881" s="9" t="s">
        <v>1985</v>
      </c>
      <c r="D881" s="33"/>
      <c r="E881" s="33"/>
      <c r="F881" s="33"/>
      <c r="G881" s="33" t="str">
        <f>CONCATENATE(Source!DM189,Source!FU189, "=", Source!FY189, "%")</f>
        <v>*0,85=63,75%</v>
      </c>
      <c r="H881" s="33" t="str">
        <f>CONCATENATE(Source!AU189)</f>
        <v>64</v>
      </c>
    </row>
    <row r="882" spans="1:28" x14ac:dyDescent="0.2">
      <c r="C882" s="9" t="s">
        <v>1986</v>
      </c>
      <c r="D882" s="33"/>
      <c r="E882" s="33"/>
      <c r="F882" s="33"/>
      <c r="G882" s="57">
        <f>((Source!AF189+Source!AE189)*Source!FX189/100)+((Source!AF189+Source!AE189)*Source!FY189/100)+Source!AB189</f>
        <v>539.39017999999999</v>
      </c>
      <c r="H882" s="57">
        <f>Source!O189+Source!X189+Source!Y189</f>
        <v>319</v>
      </c>
    </row>
    <row r="883" spans="1:28" ht="57" x14ac:dyDescent="0.2">
      <c r="A883" s="45">
        <v>124</v>
      </c>
      <c r="B883" s="45" t="str">
        <f>Source!E190</f>
        <v>52,1</v>
      </c>
      <c r="C883" s="45" t="str">
        <f>Source!G190</f>
        <v>Профили стыкоперекрывающие из алюминиевых сплавов (порожки) с покрытием и антискользящей вставкой, шириной 39 мм, длиной 0,9 м</v>
      </c>
      <c r="D883" s="45" t="str">
        <f>Source!F190</f>
        <v>09.2.03.02-0001</v>
      </c>
      <c r="E883" s="30" t="str">
        <f>Source!H190</f>
        <v>шт.</v>
      </c>
      <c r="F883" s="12">
        <f>Source!I190</f>
        <v>1.9999999999999998</v>
      </c>
      <c r="G883" s="22">
        <f>Source!AB190</f>
        <v>15.07</v>
      </c>
      <c r="H883" s="22">
        <f>Source!O190</f>
        <v>197.72</v>
      </c>
      <c r="T883">
        <f>Source!O190+Source!X190+Source!Y190</f>
        <v>197.72</v>
      </c>
      <c r="U883">
        <f>Source!P190</f>
        <v>197.72</v>
      </c>
      <c r="V883">
        <f>Source!S190</f>
        <v>0</v>
      </c>
      <c r="W883">
        <f>Source!Q190</f>
        <v>0</v>
      </c>
      <c r="X883">
        <f>Source!R190</f>
        <v>0</v>
      </c>
      <c r="Y883">
        <f>Source!U190</f>
        <v>0</v>
      </c>
      <c r="Z883">
        <f>Source!V190</f>
        <v>0</v>
      </c>
      <c r="AA883">
        <f>Source!X190</f>
        <v>0</v>
      </c>
      <c r="AB883">
        <f>Source!Y190</f>
        <v>0</v>
      </c>
    </row>
    <row r="884" spans="1:28" ht="14.25" x14ac:dyDescent="0.2">
      <c r="C884" s="23" t="s">
        <v>1980</v>
      </c>
      <c r="D884" s="23">
        <f>Source!BC190</f>
        <v>6.56</v>
      </c>
      <c r="F884" s="12"/>
      <c r="G884" s="12"/>
      <c r="H884" s="12"/>
    </row>
    <row r="885" spans="1:28" ht="57" x14ac:dyDescent="0.2">
      <c r="A885" s="45">
        <v>125</v>
      </c>
      <c r="B885" s="45" t="str">
        <f>Source!E191</f>
        <v>52,2</v>
      </c>
      <c r="C885" s="45" t="str">
        <f>Source!G191</f>
        <v>Профили стыкоперекрывающие из алюминиевых сплавов (порожки) с покрытием и антискользящей вставкой, шириной 39 мм, длиной 1,8 м</v>
      </c>
      <c r="D885" s="45" t="str">
        <f>Source!F191</f>
        <v>09.2.03.02-0002</v>
      </c>
      <c r="E885" s="30" t="str">
        <f>Source!H191</f>
        <v>шт.</v>
      </c>
      <c r="F885" s="12">
        <f>Source!I191</f>
        <v>3.9999999999999996</v>
      </c>
      <c r="G885" s="22">
        <f>Source!AB191</f>
        <v>31.28</v>
      </c>
      <c r="H885" s="22">
        <f>Source!O191</f>
        <v>820.79</v>
      </c>
      <c r="T885">
        <f>Source!O191+Source!X191+Source!Y191</f>
        <v>820.79</v>
      </c>
      <c r="U885">
        <f>Source!P191</f>
        <v>820.79</v>
      </c>
      <c r="V885">
        <f>Source!S191</f>
        <v>0</v>
      </c>
      <c r="W885">
        <f>Source!Q191</f>
        <v>0</v>
      </c>
      <c r="X885">
        <f>Source!R191</f>
        <v>0</v>
      </c>
      <c r="Y885">
        <f>Source!U191</f>
        <v>0</v>
      </c>
      <c r="Z885">
        <f>Source!V191</f>
        <v>0</v>
      </c>
      <c r="AA885">
        <f>Source!X191</f>
        <v>0</v>
      </c>
      <c r="AB885">
        <f>Source!Y191</f>
        <v>0</v>
      </c>
    </row>
    <row r="886" spans="1:28" ht="14.25" x14ac:dyDescent="0.2">
      <c r="C886" s="23" t="s">
        <v>1980</v>
      </c>
      <c r="D886" s="23">
        <f>Source!BC191</f>
        <v>6.56</v>
      </c>
      <c r="F886" s="12"/>
      <c r="G886" s="12"/>
      <c r="H886" s="12"/>
    </row>
    <row r="887" spans="1:28" ht="42.75" x14ac:dyDescent="0.2">
      <c r="A887" s="45">
        <v>126</v>
      </c>
      <c r="B887" s="45" t="str">
        <f>Source!E192</f>
        <v>52,3</v>
      </c>
      <c r="C887" s="45" t="str">
        <f>Source!G192</f>
        <v>Профили стыкоперекрывающие из алюминиевых сплавов (порожки) с покрытием</v>
      </c>
      <c r="D887" s="45" t="str">
        <f>Source!F192</f>
        <v>09.2.03.02</v>
      </c>
      <c r="E887" s="30" t="str">
        <f>Source!H192</f>
        <v>м</v>
      </c>
      <c r="F887" s="12">
        <f>Source!I192</f>
        <v>9.4499999999999993</v>
      </c>
      <c r="G887" s="22">
        <f>Source!AB192</f>
        <v>0</v>
      </c>
      <c r="H887" s="22">
        <f>Source!O192</f>
        <v>0</v>
      </c>
      <c r="T887">
        <f>Source!O192+Source!X192+Source!Y192</f>
        <v>0</v>
      </c>
      <c r="U887">
        <f>Source!P192</f>
        <v>0</v>
      </c>
      <c r="V887">
        <f>Source!S192</f>
        <v>0</v>
      </c>
      <c r="W887">
        <f>Source!Q192</f>
        <v>0</v>
      </c>
      <c r="X887">
        <f>Source!R192</f>
        <v>0</v>
      </c>
      <c r="Y887">
        <f>Source!U192</f>
        <v>0</v>
      </c>
      <c r="Z887">
        <f>Source!V192</f>
        <v>0</v>
      </c>
      <c r="AA887">
        <f>Source!X192</f>
        <v>0</v>
      </c>
      <c r="AB887">
        <f>Source!Y192</f>
        <v>0</v>
      </c>
    </row>
    <row r="888" spans="1:28" ht="14.25" x14ac:dyDescent="0.2">
      <c r="C888" s="23" t="s">
        <v>1980</v>
      </c>
      <c r="D888" s="23">
        <f>Source!BC192</f>
        <v>6.56</v>
      </c>
      <c r="F888" s="12"/>
      <c r="G888" s="12"/>
      <c r="H888" s="12"/>
    </row>
    <row r="889" spans="1:28" ht="42.75" x14ac:dyDescent="0.2">
      <c r="A889" s="45">
        <v>127</v>
      </c>
      <c r="B889" s="45" t="str">
        <f>Source!E193</f>
        <v>53</v>
      </c>
      <c r="C889" s="45" t="str">
        <f>Source!G193</f>
        <v>Устройство подвесных потолков типа &lt;Армстронг&gt; по каркасу из оцинкованного профиля</v>
      </c>
      <c r="D889" s="45" t="str">
        <f>Source!F193</f>
        <v>15-01-047-15</v>
      </c>
      <c r="E889" s="30" t="str">
        <f>Source!H193</f>
        <v>100 м2</v>
      </c>
      <c r="F889" s="12">
        <f>Source!I193</f>
        <v>2.2385999999999999</v>
      </c>
      <c r="G889" s="22">
        <f>Source!AB193</f>
        <v>6848.88</v>
      </c>
      <c r="H889" s="22">
        <f>Source!O193</f>
        <v>100577.28</v>
      </c>
      <c r="T889">
        <f>Source!O193+Source!X193+Source!Y193</f>
        <v>125326.26</v>
      </c>
      <c r="U889">
        <f>Source!P193</f>
        <v>78351.5</v>
      </c>
      <c r="V889">
        <f>Source!S193</f>
        <v>16265.2</v>
      </c>
      <c r="W889">
        <f>Source!Q193</f>
        <v>5960.58</v>
      </c>
      <c r="X889">
        <f>Source!R193</f>
        <v>1163.6600000000001</v>
      </c>
      <c r="Y889">
        <f>Source!U193</f>
        <v>263.77199939999997</v>
      </c>
      <c r="Z889">
        <f>Source!V193</f>
        <v>14.942654999999998</v>
      </c>
      <c r="AA889">
        <f>Source!X193</f>
        <v>16557.419999999998</v>
      </c>
      <c r="AB889">
        <f>Source!Y193</f>
        <v>8191.56</v>
      </c>
    </row>
    <row r="890" spans="1:28" ht="14.25" x14ac:dyDescent="0.2">
      <c r="C890" s="23" t="str">
        <f>"Объем: "&amp;Source!I193&amp;"=223,86/"&amp;"100"</f>
        <v>Объем: 2,2386=223,86/100</v>
      </c>
      <c r="F890" s="12"/>
      <c r="G890" s="12"/>
      <c r="H890" s="12"/>
    </row>
    <row r="891" spans="1:28" x14ac:dyDescent="0.2">
      <c r="C891" s="23" t="s">
        <v>1978</v>
      </c>
      <c r="D891" s="23">
        <f>Source!BA193</f>
        <v>6.56</v>
      </c>
    </row>
    <row r="892" spans="1:28" x14ac:dyDescent="0.2">
      <c r="C892" s="23" t="s">
        <v>1979</v>
      </c>
      <c r="D892" s="23">
        <f>Source!BB193</f>
        <v>6.56</v>
      </c>
    </row>
    <row r="893" spans="1:28" x14ac:dyDescent="0.2">
      <c r="C893" s="23" t="s">
        <v>1980</v>
      </c>
      <c r="D893" s="23">
        <f>Source!BC193</f>
        <v>6.56</v>
      </c>
    </row>
    <row r="894" spans="1:28" x14ac:dyDescent="0.2">
      <c r="C894" s="23" t="s">
        <v>1981</v>
      </c>
      <c r="D894" s="23">
        <f>Source!BS193</f>
        <v>6.56</v>
      </c>
    </row>
    <row r="895" spans="1:28" x14ac:dyDescent="0.2">
      <c r="C895" s="23" t="s">
        <v>1988</v>
      </c>
      <c r="D895" s="82" t="s">
        <v>187</v>
      </c>
      <c r="E895" s="82"/>
      <c r="F895" s="82"/>
      <c r="G895" s="82"/>
      <c r="H895" s="82"/>
    </row>
    <row r="896" spans="1:28" x14ac:dyDescent="0.2">
      <c r="C896" s="23" t="s">
        <v>1989</v>
      </c>
      <c r="D896" s="82" t="s">
        <v>187</v>
      </c>
      <c r="E896" s="82"/>
      <c r="F896" s="82"/>
      <c r="G896" s="82"/>
      <c r="H896" s="82"/>
    </row>
    <row r="897" spans="1:28" x14ac:dyDescent="0.2">
      <c r="C897" s="23" t="s">
        <v>1990</v>
      </c>
      <c r="D897" s="82" t="s">
        <v>188</v>
      </c>
      <c r="E897" s="82"/>
      <c r="F897" s="82"/>
      <c r="G897" s="82"/>
      <c r="H897" s="82"/>
    </row>
    <row r="898" spans="1:28" x14ac:dyDescent="0.2">
      <c r="C898" s="23" t="s">
        <v>1991</v>
      </c>
      <c r="D898" s="82" t="s">
        <v>188</v>
      </c>
      <c r="E898" s="82"/>
      <c r="F898" s="82"/>
      <c r="G898" s="82"/>
      <c r="H898" s="82"/>
    </row>
    <row r="899" spans="1:28" x14ac:dyDescent="0.2">
      <c r="C899" s="23" t="s">
        <v>1992</v>
      </c>
      <c r="D899" s="82" t="s">
        <v>187</v>
      </c>
      <c r="E899" s="82"/>
      <c r="F899" s="82"/>
      <c r="G899" s="82"/>
      <c r="H899" s="82"/>
    </row>
    <row r="900" spans="1:28" x14ac:dyDescent="0.2">
      <c r="C900" s="9" t="s">
        <v>1982</v>
      </c>
      <c r="D900" s="33"/>
      <c r="E900" s="33"/>
      <c r="F900" s="33">
        <f>Source!BZ193</f>
        <v>105</v>
      </c>
      <c r="G900" s="57">
        <f>(Source!AF193+Source!AE193)*Source!FX193/100</f>
        <v>1121.5543499999999</v>
      </c>
      <c r="H900" s="57">
        <f>Source!X193</f>
        <v>16557.419999999998</v>
      </c>
    </row>
    <row r="901" spans="1:28" x14ac:dyDescent="0.2">
      <c r="C901" s="9" t="s">
        <v>1983</v>
      </c>
      <c r="D901" s="33"/>
      <c r="E901" s="33"/>
      <c r="F901" s="33"/>
      <c r="G901" s="33" t="str">
        <f>CONCATENATE(Source!DL193,Source!FT193, "=", Source!FX193, "%")</f>
        <v>*0,9=94,5%</v>
      </c>
      <c r="H901" s="33" t="str">
        <f>CONCATENATE(Source!AT193)</f>
        <v>95</v>
      </c>
    </row>
    <row r="902" spans="1:28" x14ac:dyDescent="0.2">
      <c r="C902" s="9" t="s">
        <v>1984</v>
      </c>
      <c r="D902" s="33"/>
      <c r="E902" s="33"/>
      <c r="F902" s="33">
        <f>Source!CA193</f>
        <v>55</v>
      </c>
      <c r="G902" s="57">
        <f>(Source!AF193+Source!AE193)*Source!FY193/100</f>
        <v>554.84302500000001</v>
      </c>
      <c r="H902" s="57">
        <f>Source!Y193</f>
        <v>8191.56</v>
      </c>
    </row>
    <row r="903" spans="1:28" x14ac:dyDescent="0.2">
      <c r="C903" s="9" t="s">
        <v>1985</v>
      </c>
      <c r="D903" s="33"/>
      <c r="E903" s="33"/>
      <c r="F903" s="33"/>
      <c r="G903" s="33" t="str">
        <f>CONCATENATE(Source!DM193,Source!FU193, "=", Source!FY193, "%")</f>
        <v>*0,85=46,75%</v>
      </c>
      <c r="H903" s="33" t="str">
        <f>CONCATENATE(Source!AU193)</f>
        <v>47</v>
      </c>
    </row>
    <row r="904" spans="1:28" x14ac:dyDescent="0.2">
      <c r="C904" s="9" t="s">
        <v>1986</v>
      </c>
      <c r="D904" s="33"/>
      <c r="E904" s="33"/>
      <c r="F904" s="33"/>
      <c r="G904" s="57">
        <f>((Source!AF193+Source!AE193)*Source!FX193/100)+((Source!AF193+Source!AE193)*Source!FY193/100)+Source!AB193</f>
        <v>8525.2773749999997</v>
      </c>
      <c r="H904" s="57">
        <f>Source!O193+Source!X193+Source!Y193</f>
        <v>125326.26</v>
      </c>
    </row>
    <row r="905" spans="1:28" ht="28.5" x14ac:dyDescent="0.2">
      <c r="A905" s="45">
        <v>128</v>
      </c>
      <c r="B905" s="45" t="str">
        <f>Source!E194</f>
        <v>54</v>
      </c>
      <c r="C905" s="45" t="str">
        <f>Source!G194</f>
        <v>Устройство потолков реечных алюминиевых прим.</v>
      </c>
      <c r="D905" s="45" t="str">
        <f>Source!F194</f>
        <v>15-01-047-16</v>
      </c>
      <c r="E905" s="30" t="str">
        <f>Source!H194</f>
        <v>100 м2</v>
      </c>
      <c r="F905" s="12">
        <f>Source!I194</f>
        <v>0.21</v>
      </c>
      <c r="G905" s="22">
        <f>Source!AB194</f>
        <v>29606.3</v>
      </c>
      <c r="H905" s="22">
        <f>Source!O194</f>
        <v>40785.64</v>
      </c>
      <c r="T905">
        <f>Source!O194+Source!X194+Source!Y194</f>
        <v>43089.3</v>
      </c>
      <c r="U905">
        <f>Source!P194</f>
        <v>38915.410000000003</v>
      </c>
      <c r="V905">
        <f>Source!S194</f>
        <v>1613.68</v>
      </c>
      <c r="W905">
        <f>Source!Q194</f>
        <v>256.55</v>
      </c>
      <c r="X905">
        <f>Source!R194</f>
        <v>8.61</v>
      </c>
      <c r="Y905">
        <f>Source!U194</f>
        <v>26.168939999999996</v>
      </c>
      <c r="Z905">
        <f>Source!V194</f>
        <v>0.10237500000000001</v>
      </c>
      <c r="AA905">
        <f>Source!X194</f>
        <v>1541.18</v>
      </c>
      <c r="AB905">
        <f>Source!Y194</f>
        <v>762.48</v>
      </c>
    </row>
    <row r="906" spans="1:28" ht="14.25" x14ac:dyDescent="0.2">
      <c r="C906" s="23" t="str">
        <f>"Объем: "&amp;Source!I194&amp;"=21/"&amp;"100"</f>
        <v>Объем: 0,21=21/100</v>
      </c>
      <c r="F906" s="12"/>
      <c r="G906" s="12"/>
      <c r="H906" s="12"/>
    </row>
    <row r="907" spans="1:28" x14ac:dyDescent="0.2">
      <c r="C907" s="23" t="s">
        <v>1978</v>
      </c>
      <c r="D907" s="23">
        <f>Source!BA194</f>
        <v>6.56</v>
      </c>
    </row>
    <row r="908" spans="1:28" x14ac:dyDescent="0.2">
      <c r="C908" s="23" t="s">
        <v>1979</v>
      </c>
      <c r="D908" s="23">
        <f>Source!BB194</f>
        <v>6.56</v>
      </c>
    </row>
    <row r="909" spans="1:28" x14ac:dyDescent="0.2">
      <c r="C909" s="23" t="s">
        <v>1980</v>
      </c>
      <c r="D909" s="23">
        <f>Source!BC194</f>
        <v>6.56</v>
      </c>
    </row>
    <row r="910" spans="1:28" x14ac:dyDescent="0.2">
      <c r="C910" s="23" t="s">
        <v>1981</v>
      </c>
      <c r="D910" s="23">
        <f>Source!BS194</f>
        <v>6.56</v>
      </c>
    </row>
    <row r="911" spans="1:28" x14ac:dyDescent="0.2">
      <c r="C911" s="23" t="s">
        <v>1988</v>
      </c>
      <c r="D911" s="82" t="s">
        <v>187</v>
      </c>
      <c r="E911" s="82"/>
      <c r="F911" s="82"/>
      <c r="G911" s="82"/>
      <c r="H911" s="82"/>
    </row>
    <row r="912" spans="1:28" x14ac:dyDescent="0.2">
      <c r="C912" s="23" t="s">
        <v>1989</v>
      </c>
      <c r="D912" s="82" t="s">
        <v>187</v>
      </c>
      <c r="E912" s="82"/>
      <c r="F912" s="82"/>
      <c r="G912" s="82"/>
      <c r="H912" s="82"/>
    </row>
    <row r="913" spans="1:28" x14ac:dyDescent="0.2">
      <c r="C913" s="23" t="s">
        <v>1990</v>
      </c>
      <c r="D913" s="82" t="s">
        <v>188</v>
      </c>
      <c r="E913" s="82"/>
      <c r="F913" s="82"/>
      <c r="G913" s="82"/>
      <c r="H913" s="82"/>
    </row>
    <row r="914" spans="1:28" x14ac:dyDescent="0.2">
      <c r="C914" s="23" t="s">
        <v>1991</v>
      </c>
      <c r="D914" s="82" t="s">
        <v>188</v>
      </c>
      <c r="E914" s="82"/>
      <c r="F914" s="82"/>
      <c r="G914" s="82"/>
      <c r="H914" s="82"/>
    </row>
    <row r="915" spans="1:28" x14ac:dyDescent="0.2">
      <c r="C915" s="23" t="s">
        <v>1992</v>
      </c>
      <c r="D915" s="82" t="s">
        <v>187</v>
      </c>
      <c r="E915" s="82"/>
      <c r="F915" s="82"/>
      <c r="G915" s="82"/>
      <c r="H915" s="82"/>
    </row>
    <row r="916" spans="1:28" x14ac:dyDescent="0.2">
      <c r="C916" s="9" t="s">
        <v>1982</v>
      </c>
      <c r="D916" s="33"/>
      <c r="E916" s="33"/>
      <c r="F916" s="33">
        <f>Source!BZ194</f>
        <v>105</v>
      </c>
      <c r="G916" s="57">
        <f>(Source!AF194+Source!AE194)*Source!FX194/100</f>
        <v>1112.8508999999999</v>
      </c>
      <c r="H916" s="57">
        <f>Source!X194</f>
        <v>1541.18</v>
      </c>
    </row>
    <row r="917" spans="1:28" x14ac:dyDescent="0.2">
      <c r="C917" s="9" t="s">
        <v>1983</v>
      </c>
      <c r="D917" s="33"/>
      <c r="E917" s="33"/>
      <c r="F917" s="33"/>
      <c r="G917" s="33" t="str">
        <f>CONCATENATE(Source!DL194,Source!FT194, "=", Source!FX194, "%")</f>
        <v>*0,9=94,5%</v>
      </c>
      <c r="H917" s="33" t="str">
        <f>CONCATENATE(Source!AT194)</f>
        <v>95</v>
      </c>
    </row>
    <row r="918" spans="1:28" x14ac:dyDescent="0.2">
      <c r="C918" s="9" t="s">
        <v>1984</v>
      </c>
      <c r="D918" s="33"/>
      <c r="E918" s="33"/>
      <c r="F918" s="33">
        <f>Source!CA194</f>
        <v>55</v>
      </c>
      <c r="G918" s="57">
        <f>(Source!AF194+Source!AE194)*Source!FY194/100</f>
        <v>550.53734999999995</v>
      </c>
      <c r="H918" s="57">
        <f>Source!Y194</f>
        <v>762.48</v>
      </c>
    </row>
    <row r="919" spans="1:28" x14ac:dyDescent="0.2">
      <c r="C919" s="9" t="s">
        <v>1985</v>
      </c>
      <c r="D919" s="33"/>
      <c r="E919" s="33"/>
      <c r="F919" s="33"/>
      <c r="G919" s="33" t="str">
        <f>CONCATENATE(Source!DM194,Source!FU194, "=", Source!FY194, "%")</f>
        <v>*0,85=46,75%</v>
      </c>
      <c r="H919" s="33" t="str">
        <f>CONCATENATE(Source!AU194)</f>
        <v>47</v>
      </c>
    </row>
    <row r="920" spans="1:28" x14ac:dyDescent="0.2">
      <c r="C920" s="9" t="s">
        <v>1986</v>
      </c>
      <c r="D920" s="33"/>
      <c r="E920" s="33"/>
      <c r="F920" s="33"/>
      <c r="G920" s="57">
        <f>((Source!AF194+Source!AE194)*Source!FX194/100)+((Source!AF194+Source!AE194)*Source!FY194/100)+Source!AB194</f>
        <v>31269.688249999999</v>
      </c>
      <c r="H920" s="57">
        <f>Source!O194+Source!X194+Source!Y194</f>
        <v>43089.3</v>
      </c>
    </row>
    <row r="921" spans="1:28" ht="28.5" x14ac:dyDescent="0.2">
      <c r="A921" s="45">
        <v>129</v>
      </c>
      <c r="B921" s="45" t="str">
        <f>Source!E195</f>
        <v>54,1</v>
      </c>
      <c r="C921" s="45" t="str">
        <f>Source!G195</f>
        <v>Уголок декоративный (пристенный)</v>
      </c>
      <c r="D921" s="45" t="str">
        <f>Source!F195</f>
        <v>09.2.01.05-0091</v>
      </c>
      <c r="E921" s="30" t="str">
        <f>Source!H195</f>
        <v>м</v>
      </c>
      <c r="F921" s="12">
        <f>Source!I195</f>
        <v>11.986300999999999</v>
      </c>
      <c r="G921" s="22">
        <f>Source!AB195</f>
        <v>6.28</v>
      </c>
      <c r="H921" s="22">
        <f>Source!O195</f>
        <v>493.8</v>
      </c>
      <c r="T921">
        <f>Source!O195+Source!X195+Source!Y195</f>
        <v>493.8</v>
      </c>
      <c r="U921">
        <f>Source!P195</f>
        <v>493.8</v>
      </c>
      <c r="V921">
        <f>Source!S195</f>
        <v>0</v>
      </c>
      <c r="W921">
        <f>Source!Q195</f>
        <v>0</v>
      </c>
      <c r="X921">
        <f>Source!R195</f>
        <v>0</v>
      </c>
      <c r="Y921">
        <f>Source!U195</f>
        <v>0</v>
      </c>
      <c r="Z921">
        <f>Source!V195</f>
        <v>0</v>
      </c>
      <c r="AA921">
        <f>Source!X195</f>
        <v>0</v>
      </c>
      <c r="AB921">
        <f>Source!Y195</f>
        <v>0</v>
      </c>
    </row>
    <row r="922" spans="1:28" ht="14.25" x14ac:dyDescent="0.2">
      <c r="C922" s="23" t="s">
        <v>1980</v>
      </c>
      <c r="D922" s="23">
        <f>Source!BC195</f>
        <v>6.56</v>
      </c>
      <c r="F922" s="12"/>
      <c r="G922" s="12"/>
      <c r="H922" s="12"/>
    </row>
    <row r="923" spans="1:28" ht="42.75" x14ac:dyDescent="0.2">
      <c r="A923" s="45">
        <v>130</v>
      </c>
      <c r="B923" s="45" t="str">
        <f>Source!E196</f>
        <v>54,2</v>
      </c>
      <c r="C923" s="45" t="s">
        <v>1995</v>
      </c>
      <c r="D923" s="45" t="str">
        <f>Source!F196</f>
        <v>09.2.02.02-0011</v>
      </c>
      <c r="E923" s="30" t="str">
        <f>Source!H196</f>
        <v>м</v>
      </c>
      <c r="F923" s="12">
        <f>Source!I196</f>
        <v>-220.5</v>
      </c>
      <c r="G923" s="22">
        <f>Source!AB196</f>
        <v>24.71</v>
      </c>
      <c r="H923" s="22">
        <f>Source!O196</f>
        <v>-35742.519999999997</v>
      </c>
      <c r="T923">
        <f>Source!O196+Source!X196+Source!Y196</f>
        <v>-35742.519999999997</v>
      </c>
      <c r="U923">
        <f>Source!P196</f>
        <v>-35742.519999999997</v>
      </c>
      <c r="V923">
        <f>Source!S196</f>
        <v>0</v>
      </c>
      <c r="W923">
        <f>Source!Q196</f>
        <v>0</v>
      </c>
      <c r="X923">
        <f>Source!R196</f>
        <v>0</v>
      </c>
      <c r="Y923">
        <f>Source!U196</f>
        <v>0</v>
      </c>
      <c r="Z923">
        <f>Source!V196</f>
        <v>0</v>
      </c>
      <c r="AA923">
        <f>Source!X196</f>
        <v>0</v>
      </c>
      <c r="AB923">
        <f>Source!Y196</f>
        <v>0</v>
      </c>
    </row>
    <row r="924" spans="1:28" ht="14.25" x14ac:dyDescent="0.2">
      <c r="C924" s="23" t="s">
        <v>1980</v>
      </c>
      <c r="D924" s="23">
        <f>Source!BC196</f>
        <v>6.56</v>
      </c>
      <c r="F924" s="12"/>
      <c r="G924" s="12"/>
      <c r="H924" s="12"/>
    </row>
    <row r="925" spans="1:28" ht="42.75" x14ac:dyDescent="0.2">
      <c r="A925" s="45">
        <v>131</v>
      </c>
      <c r="B925" s="45" t="str">
        <f>Source!E197</f>
        <v>54,3</v>
      </c>
      <c r="C925" s="45" t="str">
        <f>Source!G197</f>
        <v>Комплекты элементов потолков реечных с перфорацией ЛАК-03,5-60П (Касетный потолок "Албес") прим.</v>
      </c>
      <c r="D925" s="45" t="str">
        <f>Source!F197</f>
        <v>09.2.02.02-0010</v>
      </c>
      <c r="E925" s="30" t="str">
        <f>Source!H197</f>
        <v>100 м2</v>
      </c>
      <c r="F925" s="12">
        <f>Source!I197</f>
        <v>0.21</v>
      </c>
      <c r="G925" s="22">
        <f>Source!AB197</f>
        <v>16943</v>
      </c>
      <c r="H925" s="22">
        <f>Source!O197</f>
        <v>23340.68</v>
      </c>
      <c r="T925">
        <f>Source!O197+Source!X197+Source!Y197</f>
        <v>23340.68</v>
      </c>
      <c r="U925">
        <f>Source!P197</f>
        <v>23340.68</v>
      </c>
      <c r="V925">
        <f>Source!S197</f>
        <v>0</v>
      </c>
      <c r="W925">
        <f>Source!Q197</f>
        <v>0</v>
      </c>
      <c r="X925">
        <f>Source!R197</f>
        <v>0</v>
      </c>
      <c r="Y925">
        <f>Source!U197</f>
        <v>0</v>
      </c>
      <c r="Z925">
        <f>Source!V197</f>
        <v>0</v>
      </c>
      <c r="AA925">
        <f>Source!X197</f>
        <v>0</v>
      </c>
      <c r="AB925">
        <f>Source!Y197</f>
        <v>0</v>
      </c>
    </row>
    <row r="926" spans="1:28" ht="14.25" x14ac:dyDescent="0.2">
      <c r="C926" s="23" t="s">
        <v>1980</v>
      </c>
      <c r="D926" s="23">
        <f>Source!BC197</f>
        <v>6.56</v>
      </c>
      <c r="F926" s="12"/>
      <c r="G926" s="12"/>
      <c r="H926" s="12"/>
    </row>
    <row r="927" spans="1:28" ht="85.5" x14ac:dyDescent="0.2">
      <c r="A927" s="45">
        <v>132</v>
      </c>
      <c r="B927" s="45" t="str">
        <f>Source!E198</f>
        <v>55</v>
      </c>
      <c r="C927" s="45" t="str">
        <f>Source!G198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потолков</v>
      </c>
      <c r="D927" s="45" t="str">
        <f>Source!F198</f>
        <v>61-1-10</v>
      </c>
      <c r="E927" s="30" t="str">
        <f>Source!H198</f>
        <v>100 м2</v>
      </c>
      <c r="F927" s="12">
        <f>Source!I198</f>
        <v>1.585</v>
      </c>
      <c r="G927" s="22">
        <f>Source!AB198</f>
        <v>428</v>
      </c>
      <c r="H927" s="22">
        <f>Source!O198</f>
        <v>4450.16</v>
      </c>
      <c r="T927">
        <f>Source!O198+Source!X198+Source!Y198</f>
        <v>10075.93</v>
      </c>
      <c r="U927">
        <f>Source!P198</f>
        <v>13.72</v>
      </c>
      <c r="V927">
        <f>Source!S198</f>
        <v>4249.6000000000004</v>
      </c>
      <c r="W927">
        <f>Source!Q198</f>
        <v>186.84</v>
      </c>
      <c r="X927">
        <f>Source!R198</f>
        <v>111.46</v>
      </c>
      <c r="Y927">
        <f>Source!U198</f>
        <v>76.57372749999999</v>
      </c>
      <c r="Z927">
        <f>Source!V198</f>
        <v>1.56915</v>
      </c>
      <c r="AA927">
        <f>Source!X198</f>
        <v>3445.24</v>
      </c>
      <c r="AB927">
        <f>Source!Y198</f>
        <v>2180.5300000000002</v>
      </c>
    </row>
    <row r="928" spans="1:28" ht="14.25" x14ac:dyDescent="0.2">
      <c r="C928" s="23" t="str">
        <f>"Объем: "&amp;Source!I198&amp;"=158,5/"&amp;"100"</f>
        <v>Объем: 1,585=158,5/100</v>
      </c>
      <c r="F928" s="12"/>
      <c r="G928" s="12"/>
      <c r="H928" s="12"/>
    </row>
    <row r="929" spans="1:28" x14ac:dyDescent="0.2">
      <c r="C929" s="23" t="s">
        <v>1978</v>
      </c>
      <c r="D929" s="23">
        <f>Source!BA198</f>
        <v>6.56</v>
      </c>
    </row>
    <row r="930" spans="1:28" x14ac:dyDescent="0.2">
      <c r="C930" s="23" t="s">
        <v>1979</v>
      </c>
      <c r="D930" s="23">
        <f>Source!BB198</f>
        <v>6.56</v>
      </c>
    </row>
    <row r="931" spans="1:28" x14ac:dyDescent="0.2">
      <c r="C931" s="23" t="s">
        <v>1980</v>
      </c>
      <c r="D931" s="23">
        <f>Source!BC198</f>
        <v>6.56</v>
      </c>
    </row>
    <row r="932" spans="1:28" x14ac:dyDescent="0.2">
      <c r="C932" s="23" t="s">
        <v>1981</v>
      </c>
      <c r="D932" s="23">
        <f>Source!BS198</f>
        <v>6.56</v>
      </c>
    </row>
    <row r="933" spans="1:28" x14ac:dyDescent="0.2">
      <c r="C933" s="23" t="s">
        <v>1990</v>
      </c>
      <c r="D933" s="82" t="s">
        <v>188</v>
      </c>
      <c r="E933" s="82"/>
      <c r="F933" s="82"/>
      <c r="G933" s="82"/>
      <c r="H933" s="82"/>
    </row>
    <row r="934" spans="1:28" x14ac:dyDescent="0.2">
      <c r="C934" s="23" t="s">
        <v>1991</v>
      </c>
      <c r="D934" s="82" t="s">
        <v>188</v>
      </c>
      <c r="E934" s="82"/>
      <c r="F934" s="82"/>
      <c r="G934" s="82"/>
      <c r="H934" s="82"/>
    </row>
    <row r="935" spans="1:28" x14ac:dyDescent="0.2">
      <c r="C935" s="9" t="s">
        <v>1982</v>
      </c>
      <c r="D935" s="33"/>
      <c r="E935" s="33"/>
      <c r="F935" s="33">
        <f>Source!BZ198</f>
        <v>79</v>
      </c>
      <c r="G935" s="57">
        <f>(Source!AF198+Source!AE198)*Source!FX198/100</f>
        <v>331.34969999999998</v>
      </c>
      <c r="H935" s="57">
        <f>Source!X198</f>
        <v>3445.24</v>
      </c>
    </row>
    <row r="936" spans="1:28" x14ac:dyDescent="0.2">
      <c r="C936" s="9" t="s">
        <v>1984</v>
      </c>
      <c r="D936" s="33"/>
      <c r="E936" s="33"/>
      <c r="F936" s="33">
        <f>Source!CA198</f>
        <v>50</v>
      </c>
      <c r="G936" s="57">
        <f>(Source!AF198+Source!AE198)*Source!FY198/100</f>
        <v>209.715</v>
      </c>
      <c r="H936" s="57">
        <f>Source!Y198</f>
        <v>2180.5300000000002</v>
      </c>
    </row>
    <row r="937" spans="1:28" x14ac:dyDescent="0.2">
      <c r="C937" s="9" t="s">
        <v>1986</v>
      </c>
      <c r="D937" s="33"/>
      <c r="E937" s="33"/>
      <c r="F937" s="33"/>
      <c r="G937" s="57">
        <f>((Source!AF198+Source!AE198)*Source!FX198/100)+((Source!AF198+Source!AE198)*Source!FY198/100)+Source!AB198</f>
        <v>969.06470000000002</v>
      </c>
      <c r="H937" s="57">
        <f>Source!O198+Source!X198+Source!Y198</f>
        <v>10075.93</v>
      </c>
    </row>
    <row r="938" spans="1:28" ht="14.25" x14ac:dyDescent="0.2">
      <c r="A938" s="45">
        <v>133</v>
      </c>
      <c r="B938" s="45" t="str">
        <f>Source!E199</f>
        <v>55,1</v>
      </c>
      <c r="C938" s="45" t="str">
        <f>Source!G199</f>
        <v>Смеси на цементной основе</v>
      </c>
      <c r="D938" s="45" t="str">
        <f>Source!F199</f>
        <v>04.3.02.09</v>
      </c>
      <c r="E938" s="30" t="str">
        <f>Source!H199</f>
        <v>т</v>
      </c>
      <c r="F938" s="12">
        <f>Source!I199</f>
        <v>1.437595</v>
      </c>
      <c r="G938" s="22">
        <f>Source!AB199</f>
        <v>0</v>
      </c>
      <c r="H938" s="22">
        <f>Source!O199</f>
        <v>0</v>
      </c>
      <c r="T938">
        <f>Source!O199+Source!X199+Source!Y199</f>
        <v>0</v>
      </c>
      <c r="U938">
        <f>Source!P199</f>
        <v>0</v>
      </c>
      <c r="V938">
        <f>Source!S199</f>
        <v>0</v>
      </c>
      <c r="W938">
        <f>Source!Q199</f>
        <v>0</v>
      </c>
      <c r="X938">
        <f>Source!R199</f>
        <v>0</v>
      </c>
      <c r="Y938">
        <f>Source!U199</f>
        <v>0</v>
      </c>
      <c r="Z938">
        <f>Source!V199</f>
        <v>0</v>
      </c>
      <c r="AA938">
        <f>Source!X199</f>
        <v>0</v>
      </c>
      <c r="AB938">
        <f>Source!Y199</f>
        <v>0</v>
      </c>
    </row>
    <row r="939" spans="1:28" ht="14.25" x14ac:dyDescent="0.2">
      <c r="C939" s="23" t="s">
        <v>1980</v>
      </c>
      <c r="D939" s="23">
        <f>Source!BC199</f>
        <v>6.56</v>
      </c>
      <c r="F939" s="12"/>
      <c r="G939" s="12"/>
      <c r="H939" s="12"/>
    </row>
    <row r="940" spans="1:28" ht="71.25" x14ac:dyDescent="0.2">
      <c r="A940" s="45">
        <v>134</v>
      </c>
      <c r="B940" s="45" t="str">
        <f>Source!E200</f>
        <v>55,2</v>
      </c>
      <c r="C940" s="45" t="str">
        <f>Source!G200</f>
        <v>Смесь штукатурная на основе гипса быстротвердеющая, безусадочная, звукоизолирующая, теплосберегающая "БИРСС 60" (марка М50), для ручного нанесения</v>
      </c>
      <c r="D940" s="45" t="str">
        <f>Source!F200</f>
        <v>04.3.02.05-0004</v>
      </c>
      <c r="E940" s="30" t="str">
        <f>Source!H200</f>
        <v>т</v>
      </c>
      <c r="F940" s="12">
        <f>Source!I200</f>
        <v>1.437595</v>
      </c>
      <c r="G940" s="22">
        <f>Source!AB200</f>
        <v>2362.5100000000002</v>
      </c>
      <c r="H940" s="22">
        <f>Source!O200</f>
        <v>22279.94</v>
      </c>
      <c r="T940">
        <f>Source!O200+Source!X200+Source!Y200</f>
        <v>22279.94</v>
      </c>
      <c r="U940">
        <f>Source!P200</f>
        <v>22279.94</v>
      </c>
      <c r="V940">
        <f>Source!S200</f>
        <v>0</v>
      </c>
      <c r="W940">
        <f>Source!Q200</f>
        <v>0</v>
      </c>
      <c r="X940">
        <f>Source!R200</f>
        <v>0</v>
      </c>
      <c r="Y940">
        <f>Source!U200</f>
        <v>0</v>
      </c>
      <c r="Z940">
        <f>Source!V200</f>
        <v>0</v>
      </c>
      <c r="AA940">
        <f>Source!X200</f>
        <v>0</v>
      </c>
      <c r="AB940">
        <f>Source!Y200</f>
        <v>0</v>
      </c>
    </row>
    <row r="941" spans="1:28" ht="14.25" x14ac:dyDescent="0.2">
      <c r="C941" s="23" t="s">
        <v>1980</v>
      </c>
      <c r="D941" s="23">
        <f>Source!BC200</f>
        <v>6.56</v>
      </c>
      <c r="F941" s="12"/>
      <c r="G941" s="12"/>
      <c r="H941" s="12"/>
    </row>
    <row r="942" spans="1:28" ht="71.25" x14ac:dyDescent="0.2">
      <c r="A942" s="45">
        <v>135</v>
      </c>
      <c r="B942" s="45" t="str">
        <f>Source!E201</f>
        <v>56</v>
      </c>
      <c r="C942" s="45" t="str">
        <f>Source!G201</f>
        <v>Окрашивание водоэмульсионными составами поверхностей потолков, ранее окрашенных водоэмульсионной краской, с расчисткой старой краски до 35%</v>
      </c>
      <c r="D942" s="45" t="str">
        <f>Source!F201</f>
        <v>62-17-3</v>
      </c>
      <c r="E942" s="30" t="str">
        <f>Source!H201</f>
        <v>100 м2</v>
      </c>
      <c r="F942" s="12">
        <f>Source!I201</f>
        <v>1.585</v>
      </c>
      <c r="G942" s="22">
        <f>Source!AB201</f>
        <v>769.99</v>
      </c>
      <c r="H942" s="22">
        <f>Source!O201</f>
        <v>8006.05</v>
      </c>
      <c r="T942">
        <f>Source!O201+Source!X201+Source!Y201</f>
        <v>12267.26</v>
      </c>
      <c r="U942">
        <f>Source!P201</f>
        <v>4676.01</v>
      </c>
      <c r="V942">
        <f>Source!S201</f>
        <v>3256.53</v>
      </c>
      <c r="W942">
        <f>Source!Q201</f>
        <v>73.510000000000005</v>
      </c>
      <c r="X942">
        <f>Source!R201</f>
        <v>21.32</v>
      </c>
      <c r="Y942">
        <f>Source!U201</f>
        <v>57.456249999999997</v>
      </c>
      <c r="Z942">
        <f>Source!V201</f>
        <v>0.25359999999999999</v>
      </c>
      <c r="AA942">
        <f>Source!X201</f>
        <v>2622.28</v>
      </c>
      <c r="AB942">
        <f>Source!Y201</f>
        <v>1638.93</v>
      </c>
    </row>
    <row r="943" spans="1:28" ht="14.25" x14ac:dyDescent="0.2">
      <c r="C943" s="23" t="str">
        <f>"Объем: "&amp;Source!I201&amp;"=158,5/"&amp;"100"</f>
        <v>Объем: 1,585=158,5/100</v>
      </c>
      <c r="F943" s="12"/>
      <c r="G943" s="12"/>
      <c r="H943" s="12"/>
    </row>
    <row r="944" spans="1:28" x14ac:dyDescent="0.2">
      <c r="C944" s="23" t="s">
        <v>1978</v>
      </c>
      <c r="D944" s="23">
        <f>Source!BA201</f>
        <v>6.56</v>
      </c>
    </row>
    <row r="945" spans="1:28" x14ac:dyDescent="0.2">
      <c r="C945" s="23" t="s">
        <v>1979</v>
      </c>
      <c r="D945" s="23">
        <f>Source!BB201</f>
        <v>6.56</v>
      </c>
    </row>
    <row r="946" spans="1:28" x14ac:dyDescent="0.2">
      <c r="C946" s="23" t="s">
        <v>1980</v>
      </c>
      <c r="D946" s="23">
        <f>Source!BC201</f>
        <v>6.56</v>
      </c>
    </row>
    <row r="947" spans="1:28" x14ac:dyDescent="0.2">
      <c r="C947" s="23" t="s">
        <v>1981</v>
      </c>
      <c r="D947" s="23">
        <f>Source!BS201</f>
        <v>6.56</v>
      </c>
    </row>
    <row r="948" spans="1:28" x14ac:dyDescent="0.2">
      <c r="C948" s="9" t="s">
        <v>1982</v>
      </c>
      <c r="D948" s="33"/>
      <c r="E948" s="33"/>
      <c r="F948" s="33">
        <f>Source!BZ201</f>
        <v>80</v>
      </c>
      <c r="G948" s="57">
        <f>(Source!AF201+Source!AE201)*Source!FX201/100</f>
        <v>252.2</v>
      </c>
      <c r="H948" s="57">
        <f>Source!X201</f>
        <v>2622.28</v>
      </c>
    </row>
    <row r="949" spans="1:28" x14ac:dyDescent="0.2">
      <c r="C949" s="9" t="s">
        <v>1984</v>
      </c>
      <c r="D949" s="33"/>
      <c r="E949" s="33"/>
      <c r="F949" s="33">
        <f>Source!CA201</f>
        <v>50</v>
      </c>
      <c r="G949" s="57">
        <f>(Source!AF201+Source!AE201)*Source!FY201/100</f>
        <v>157.625</v>
      </c>
      <c r="H949" s="57">
        <f>Source!Y201</f>
        <v>1638.93</v>
      </c>
    </row>
    <row r="950" spans="1:28" x14ac:dyDescent="0.2">
      <c r="C950" s="9" t="s">
        <v>1986</v>
      </c>
      <c r="D950" s="33"/>
      <c r="E950" s="33"/>
      <c r="F950" s="33"/>
      <c r="G950" s="57">
        <f>((Source!AF201+Source!AE201)*Source!FX201/100)+((Source!AF201+Source!AE201)*Source!FY201/100)+Source!AB201</f>
        <v>1179.8150000000001</v>
      </c>
      <c r="H950" s="57">
        <f>Source!O201+Source!X201+Source!Y201</f>
        <v>12267.26</v>
      </c>
    </row>
    <row r="951" spans="1:28" ht="28.5" x14ac:dyDescent="0.2">
      <c r="A951" s="45">
        <v>136</v>
      </c>
      <c r="B951" s="45" t="str">
        <f>Source!E202</f>
        <v>56,1</v>
      </c>
      <c r="C951" s="45" t="str">
        <f>Source!G202</f>
        <v>Краска акриловая АКВА ВД-АК-11</v>
      </c>
      <c r="D951" s="45" t="str">
        <f>Source!F202</f>
        <v>14.3.02.01-0026</v>
      </c>
      <c r="E951" s="30" t="str">
        <f>Source!H202</f>
        <v>т</v>
      </c>
      <c r="F951" s="12">
        <f>Source!I202</f>
        <v>0.106195</v>
      </c>
      <c r="G951" s="22">
        <f>Source!AB202</f>
        <v>8505</v>
      </c>
      <c r="H951" s="22">
        <f>Source!O202</f>
        <v>5924.92</v>
      </c>
      <c r="T951">
        <f>Source!O202+Source!X202+Source!Y202</f>
        <v>5924.92</v>
      </c>
      <c r="U951">
        <f>Source!P202</f>
        <v>5924.92</v>
      </c>
      <c r="V951">
        <f>Source!S202</f>
        <v>0</v>
      </c>
      <c r="W951">
        <f>Source!Q202</f>
        <v>0</v>
      </c>
      <c r="X951">
        <f>Source!R202</f>
        <v>0</v>
      </c>
      <c r="Y951">
        <f>Source!U202</f>
        <v>0</v>
      </c>
      <c r="Z951">
        <f>Source!V202</f>
        <v>0</v>
      </c>
      <c r="AA951">
        <f>Source!X202</f>
        <v>0</v>
      </c>
      <c r="AB951">
        <f>Source!Y202</f>
        <v>0</v>
      </c>
    </row>
    <row r="952" spans="1:28" ht="14.25" x14ac:dyDescent="0.2">
      <c r="C952" s="23" t="s">
        <v>1980</v>
      </c>
      <c r="D952" s="23">
        <f>Source!BC202</f>
        <v>6.56</v>
      </c>
      <c r="F952" s="12"/>
      <c r="G952" s="12"/>
      <c r="H952" s="12"/>
    </row>
    <row r="953" spans="1:28" ht="14.25" x14ac:dyDescent="0.2">
      <c r="A953" s="45">
        <v>137</v>
      </c>
      <c r="B953" s="45" t="str">
        <f>Source!E203</f>
        <v>56,2</v>
      </c>
      <c r="C953" s="45" t="str">
        <f>Source!G203</f>
        <v>Краска водоэмульсионная</v>
      </c>
      <c r="D953" s="45" t="str">
        <f>Source!F203</f>
        <v>14.3.02.01</v>
      </c>
      <c r="E953" s="30" t="str">
        <f>Source!H203</f>
        <v>т</v>
      </c>
      <c r="F953" s="12">
        <f>Source!I203</f>
        <v>0.106195</v>
      </c>
      <c r="G953" s="22">
        <f>Source!AB203</f>
        <v>0</v>
      </c>
      <c r="H953" s="22">
        <f>Source!O203</f>
        <v>0</v>
      </c>
      <c r="T953">
        <f>Source!O203+Source!X203+Source!Y203</f>
        <v>0</v>
      </c>
      <c r="U953">
        <f>Source!P203</f>
        <v>0</v>
      </c>
      <c r="V953">
        <f>Source!S203</f>
        <v>0</v>
      </c>
      <c r="W953">
        <f>Source!Q203</f>
        <v>0</v>
      </c>
      <c r="X953">
        <f>Source!R203</f>
        <v>0</v>
      </c>
      <c r="Y953">
        <f>Source!U203</f>
        <v>0</v>
      </c>
      <c r="Z953">
        <f>Source!V203</f>
        <v>0</v>
      </c>
      <c r="AA953">
        <f>Source!X203</f>
        <v>0</v>
      </c>
      <c r="AB953">
        <f>Source!Y203</f>
        <v>0</v>
      </c>
    </row>
    <row r="954" spans="1:28" ht="14.25" x14ac:dyDescent="0.2">
      <c r="C954" s="23" t="s">
        <v>1980</v>
      </c>
      <c r="D954" s="23">
        <f>Source!BC203</f>
        <v>6.56</v>
      </c>
      <c r="F954" s="12"/>
      <c r="G954" s="12"/>
      <c r="H954" s="12"/>
    </row>
    <row r="955" spans="1:28" ht="42.75" x14ac:dyDescent="0.2">
      <c r="A955" s="45">
        <v>138</v>
      </c>
      <c r="B955" s="45" t="str">
        <f>Source!E204</f>
        <v>57</v>
      </c>
      <c r="C955" s="45" t="str">
        <f>Source!G204</f>
        <v>Ограждение лестничных площадок перилами (установка поручня) деревянного)</v>
      </c>
      <c r="D955" s="45" t="str">
        <f>Source!F204</f>
        <v>10-02-041-01</v>
      </c>
      <c r="E955" s="30" t="str">
        <f>Source!H204</f>
        <v>100 м</v>
      </c>
      <c r="F955" s="12">
        <f>Source!I204</f>
        <v>0.4</v>
      </c>
      <c r="G955" s="22">
        <f>Source!AB204</f>
        <v>507.81</v>
      </c>
      <c r="H955" s="22">
        <f>Source!O204</f>
        <v>1332.49</v>
      </c>
      <c r="T955">
        <f>Source!O204+Source!X204+Source!Y204</f>
        <v>2639.58</v>
      </c>
      <c r="U955">
        <f>Source!P204</f>
        <v>239.49</v>
      </c>
      <c r="V955">
        <f>Source!S204</f>
        <v>769.46</v>
      </c>
      <c r="W955">
        <f>Source!Q204</f>
        <v>323.54000000000002</v>
      </c>
      <c r="X955">
        <f>Source!R204</f>
        <v>47.47</v>
      </c>
      <c r="Y955">
        <f>Source!U204</f>
        <v>13.238800000000001</v>
      </c>
      <c r="Z955">
        <f>Source!V204</f>
        <v>0.58499999999999996</v>
      </c>
      <c r="AA955">
        <f>Source!X204</f>
        <v>865.95</v>
      </c>
      <c r="AB955">
        <f>Source!Y204</f>
        <v>441.14</v>
      </c>
    </row>
    <row r="956" spans="1:28" ht="14.25" x14ac:dyDescent="0.2">
      <c r="C956" s="23" t="str">
        <f>"Объем: "&amp;Source!I204&amp;"=40/"&amp;"100"</f>
        <v>Объем: 0,4=40/100</v>
      </c>
      <c r="F956" s="12"/>
      <c r="G956" s="12"/>
      <c r="H956" s="12"/>
    </row>
    <row r="957" spans="1:28" x14ac:dyDescent="0.2">
      <c r="C957" s="23" t="s">
        <v>1978</v>
      </c>
      <c r="D957" s="23">
        <f>Source!BA204</f>
        <v>6.56</v>
      </c>
    </row>
    <row r="958" spans="1:28" x14ac:dyDescent="0.2">
      <c r="C958" s="23" t="s">
        <v>1979</v>
      </c>
      <c r="D958" s="23">
        <f>Source!BB204</f>
        <v>6.56</v>
      </c>
    </row>
    <row r="959" spans="1:28" x14ac:dyDescent="0.2">
      <c r="C959" s="23" t="s">
        <v>1980</v>
      </c>
      <c r="D959" s="23">
        <f>Source!BC204</f>
        <v>6.56</v>
      </c>
    </row>
    <row r="960" spans="1:28" x14ac:dyDescent="0.2">
      <c r="C960" s="23" t="s">
        <v>1981</v>
      </c>
      <c r="D960" s="23">
        <f>Source!BS204</f>
        <v>6.56</v>
      </c>
    </row>
    <row r="961" spans="1:28" x14ac:dyDescent="0.2">
      <c r="C961" s="23" t="s">
        <v>1988</v>
      </c>
      <c r="D961" s="82" t="s">
        <v>187</v>
      </c>
      <c r="E961" s="82"/>
      <c r="F961" s="82"/>
      <c r="G961" s="82"/>
      <c r="H961" s="82"/>
    </row>
    <row r="962" spans="1:28" x14ac:dyDescent="0.2">
      <c r="C962" s="23" t="s">
        <v>1989</v>
      </c>
      <c r="D962" s="82" t="s">
        <v>187</v>
      </c>
      <c r="E962" s="82"/>
      <c r="F962" s="82"/>
      <c r="G962" s="82"/>
      <c r="H962" s="82"/>
    </row>
    <row r="963" spans="1:28" x14ac:dyDescent="0.2">
      <c r="C963" s="23" t="s">
        <v>1990</v>
      </c>
      <c r="D963" s="82" t="s">
        <v>188</v>
      </c>
      <c r="E963" s="82"/>
      <c r="F963" s="82"/>
      <c r="G963" s="82"/>
      <c r="H963" s="82"/>
    </row>
    <row r="964" spans="1:28" x14ac:dyDescent="0.2">
      <c r="C964" s="23" t="s">
        <v>1991</v>
      </c>
      <c r="D964" s="82" t="s">
        <v>188</v>
      </c>
      <c r="E964" s="82"/>
      <c r="F964" s="82"/>
      <c r="G964" s="82"/>
      <c r="H964" s="82"/>
    </row>
    <row r="965" spans="1:28" x14ac:dyDescent="0.2">
      <c r="C965" s="23" t="s">
        <v>1992</v>
      </c>
      <c r="D965" s="82" t="s">
        <v>187</v>
      </c>
      <c r="E965" s="82"/>
      <c r="F965" s="82"/>
      <c r="G965" s="82"/>
      <c r="H965" s="82"/>
    </row>
    <row r="966" spans="1:28" x14ac:dyDescent="0.2">
      <c r="C966" s="9" t="s">
        <v>1982</v>
      </c>
      <c r="D966" s="33"/>
      <c r="E966" s="33"/>
      <c r="F966" s="33">
        <f>Source!BZ204</f>
        <v>118</v>
      </c>
      <c r="G966" s="57">
        <f>(Source!AF204+Source!AE204)*Source!FX204/100</f>
        <v>330.63245999999998</v>
      </c>
      <c r="H966" s="57">
        <f>Source!X204</f>
        <v>865.95</v>
      </c>
    </row>
    <row r="967" spans="1:28" x14ac:dyDescent="0.2">
      <c r="C967" s="9" t="s">
        <v>1983</v>
      </c>
      <c r="D967" s="33"/>
      <c r="E967" s="33"/>
      <c r="F967" s="33"/>
      <c r="G967" s="33" t="str">
        <f>CONCATENATE(Source!DL204,Source!FT204, "=", Source!FX204, "%")</f>
        <v>*0,9=106,2%</v>
      </c>
      <c r="H967" s="33" t="str">
        <f>CONCATENATE(Source!AT204)</f>
        <v>106</v>
      </c>
    </row>
    <row r="968" spans="1:28" x14ac:dyDescent="0.2">
      <c r="C968" s="9" t="s">
        <v>1984</v>
      </c>
      <c r="D968" s="33"/>
      <c r="E968" s="33"/>
      <c r="F968" s="33">
        <f>Source!CA204</f>
        <v>63</v>
      </c>
      <c r="G968" s="57">
        <f>(Source!AF204+Source!AE204)*Source!FY204/100</f>
        <v>166.71721500000001</v>
      </c>
      <c r="H968" s="57">
        <f>Source!Y204</f>
        <v>441.14</v>
      </c>
    </row>
    <row r="969" spans="1:28" x14ac:dyDescent="0.2">
      <c r="C969" s="9" t="s">
        <v>1985</v>
      </c>
      <c r="D969" s="33"/>
      <c r="E969" s="33"/>
      <c r="F969" s="33"/>
      <c r="G969" s="33" t="str">
        <f>CONCATENATE(Source!DM204,Source!FU204, "=", Source!FY204, "%")</f>
        <v>*0,85=53,55%</v>
      </c>
      <c r="H969" s="33" t="str">
        <f>CONCATENATE(Source!AU204)</f>
        <v>54</v>
      </c>
    </row>
    <row r="970" spans="1:28" x14ac:dyDescent="0.2">
      <c r="C970" s="9" t="s">
        <v>1986</v>
      </c>
      <c r="D970" s="33"/>
      <c r="E970" s="33"/>
      <c r="F970" s="33"/>
      <c r="G970" s="57">
        <f>((Source!AF204+Source!AE204)*Source!FX204/100)+((Source!AF204+Source!AE204)*Source!FY204/100)+Source!AB204</f>
        <v>1005.159675</v>
      </c>
      <c r="H970" s="57">
        <f>Source!O204+Source!X204+Source!Y204</f>
        <v>2639.58</v>
      </c>
    </row>
    <row r="971" spans="1:28" ht="42.75" x14ac:dyDescent="0.2">
      <c r="A971" s="45">
        <v>139</v>
      </c>
      <c r="B971" s="45" t="str">
        <f>Source!E205</f>
        <v>58</v>
      </c>
      <c r="C971" s="45" t="str">
        <f>Source!G205</f>
        <v>Окраска масляными составами ранее окрашенных металлических решеток и оград без рельефа за 2 раза</v>
      </c>
      <c r="D971" s="45" t="str">
        <f>Source!F205</f>
        <v>62-35-2</v>
      </c>
      <c r="E971" s="30" t="str">
        <f>Source!H205</f>
        <v>100 м2</v>
      </c>
      <c r="F971" s="12">
        <f>Source!I205</f>
        <v>0.2</v>
      </c>
      <c r="G971" s="22">
        <f>Source!AB205</f>
        <v>921.8</v>
      </c>
      <c r="H971" s="22">
        <f>Source!O205</f>
        <v>1209.4000000000001</v>
      </c>
      <c r="T971">
        <f>Source!O205+Source!X205+Source!Y205</f>
        <v>2577.8000000000002</v>
      </c>
      <c r="U971">
        <f>Source!P205</f>
        <v>155.9</v>
      </c>
      <c r="V971">
        <f>Source!S205</f>
        <v>1052.4100000000001</v>
      </c>
      <c r="W971">
        <f>Source!Q205</f>
        <v>1.0900000000000001</v>
      </c>
      <c r="X971">
        <f>Source!R205</f>
        <v>0.2</v>
      </c>
      <c r="Y971">
        <f>Source!U205</f>
        <v>18.567900000000002</v>
      </c>
      <c r="Z971">
        <f>Source!V205</f>
        <v>2.5000000000000005E-3</v>
      </c>
      <c r="AA971">
        <f>Source!X205</f>
        <v>842.09</v>
      </c>
      <c r="AB971">
        <f>Source!Y205</f>
        <v>526.30999999999995</v>
      </c>
    </row>
    <row r="972" spans="1:28" ht="14.25" x14ac:dyDescent="0.2">
      <c r="C972" s="23" t="str">
        <f>"Объем: "&amp;Source!I205&amp;"=20/"&amp;"100"</f>
        <v>Объем: 0,2=20/100</v>
      </c>
      <c r="F972" s="12"/>
      <c r="G972" s="12"/>
      <c r="H972" s="12"/>
    </row>
    <row r="973" spans="1:28" x14ac:dyDescent="0.2">
      <c r="C973" s="23" t="s">
        <v>1978</v>
      </c>
      <c r="D973" s="23">
        <f>Source!BA205</f>
        <v>6.56</v>
      </c>
    </row>
    <row r="974" spans="1:28" x14ac:dyDescent="0.2">
      <c r="C974" s="23" t="s">
        <v>1979</v>
      </c>
      <c r="D974" s="23">
        <f>Source!BB205</f>
        <v>6.56</v>
      </c>
    </row>
    <row r="975" spans="1:28" x14ac:dyDescent="0.2">
      <c r="C975" s="23" t="s">
        <v>1980</v>
      </c>
      <c r="D975" s="23">
        <f>Source!BC205</f>
        <v>6.56</v>
      </c>
    </row>
    <row r="976" spans="1:28" x14ac:dyDescent="0.2">
      <c r="C976" s="23" t="s">
        <v>1981</v>
      </c>
      <c r="D976" s="23">
        <f>Source!BS205</f>
        <v>6.56</v>
      </c>
    </row>
    <row r="977" spans="1:28" x14ac:dyDescent="0.2">
      <c r="C977" s="23" t="s">
        <v>1988</v>
      </c>
      <c r="D977" s="82" t="s">
        <v>187</v>
      </c>
      <c r="E977" s="82"/>
      <c r="F977" s="82"/>
      <c r="G977" s="82"/>
      <c r="H977" s="82"/>
    </row>
    <row r="978" spans="1:28" x14ac:dyDescent="0.2">
      <c r="C978" s="23" t="s">
        <v>1989</v>
      </c>
      <c r="D978" s="82" t="s">
        <v>187</v>
      </c>
      <c r="E978" s="82"/>
      <c r="F978" s="82"/>
      <c r="G978" s="82"/>
      <c r="H978" s="82"/>
    </row>
    <row r="979" spans="1:28" x14ac:dyDescent="0.2">
      <c r="C979" s="23" t="s">
        <v>1990</v>
      </c>
      <c r="D979" s="82" t="s">
        <v>188</v>
      </c>
      <c r="E979" s="82"/>
      <c r="F979" s="82"/>
      <c r="G979" s="82"/>
      <c r="H979" s="82"/>
    </row>
    <row r="980" spans="1:28" x14ac:dyDescent="0.2">
      <c r="C980" s="23" t="s">
        <v>1991</v>
      </c>
      <c r="D980" s="82" t="s">
        <v>188</v>
      </c>
      <c r="E980" s="82"/>
      <c r="F980" s="82"/>
      <c r="G980" s="82"/>
      <c r="H980" s="82"/>
    </row>
    <row r="981" spans="1:28" x14ac:dyDescent="0.2">
      <c r="C981" s="23" t="s">
        <v>1992</v>
      </c>
      <c r="D981" s="82" t="s">
        <v>187</v>
      </c>
      <c r="E981" s="82"/>
      <c r="F981" s="82"/>
      <c r="G981" s="82"/>
      <c r="H981" s="82"/>
    </row>
    <row r="982" spans="1:28" x14ac:dyDescent="0.2">
      <c r="C982" s="9" t="s">
        <v>1982</v>
      </c>
      <c r="D982" s="33"/>
      <c r="E982" s="33"/>
      <c r="F982" s="33">
        <f>Source!BZ205</f>
        <v>80</v>
      </c>
      <c r="G982" s="57">
        <f>(Source!AF205+Source!AE205)*Source!FX205/100</f>
        <v>641.83199999999999</v>
      </c>
      <c r="H982" s="57">
        <f>Source!X205</f>
        <v>842.09</v>
      </c>
    </row>
    <row r="983" spans="1:28" x14ac:dyDescent="0.2">
      <c r="C983" s="9" t="s">
        <v>1984</v>
      </c>
      <c r="D983" s="33"/>
      <c r="E983" s="33"/>
      <c r="F983" s="33">
        <f>Source!CA205</f>
        <v>50</v>
      </c>
      <c r="G983" s="57">
        <f>(Source!AF205+Source!AE205)*Source!FY205/100</f>
        <v>401.14499999999998</v>
      </c>
      <c r="H983" s="57">
        <f>Source!Y205</f>
        <v>526.30999999999995</v>
      </c>
    </row>
    <row r="984" spans="1:28" x14ac:dyDescent="0.2">
      <c r="C984" s="9" t="s">
        <v>1986</v>
      </c>
      <c r="D984" s="33"/>
      <c r="E984" s="33"/>
      <c r="F984" s="33"/>
      <c r="G984" s="57">
        <f>((Source!AF205+Source!AE205)*Source!FX205/100)+((Source!AF205+Source!AE205)*Source!FY205/100)+Source!AB205</f>
        <v>1964.7769999999998</v>
      </c>
      <c r="H984" s="57">
        <f>Source!O205+Source!X205+Source!Y205</f>
        <v>2577.8000000000002</v>
      </c>
    </row>
    <row r="985" spans="1:28" ht="42.75" x14ac:dyDescent="0.2">
      <c r="A985" s="45">
        <v>140</v>
      </c>
      <c r="B985" s="45" t="str">
        <f>Source!E206</f>
        <v>58,1</v>
      </c>
      <c r="C985" s="45" t="str">
        <f>Source!G206</f>
        <v>Краски для внутренних работ масляные готовые к применению МА-15 БИО</v>
      </c>
      <c r="D985" s="45" t="str">
        <f>Source!F206</f>
        <v>14.4.02.04-0101</v>
      </c>
      <c r="E985" s="30" t="str">
        <f>Source!H206</f>
        <v>т</v>
      </c>
      <c r="F985" s="12">
        <f>Source!I206</f>
        <v>2.7200000000000002E-3</v>
      </c>
      <c r="G985" s="22">
        <f>Source!AB206</f>
        <v>42508.19</v>
      </c>
      <c r="H985" s="22">
        <f>Source!O206</f>
        <v>758.48</v>
      </c>
      <c r="T985">
        <f>Source!O206+Source!X206+Source!Y206</f>
        <v>758.48</v>
      </c>
      <c r="U985">
        <f>Source!P206</f>
        <v>758.48</v>
      </c>
      <c r="V985">
        <f>Source!S206</f>
        <v>0</v>
      </c>
      <c r="W985">
        <f>Source!Q206</f>
        <v>0</v>
      </c>
      <c r="X985">
        <f>Source!R206</f>
        <v>0</v>
      </c>
      <c r="Y985">
        <f>Source!U206</f>
        <v>0</v>
      </c>
      <c r="Z985">
        <f>Source!V206</f>
        <v>0</v>
      </c>
      <c r="AA985">
        <f>Source!X206</f>
        <v>0</v>
      </c>
      <c r="AB985">
        <f>Source!Y206</f>
        <v>0</v>
      </c>
    </row>
    <row r="986" spans="1:28" ht="14.25" x14ac:dyDescent="0.2">
      <c r="C986" s="23" t="s">
        <v>1980</v>
      </c>
      <c r="D986" s="23">
        <f>Source!BC206</f>
        <v>6.56</v>
      </c>
      <c r="F986" s="12"/>
      <c r="G986" s="12"/>
      <c r="H986" s="12"/>
    </row>
    <row r="987" spans="1:28" ht="28.5" x14ac:dyDescent="0.2">
      <c r="A987" s="45">
        <v>141</v>
      </c>
      <c r="B987" s="45" t="str">
        <f>Source!E207</f>
        <v>58,2</v>
      </c>
      <c r="C987" s="45" t="str">
        <f>Source!G207</f>
        <v>Краски масляные готовые к применению для наружных работ</v>
      </c>
      <c r="D987" s="45" t="str">
        <f>Source!F207</f>
        <v>14.4.02.04</v>
      </c>
      <c r="E987" s="30" t="str">
        <f>Source!H207</f>
        <v>т</v>
      </c>
      <c r="F987" s="12">
        <f>Source!I207</f>
        <v>2.7200000000000002E-3</v>
      </c>
      <c r="G987" s="22">
        <f>Source!AB207</f>
        <v>0</v>
      </c>
      <c r="H987" s="22">
        <f>Source!O207</f>
        <v>0</v>
      </c>
      <c r="T987">
        <f>Source!O207+Source!X207+Source!Y207</f>
        <v>0</v>
      </c>
      <c r="U987">
        <f>Source!P207</f>
        <v>0</v>
      </c>
      <c r="V987">
        <f>Source!S207</f>
        <v>0</v>
      </c>
      <c r="W987">
        <f>Source!Q207</f>
        <v>0</v>
      </c>
      <c r="X987">
        <f>Source!R207</f>
        <v>0</v>
      </c>
      <c r="Y987">
        <f>Source!U207</f>
        <v>0</v>
      </c>
      <c r="Z987">
        <f>Source!V207</f>
        <v>0</v>
      </c>
      <c r="AA987">
        <f>Source!X207</f>
        <v>0</v>
      </c>
      <c r="AB987">
        <f>Source!Y207</f>
        <v>0</v>
      </c>
    </row>
    <row r="988" spans="1:28" ht="14.25" x14ac:dyDescent="0.2">
      <c r="C988" s="23" t="s">
        <v>1980</v>
      </c>
      <c r="D988" s="23">
        <f>Source!BC207</f>
        <v>6.56</v>
      </c>
      <c r="F988" s="12"/>
      <c r="G988" s="12"/>
      <c r="H988" s="12"/>
    </row>
    <row r="989" spans="1:28" ht="42.75" x14ac:dyDescent="0.2">
      <c r="A989" s="45">
        <v>142</v>
      </c>
      <c r="B989" s="45" t="str">
        <f>Source!E208</f>
        <v>59</v>
      </c>
      <c r="C989" s="45" t="str">
        <f>Source!G208</f>
        <v>Улучшенная масляная окраска ранее окрашенных стен за два раза с расчисткой старой краски до 35%</v>
      </c>
      <c r="D989" s="45" t="str">
        <f>Source!F208</f>
        <v>62-7-5</v>
      </c>
      <c r="E989" s="30" t="str">
        <f>Source!H208</f>
        <v>100 м2</v>
      </c>
      <c r="F989" s="12">
        <f>Source!I208</f>
        <v>0.08</v>
      </c>
      <c r="G989" s="22">
        <f>Source!AB208</f>
        <v>869.76</v>
      </c>
      <c r="H989" s="22">
        <f>Source!O208</f>
        <v>456.45</v>
      </c>
      <c r="T989">
        <f>Source!O208+Source!X208+Source!Y208</f>
        <v>805.18999999999994</v>
      </c>
      <c r="U989">
        <f>Source!P208</f>
        <v>184.89</v>
      </c>
      <c r="V989">
        <f>Source!S208</f>
        <v>266.92</v>
      </c>
      <c r="W989">
        <f>Source!Q208</f>
        <v>4.6399999999999997</v>
      </c>
      <c r="X989">
        <f>Source!R208</f>
        <v>1.34</v>
      </c>
      <c r="Y989">
        <f>Source!U208</f>
        <v>4.7094799999999992</v>
      </c>
      <c r="Z989">
        <f>Source!V208</f>
        <v>1.6E-2</v>
      </c>
      <c r="AA989">
        <f>Source!X208</f>
        <v>214.61</v>
      </c>
      <c r="AB989">
        <f>Source!Y208</f>
        <v>134.13</v>
      </c>
    </row>
    <row r="990" spans="1:28" ht="14.25" x14ac:dyDescent="0.2">
      <c r="C990" s="23" t="str">
        <f>"Объем: "&amp;Source!I208&amp;"=8/"&amp;"100"</f>
        <v>Объем: 0,08=8/100</v>
      </c>
      <c r="F990" s="12"/>
      <c r="G990" s="12"/>
      <c r="H990" s="12"/>
    </row>
    <row r="991" spans="1:28" x14ac:dyDescent="0.2">
      <c r="C991" s="23" t="s">
        <v>1978</v>
      </c>
      <c r="D991" s="23">
        <f>Source!BA208</f>
        <v>6.56</v>
      </c>
    </row>
    <row r="992" spans="1:28" x14ac:dyDescent="0.2">
      <c r="C992" s="23" t="s">
        <v>1979</v>
      </c>
      <c r="D992" s="23">
        <f>Source!BB208</f>
        <v>6.56</v>
      </c>
    </row>
    <row r="993" spans="1:28" x14ac:dyDescent="0.2">
      <c r="C993" s="23" t="s">
        <v>1980</v>
      </c>
      <c r="D993" s="23">
        <f>Source!BC208</f>
        <v>6.56</v>
      </c>
    </row>
    <row r="994" spans="1:28" x14ac:dyDescent="0.2">
      <c r="C994" s="23" t="s">
        <v>1981</v>
      </c>
      <c r="D994" s="23">
        <f>Source!BS208</f>
        <v>6.56</v>
      </c>
    </row>
    <row r="995" spans="1:28" x14ac:dyDescent="0.2">
      <c r="C995" s="23" t="s">
        <v>1988</v>
      </c>
      <c r="D995" s="82" t="s">
        <v>187</v>
      </c>
      <c r="E995" s="82"/>
      <c r="F995" s="82"/>
      <c r="G995" s="82"/>
      <c r="H995" s="82"/>
    </row>
    <row r="996" spans="1:28" x14ac:dyDescent="0.2">
      <c r="C996" s="23" t="s">
        <v>1989</v>
      </c>
      <c r="D996" s="82" t="s">
        <v>187</v>
      </c>
      <c r="E996" s="82"/>
      <c r="F996" s="82"/>
      <c r="G996" s="82"/>
      <c r="H996" s="82"/>
    </row>
    <row r="997" spans="1:28" x14ac:dyDescent="0.2">
      <c r="C997" s="23" t="s">
        <v>1990</v>
      </c>
      <c r="D997" s="82" t="s">
        <v>188</v>
      </c>
      <c r="E997" s="82"/>
      <c r="F997" s="82"/>
      <c r="G997" s="82"/>
      <c r="H997" s="82"/>
    </row>
    <row r="998" spans="1:28" x14ac:dyDescent="0.2">
      <c r="C998" s="23" t="s">
        <v>1991</v>
      </c>
      <c r="D998" s="82" t="s">
        <v>188</v>
      </c>
      <c r="E998" s="82"/>
      <c r="F998" s="82"/>
      <c r="G998" s="82"/>
      <c r="H998" s="82"/>
    </row>
    <row r="999" spans="1:28" x14ac:dyDescent="0.2">
      <c r="C999" s="23" t="s">
        <v>1992</v>
      </c>
      <c r="D999" s="82" t="s">
        <v>187</v>
      </c>
      <c r="E999" s="82"/>
      <c r="F999" s="82"/>
      <c r="G999" s="82"/>
      <c r="H999" s="82"/>
    </row>
    <row r="1000" spans="1:28" x14ac:dyDescent="0.2">
      <c r="C1000" s="9" t="s">
        <v>1982</v>
      </c>
      <c r="D1000" s="33"/>
      <c r="E1000" s="33"/>
      <c r="F1000" s="33">
        <f>Source!BZ208</f>
        <v>80</v>
      </c>
      <c r="G1000" s="57">
        <f>(Source!AF208+Source!AE208)*Source!FX208/100</f>
        <v>408.94400000000002</v>
      </c>
      <c r="H1000" s="57">
        <f>Source!X208</f>
        <v>214.61</v>
      </c>
    </row>
    <row r="1001" spans="1:28" x14ac:dyDescent="0.2">
      <c r="C1001" s="9" t="s">
        <v>1984</v>
      </c>
      <c r="D1001" s="33"/>
      <c r="E1001" s="33"/>
      <c r="F1001" s="33">
        <f>Source!CA208</f>
        <v>50</v>
      </c>
      <c r="G1001" s="57">
        <f>(Source!AF208+Source!AE208)*Source!FY208/100</f>
        <v>255.59</v>
      </c>
      <c r="H1001" s="57">
        <f>Source!Y208</f>
        <v>134.13</v>
      </c>
    </row>
    <row r="1002" spans="1:28" x14ac:dyDescent="0.2">
      <c r="C1002" s="9" t="s">
        <v>1986</v>
      </c>
      <c r="D1002" s="33"/>
      <c r="E1002" s="33"/>
      <c r="F1002" s="33"/>
      <c r="G1002" s="57">
        <f>((Source!AF208+Source!AE208)*Source!FX208/100)+((Source!AF208+Source!AE208)*Source!FY208/100)+Source!AB208</f>
        <v>1534.2939999999999</v>
      </c>
      <c r="H1002" s="57">
        <f>Source!O208+Source!X208+Source!Y208</f>
        <v>805.18999999999994</v>
      </c>
    </row>
    <row r="1003" spans="1:28" ht="42.75" x14ac:dyDescent="0.2">
      <c r="A1003" s="45">
        <v>143</v>
      </c>
      <c r="B1003" s="45" t="str">
        <f>Source!E209</f>
        <v>59,1</v>
      </c>
      <c r="C1003" s="45" t="str">
        <f>Source!G209</f>
        <v>Краски для внутренних работ масляные готовые к применению МА-15 БИО</v>
      </c>
      <c r="D1003" s="45" t="str">
        <f>Source!F209</f>
        <v>14.4.02.04-0101</v>
      </c>
      <c r="E1003" s="30" t="str">
        <f>Source!H209</f>
        <v>т</v>
      </c>
      <c r="F1003" s="12">
        <f>Source!I209</f>
        <v>1.688E-3</v>
      </c>
      <c r="G1003" s="22">
        <f>Source!AB209</f>
        <v>42508.19</v>
      </c>
      <c r="H1003" s="22">
        <f>Source!O209</f>
        <v>470.71</v>
      </c>
      <c r="T1003">
        <f>Source!O209+Source!X209+Source!Y209</f>
        <v>470.71</v>
      </c>
      <c r="U1003">
        <f>Source!P209</f>
        <v>470.71</v>
      </c>
      <c r="V1003">
        <f>Source!S209</f>
        <v>0</v>
      </c>
      <c r="W1003">
        <f>Source!Q209</f>
        <v>0</v>
      </c>
      <c r="X1003">
        <f>Source!R209</f>
        <v>0</v>
      </c>
      <c r="Y1003">
        <f>Source!U209</f>
        <v>0</v>
      </c>
      <c r="Z1003">
        <f>Source!V209</f>
        <v>0</v>
      </c>
      <c r="AA1003">
        <f>Source!X209</f>
        <v>0</v>
      </c>
      <c r="AB1003">
        <f>Source!Y209</f>
        <v>0</v>
      </c>
    </row>
    <row r="1004" spans="1:28" ht="14.25" x14ac:dyDescent="0.2">
      <c r="C1004" s="23" t="s">
        <v>1980</v>
      </c>
      <c r="D1004" s="23">
        <f>Source!BC209</f>
        <v>6.56</v>
      </c>
      <c r="F1004" s="12"/>
      <c r="G1004" s="12"/>
      <c r="H1004" s="12"/>
    </row>
    <row r="1005" spans="1:28" ht="28.5" x14ac:dyDescent="0.2">
      <c r="A1005" s="45">
        <v>144</v>
      </c>
      <c r="B1005" s="45" t="str">
        <f>Source!E210</f>
        <v>59,2</v>
      </c>
      <c r="C1005" s="45" t="str">
        <f>Source!G210</f>
        <v>Краски для внутренних работ масляные готовые к применению</v>
      </c>
      <c r="D1005" s="45" t="str">
        <f>Source!F210</f>
        <v>14.4.02.04</v>
      </c>
      <c r="E1005" s="30" t="str">
        <f>Source!H210</f>
        <v>т</v>
      </c>
      <c r="F1005" s="12">
        <f>Source!I210</f>
        <v>1.688E-3</v>
      </c>
      <c r="G1005" s="22">
        <f>Source!AB210</f>
        <v>0</v>
      </c>
      <c r="H1005" s="22">
        <f>Source!O210</f>
        <v>0</v>
      </c>
      <c r="T1005">
        <f>Source!O210+Source!X210+Source!Y210</f>
        <v>0</v>
      </c>
      <c r="U1005">
        <f>Source!P210</f>
        <v>0</v>
      </c>
      <c r="V1005">
        <f>Source!S210</f>
        <v>0</v>
      </c>
      <c r="W1005">
        <f>Source!Q210</f>
        <v>0</v>
      </c>
      <c r="X1005">
        <f>Source!R210</f>
        <v>0</v>
      </c>
      <c r="Y1005">
        <f>Source!U210</f>
        <v>0</v>
      </c>
      <c r="Z1005">
        <f>Source!V210</f>
        <v>0</v>
      </c>
      <c r="AA1005">
        <f>Source!X210</f>
        <v>0</v>
      </c>
      <c r="AB1005">
        <f>Source!Y210</f>
        <v>0</v>
      </c>
    </row>
    <row r="1006" spans="1:28" ht="14.25" x14ac:dyDescent="0.2">
      <c r="C1006" s="23" t="s">
        <v>1980</v>
      </c>
      <c r="D1006" s="23">
        <f>Source!BC210</f>
        <v>6.56</v>
      </c>
      <c r="F1006" s="12"/>
      <c r="G1006" s="12"/>
      <c r="H1006" s="12"/>
    </row>
    <row r="1007" spans="1:28" ht="28.5" x14ac:dyDescent="0.2">
      <c r="A1007" s="45">
        <v>145</v>
      </c>
      <c r="B1007" s="45" t="str">
        <f>Source!E211</f>
        <v>60</v>
      </c>
      <c r="C1007" s="45" t="str">
        <f>Source!G211</f>
        <v>Монтаж лотков, решеток, затворов из полосовой и тонколистовой стали</v>
      </c>
      <c r="D1007" s="45" t="str">
        <f>Source!F211</f>
        <v>09-06-001-02</v>
      </c>
      <c r="E1007" s="30" t="str">
        <f>Source!H211</f>
        <v>т</v>
      </c>
      <c r="F1007" s="12">
        <f>Source!I211</f>
        <v>0.4</v>
      </c>
      <c r="G1007" s="22">
        <f>Source!AB211</f>
        <v>737.45</v>
      </c>
      <c r="H1007" s="22">
        <f>Source!O211</f>
        <v>1935.07</v>
      </c>
      <c r="T1007">
        <f>Source!O211+Source!X211+Source!Y211</f>
        <v>3954.5199999999995</v>
      </c>
      <c r="U1007">
        <f>Source!P211</f>
        <v>215.06</v>
      </c>
      <c r="V1007">
        <f>Source!S211</f>
        <v>1307.3599999999999</v>
      </c>
      <c r="W1007">
        <f>Source!Q211</f>
        <v>412.65</v>
      </c>
      <c r="X1007">
        <f>Source!R211</f>
        <v>12.54</v>
      </c>
      <c r="Y1007">
        <f>Source!U211</f>
        <v>23.363399999999999</v>
      </c>
      <c r="Z1007">
        <f>Source!V211</f>
        <v>0.15500000000000003</v>
      </c>
      <c r="AA1007">
        <f>Source!X211</f>
        <v>1069.1199999999999</v>
      </c>
      <c r="AB1007">
        <f>Source!Y211</f>
        <v>950.33</v>
      </c>
    </row>
    <row r="1008" spans="1:28" ht="14.25" x14ac:dyDescent="0.2">
      <c r="C1008" s="23" t="s">
        <v>1978</v>
      </c>
      <c r="D1008" s="23">
        <f>Source!BA211</f>
        <v>6.56</v>
      </c>
      <c r="F1008" s="12"/>
      <c r="G1008" s="12"/>
      <c r="H1008" s="12"/>
    </row>
    <row r="1009" spans="1:28" x14ac:dyDescent="0.2">
      <c r="C1009" s="23" t="s">
        <v>1979</v>
      </c>
      <c r="D1009" s="23">
        <f>Source!BB211</f>
        <v>6.56</v>
      </c>
    </row>
    <row r="1010" spans="1:28" x14ac:dyDescent="0.2">
      <c r="C1010" s="23" t="s">
        <v>1980</v>
      </c>
      <c r="D1010" s="23">
        <f>Source!BC211</f>
        <v>6.56</v>
      </c>
    </row>
    <row r="1011" spans="1:28" x14ac:dyDescent="0.2">
      <c r="C1011" s="23" t="s">
        <v>1981</v>
      </c>
      <c r="D1011" s="23">
        <f>Source!BS211</f>
        <v>6.56</v>
      </c>
    </row>
    <row r="1012" spans="1:28" x14ac:dyDescent="0.2">
      <c r="C1012" s="23" t="s">
        <v>1988</v>
      </c>
      <c r="D1012" s="82" t="s">
        <v>187</v>
      </c>
      <c r="E1012" s="82"/>
      <c r="F1012" s="82"/>
      <c r="G1012" s="82"/>
      <c r="H1012" s="82"/>
    </row>
    <row r="1013" spans="1:28" x14ac:dyDescent="0.2">
      <c r="C1013" s="23" t="s">
        <v>1989</v>
      </c>
      <c r="D1013" s="82" t="s">
        <v>187</v>
      </c>
      <c r="E1013" s="82"/>
      <c r="F1013" s="82"/>
      <c r="G1013" s="82"/>
      <c r="H1013" s="82"/>
    </row>
    <row r="1014" spans="1:28" x14ac:dyDescent="0.2">
      <c r="C1014" s="23" t="s">
        <v>1990</v>
      </c>
      <c r="D1014" s="82" t="s">
        <v>188</v>
      </c>
      <c r="E1014" s="82"/>
      <c r="F1014" s="82"/>
      <c r="G1014" s="82"/>
      <c r="H1014" s="82"/>
    </row>
    <row r="1015" spans="1:28" x14ac:dyDescent="0.2">
      <c r="C1015" s="23" t="s">
        <v>1991</v>
      </c>
      <c r="D1015" s="82" t="s">
        <v>188</v>
      </c>
      <c r="E1015" s="82"/>
      <c r="F1015" s="82"/>
      <c r="G1015" s="82"/>
      <c r="H1015" s="82"/>
    </row>
    <row r="1016" spans="1:28" x14ac:dyDescent="0.2">
      <c r="C1016" s="23" t="s">
        <v>1992</v>
      </c>
      <c r="D1016" s="82" t="s">
        <v>187</v>
      </c>
      <c r="E1016" s="82"/>
      <c r="F1016" s="82"/>
      <c r="G1016" s="82"/>
      <c r="H1016" s="82"/>
    </row>
    <row r="1017" spans="1:28" x14ac:dyDescent="0.2">
      <c r="C1017" s="9" t="s">
        <v>1982</v>
      </c>
      <c r="D1017" s="33"/>
      <c r="E1017" s="33"/>
      <c r="F1017" s="33">
        <f>Source!BZ211</f>
        <v>90</v>
      </c>
      <c r="G1017" s="57">
        <f>(Source!AF211+Source!AE211)*Source!FX211/100</f>
        <v>407.43809999999996</v>
      </c>
      <c r="H1017" s="57">
        <f>Source!X211</f>
        <v>1069.1199999999999</v>
      </c>
    </row>
    <row r="1018" spans="1:28" x14ac:dyDescent="0.2">
      <c r="C1018" s="9" t="s">
        <v>1983</v>
      </c>
      <c r="D1018" s="33"/>
      <c r="E1018" s="33"/>
      <c r="F1018" s="33"/>
      <c r="G1018" s="33" t="str">
        <f>CONCATENATE(Source!DL211,Source!FT211, "=", Source!FX211, "%")</f>
        <v>*0,9=81%</v>
      </c>
      <c r="H1018" s="33" t="str">
        <f>CONCATENATE(Source!AT211)</f>
        <v>81</v>
      </c>
    </row>
    <row r="1019" spans="1:28" x14ac:dyDescent="0.2">
      <c r="C1019" s="9" t="s">
        <v>1984</v>
      </c>
      <c r="D1019" s="33"/>
      <c r="E1019" s="33"/>
      <c r="F1019" s="33">
        <f>Source!CA211</f>
        <v>85</v>
      </c>
      <c r="G1019" s="57">
        <f>(Source!AF211+Source!AE211)*Source!FY211/100</f>
        <v>363.42472499999997</v>
      </c>
      <c r="H1019" s="57">
        <f>Source!Y211</f>
        <v>950.33</v>
      </c>
    </row>
    <row r="1020" spans="1:28" x14ac:dyDescent="0.2">
      <c r="C1020" s="9" t="s">
        <v>1985</v>
      </c>
      <c r="D1020" s="33"/>
      <c r="E1020" s="33"/>
      <c r="F1020" s="33"/>
      <c r="G1020" s="33" t="str">
        <f>CONCATENATE(Source!DM211,Source!FU211, "=", Source!FY211, "%")</f>
        <v>*0,85=72,25%</v>
      </c>
      <c r="H1020" s="33" t="str">
        <f>CONCATENATE(Source!AU211)</f>
        <v>72</v>
      </c>
    </row>
    <row r="1021" spans="1:28" x14ac:dyDescent="0.2">
      <c r="C1021" s="9" t="s">
        <v>1986</v>
      </c>
      <c r="D1021" s="33"/>
      <c r="E1021" s="33"/>
      <c r="F1021" s="33"/>
      <c r="G1021" s="57">
        <f>((Source!AF211+Source!AE211)*Source!FX211/100)+((Source!AF211+Source!AE211)*Source!FY211/100)+Source!AB211</f>
        <v>1508.312825</v>
      </c>
      <c r="H1021" s="57">
        <f>Source!O211+Source!X211+Source!Y211</f>
        <v>3954.5199999999995</v>
      </c>
    </row>
    <row r="1022" spans="1:28" ht="14.25" x14ac:dyDescent="0.2">
      <c r="A1022" s="45">
        <v>146</v>
      </c>
      <c r="B1022" s="45" t="str">
        <f>Source!E212</f>
        <v>60,1</v>
      </c>
      <c r="C1022" s="45" t="str">
        <f>Source!G212</f>
        <v>Конструкции стальные</v>
      </c>
      <c r="D1022" s="45" t="str">
        <f>Source!F212</f>
        <v>07.2.07.13</v>
      </c>
      <c r="E1022" s="30" t="str">
        <f>Source!H212</f>
        <v>т</v>
      </c>
      <c r="F1022" s="12">
        <f>Source!I212</f>
        <v>0.4</v>
      </c>
      <c r="G1022" s="22">
        <f>Source!AB212</f>
        <v>0</v>
      </c>
      <c r="H1022" s="22">
        <f>Source!O212</f>
        <v>0</v>
      </c>
      <c r="T1022">
        <f>Source!O212+Source!X212+Source!Y212</f>
        <v>0</v>
      </c>
      <c r="U1022">
        <f>Source!P212</f>
        <v>0</v>
      </c>
      <c r="V1022">
        <f>Source!S212</f>
        <v>0</v>
      </c>
      <c r="W1022">
        <f>Source!Q212</f>
        <v>0</v>
      </c>
      <c r="X1022">
        <f>Source!R212</f>
        <v>0</v>
      </c>
      <c r="Y1022">
        <f>Source!U212</f>
        <v>0</v>
      </c>
      <c r="Z1022">
        <f>Source!V212</f>
        <v>0</v>
      </c>
      <c r="AA1022">
        <f>Source!X212</f>
        <v>0</v>
      </c>
      <c r="AB1022">
        <f>Source!Y212</f>
        <v>0</v>
      </c>
    </row>
    <row r="1023" spans="1:28" ht="14.25" x14ac:dyDescent="0.2">
      <c r="C1023" s="23" t="s">
        <v>1980</v>
      </c>
      <c r="D1023" s="23">
        <f>Source!BC212</f>
        <v>6.56</v>
      </c>
      <c r="F1023" s="12"/>
      <c r="G1023" s="12"/>
      <c r="H1023" s="12"/>
    </row>
    <row r="1024" spans="1:28" ht="28.5" x14ac:dyDescent="0.2">
      <c r="A1024" s="45">
        <v>147</v>
      </c>
      <c r="B1024" s="45" t="str">
        <f>Source!E213</f>
        <v>60,2</v>
      </c>
      <c r="C1024" s="45" t="str">
        <f>Source!G213</f>
        <v>Горячекатаная арматурная сталь гладкая класса А-I, диаметром 8 мм</v>
      </c>
      <c r="D1024" s="45" t="str">
        <f>Source!F213</f>
        <v>08.4.03.02-0002</v>
      </c>
      <c r="E1024" s="30" t="str">
        <f>Source!H213</f>
        <v>т</v>
      </c>
      <c r="F1024" s="12">
        <f>Source!I213</f>
        <v>0.4</v>
      </c>
      <c r="G1024" s="22">
        <f>Source!AB213</f>
        <v>6780</v>
      </c>
      <c r="H1024" s="22">
        <f>Source!O213</f>
        <v>17790.72</v>
      </c>
      <c r="T1024">
        <f>Source!O213+Source!X213+Source!Y213</f>
        <v>17790.72</v>
      </c>
      <c r="U1024">
        <f>Source!P213</f>
        <v>17790.72</v>
      </c>
      <c r="V1024">
        <f>Source!S213</f>
        <v>0</v>
      </c>
      <c r="W1024">
        <f>Source!Q213</f>
        <v>0</v>
      </c>
      <c r="X1024">
        <f>Source!R213</f>
        <v>0</v>
      </c>
      <c r="Y1024">
        <f>Source!U213</f>
        <v>0</v>
      </c>
      <c r="Z1024">
        <f>Source!V213</f>
        <v>0</v>
      </c>
      <c r="AA1024">
        <f>Source!X213</f>
        <v>0</v>
      </c>
      <c r="AB1024">
        <f>Source!Y213</f>
        <v>0</v>
      </c>
    </row>
    <row r="1025" spans="1:28" ht="14.25" x14ac:dyDescent="0.2">
      <c r="C1025" s="23" t="s">
        <v>1980</v>
      </c>
      <c r="D1025" s="23">
        <f>Source!BC213</f>
        <v>6.56</v>
      </c>
      <c r="F1025" s="12"/>
      <c r="G1025" s="12"/>
      <c r="H1025" s="12"/>
    </row>
    <row r="1026" spans="1:28" ht="28.5" x14ac:dyDescent="0.2">
      <c r="A1026" s="45">
        <v>148</v>
      </c>
      <c r="B1026" s="45" t="str">
        <f>Source!E214</f>
        <v>61</v>
      </c>
      <c r="C1026" s="45" t="str">
        <f>Source!G214</f>
        <v>Затаривание строительного мусора в мешки</v>
      </c>
      <c r="D1026" s="45" t="str">
        <f>Source!F214</f>
        <v>69-15-1</v>
      </c>
      <c r="E1026" s="30" t="str">
        <f>Source!H214</f>
        <v>т</v>
      </c>
      <c r="F1026" s="12">
        <f>Source!I214</f>
        <v>31</v>
      </c>
      <c r="G1026" s="22">
        <f>Source!AB214</f>
        <v>23.81</v>
      </c>
      <c r="H1026" s="22">
        <f>Source!O214</f>
        <v>4842</v>
      </c>
      <c r="T1026">
        <f>Source!O214+Source!X214+Source!Y214</f>
        <v>6770.83</v>
      </c>
      <c r="U1026">
        <f>Source!P214</f>
        <v>3335.1</v>
      </c>
      <c r="V1026">
        <f>Source!S214</f>
        <v>1506.9</v>
      </c>
      <c r="W1026">
        <f>Source!Q214</f>
        <v>0</v>
      </c>
      <c r="X1026">
        <f>Source!R214</f>
        <v>0</v>
      </c>
      <c r="Y1026">
        <f>Source!U214</f>
        <v>31.93</v>
      </c>
      <c r="Z1026">
        <f>Source!V214</f>
        <v>0</v>
      </c>
      <c r="AA1026">
        <f>Source!X214</f>
        <v>1175.3800000000001</v>
      </c>
      <c r="AB1026">
        <f>Source!Y214</f>
        <v>753.45</v>
      </c>
    </row>
    <row r="1027" spans="1:28" ht="14.25" x14ac:dyDescent="0.2">
      <c r="C1027" s="23" t="s">
        <v>1978</v>
      </c>
      <c r="D1027" s="23">
        <f>Source!BA214</f>
        <v>6.56</v>
      </c>
      <c r="F1027" s="12"/>
      <c r="G1027" s="12"/>
      <c r="H1027" s="12"/>
    </row>
    <row r="1028" spans="1:28" x14ac:dyDescent="0.2">
      <c r="C1028" s="23" t="s">
        <v>1979</v>
      </c>
      <c r="D1028" s="23">
        <f>Source!BB214</f>
        <v>6.56</v>
      </c>
    </row>
    <row r="1029" spans="1:28" x14ac:dyDescent="0.2">
      <c r="C1029" s="23" t="s">
        <v>1980</v>
      </c>
      <c r="D1029" s="23">
        <f>Source!BC214</f>
        <v>6.56</v>
      </c>
    </row>
    <row r="1030" spans="1:28" x14ac:dyDescent="0.2">
      <c r="C1030" s="23" t="s">
        <v>1981</v>
      </c>
      <c r="D1030" s="23">
        <f>Source!BS214</f>
        <v>6.56</v>
      </c>
    </row>
    <row r="1031" spans="1:28" x14ac:dyDescent="0.2">
      <c r="C1031" s="9" t="s">
        <v>1982</v>
      </c>
      <c r="D1031" s="33"/>
      <c r="E1031" s="33"/>
      <c r="F1031" s="33">
        <f>Source!BZ214</f>
        <v>78</v>
      </c>
      <c r="G1031" s="57">
        <f>(Source!AF214+Source!AE214)*Source!FX214/100</f>
        <v>5.7797999999999998</v>
      </c>
      <c r="H1031" s="57">
        <f>Source!X214</f>
        <v>1175.3800000000001</v>
      </c>
    </row>
    <row r="1032" spans="1:28" x14ac:dyDescent="0.2">
      <c r="C1032" s="9" t="s">
        <v>1984</v>
      </c>
      <c r="D1032" s="33"/>
      <c r="E1032" s="33"/>
      <c r="F1032" s="33">
        <f>Source!CA214</f>
        <v>50</v>
      </c>
      <c r="G1032" s="57">
        <f>(Source!AF214+Source!AE214)*Source!FY214/100</f>
        <v>3.7050000000000001</v>
      </c>
      <c r="H1032" s="57">
        <f>Source!Y214</f>
        <v>753.45</v>
      </c>
    </row>
    <row r="1033" spans="1:28" x14ac:dyDescent="0.2">
      <c r="C1033" s="9" t="s">
        <v>1986</v>
      </c>
      <c r="D1033" s="33"/>
      <c r="E1033" s="33"/>
      <c r="F1033" s="33"/>
      <c r="G1033" s="57">
        <f>((Source!AF214+Source!AE214)*Source!FX214/100)+((Source!AF214+Source!AE214)*Source!FY214/100)+Source!AB214</f>
        <v>33.294799999999995</v>
      </c>
      <c r="H1033" s="57">
        <f>Source!O214+Source!X214+Source!Y214</f>
        <v>6770.83</v>
      </c>
    </row>
    <row r="1034" spans="1:28" ht="42.75" x14ac:dyDescent="0.2">
      <c r="A1034" s="45">
        <v>149</v>
      </c>
      <c r="B1034" s="45" t="str">
        <f>Source!E215</f>
        <v>62</v>
      </c>
      <c r="C1034" s="45" t="str">
        <f>Source!G215</f>
        <v>Погрузочные работы при автомобильных перевозках мусора строительного с погрузкой вручную</v>
      </c>
      <c r="D1034" s="45" t="str">
        <f>Source!F215</f>
        <v>т01-01-01-041</v>
      </c>
      <c r="E1034" s="30" t="str">
        <f>Source!H215</f>
        <v>1 Т ГРУЗА</v>
      </c>
      <c r="F1034" s="12">
        <f>Source!I215</f>
        <v>31</v>
      </c>
      <c r="G1034" s="22">
        <f>Source!AB215</f>
        <v>42.98</v>
      </c>
      <c r="H1034" s="22">
        <f>Source!GM215</f>
        <v>8740.41</v>
      </c>
      <c r="T1034">
        <f>Source!GM215</f>
        <v>8740.41</v>
      </c>
      <c r="U1034">
        <f>Source!P215</f>
        <v>0</v>
      </c>
      <c r="V1034">
        <f>Source!S215</f>
        <v>0</v>
      </c>
      <c r="W1034">
        <f>Source!Q215</f>
        <v>0</v>
      </c>
      <c r="X1034">
        <f>Source!R215</f>
        <v>0</v>
      </c>
      <c r="Y1034">
        <f>Source!U215</f>
        <v>0</v>
      </c>
      <c r="Z1034">
        <f>Source!V215</f>
        <v>0</v>
      </c>
      <c r="AA1034">
        <f>Source!X215</f>
        <v>0</v>
      </c>
      <c r="AB1034">
        <f>Source!Y215</f>
        <v>0</v>
      </c>
    </row>
    <row r="1035" spans="1:28" ht="14.25" x14ac:dyDescent="0.2">
      <c r="C1035" s="23" t="s">
        <v>1996</v>
      </c>
      <c r="D1035" s="23">
        <f>Source!AZ215</f>
        <v>6.56</v>
      </c>
      <c r="F1035" s="12"/>
      <c r="G1035" s="12"/>
      <c r="H1035" s="12"/>
    </row>
    <row r="1036" spans="1:28" ht="57" x14ac:dyDescent="0.2">
      <c r="A1036" s="45">
        <v>150</v>
      </c>
      <c r="B1036" s="45" t="str">
        <f>Source!E216</f>
        <v>63</v>
      </c>
      <c r="C1036" s="45" t="str">
        <f>Source!G216</f>
        <v>Перевозка грузов I класса автомобилями бортовыми грузоподъемностью до 15 т на расстояние до 35 км</v>
      </c>
      <c r="D1036" s="45" t="str">
        <f>Source!F216</f>
        <v>т03-01-01-035</v>
      </c>
      <c r="E1036" s="30" t="str">
        <f>Source!H216</f>
        <v>1 Т ГРУЗА</v>
      </c>
      <c r="F1036" s="12">
        <f>Source!I216</f>
        <v>31</v>
      </c>
      <c r="G1036" s="22">
        <f>Source!AB216</f>
        <v>19.54</v>
      </c>
      <c r="H1036" s="22">
        <f>Source!GM216</f>
        <v>3973.65</v>
      </c>
      <c r="T1036">
        <f>Source!GM216</f>
        <v>3973.65</v>
      </c>
      <c r="U1036">
        <f>Source!P216</f>
        <v>0</v>
      </c>
      <c r="V1036">
        <f>Source!S216</f>
        <v>0</v>
      </c>
      <c r="W1036">
        <f>Source!Q216</f>
        <v>0</v>
      </c>
      <c r="X1036">
        <f>Source!R216</f>
        <v>0</v>
      </c>
      <c r="Y1036">
        <f>Source!U216</f>
        <v>0</v>
      </c>
      <c r="Z1036">
        <f>Source!V216</f>
        <v>0</v>
      </c>
      <c r="AA1036">
        <f>Source!X216</f>
        <v>0</v>
      </c>
      <c r="AB1036">
        <f>Source!Y216</f>
        <v>0</v>
      </c>
    </row>
    <row r="1037" spans="1:28" ht="14.25" x14ac:dyDescent="0.2">
      <c r="C1037" s="23" t="s">
        <v>1996</v>
      </c>
      <c r="D1037" s="23">
        <f>Source!AZ216</f>
        <v>6.56</v>
      </c>
      <c r="F1037" s="12"/>
      <c r="G1037" s="12"/>
      <c r="H1037" s="12"/>
    </row>
    <row r="1039" spans="1:28" ht="15" x14ac:dyDescent="0.25">
      <c r="A1039" s="58"/>
      <c r="B1039" s="58"/>
      <c r="C1039" s="66" t="str">
        <f>CONCATENATE("Итого по подразделу: ",IF(Source!G218&lt;&gt;"Новый подраздел", Source!G218, ""))</f>
        <v>Итого по подразделу: 2 Монтаж</v>
      </c>
      <c r="D1039" s="66"/>
      <c r="E1039" s="66"/>
      <c r="F1039" s="66"/>
      <c r="G1039" s="58"/>
      <c r="H1039" s="59">
        <f>IF(SUM(T222:T1038)=0, "-", SUM(T222:T1038))</f>
        <v>2415298.629999999</v>
      </c>
    </row>
    <row r="1040" spans="1:28" ht="15" x14ac:dyDescent="0.25">
      <c r="A1040" s="58"/>
      <c r="B1040" s="58"/>
      <c r="C1040" s="58"/>
      <c r="D1040" s="58"/>
      <c r="E1040" s="58"/>
      <c r="F1040" s="58"/>
      <c r="G1040" s="58"/>
      <c r="H1040" s="58"/>
    </row>
    <row r="1043" spans="1:28" ht="15" x14ac:dyDescent="0.25">
      <c r="A1043" s="58"/>
      <c r="B1043" s="58"/>
      <c r="C1043" s="66" t="str">
        <f>CONCATENATE("Итого по разделу: ",IF(Source!G247&lt;&gt;"Новый раздел", Source!G247, ""))</f>
        <v>Итого по разделу: 1 Общестроительные работы</v>
      </c>
      <c r="D1043" s="66"/>
      <c r="E1043" s="66"/>
      <c r="F1043" s="66"/>
      <c r="G1043" s="58"/>
      <c r="H1043" s="59">
        <f>IF(SUM(T39:T1042)=0, "-", SUM(T39:T1042))</f>
        <v>2456105.9499999993</v>
      </c>
    </row>
    <row r="1044" spans="1:28" ht="15" x14ac:dyDescent="0.25">
      <c r="A1044" s="58"/>
      <c r="B1044" s="58"/>
      <c r="C1044" s="58"/>
      <c r="D1044" s="58"/>
      <c r="E1044" s="58"/>
      <c r="F1044" s="58"/>
      <c r="G1044" s="58"/>
      <c r="H1044" s="58"/>
    </row>
    <row r="1047" spans="1:28" ht="16.5" x14ac:dyDescent="0.25">
      <c r="A1047" s="68" t="str">
        <f>CONCATENATE("Раздел: ",IF(Source!G276&lt;&gt;"Новый раздел", Source!G276, ""))</f>
        <v>Раздел: 2 Электромонтажные работы</v>
      </c>
      <c r="B1047" s="68"/>
      <c r="C1047" s="68"/>
      <c r="D1047" s="68"/>
      <c r="E1047" s="68"/>
      <c r="F1047" s="68"/>
      <c r="G1047" s="68"/>
      <c r="H1047" s="68"/>
    </row>
    <row r="1049" spans="1:28" ht="16.5" x14ac:dyDescent="0.25">
      <c r="A1049" s="68" t="str">
        <f>CONCATENATE("Подраздел: ",IF(Source!G280&lt;&gt;"Новый подраздел", Source!G280, ""))</f>
        <v>Подраздел: 1Демонтаж</v>
      </c>
      <c r="B1049" s="68"/>
      <c r="C1049" s="68"/>
      <c r="D1049" s="68"/>
      <c r="E1049" s="68"/>
      <c r="F1049" s="68"/>
      <c r="G1049" s="68"/>
      <c r="H1049" s="68"/>
    </row>
    <row r="1050" spans="1:28" ht="28.5" x14ac:dyDescent="0.2">
      <c r="A1050" s="45">
        <v>151</v>
      </c>
      <c r="B1050" s="45" t="str">
        <f>Source!E284</f>
        <v>64</v>
      </c>
      <c r="C1050" s="45" t="str">
        <f>Source!G284</f>
        <v>Демонтаж светильников для люминесцентных ламп</v>
      </c>
      <c r="D1050" s="45" t="str">
        <f>Source!F284</f>
        <v>67-4-5</v>
      </c>
      <c r="E1050" s="30" t="str">
        <f>Source!H284</f>
        <v>100 ШТ</v>
      </c>
      <c r="F1050" s="12">
        <f>Source!I284</f>
        <v>0.72</v>
      </c>
      <c r="G1050" s="22">
        <f>Source!AB284</f>
        <v>145.97999999999999</v>
      </c>
      <c r="H1050" s="22">
        <f>Source!O284</f>
        <v>689.49</v>
      </c>
      <c r="T1050">
        <f>Source!O284+Source!X284+Source!Y284</f>
        <v>1713.6599999999999</v>
      </c>
      <c r="U1050">
        <f>Source!P284</f>
        <v>0</v>
      </c>
      <c r="V1050">
        <f>Source!S284</f>
        <v>677.68</v>
      </c>
      <c r="W1050">
        <f>Source!Q284</f>
        <v>11.81</v>
      </c>
      <c r="X1050">
        <f>Source!R284</f>
        <v>5.0999999999999996</v>
      </c>
      <c r="Y1050">
        <f>Source!U284</f>
        <v>12.880800000000001</v>
      </c>
      <c r="Z1050">
        <f>Source!V284</f>
        <v>5.7599999999999998E-2</v>
      </c>
      <c r="AA1050">
        <f>Source!X284</f>
        <v>580.36</v>
      </c>
      <c r="AB1050">
        <f>Source!Y284</f>
        <v>443.81</v>
      </c>
    </row>
    <row r="1051" spans="1:28" ht="14.25" x14ac:dyDescent="0.2">
      <c r="C1051" s="23" t="str">
        <f>"Объем: "&amp;Source!I284&amp;"=72/"&amp;"100"</f>
        <v>Объем: 0,72=72/100</v>
      </c>
      <c r="F1051" s="12"/>
      <c r="G1051" s="12"/>
      <c r="H1051" s="12"/>
    </row>
    <row r="1052" spans="1:28" x14ac:dyDescent="0.2">
      <c r="C1052" s="23" t="s">
        <v>1978</v>
      </c>
      <c r="D1052" s="23">
        <f>Source!BA284</f>
        <v>6.56</v>
      </c>
    </row>
    <row r="1053" spans="1:28" x14ac:dyDescent="0.2">
      <c r="C1053" s="23" t="s">
        <v>1979</v>
      </c>
      <c r="D1053" s="23">
        <f>Source!BB284</f>
        <v>6.56</v>
      </c>
    </row>
    <row r="1054" spans="1:28" x14ac:dyDescent="0.2">
      <c r="C1054" s="23" t="s">
        <v>1980</v>
      </c>
      <c r="D1054" s="23">
        <f>Source!BC284</f>
        <v>6.56</v>
      </c>
    </row>
    <row r="1055" spans="1:28" x14ac:dyDescent="0.2">
      <c r="C1055" s="23" t="s">
        <v>1981</v>
      </c>
      <c r="D1055" s="23">
        <f>Source!BS284</f>
        <v>6.56</v>
      </c>
    </row>
    <row r="1056" spans="1:28" x14ac:dyDescent="0.2">
      <c r="C1056" s="9" t="s">
        <v>1982</v>
      </c>
      <c r="D1056" s="33"/>
      <c r="E1056" s="33"/>
      <c r="F1056" s="33">
        <f>Source!BZ284</f>
        <v>85</v>
      </c>
      <c r="G1056" s="57">
        <f>(Source!AF284+Source!AE284)*Source!FX284/100</f>
        <v>122.876</v>
      </c>
      <c r="H1056" s="57">
        <f>Source!X284</f>
        <v>580.36</v>
      </c>
    </row>
    <row r="1057" spans="1:28" x14ac:dyDescent="0.2">
      <c r="C1057" s="9" t="s">
        <v>1984</v>
      </c>
      <c r="D1057" s="33"/>
      <c r="E1057" s="33"/>
      <c r="F1057" s="33">
        <f>Source!CA284</f>
        <v>65</v>
      </c>
      <c r="G1057" s="57">
        <f>(Source!AF284+Source!AE284)*Source!FY284/100</f>
        <v>93.963999999999999</v>
      </c>
      <c r="H1057" s="57">
        <f>Source!Y284</f>
        <v>443.81</v>
      </c>
    </row>
    <row r="1058" spans="1:28" x14ac:dyDescent="0.2">
      <c r="C1058" s="9" t="s">
        <v>1986</v>
      </c>
      <c r="D1058" s="33"/>
      <c r="E1058" s="33"/>
      <c r="F1058" s="33"/>
      <c r="G1058" s="57">
        <f>((Source!AF284+Source!AE284)*Source!FX284/100)+((Source!AF284+Source!AE284)*Source!FY284/100)+Source!AB284</f>
        <v>362.82</v>
      </c>
      <c r="H1058" s="57">
        <f>Source!O284+Source!X284+Source!Y284</f>
        <v>1713.6599999999999</v>
      </c>
    </row>
    <row r="1059" spans="1:28" ht="14.25" x14ac:dyDescent="0.2">
      <c r="A1059" s="45">
        <v>152</v>
      </c>
      <c r="B1059" s="45" t="str">
        <f>Source!E285</f>
        <v>65</v>
      </c>
      <c r="C1059" s="45" t="str">
        <f>Source!G285</f>
        <v>Демонтаж кабеля</v>
      </c>
      <c r="D1059" s="45" t="str">
        <f>Source!F285</f>
        <v>67-3-1</v>
      </c>
      <c r="E1059" s="30" t="str">
        <f>Source!H285</f>
        <v>100 м</v>
      </c>
      <c r="F1059" s="12">
        <f>Source!I285</f>
        <v>2.3199999999999998</v>
      </c>
      <c r="G1059" s="22">
        <f>Source!AB285</f>
        <v>75.5</v>
      </c>
      <c r="H1059" s="22">
        <f>Source!O285</f>
        <v>1149.05</v>
      </c>
      <c r="T1059">
        <f>Source!O285+Source!X285+Source!Y285</f>
        <v>2868.74</v>
      </c>
      <c r="U1059">
        <f>Source!P285</f>
        <v>0</v>
      </c>
      <c r="V1059">
        <f>Source!S285</f>
        <v>1144.33</v>
      </c>
      <c r="W1059">
        <f>Source!Q285</f>
        <v>4.72</v>
      </c>
      <c r="X1059">
        <f>Source!R285</f>
        <v>2.13</v>
      </c>
      <c r="Y1059">
        <f>Source!U285</f>
        <v>22.364799999999999</v>
      </c>
      <c r="Z1059">
        <f>Source!V285</f>
        <v>2.3199999999999998E-2</v>
      </c>
      <c r="AA1059">
        <f>Source!X285</f>
        <v>974.49</v>
      </c>
      <c r="AB1059">
        <f>Source!Y285</f>
        <v>745.2</v>
      </c>
    </row>
    <row r="1060" spans="1:28" ht="14.25" x14ac:dyDescent="0.2">
      <c r="C1060" s="23" t="str">
        <f>"Объем: "&amp;Source!I285&amp;"=232/"&amp;"100"</f>
        <v>Объем: 2,32=232/100</v>
      </c>
      <c r="F1060" s="12"/>
      <c r="G1060" s="12"/>
      <c r="H1060" s="12"/>
    </row>
    <row r="1061" spans="1:28" x14ac:dyDescent="0.2">
      <c r="C1061" s="23" t="s">
        <v>1978</v>
      </c>
      <c r="D1061" s="23">
        <f>Source!BA285</f>
        <v>6.56</v>
      </c>
    </row>
    <row r="1062" spans="1:28" x14ac:dyDescent="0.2">
      <c r="C1062" s="23" t="s">
        <v>1979</v>
      </c>
      <c r="D1062" s="23">
        <f>Source!BB285</f>
        <v>6.56</v>
      </c>
    </row>
    <row r="1063" spans="1:28" x14ac:dyDescent="0.2">
      <c r="C1063" s="23" t="s">
        <v>1980</v>
      </c>
      <c r="D1063" s="23">
        <f>Source!BC285</f>
        <v>6.56</v>
      </c>
    </row>
    <row r="1064" spans="1:28" x14ac:dyDescent="0.2">
      <c r="C1064" s="23" t="s">
        <v>1981</v>
      </c>
      <c r="D1064" s="23">
        <f>Source!BS285</f>
        <v>6.56</v>
      </c>
    </row>
    <row r="1065" spans="1:28" x14ac:dyDescent="0.2">
      <c r="C1065" s="9" t="s">
        <v>1982</v>
      </c>
      <c r="D1065" s="33"/>
      <c r="E1065" s="33"/>
      <c r="F1065" s="33">
        <f>Source!BZ285</f>
        <v>85</v>
      </c>
      <c r="G1065" s="57">
        <f>(Source!AF285+Source!AE285)*Source!FX285/100</f>
        <v>64.030500000000004</v>
      </c>
      <c r="H1065" s="57">
        <f>Source!X285</f>
        <v>974.49</v>
      </c>
    </row>
    <row r="1066" spans="1:28" x14ac:dyDescent="0.2">
      <c r="C1066" s="9" t="s">
        <v>1984</v>
      </c>
      <c r="D1066" s="33"/>
      <c r="E1066" s="33"/>
      <c r="F1066" s="33">
        <f>Source!CA285</f>
        <v>65</v>
      </c>
      <c r="G1066" s="57">
        <f>(Source!AF285+Source!AE285)*Source!FY285/100</f>
        <v>48.964500000000001</v>
      </c>
      <c r="H1066" s="57">
        <f>Source!Y285</f>
        <v>745.2</v>
      </c>
    </row>
    <row r="1067" spans="1:28" x14ac:dyDescent="0.2">
      <c r="C1067" s="9" t="s">
        <v>1986</v>
      </c>
      <c r="D1067" s="33"/>
      <c r="E1067" s="33"/>
      <c r="F1067" s="33"/>
      <c r="G1067" s="57">
        <f>((Source!AF285+Source!AE285)*Source!FX285/100)+((Source!AF285+Source!AE285)*Source!FY285/100)+Source!AB285</f>
        <v>188.495</v>
      </c>
      <c r="H1067" s="57">
        <f>Source!O285+Source!X285+Source!Y285</f>
        <v>2868.74</v>
      </c>
    </row>
    <row r="1068" spans="1:28" ht="14.25" x14ac:dyDescent="0.2">
      <c r="A1068" s="45">
        <v>153</v>
      </c>
      <c r="B1068" s="45" t="str">
        <f>Source!E286</f>
        <v>66</v>
      </c>
      <c r="C1068" s="45" t="str">
        <f>Source!G286</f>
        <v>Демонтаж выключателей, розеток</v>
      </c>
      <c r="D1068" s="45" t="str">
        <f>Source!F286</f>
        <v>67-4-1</v>
      </c>
      <c r="E1068" s="30" t="str">
        <f>Source!H286</f>
        <v>100 ШТ</v>
      </c>
      <c r="F1068" s="12">
        <f>Source!I286</f>
        <v>0.38</v>
      </c>
      <c r="G1068" s="22">
        <f>Source!AB286</f>
        <v>45.55</v>
      </c>
      <c r="H1068" s="22">
        <f>Source!O286</f>
        <v>113.55</v>
      </c>
      <c r="T1068">
        <f>Source!O286+Source!X286+Source!Y286</f>
        <v>283.88</v>
      </c>
      <c r="U1068">
        <f>Source!P286</f>
        <v>0</v>
      </c>
      <c r="V1068">
        <f>Source!S286</f>
        <v>113.55</v>
      </c>
      <c r="W1068">
        <f>Source!Q286</f>
        <v>0</v>
      </c>
      <c r="X1068">
        <f>Source!R286</f>
        <v>0</v>
      </c>
      <c r="Y1068">
        <f>Source!U286</f>
        <v>2.2191999999999998</v>
      </c>
      <c r="Z1068">
        <f>Source!V286</f>
        <v>0</v>
      </c>
      <c r="AA1068">
        <f>Source!X286</f>
        <v>96.52</v>
      </c>
      <c r="AB1068">
        <f>Source!Y286</f>
        <v>73.81</v>
      </c>
    </row>
    <row r="1069" spans="1:28" ht="14.25" x14ac:dyDescent="0.2">
      <c r="C1069" s="23" t="str">
        <f>"Объем: "&amp;Source!I286&amp;"=38/"&amp;"100"</f>
        <v>Объем: 0,38=38/100</v>
      </c>
      <c r="F1069" s="12"/>
      <c r="G1069" s="12"/>
      <c r="H1069" s="12"/>
    </row>
    <row r="1070" spans="1:28" x14ac:dyDescent="0.2">
      <c r="C1070" s="23" t="s">
        <v>1978</v>
      </c>
      <c r="D1070" s="23">
        <f>Source!BA286</f>
        <v>6.56</v>
      </c>
    </row>
    <row r="1071" spans="1:28" x14ac:dyDescent="0.2">
      <c r="C1071" s="23" t="s">
        <v>1979</v>
      </c>
      <c r="D1071" s="23">
        <f>Source!BB286</f>
        <v>6.56</v>
      </c>
    </row>
    <row r="1072" spans="1:28" x14ac:dyDescent="0.2">
      <c r="C1072" s="23" t="s">
        <v>1980</v>
      </c>
      <c r="D1072" s="23">
        <f>Source!BC286</f>
        <v>6.56</v>
      </c>
    </row>
    <row r="1073" spans="1:28" x14ac:dyDescent="0.2">
      <c r="C1073" s="23" t="s">
        <v>1981</v>
      </c>
      <c r="D1073" s="23">
        <f>Source!BS286</f>
        <v>6.56</v>
      </c>
    </row>
    <row r="1074" spans="1:28" x14ac:dyDescent="0.2">
      <c r="C1074" s="9" t="s">
        <v>1982</v>
      </c>
      <c r="D1074" s="33"/>
      <c r="E1074" s="33"/>
      <c r="F1074" s="33">
        <f>Source!BZ286</f>
        <v>85</v>
      </c>
      <c r="G1074" s="57">
        <f>(Source!AF286+Source!AE286)*Source!FX286/100</f>
        <v>38.717499999999994</v>
      </c>
      <c r="H1074" s="57">
        <f>Source!X286</f>
        <v>96.52</v>
      </c>
    </row>
    <row r="1075" spans="1:28" x14ac:dyDescent="0.2">
      <c r="C1075" s="9" t="s">
        <v>1984</v>
      </c>
      <c r="D1075" s="33"/>
      <c r="E1075" s="33"/>
      <c r="F1075" s="33">
        <f>Source!CA286</f>
        <v>65</v>
      </c>
      <c r="G1075" s="57">
        <f>(Source!AF286+Source!AE286)*Source!FY286/100</f>
        <v>29.607500000000002</v>
      </c>
      <c r="H1075" s="57">
        <f>Source!Y286</f>
        <v>73.81</v>
      </c>
    </row>
    <row r="1076" spans="1:28" x14ac:dyDescent="0.2">
      <c r="C1076" s="9" t="s">
        <v>1986</v>
      </c>
      <c r="D1076" s="33"/>
      <c r="E1076" s="33"/>
      <c r="F1076" s="33"/>
      <c r="G1076" s="57">
        <f>((Source!AF286+Source!AE286)*Source!FX286/100)+((Source!AF286+Source!AE286)*Source!FY286/100)+Source!AB286</f>
        <v>113.87499999999999</v>
      </c>
      <c r="H1076" s="57">
        <f>Source!O286+Source!X286+Source!Y286</f>
        <v>283.88</v>
      </c>
    </row>
    <row r="1077" spans="1:28" ht="28.5" x14ac:dyDescent="0.2">
      <c r="A1077" s="45">
        <v>154</v>
      </c>
      <c r="B1077" s="45" t="str">
        <f>Source!E287</f>
        <v>67</v>
      </c>
      <c r="C1077" s="45" t="str">
        <f>Source!G287</f>
        <v>Демонтаж:Короба пластмассовые шириной до 40 мм</v>
      </c>
      <c r="D1077" s="45" t="str">
        <f>Source!F287</f>
        <v>м08-02-390-01</v>
      </c>
      <c r="E1077" s="30" t="str">
        <f>Source!H287</f>
        <v>100 м</v>
      </c>
      <c r="F1077" s="12">
        <f>Source!I287</f>
        <v>1.54</v>
      </c>
      <c r="G1077" s="22">
        <f>Source!AB287</f>
        <v>46.57</v>
      </c>
      <c r="H1077" s="22">
        <f>Source!O287</f>
        <v>470.47</v>
      </c>
      <c r="T1077">
        <f>Source!O287+Source!X287+Source!Y287</f>
        <v>1222.4000000000001</v>
      </c>
      <c r="U1077">
        <f>Source!P287</f>
        <v>0</v>
      </c>
      <c r="V1077">
        <f>Source!S287</f>
        <v>469.56</v>
      </c>
      <c r="W1077">
        <f>Source!Q287</f>
        <v>0.91</v>
      </c>
      <c r="X1077">
        <f>Source!R287</f>
        <v>0.4</v>
      </c>
      <c r="Y1077">
        <f>Source!U287</f>
        <v>7.5259799999999997</v>
      </c>
      <c r="Z1077">
        <f>Source!V287</f>
        <v>4.62E-3</v>
      </c>
      <c r="AA1077">
        <f>Source!X287</f>
        <v>446.46</v>
      </c>
      <c r="AB1077">
        <f>Source!Y287</f>
        <v>305.47000000000003</v>
      </c>
    </row>
    <row r="1078" spans="1:28" ht="14.25" x14ac:dyDescent="0.2">
      <c r="C1078" s="23" t="str">
        <f>"Объем: "&amp;Source!I287&amp;"=154/"&amp;"100"</f>
        <v>Объем: 1,54=154/100</v>
      </c>
      <c r="F1078" s="12"/>
      <c r="G1078" s="12"/>
      <c r="H1078" s="12"/>
    </row>
    <row r="1079" spans="1:28" x14ac:dyDescent="0.2">
      <c r="C1079" s="23" t="s">
        <v>1978</v>
      </c>
      <c r="D1079" s="23">
        <f>Source!BA287</f>
        <v>6.56</v>
      </c>
    </row>
    <row r="1080" spans="1:28" x14ac:dyDescent="0.2">
      <c r="C1080" s="23" t="s">
        <v>1979</v>
      </c>
      <c r="D1080" s="23">
        <f>Source!BB287</f>
        <v>6.56</v>
      </c>
    </row>
    <row r="1081" spans="1:28" x14ac:dyDescent="0.2">
      <c r="C1081" s="23" t="s">
        <v>1980</v>
      </c>
      <c r="D1081" s="23">
        <f>Source!BC287</f>
        <v>6.56</v>
      </c>
    </row>
    <row r="1082" spans="1:28" x14ac:dyDescent="0.2">
      <c r="C1082" s="23" t="s">
        <v>1981</v>
      </c>
      <c r="D1082" s="23">
        <f>Source!BS287</f>
        <v>6.56</v>
      </c>
    </row>
    <row r="1083" spans="1:28" x14ac:dyDescent="0.2">
      <c r="C1083" s="23" t="s">
        <v>1987</v>
      </c>
      <c r="D1083" s="82" t="s">
        <v>48</v>
      </c>
      <c r="E1083" s="82"/>
      <c r="F1083" s="82"/>
      <c r="G1083" s="82"/>
      <c r="H1083" s="82"/>
    </row>
    <row r="1084" spans="1:28" x14ac:dyDescent="0.2">
      <c r="C1084" s="23" t="s">
        <v>1988</v>
      </c>
      <c r="D1084" s="82" t="s">
        <v>82</v>
      </c>
      <c r="E1084" s="82"/>
      <c r="F1084" s="82"/>
      <c r="G1084" s="82"/>
      <c r="H1084" s="82"/>
    </row>
    <row r="1085" spans="1:28" x14ac:dyDescent="0.2">
      <c r="C1085" s="23" t="s">
        <v>1989</v>
      </c>
      <c r="D1085" s="82" t="s">
        <v>82</v>
      </c>
      <c r="E1085" s="82"/>
      <c r="F1085" s="82"/>
      <c r="G1085" s="82"/>
      <c r="H1085" s="82"/>
    </row>
    <row r="1086" spans="1:28" x14ac:dyDescent="0.2">
      <c r="C1086" s="23" t="s">
        <v>1990</v>
      </c>
      <c r="D1086" s="82" t="s">
        <v>82</v>
      </c>
      <c r="E1086" s="82"/>
      <c r="F1086" s="82"/>
      <c r="G1086" s="82"/>
      <c r="H1086" s="82"/>
    </row>
    <row r="1087" spans="1:28" x14ac:dyDescent="0.2">
      <c r="C1087" s="23" t="s">
        <v>1991</v>
      </c>
      <c r="D1087" s="82" t="s">
        <v>82</v>
      </c>
      <c r="E1087" s="82"/>
      <c r="F1087" s="82"/>
      <c r="G1087" s="82"/>
      <c r="H1087" s="82"/>
    </row>
    <row r="1088" spans="1:28" x14ac:dyDescent="0.2">
      <c r="C1088" s="23" t="s">
        <v>1992</v>
      </c>
      <c r="D1088" s="82" t="s">
        <v>82</v>
      </c>
      <c r="E1088" s="82"/>
      <c r="F1088" s="82"/>
      <c r="G1088" s="82"/>
      <c r="H1088" s="82"/>
    </row>
    <row r="1089" spans="1:28" x14ac:dyDescent="0.2">
      <c r="C1089" s="9" t="s">
        <v>1982</v>
      </c>
      <c r="D1089" s="33"/>
      <c r="E1089" s="33"/>
      <c r="F1089" s="33">
        <f>Source!BZ287</f>
        <v>95</v>
      </c>
      <c r="G1089" s="57">
        <f>(Source!AF287+Source!AE287)*Source!FX287/100</f>
        <v>44.193999999999996</v>
      </c>
      <c r="H1089" s="57">
        <f>Source!X287</f>
        <v>446.46</v>
      </c>
    </row>
    <row r="1090" spans="1:28" x14ac:dyDescent="0.2">
      <c r="C1090" s="9" t="s">
        <v>1984</v>
      </c>
      <c r="D1090" s="33"/>
      <c r="E1090" s="33"/>
      <c r="F1090" s="33">
        <f>Source!CA287</f>
        <v>65</v>
      </c>
      <c r="G1090" s="57">
        <f>(Source!AF287+Source!AE287)*Source!FY287/100</f>
        <v>30.237999999999996</v>
      </c>
      <c r="H1090" s="57">
        <f>Source!Y287</f>
        <v>305.47000000000003</v>
      </c>
    </row>
    <row r="1091" spans="1:28" x14ac:dyDescent="0.2">
      <c r="C1091" s="9" t="s">
        <v>1986</v>
      </c>
      <c r="D1091" s="33"/>
      <c r="E1091" s="33"/>
      <c r="F1091" s="33"/>
      <c r="G1091" s="57">
        <f>((Source!AF287+Source!AE287)*Source!FX287/100)+((Source!AF287+Source!AE287)*Source!FY287/100)+Source!AB287</f>
        <v>121.00199999999998</v>
      </c>
      <c r="H1091" s="57">
        <f>Source!O287+Source!X287+Source!Y287</f>
        <v>1222.4000000000001</v>
      </c>
    </row>
    <row r="1092" spans="1:28" ht="28.5" x14ac:dyDescent="0.2">
      <c r="A1092" s="45">
        <v>155</v>
      </c>
      <c r="B1092" s="45" t="str">
        <f>Source!E288</f>
        <v>68</v>
      </c>
      <c r="C1092" s="45" t="str">
        <f>Source!G288</f>
        <v>Демонтаж:Щиток до трех групп, устанавливаемый в нише цоколя</v>
      </c>
      <c r="D1092" s="45" t="str">
        <f>Source!F288</f>
        <v>м08-02-370-02</v>
      </c>
      <c r="E1092" s="30" t="str">
        <f>Source!H288</f>
        <v>ШТ</v>
      </c>
      <c r="F1092" s="12">
        <f>Source!I288</f>
        <v>2</v>
      </c>
      <c r="G1092" s="22">
        <f>Source!AB288</f>
        <v>8.17</v>
      </c>
      <c r="H1092" s="22">
        <f>Source!O288</f>
        <v>107.19</v>
      </c>
      <c r="T1092">
        <f>Source!O288+Source!X288+Source!Y288</f>
        <v>182.56</v>
      </c>
      <c r="U1092">
        <f>Source!P288</f>
        <v>0</v>
      </c>
      <c r="V1092">
        <f>Source!S288</f>
        <v>37.26</v>
      </c>
      <c r="W1092">
        <f>Source!Q288</f>
        <v>69.930000000000007</v>
      </c>
      <c r="X1092">
        <f>Source!R288</f>
        <v>9.84</v>
      </c>
      <c r="Y1092">
        <f>Source!U288</f>
        <v>0.54</v>
      </c>
      <c r="Z1092">
        <f>Source!V288</f>
        <v>0.12</v>
      </c>
      <c r="AA1092">
        <f>Source!X288</f>
        <v>44.75</v>
      </c>
      <c r="AB1092">
        <f>Source!Y288</f>
        <v>30.62</v>
      </c>
    </row>
    <row r="1093" spans="1:28" ht="14.25" x14ac:dyDescent="0.2">
      <c r="C1093" s="23" t="s">
        <v>1978</v>
      </c>
      <c r="D1093" s="23">
        <f>Source!BA288</f>
        <v>6.56</v>
      </c>
      <c r="F1093" s="12"/>
      <c r="G1093" s="12"/>
      <c r="H1093" s="12"/>
    </row>
    <row r="1094" spans="1:28" x14ac:dyDescent="0.2">
      <c r="C1094" s="23" t="s">
        <v>1979</v>
      </c>
      <c r="D1094" s="23">
        <f>Source!BB288</f>
        <v>6.56</v>
      </c>
    </row>
    <row r="1095" spans="1:28" x14ac:dyDescent="0.2">
      <c r="C1095" s="23" t="s">
        <v>1980</v>
      </c>
      <c r="D1095" s="23">
        <f>Source!BC288</f>
        <v>6.56</v>
      </c>
    </row>
    <row r="1096" spans="1:28" x14ac:dyDescent="0.2">
      <c r="C1096" s="23" t="s">
        <v>1981</v>
      </c>
      <c r="D1096" s="23">
        <f>Source!BS288</f>
        <v>6.56</v>
      </c>
    </row>
    <row r="1097" spans="1:28" x14ac:dyDescent="0.2">
      <c r="C1097" s="23" t="s">
        <v>1987</v>
      </c>
      <c r="D1097" s="82" t="s">
        <v>48</v>
      </c>
      <c r="E1097" s="82"/>
      <c r="F1097" s="82"/>
      <c r="G1097" s="82"/>
      <c r="H1097" s="82"/>
    </row>
    <row r="1098" spans="1:28" x14ac:dyDescent="0.2">
      <c r="C1098" s="23" t="s">
        <v>1988</v>
      </c>
      <c r="D1098" s="82" t="s">
        <v>82</v>
      </c>
      <c r="E1098" s="82"/>
      <c r="F1098" s="82"/>
      <c r="G1098" s="82"/>
      <c r="H1098" s="82"/>
    </row>
    <row r="1099" spans="1:28" x14ac:dyDescent="0.2">
      <c r="C1099" s="23" t="s">
        <v>1989</v>
      </c>
      <c r="D1099" s="82" t="s">
        <v>82</v>
      </c>
      <c r="E1099" s="82"/>
      <c r="F1099" s="82"/>
      <c r="G1099" s="82"/>
      <c r="H1099" s="82"/>
    </row>
    <row r="1100" spans="1:28" x14ac:dyDescent="0.2">
      <c r="C1100" s="23" t="s">
        <v>1990</v>
      </c>
      <c r="D1100" s="82" t="s">
        <v>82</v>
      </c>
      <c r="E1100" s="82"/>
      <c r="F1100" s="82"/>
      <c r="G1100" s="82"/>
      <c r="H1100" s="82"/>
    </row>
    <row r="1101" spans="1:28" x14ac:dyDescent="0.2">
      <c r="C1101" s="23" t="s">
        <v>1991</v>
      </c>
      <c r="D1101" s="82" t="s">
        <v>82</v>
      </c>
      <c r="E1101" s="82"/>
      <c r="F1101" s="82"/>
      <c r="G1101" s="82"/>
      <c r="H1101" s="82"/>
    </row>
    <row r="1102" spans="1:28" x14ac:dyDescent="0.2">
      <c r="C1102" s="23" t="s">
        <v>1992</v>
      </c>
      <c r="D1102" s="82" t="s">
        <v>82</v>
      </c>
      <c r="E1102" s="82"/>
      <c r="F1102" s="82"/>
      <c r="G1102" s="82"/>
      <c r="H1102" s="82"/>
    </row>
    <row r="1103" spans="1:28" x14ac:dyDescent="0.2">
      <c r="C1103" s="9" t="s">
        <v>1982</v>
      </c>
      <c r="D1103" s="33"/>
      <c r="E1103" s="33"/>
      <c r="F1103" s="33">
        <f>Source!BZ288</f>
        <v>95</v>
      </c>
      <c r="G1103" s="57">
        <f>(Source!AF288+Source!AE288)*Source!FX288/100</f>
        <v>3.4105000000000003</v>
      </c>
      <c r="H1103" s="57">
        <f>Source!X288</f>
        <v>44.75</v>
      </c>
    </row>
    <row r="1104" spans="1:28" x14ac:dyDescent="0.2">
      <c r="C1104" s="9" t="s">
        <v>1984</v>
      </c>
      <c r="D1104" s="33"/>
      <c r="E1104" s="33"/>
      <c r="F1104" s="33">
        <f>Source!CA288</f>
        <v>65</v>
      </c>
      <c r="G1104" s="57">
        <f>(Source!AF288+Source!AE288)*Source!FY288/100</f>
        <v>2.3334999999999999</v>
      </c>
      <c r="H1104" s="57">
        <f>Source!Y288</f>
        <v>30.62</v>
      </c>
    </row>
    <row r="1105" spans="1:28" x14ac:dyDescent="0.2">
      <c r="C1105" s="9" t="s">
        <v>1986</v>
      </c>
      <c r="D1105" s="33"/>
      <c r="E1105" s="33"/>
      <c r="F1105" s="33"/>
      <c r="G1105" s="57">
        <f>((Source!AF288+Source!AE288)*Source!FX288/100)+((Source!AF288+Source!AE288)*Source!FY288/100)+Source!AB288</f>
        <v>13.914</v>
      </c>
      <c r="H1105" s="57">
        <f>Source!O288+Source!X288+Source!Y288</f>
        <v>182.56</v>
      </c>
    </row>
    <row r="1107" spans="1:28" ht="15" x14ac:dyDescent="0.25">
      <c r="A1107" s="58"/>
      <c r="B1107" s="58"/>
      <c r="C1107" s="66" t="str">
        <f>CONCATENATE("Итого по подразделу: ",IF(Source!G290&lt;&gt;"Новый подраздел", Source!G290, ""))</f>
        <v>Итого по подразделу: 1Демонтаж</v>
      </c>
      <c r="D1107" s="66"/>
      <c r="E1107" s="66"/>
      <c r="F1107" s="66"/>
      <c r="G1107" s="58"/>
      <c r="H1107" s="59">
        <f>IF(SUM(T1049:T1106)=0, "-", SUM(T1049:T1106))</f>
        <v>6271.2400000000007</v>
      </c>
    </row>
    <row r="1108" spans="1:28" ht="15" x14ac:dyDescent="0.25">
      <c r="A1108" s="58"/>
      <c r="B1108" s="58"/>
      <c r="C1108" s="58"/>
      <c r="D1108" s="58"/>
      <c r="E1108" s="58"/>
      <c r="F1108" s="58"/>
      <c r="G1108" s="58"/>
      <c r="H1108" s="58"/>
    </row>
    <row r="1111" spans="1:28" ht="16.5" x14ac:dyDescent="0.25">
      <c r="A1111" s="68" t="str">
        <f>CONCATENATE("Подраздел: ",IF(Source!G319&lt;&gt;"Новый подраздел", Source!G319, ""))</f>
        <v>Подраздел: 2 Монтаж освещения</v>
      </c>
      <c r="B1111" s="68"/>
      <c r="C1111" s="68"/>
      <c r="D1111" s="68"/>
      <c r="E1111" s="68"/>
      <c r="F1111" s="68"/>
      <c r="G1111" s="68"/>
      <c r="H1111" s="68"/>
    </row>
    <row r="1112" spans="1:28" ht="28.5" x14ac:dyDescent="0.2">
      <c r="A1112" s="45">
        <v>156</v>
      </c>
      <c r="B1112" s="45" t="str">
        <f>Source!E323</f>
        <v>69</v>
      </c>
      <c r="C1112" s="45" t="str">
        <f>Source!G323</f>
        <v>Светильник в подвесных потолках</v>
      </c>
      <c r="D1112" s="45" t="str">
        <f>Source!F323</f>
        <v>м08-03-593-19</v>
      </c>
      <c r="E1112" s="30" t="str">
        <f>Source!H323</f>
        <v>100 ШТ</v>
      </c>
      <c r="F1112" s="12">
        <f>Source!I323</f>
        <v>0.2</v>
      </c>
      <c r="G1112" s="22">
        <f>Source!AB323</f>
        <v>1092.72</v>
      </c>
      <c r="H1112" s="22">
        <f>Source!O323</f>
        <v>1433.65</v>
      </c>
      <c r="T1112">
        <f>Source!O323+Source!X323+Source!Y323</f>
        <v>3409.9900000000002</v>
      </c>
      <c r="U1112">
        <f>Source!P323</f>
        <v>158.4</v>
      </c>
      <c r="V1112">
        <f>Source!S323</f>
        <v>1228.6199999999999</v>
      </c>
      <c r="W1112">
        <f>Source!Q323</f>
        <v>46.63</v>
      </c>
      <c r="X1112">
        <f>Source!R323</f>
        <v>6.59</v>
      </c>
      <c r="Y1112">
        <f>Source!U323</f>
        <v>18.880000000000003</v>
      </c>
      <c r="Z1112">
        <f>Source!V323</f>
        <v>8.0000000000000016E-2</v>
      </c>
      <c r="AA1112">
        <f>Source!X323</f>
        <v>1173.45</v>
      </c>
      <c r="AB1112">
        <f>Source!Y323</f>
        <v>802.89</v>
      </c>
    </row>
    <row r="1113" spans="1:28" ht="14.25" x14ac:dyDescent="0.2">
      <c r="C1113" s="23" t="str">
        <f>"Объем: "&amp;Source!I323&amp;"=20/"&amp;"100"</f>
        <v>Объем: 0,2=20/100</v>
      </c>
      <c r="F1113" s="12"/>
      <c r="G1113" s="12"/>
      <c r="H1113" s="12"/>
    </row>
    <row r="1114" spans="1:28" x14ac:dyDescent="0.2">
      <c r="C1114" s="23" t="s">
        <v>1978</v>
      </c>
      <c r="D1114" s="23">
        <f>Source!BA323</f>
        <v>6.56</v>
      </c>
    </row>
    <row r="1115" spans="1:28" x14ac:dyDescent="0.2">
      <c r="C1115" s="23" t="s">
        <v>1979</v>
      </c>
      <c r="D1115" s="23">
        <f>Source!BB323</f>
        <v>6.56</v>
      </c>
    </row>
    <row r="1116" spans="1:28" x14ac:dyDescent="0.2">
      <c r="C1116" s="23" t="s">
        <v>1980</v>
      </c>
      <c r="D1116" s="23">
        <f>Source!BC323</f>
        <v>6.56</v>
      </c>
    </row>
    <row r="1117" spans="1:28" x14ac:dyDescent="0.2">
      <c r="C1117" s="23" t="s">
        <v>1981</v>
      </c>
      <c r="D1117" s="23">
        <f>Source!BS323</f>
        <v>6.56</v>
      </c>
    </row>
    <row r="1118" spans="1:28" x14ac:dyDescent="0.2">
      <c r="C1118" s="9" t="s">
        <v>1982</v>
      </c>
      <c r="D1118" s="33"/>
      <c r="E1118" s="33"/>
      <c r="F1118" s="33">
        <f>Source!BZ323</f>
        <v>95</v>
      </c>
      <c r="G1118" s="57">
        <f>(Source!AF323+Source!AE323)*Source!FX323/100</f>
        <v>894.39650000000006</v>
      </c>
      <c r="H1118" s="57">
        <f>Source!X323</f>
        <v>1173.45</v>
      </c>
    </row>
    <row r="1119" spans="1:28" x14ac:dyDescent="0.2">
      <c r="C1119" s="9" t="s">
        <v>1984</v>
      </c>
      <c r="D1119" s="33"/>
      <c r="E1119" s="33"/>
      <c r="F1119" s="33">
        <f>Source!CA323</f>
        <v>65</v>
      </c>
      <c r="G1119" s="57">
        <f>(Source!AF323+Source!AE323)*Source!FY323/100</f>
        <v>611.95550000000003</v>
      </c>
      <c r="H1119" s="57">
        <f>Source!Y323</f>
        <v>802.89</v>
      </c>
    </row>
    <row r="1120" spans="1:28" x14ac:dyDescent="0.2">
      <c r="C1120" s="9" t="s">
        <v>1986</v>
      </c>
      <c r="D1120" s="33"/>
      <c r="E1120" s="33"/>
      <c r="F1120" s="33"/>
      <c r="G1120" s="57">
        <f>((Source!AF323+Source!AE323)*Source!FX323/100)+((Source!AF323+Source!AE323)*Source!FY323/100)+Source!AB323</f>
        <v>2599.0720000000001</v>
      </c>
      <c r="H1120" s="57">
        <f>Source!O323+Source!X323+Source!Y323</f>
        <v>3409.9900000000002</v>
      </c>
    </row>
    <row r="1121" spans="1:28" ht="71.25" x14ac:dyDescent="0.2">
      <c r="A1121" s="45">
        <v>157</v>
      </c>
      <c r="B1121" s="45" t="str">
        <f>Source!E324</f>
        <v>69,1</v>
      </c>
      <c r="C1121" s="45" t="str">
        <f>Source!G324</f>
        <v>Светильник светодиодный, встраиваемые, мощностью 40W,цветовой температурой К4000,размером 595х595х40мм,IP40 прим.</v>
      </c>
      <c r="D1121" s="45" t="str">
        <f>Source!F324</f>
        <v>20.3.03.04-0044</v>
      </c>
      <c r="E1121" s="30" t="str">
        <f>Source!H324</f>
        <v>шт.</v>
      </c>
      <c r="F1121" s="12">
        <f>Source!I324</f>
        <v>20</v>
      </c>
      <c r="G1121" s="22">
        <f>Source!AB324</f>
        <v>340.37</v>
      </c>
      <c r="H1121" s="22">
        <f>Source!O324</f>
        <v>44656.54</v>
      </c>
      <c r="T1121">
        <f>Source!O324+Source!X324+Source!Y324</f>
        <v>44656.54</v>
      </c>
      <c r="U1121">
        <f>Source!P324</f>
        <v>44656.54</v>
      </c>
      <c r="V1121">
        <f>Source!S324</f>
        <v>0</v>
      </c>
      <c r="W1121">
        <f>Source!Q324</f>
        <v>0</v>
      </c>
      <c r="X1121">
        <f>Source!R324</f>
        <v>0</v>
      </c>
      <c r="Y1121">
        <f>Source!U324</f>
        <v>0</v>
      </c>
      <c r="Z1121">
        <f>Source!V324</f>
        <v>0</v>
      </c>
      <c r="AA1121">
        <f>Source!X324</f>
        <v>0</v>
      </c>
      <c r="AB1121">
        <f>Source!Y324</f>
        <v>0</v>
      </c>
    </row>
    <row r="1122" spans="1:28" ht="14.25" x14ac:dyDescent="0.2">
      <c r="C1122" s="23" t="s">
        <v>1980</v>
      </c>
      <c r="D1122" s="23">
        <f>Source!BC324</f>
        <v>6.56</v>
      </c>
      <c r="F1122" s="12"/>
      <c r="G1122" s="12"/>
      <c r="H1122" s="12"/>
    </row>
    <row r="1123" spans="1:28" ht="42.75" x14ac:dyDescent="0.2">
      <c r="A1123" s="45">
        <v>158</v>
      </c>
      <c r="B1123" s="45" t="str">
        <f>Source!E325</f>
        <v>70</v>
      </c>
      <c r="C1123" s="45" t="str">
        <f>Source!G325</f>
        <v>Светильник отдельно устанавливаемый на штырях с количеством ламп в светильнике до 4</v>
      </c>
      <c r="D1123" s="45" t="str">
        <f>Source!F325</f>
        <v>м08-03-594-03</v>
      </c>
      <c r="E1123" s="30" t="str">
        <f>Source!H325</f>
        <v>100 ШТ</v>
      </c>
      <c r="F1123" s="12">
        <f>Source!I325</f>
        <v>0.75</v>
      </c>
      <c r="G1123" s="22">
        <f>Source!AB325</f>
        <v>1523.57</v>
      </c>
      <c r="H1123" s="22">
        <f>Source!O325</f>
        <v>7495.97</v>
      </c>
      <c r="T1123">
        <f>Source!O325+Source!X325+Source!Y325</f>
        <v>18113.03</v>
      </c>
      <c r="U1123">
        <f>Source!P325</f>
        <v>635.07000000000005</v>
      </c>
      <c r="V1123">
        <f>Source!S325</f>
        <v>6598.61</v>
      </c>
      <c r="W1123">
        <f>Source!Q325</f>
        <v>262.29000000000002</v>
      </c>
      <c r="X1123">
        <f>Source!R325</f>
        <v>37.049999999999997</v>
      </c>
      <c r="Y1123">
        <f>Source!U325</f>
        <v>101.39999999999999</v>
      </c>
      <c r="Z1123">
        <f>Source!V325</f>
        <v>0.44999999999999996</v>
      </c>
      <c r="AA1123">
        <f>Source!X325</f>
        <v>6303.88</v>
      </c>
      <c r="AB1123">
        <f>Source!Y325</f>
        <v>4313.18</v>
      </c>
    </row>
    <row r="1124" spans="1:28" ht="14.25" x14ac:dyDescent="0.2">
      <c r="C1124" s="23" t="str">
        <f>"Объем: "&amp;Source!I325&amp;"=75/"&amp;"100"</f>
        <v>Объем: 0,75=75/100</v>
      </c>
      <c r="F1124" s="12"/>
      <c r="G1124" s="12"/>
      <c r="H1124" s="12"/>
    </row>
    <row r="1125" spans="1:28" x14ac:dyDescent="0.2">
      <c r="C1125" s="23" t="s">
        <v>1978</v>
      </c>
      <c r="D1125" s="23">
        <f>Source!BA325</f>
        <v>6.56</v>
      </c>
    </row>
    <row r="1126" spans="1:28" x14ac:dyDescent="0.2">
      <c r="C1126" s="23" t="s">
        <v>1979</v>
      </c>
      <c r="D1126" s="23">
        <f>Source!BB325</f>
        <v>6.56</v>
      </c>
    </row>
    <row r="1127" spans="1:28" x14ac:dyDescent="0.2">
      <c r="C1127" s="23" t="s">
        <v>1980</v>
      </c>
      <c r="D1127" s="23">
        <f>Source!BC325</f>
        <v>6.56</v>
      </c>
    </row>
    <row r="1128" spans="1:28" x14ac:dyDescent="0.2">
      <c r="C1128" s="23" t="s">
        <v>1981</v>
      </c>
      <c r="D1128" s="23">
        <f>Source!BS325</f>
        <v>6.56</v>
      </c>
    </row>
    <row r="1129" spans="1:28" x14ac:dyDescent="0.2">
      <c r="C1129" s="9" t="s">
        <v>1982</v>
      </c>
      <c r="D1129" s="33"/>
      <c r="E1129" s="33"/>
      <c r="F1129" s="33">
        <f>Source!BZ325</f>
        <v>95</v>
      </c>
      <c r="G1129" s="57">
        <f>(Source!AF325+Source!AE325)*Source!FX325/100</f>
        <v>1281.2745</v>
      </c>
      <c r="H1129" s="57">
        <f>Source!X325</f>
        <v>6303.88</v>
      </c>
    </row>
    <row r="1130" spans="1:28" x14ac:dyDescent="0.2">
      <c r="C1130" s="9" t="s">
        <v>1984</v>
      </c>
      <c r="D1130" s="33"/>
      <c r="E1130" s="33"/>
      <c r="F1130" s="33">
        <f>Source!CA325</f>
        <v>65</v>
      </c>
      <c r="G1130" s="57">
        <f>(Source!AF325+Source!AE325)*Source!FY325/100</f>
        <v>876.66150000000005</v>
      </c>
      <c r="H1130" s="57">
        <f>Source!Y325</f>
        <v>4313.18</v>
      </c>
    </row>
    <row r="1131" spans="1:28" x14ac:dyDescent="0.2">
      <c r="C1131" s="9" t="s">
        <v>1986</v>
      </c>
      <c r="D1131" s="33"/>
      <c r="E1131" s="33"/>
      <c r="F1131" s="33"/>
      <c r="G1131" s="57">
        <f>((Source!AF325+Source!AE325)*Source!FX325/100)+((Source!AF325+Source!AE325)*Source!FY325/100)+Source!AB325</f>
        <v>3681.5060000000003</v>
      </c>
      <c r="H1131" s="57">
        <f>Source!O325+Source!X325+Source!Y325</f>
        <v>18113.03</v>
      </c>
    </row>
    <row r="1132" spans="1:28" ht="57" x14ac:dyDescent="0.2">
      <c r="A1132" s="45">
        <v>159</v>
      </c>
      <c r="B1132" s="45" t="str">
        <f>Source!E326</f>
        <v>70,1</v>
      </c>
      <c r="C1132" s="45" t="str">
        <f>Source!G326</f>
        <v>Светильник светодиодный,накладной мощностью 40W,цветовой температурой К4000,размером 595х595х40мм,IP40 прим.</v>
      </c>
      <c r="D1132" s="45" t="str">
        <f>Source!F326</f>
        <v>20.3.03.04-0044</v>
      </c>
      <c r="E1132" s="30" t="str">
        <f>Source!H326</f>
        <v>шт.</v>
      </c>
      <c r="F1132" s="12">
        <f>Source!I326</f>
        <v>75</v>
      </c>
      <c r="G1132" s="22">
        <f>Source!AB326</f>
        <v>340.37</v>
      </c>
      <c r="H1132" s="22">
        <f>Source!O326</f>
        <v>167462.04</v>
      </c>
      <c r="T1132">
        <f>Source!O326+Source!X326+Source!Y326</f>
        <v>167462.04</v>
      </c>
      <c r="U1132">
        <f>Source!P326</f>
        <v>167462.04</v>
      </c>
      <c r="V1132">
        <f>Source!S326</f>
        <v>0</v>
      </c>
      <c r="W1132">
        <f>Source!Q326</f>
        <v>0</v>
      </c>
      <c r="X1132">
        <f>Source!R326</f>
        <v>0</v>
      </c>
      <c r="Y1132">
        <f>Source!U326</f>
        <v>0</v>
      </c>
      <c r="Z1132">
        <f>Source!V326</f>
        <v>0</v>
      </c>
      <c r="AA1132">
        <f>Source!X326</f>
        <v>0</v>
      </c>
      <c r="AB1132">
        <f>Source!Y326</f>
        <v>0</v>
      </c>
    </row>
    <row r="1133" spans="1:28" ht="14.25" x14ac:dyDescent="0.2">
      <c r="C1133" s="23" t="s">
        <v>1980</v>
      </c>
      <c r="D1133" s="23">
        <f>Source!BC326</f>
        <v>6.56</v>
      </c>
      <c r="F1133" s="12"/>
      <c r="G1133" s="12"/>
      <c r="H1133" s="12"/>
    </row>
    <row r="1134" spans="1:28" ht="42.75" x14ac:dyDescent="0.2">
      <c r="A1134" s="45">
        <v>160</v>
      </c>
      <c r="B1134" s="45" t="str">
        <f>Source!E327</f>
        <v>71</v>
      </c>
      <c r="C1134" s="45" t="str">
        <f>Source!G327</f>
        <v>Выключатель двухклавишный неутопленного типа при открытой проводке</v>
      </c>
      <c r="D1134" s="45" t="str">
        <f>Source!F327</f>
        <v>м08-03-591-04</v>
      </c>
      <c r="E1134" s="30" t="str">
        <f>Source!H327</f>
        <v>100 ШТ</v>
      </c>
      <c r="F1134" s="12">
        <f>Source!I327</f>
        <v>0.06</v>
      </c>
      <c r="G1134" s="22">
        <f>Source!AB327</f>
        <v>456.35</v>
      </c>
      <c r="H1134" s="22">
        <f>Source!O327</f>
        <v>179.63</v>
      </c>
      <c r="T1134">
        <f>Source!O327+Source!X327+Source!Y327</f>
        <v>399.5</v>
      </c>
      <c r="U1134">
        <f>Source!P327</f>
        <v>40.619999999999997</v>
      </c>
      <c r="V1134">
        <f>Source!S327</f>
        <v>137.16999999999999</v>
      </c>
      <c r="W1134">
        <f>Source!Q327</f>
        <v>1.84</v>
      </c>
      <c r="X1134">
        <f>Source!R327</f>
        <v>0.25</v>
      </c>
      <c r="Y1134">
        <f>Source!U327</f>
        <v>2.1078000000000001</v>
      </c>
      <c r="Z1134">
        <f>Source!V327</f>
        <v>3.0000000000000001E-3</v>
      </c>
      <c r="AA1134">
        <f>Source!X327</f>
        <v>130.55000000000001</v>
      </c>
      <c r="AB1134">
        <f>Source!Y327</f>
        <v>89.32</v>
      </c>
    </row>
    <row r="1135" spans="1:28" ht="14.25" x14ac:dyDescent="0.2">
      <c r="C1135" s="23" t="str">
        <f>"Объем: "&amp;Source!I327&amp;"=6/"&amp;"100"</f>
        <v>Объем: 0,06=6/100</v>
      </c>
      <c r="F1135" s="12"/>
      <c r="G1135" s="12"/>
      <c r="H1135" s="12"/>
    </row>
    <row r="1136" spans="1:28" x14ac:dyDescent="0.2">
      <c r="C1136" s="23" t="s">
        <v>1978</v>
      </c>
      <c r="D1136" s="23">
        <f>Source!BA327</f>
        <v>6.56</v>
      </c>
    </row>
    <row r="1137" spans="1:28" x14ac:dyDescent="0.2">
      <c r="C1137" s="23" t="s">
        <v>1979</v>
      </c>
      <c r="D1137" s="23">
        <f>Source!BB327</f>
        <v>6.56</v>
      </c>
    </row>
    <row r="1138" spans="1:28" x14ac:dyDescent="0.2">
      <c r="C1138" s="23" t="s">
        <v>1980</v>
      </c>
      <c r="D1138" s="23">
        <f>Source!BC327</f>
        <v>6.56</v>
      </c>
    </row>
    <row r="1139" spans="1:28" x14ac:dyDescent="0.2">
      <c r="C1139" s="23" t="s">
        <v>1981</v>
      </c>
      <c r="D1139" s="23">
        <f>Source!BS327</f>
        <v>6.56</v>
      </c>
    </row>
    <row r="1140" spans="1:28" x14ac:dyDescent="0.2">
      <c r="C1140" s="9" t="s">
        <v>1982</v>
      </c>
      <c r="D1140" s="33"/>
      <c r="E1140" s="33"/>
      <c r="F1140" s="33">
        <f>Source!BZ327</f>
        <v>95</v>
      </c>
      <c r="G1140" s="57">
        <f>(Source!AF327+Source!AE327)*Source!FX327/100</f>
        <v>331.67349999999999</v>
      </c>
      <c r="H1140" s="57">
        <f>Source!X327</f>
        <v>130.55000000000001</v>
      </c>
    </row>
    <row r="1141" spans="1:28" x14ac:dyDescent="0.2">
      <c r="C1141" s="9" t="s">
        <v>1984</v>
      </c>
      <c r="D1141" s="33"/>
      <c r="E1141" s="33"/>
      <c r="F1141" s="33">
        <f>Source!CA327</f>
        <v>65</v>
      </c>
      <c r="G1141" s="57">
        <f>(Source!AF327+Source!AE327)*Source!FY327/100</f>
        <v>226.93450000000001</v>
      </c>
      <c r="H1141" s="57">
        <f>Source!Y327</f>
        <v>89.32</v>
      </c>
    </row>
    <row r="1142" spans="1:28" x14ac:dyDescent="0.2">
      <c r="C1142" s="9" t="s">
        <v>1986</v>
      </c>
      <c r="D1142" s="33"/>
      <c r="E1142" s="33"/>
      <c r="F1142" s="33"/>
      <c r="G1142" s="57">
        <f>((Source!AF327+Source!AE327)*Source!FX327/100)+((Source!AF327+Source!AE327)*Source!FY327/100)+Source!AB327</f>
        <v>1014.958</v>
      </c>
      <c r="H1142" s="57">
        <f>Source!O327+Source!X327+Source!Y327</f>
        <v>399.5</v>
      </c>
    </row>
    <row r="1143" spans="1:28" ht="28.5" x14ac:dyDescent="0.2">
      <c r="A1143" s="45">
        <v>161</v>
      </c>
      <c r="B1143" s="45" t="str">
        <f>Source!E328</f>
        <v>71,1</v>
      </c>
      <c r="C1143" s="45" t="str">
        <f>Source!G328</f>
        <v>Выключатель двухклавишный для открытой проводки</v>
      </c>
      <c r="D1143" s="45" t="str">
        <f>Source!F328</f>
        <v>20.4.01.01-0001</v>
      </c>
      <c r="E1143" s="30" t="str">
        <f>Source!H328</f>
        <v>10 шт.</v>
      </c>
      <c r="F1143" s="12">
        <f>Source!I328</f>
        <v>0.6</v>
      </c>
      <c r="G1143" s="22">
        <f>Source!AB328</f>
        <v>72.8</v>
      </c>
      <c r="H1143" s="22">
        <f>Source!O328</f>
        <v>286.54000000000002</v>
      </c>
      <c r="T1143">
        <f>Source!O328+Source!X328+Source!Y328</f>
        <v>286.54000000000002</v>
      </c>
      <c r="U1143">
        <f>Source!P328</f>
        <v>286.54000000000002</v>
      </c>
      <c r="V1143">
        <f>Source!S328</f>
        <v>0</v>
      </c>
      <c r="W1143">
        <f>Source!Q328</f>
        <v>0</v>
      </c>
      <c r="X1143">
        <f>Source!R328</f>
        <v>0</v>
      </c>
      <c r="Y1143">
        <f>Source!U328</f>
        <v>0</v>
      </c>
      <c r="Z1143">
        <f>Source!V328</f>
        <v>0</v>
      </c>
      <c r="AA1143">
        <f>Source!X328</f>
        <v>0</v>
      </c>
      <c r="AB1143">
        <f>Source!Y328</f>
        <v>0</v>
      </c>
    </row>
    <row r="1144" spans="1:28" ht="14.25" x14ac:dyDescent="0.2">
      <c r="C1144" s="23" t="s">
        <v>1980</v>
      </c>
      <c r="D1144" s="23">
        <f>Source!BC328</f>
        <v>6.56</v>
      </c>
      <c r="F1144" s="12"/>
      <c r="G1144" s="12"/>
      <c r="H1144" s="12"/>
    </row>
    <row r="1145" spans="1:28" ht="42.75" x14ac:dyDescent="0.2">
      <c r="A1145" s="45">
        <v>162</v>
      </c>
      <c r="B1145" s="45" t="str">
        <f>Source!E329</f>
        <v>72</v>
      </c>
      <c r="C1145" s="45" t="str">
        <f>Source!G329</f>
        <v>Выключатель одноклавишный неутопленного типа при открытой проводке</v>
      </c>
      <c r="D1145" s="45" t="str">
        <f>Source!F329</f>
        <v>м08-03-591-01</v>
      </c>
      <c r="E1145" s="30" t="str">
        <f>Source!H329</f>
        <v>100 ШТ</v>
      </c>
      <c r="F1145" s="12">
        <f>Source!I329</f>
        <v>0.03</v>
      </c>
      <c r="G1145" s="22">
        <f>Source!AB329</f>
        <v>423.97</v>
      </c>
      <c r="H1145" s="22">
        <f>Source!O329</f>
        <v>83.44</v>
      </c>
      <c r="T1145">
        <f>Source!O329+Source!X329+Source!Y329</f>
        <v>182.35</v>
      </c>
      <c r="U1145">
        <f>Source!P329</f>
        <v>20.83</v>
      </c>
      <c r="V1145">
        <f>Source!S329</f>
        <v>61.69</v>
      </c>
      <c r="W1145">
        <f>Source!Q329</f>
        <v>0.92</v>
      </c>
      <c r="X1145">
        <f>Source!R329</f>
        <v>0.13</v>
      </c>
      <c r="Y1145">
        <f>Source!U329</f>
        <v>0.94799999999999995</v>
      </c>
      <c r="Z1145">
        <f>Source!V329</f>
        <v>1.5E-3</v>
      </c>
      <c r="AA1145">
        <f>Source!X329</f>
        <v>58.73</v>
      </c>
      <c r="AB1145">
        <f>Source!Y329</f>
        <v>40.18</v>
      </c>
    </row>
    <row r="1146" spans="1:28" ht="14.25" x14ac:dyDescent="0.2">
      <c r="C1146" s="23" t="str">
        <f>"Объем: "&amp;Source!I329&amp;"=3/"&amp;"100"</f>
        <v>Объем: 0,03=3/100</v>
      </c>
      <c r="F1146" s="12"/>
      <c r="G1146" s="12"/>
      <c r="H1146" s="12"/>
    </row>
    <row r="1147" spans="1:28" x14ac:dyDescent="0.2">
      <c r="C1147" s="23" t="s">
        <v>1978</v>
      </c>
      <c r="D1147" s="23">
        <f>Source!BA329</f>
        <v>6.56</v>
      </c>
    </row>
    <row r="1148" spans="1:28" x14ac:dyDescent="0.2">
      <c r="C1148" s="23" t="s">
        <v>1979</v>
      </c>
      <c r="D1148" s="23">
        <f>Source!BB329</f>
        <v>6.56</v>
      </c>
    </row>
    <row r="1149" spans="1:28" x14ac:dyDescent="0.2">
      <c r="C1149" s="23" t="s">
        <v>1980</v>
      </c>
      <c r="D1149" s="23">
        <f>Source!BC329</f>
        <v>6.56</v>
      </c>
    </row>
    <row r="1150" spans="1:28" x14ac:dyDescent="0.2">
      <c r="C1150" s="23" t="s">
        <v>1981</v>
      </c>
      <c r="D1150" s="23">
        <f>Source!BS329</f>
        <v>6.56</v>
      </c>
    </row>
    <row r="1151" spans="1:28" x14ac:dyDescent="0.2">
      <c r="C1151" s="9" t="s">
        <v>1982</v>
      </c>
      <c r="D1151" s="33"/>
      <c r="E1151" s="33"/>
      <c r="F1151" s="33">
        <f>Source!BZ329</f>
        <v>95</v>
      </c>
      <c r="G1151" s="57">
        <f>(Source!AF329+Source!AE329)*Source!FX329/100</f>
        <v>298.40449999999998</v>
      </c>
      <c r="H1151" s="57">
        <f>Source!X329</f>
        <v>58.73</v>
      </c>
    </row>
    <row r="1152" spans="1:28" x14ac:dyDescent="0.2">
      <c r="C1152" s="9" t="s">
        <v>1984</v>
      </c>
      <c r="D1152" s="33"/>
      <c r="E1152" s="33"/>
      <c r="F1152" s="33">
        <f>Source!CA329</f>
        <v>65</v>
      </c>
      <c r="G1152" s="57">
        <f>(Source!AF329+Source!AE329)*Source!FY329/100</f>
        <v>204.17150000000001</v>
      </c>
      <c r="H1152" s="57">
        <f>Source!Y329</f>
        <v>40.18</v>
      </c>
    </row>
    <row r="1153" spans="1:28" x14ac:dyDescent="0.2">
      <c r="C1153" s="9" t="s">
        <v>1986</v>
      </c>
      <c r="D1153" s="33"/>
      <c r="E1153" s="33"/>
      <c r="F1153" s="33"/>
      <c r="G1153" s="57">
        <f>((Source!AF329+Source!AE329)*Source!FX329/100)+((Source!AF329+Source!AE329)*Source!FY329/100)+Source!AB329</f>
        <v>926.54600000000005</v>
      </c>
      <c r="H1153" s="57">
        <f>Source!O329+Source!X329+Source!Y329</f>
        <v>182.35</v>
      </c>
    </row>
    <row r="1154" spans="1:28" ht="42.75" x14ac:dyDescent="0.2">
      <c r="A1154" s="45">
        <v>163</v>
      </c>
      <c r="B1154" s="45" t="str">
        <f>Source!E330</f>
        <v>72,1</v>
      </c>
      <c r="C1154" s="45" t="str">
        <f>Source!G330</f>
        <v>Выключатель одноклавишный для открытой проводки серии "Прима", марка А16-051, цвет белый</v>
      </c>
      <c r="D1154" s="45" t="str">
        <f>Source!F330</f>
        <v>20.4.01.01-0044</v>
      </c>
      <c r="E1154" s="30" t="str">
        <f>Source!H330</f>
        <v>10 шт.</v>
      </c>
      <c r="F1154" s="12">
        <f>Source!I330</f>
        <v>0.3</v>
      </c>
      <c r="G1154" s="22">
        <f>Source!AB330</f>
        <v>64.400000000000006</v>
      </c>
      <c r="H1154" s="22">
        <f>Source!O330</f>
        <v>126.74</v>
      </c>
      <c r="T1154">
        <f>Source!O330+Source!X330+Source!Y330</f>
        <v>126.74</v>
      </c>
      <c r="U1154">
        <f>Source!P330</f>
        <v>126.74</v>
      </c>
      <c r="V1154">
        <f>Source!S330</f>
        <v>0</v>
      </c>
      <c r="W1154">
        <f>Source!Q330</f>
        <v>0</v>
      </c>
      <c r="X1154">
        <f>Source!R330</f>
        <v>0</v>
      </c>
      <c r="Y1154">
        <f>Source!U330</f>
        <v>0</v>
      </c>
      <c r="Z1154">
        <f>Source!V330</f>
        <v>0</v>
      </c>
      <c r="AA1154">
        <f>Source!X330</f>
        <v>0</v>
      </c>
      <c r="AB1154">
        <f>Source!Y330</f>
        <v>0</v>
      </c>
    </row>
    <row r="1155" spans="1:28" ht="14.25" x14ac:dyDescent="0.2">
      <c r="C1155" s="23" t="s">
        <v>1980</v>
      </c>
      <c r="D1155" s="23">
        <f>Source!BC330</f>
        <v>6.56</v>
      </c>
      <c r="F1155" s="12"/>
      <c r="G1155" s="12"/>
      <c r="H1155" s="12"/>
    </row>
    <row r="1156" spans="1:28" ht="28.5" x14ac:dyDescent="0.2">
      <c r="A1156" s="45">
        <v>164</v>
      </c>
      <c r="B1156" s="45" t="str">
        <f>Source!E331</f>
        <v>73</v>
      </c>
      <c r="C1156" s="45" t="str">
        <f>Source!G331</f>
        <v>Прокладка труб гофрированных ПВХ для защиты проводов и кабелей</v>
      </c>
      <c r="D1156" s="45" t="str">
        <f>Source!F331</f>
        <v>м08-10-010-01</v>
      </c>
      <c r="E1156" s="30" t="str">
        <f>Source!H331</f>
        <v>100 м</v>
      </c>
      <c r="F1156" s="12">
        <f>Source!I331</f>
        <v>1.83</v>
      </c>
      <c r="G1156" s="22">
        <f>Source!AB331</f>
        <v>156.33000000000001</v>
      </c>
      <c r="H1156" s="22">
        <f>Source!O331</f>
        <v>1876.71</v>
      </c>
      <c r="T1156">
        <f>Source!O331+Source!X331+Source!Y331</f>
        <v>4556.9500000000007</v>
      </c>
      <c r="U1156">
        <f>Source!P331</f>
        <v>201.56</v>
      </c>
      <c r="V1156">
        <f>Source!S331</f>
        <v>1675.15</v>
      </c>
      <c r="W1156">
        <f>Source!Q331</f>
        <v>0</v>
      </c>
      <c r="X1156">
        <f>Source!R331</f>
        <v>0</v>
      </c>
      <c r="Y1156">
        <f>Source!U331</f>
        <v>27.815999999999999</v>
      </c>
      <c r="Z1156">
        <f>Source!V331</f>
        <v>0</v>
      </c>
      <c r="AA1156">
        <f>Source!X331</f>
        <v>1591.39</v>
      </c>
      <c r="AB1156">
        <f>Source!Y331</f>
        <v>1088.8499999999999</v>
      </c>
    </row>
    <row r="1157" spans="1:28" ht="14.25" x14ac:dyDescent="0.2">
      <c r="C1157" s="23" t="str">
        <f>"Объем: "&amp;Source!I331&amp;"=183/"&amp;"100"</f>
        <v>Объем: 1,83=183/100</v>
      </c>
      <c r="F1157" s="12"/>
      <c r="G1157" s="12"/>
      <c r="H1157" s="12"/>
    </row>
    <row r="1158" spans="1:28" x14ac:dyDescent="0.2">
      <c r="C1158" s="23" t="s">
        <v>1978</v>
      </c>
      <c r="D1158" s="23">
        <f>Source!BA331</f>
        <v>6.56</v>
      </c>
    </row>
    <row r="1159" spans="1:28" x14ac:dyDescent="0.2">
      <c r="C1159" s="23" t="s">
        <v>1979</v>
      </c>
      <c r="D1159" s="23">
        <f>Source!BB331</f>
        <v>6.56</v>
      </c>
    </row>
    <row r="1160" spans="1:28" x14ac:dyDescent="0.2">
      <c r="C1160" s="23" t="s">
        <v>1980</v>
      </c>
      <c r="D1160" s="23">
        <f>Source!BC331</f>
        <v>6.56</v>
      </c>
    </row>
    <row r="1161" spans="1:28" x14ac:dyDescent="0.2">
      <c r="C1161" s="23" t="s">
        <v>1981</v>
      </c>
      <c r="D1161" s="23">
        <f>Source!BS331</f>
        <v>6.56</v>
      </c>
    </row>
    <row r="1162" spans="1:28" x14ac:dyDescent="0.2">
      <c r="C1162" s="9" t="s">
        <v>1982</v>
      </c>
      <c r="D1162" s="33"/>
      <c r="E1162" s="33"/>
      <c r="F1162" s="33">
        <f>Source!BZ331</f>
        <v>95</v>
      </c>
      <c r="G1162" s="57">
        <f>(Source!AF331+Source!AE331)*Source!FX331/100</f>
        <v>132.56299999999999</v>
      </c>
      <c r="H1162" s="57">
        <f>Source!X331</f>
        <v>1591.39</v>
      </c>
    </row>
    <row r="1163" spans="1:28" x14ac:dyDescent="0.2">
      <c r="C1163" s="9" t="s">
        <v>1984</v>
      </c>
      <c r="D1163" s="33"/>
      <c r="E1163" s="33"/>
      <c r="F1163" s="33">
        <f>Source!CA331</f>
        <v>65</v>
      </c>
      <c r="G1163" s="57">
        <f>(Source!AF331+Source!AE331)*Source!FY331/100</f>
        <v>90.701000000000008</v>
      </c>
      <c r="H1163" s="57">
        <f>Source!Y331</f>
        <v>1088.8499999999999</v>
      </c>
    </row>
    <row r="1164" spans="1:28" x14ac:dyDescent="0.2">
      <c r="C1164" s="9" t="s">
        <v>1986</v>
      </c>
      <c r="D1164" s="33"/>
      <c r="E1164" s="33"/>
      <c r="F1164" s="33"/>
      <c r="G1164" s="57">
        <f>((Source!AF331+Source!AE331)*Source!FX331/100)+((Source!AF331+Source!AE331)*Source!FY331/100)+Source!AB331</f>
        <v>379.59400000000005</v>
      </c>
      <c r="H1164" s="57">
        <f>Source!O331+Source!X331+Source!Y331</f>
        <v>4556.9500000000007</v>
      </c>
    </row>
    <row r="1165" spans="1:28" ht="42.75" x14ac:dyDescent="0.2">
      <c r="A1165" s="45">
        <v>165</v>
      </c>
      <c r="B1165" s="45" t="str">
        <f>Source!E332</f>
        <v>73,1</v>
      </c>
      <c r="C1165" s="45" t="str">
        <f>Source!G332</f>
        <v>Трубы гибкие гофрированные легкие из самозатухающего ПВХ (IP55) серии FL, с зондом, диаметром 16 мм</v>
      </c>
      <c r="D1165" s="45" t="str">
        <f>Source!F332</f>
        <v>24.3.01.02-0021</v>
      </c>
      <c r="E1165" s="30" t="str">
        <f>Source!H332</f>
        <v>10 м</v>
      </c>
      <c r="F1165" s="12">
        <f>Source!I332</f>
        <v>18.3</v>
      </c>
      <c r="G1165" s="22">
        <f>Source!AB332</f>
        <v>16.11</v>
      </c>
      <c r="H1165" s="22">
        <f>Source!O332</f>
        <v>1933.97</v>
      </c>
      <c r="T1165">
        <f>Source!O332+Source!X332+Source!Y332</f>
        <v>1933.97</v>
      </c>
      <c r="U1165">
        <f>Source!P332</f>
        <v>1933.97</v>
      </c>
      <c r="V1165">
        <f>Source!S332</f>
        <v>0</v>
      </c>
      <c r="W1165">
        <f>Source!Q332</f>
        <v>0</v>
      </c>
      <c r="X1165">
        <f>Source!R332</f>
        <v>0</v>
      </c>
      <c r="Y1165">
        <f>Source!U332</f>
        <v>0</v>
      </c>
      <c r="Z1165">
        <f>Source!V332</f>
        <v>0</v>
      </c>
      <c r="AA1165">
        <f>Source!X332</f>
        <v>0</v>
      </c>
      <c r="AB1165">
        <f>Source!Y332</f>
        <v>0</v>
      </c>
    </row>
    <row r="1166" spans="1:28" ht="14.25" x14ac:dyDescent="0.2">
      <c r="C1166" s="23" t="s">
        <v>1980</v>
      </c>
      <c r="D1166" s="23">
        <f>Source!BC332</f>
        <v>6.56</v>
      </c>
      <c r="F1166" s="12"/>
      <c r="G1166" s="12"/>
      <c r="H1166" s="12"/>
    </row>
    <row r="1167" spans="1:28" ht="71.25" x14ac:dyDescent="0.2">
      <c r="A1167" s="45">
        <v>166</v>
      </c>
      <c r="B1167" s="45" t="str">
        <f>Source!E333</f>
        <v>74</v>
      </c>
      <c r="C1167" s="45" t="str">
        <f>Source!G333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1167" s="45" t="str">
        <f>Source!F333</f>
        <v>м08-02-412-02</v>
      </c>
      <c r="E1167" s="30" t="str">
        <f>Source!H333</f>
        <v>100 м</v>
      </c>
      <c r="F1167" s="12">
        <f>Source!I333</f>
        <v>2.58</v>
      </c>
      <c r="G1167" s="22">
        <f>Source!AB333</f>
        <v>68.7</v>
      </c>
      <c r="H1167" s="22">
        <f>Source!O333</f>
        <v>1162.73</v>
      </c>
      <c r="T1167">
        <f>Source!O333+Source!X333+Source!Y333</f>
        <v>2548.4</v>
      </c>
      <c r="U1167">
        <f>Source!P333</f>
        <v>245.07</v>
      </c>
      <c r="V1167">
        <f>Source!S333</f>
        <v>857.58</v>
      </c>
      <c r="W1167">
        <f>Source!Q333</f>
        <v>60.08</v>
      </c>
      <c r="X1167">
        <f>Source!R333</f>
        <v>8.4600000000000009</v>
      </c>
      <c r="Y1167">
        <f>Source!U333</f>
        <v>13.9062</v>
      </c>
      <c r="Z1167">
        <f>Source!V333</f>
        <v>0.1032</v>
      </c>
      <c r="AA1167">
        <f>Source!X333</f>
        <v>822.74</v>
      </c>
      <c r="AB1167">
        <f>Source!Y333</f>
        <v>562.92999999999995</v>
      </c>
    </row>
    <row r="1168" spans="1:28" ht="14.25" x14ac:dyDescent="0.2">
      <c r="C1168" s="23" t="str">
        <f>"Объем: "&amp;Source!I333&amp;"=258/"&amp;"100"</f>
        <v>Объем: 2,58=258/100</v>
      </c>
      <c r="F1168" s="12"/>
      <c r="G1168" s="12"/>
      <c r="H1168" s="12"/>
    </row>
    <row r="1169" spans="1:28" x14ac:dyDescent="0.2">
      <c r="C1169" s="23" t="s">
        <v>1978</v>
      </c>
      <c r="D1169" s="23">
        <f>Source!BA333</f>
        <v>6.56</v>
      </c>
    </row>
    <row r="1170" spans="1:28" x14ac:dyDescent="0.2">
      <c r="C1170" s="23" t="s">
        <v>1979</v>
      </c>
      <c r="D1170" s="23">
        <f>Source!BB333</f>
        <v>6.56</v>
      </c>
    </row>
    <row r="1171" spans="1:28" x14ac:dyDescent="0.2">
      <c r="C1171" s="23" t="s">
        <v>1980</v>
      </c>
      <c r="D1171" s="23">
        <f>Source!BC333</f>
        <v>6.56</v>
      </c>
    </row>
    <row r="1172" spans="1:28" x14ac:dyDescent="0.2">
      <c r="C1172" s="23" t="s">
        <v>1981</v>
      </c>
      <c r="D1172" s="23">
        <f>Source!BS333</f>
        <v>6.56</v>
      </c>
    </row>
    <row r="1173" spans="1:28" x14ac:dyDescent="0.2">
      <c r="C1173" s="9" t="s">
        <v>1982</v>
      </c>
      <c r="D1173" s="33"/>
      <c r="E1173" s="33"/>
      <c r="F1173" s="33">
        <f>Source!BZ333</f>
        <v>95</v>
      </c>
      <c r="G1173" s="57">
        <f>(Source!AF333+Source!AE333)*Source!FX333/100</f>
        <v>48.611500000000007</v>
      </c>
      <c r="H1173" s="57">
        <f>Source!X333</f>
        <v>822.74</v>
      </c>
    </row>
    <row r="1174" spans="1:28" x14ac:dyDescent="0.2">
      <c r="C1174" s="9" t="s">
        <v>1984</v>
      </c>
      <c r="D1174" s="33"/>
      <c r="E1174" s="33"/>
      <c r="F1174" s="33">
        <f>Source!CA333</f>
        <v>65</v>
      </c>
      <c r="G1174" s="57">
        <f>(Source!AF333+Source!AE333)*Source!FY333/100</f>
        <v>33.2605</v>
      </c>
      <c r="H1174" s="57">
        <f>Source!Y333</f>
        <v>562.92999999999995</v>
      </c>
    </row>
    <row r="1175" spans="1:28" x14ac:dyDescent="0.2">
      <c r="C1175" s="9" t="s">
        <v>1986</v>
      </c>
      <c r="D1175" s="33"/>
      <c r="E1175" s="33"/>
      <c r="F1175" s="33"/>
      <c r="G1175" s="57">
        <f>((Source!AF333+Source!AE333)*Source!FX333/100)+((Source!AF333+Source!AE333)*Source!FY333/100)+Source!AB333</f>
        <v>150.572</v>
      </c>
      <c r="H1175" s="57">
        <f>Source!O333+Source!X333+Source!Y333</f>
        <v>2548.4</v>
      </c>
    </row>
    <row r="1176" spans="1:28" ht="85.5" x14ac:dyDescent="0.2">
      <c r="A1176" s="45">
        <v>167</v>
      </c>
      <c r="B1176" s="45" t="str">
        <f>Source!E334</f>
        <v>74,1</v>
      </c>
      <c r="C1176" s="45" t="str">
        <f>Source!G334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1176" s="45" t="str">
        <f>Source!F334</f>
        <v>21.1.06.10-0375</v>
      </c>
      <c r="E1176" s="30" t="str">
        <f>Source!H334</f>
        <v>1000 м</v>
      </c>
      <c r="F1176" s="12">
        <f>Source!I334</f>
        <v>0.25800000000000001</v>
      </c>
      <c r="G1176" s="22">
        <f>Source!AB334</f>
        <v>10960.87</v>
      </c>
      <c r="H1176" s="22">
        <f>Source!O334</f>
        <v>18551.05</v>
      </c>
      <c r="T1176">
        <f>Source!O334+Source!X334+Source!Y334</f>
        <v>18551.05</v>
      </c>
      <c r="U1176">
        <f>Source!P334</f>
        <v>18551.05</v>
      </c>
      <c r="V1176">
        <f>Source!S334</f>
        <v>0</v>
      </c>
      <c r="W1176">
        <f>Source!Q334</f>
        <v>0</v>
      </c>
      <c r="X1176">
        <f>Source!R334</f>
        <v>0</v>
      </c>
      <c r="Y1176">
        <f>Source!U334</f>
        <v>0</v>
      </c>
      <c r="Z1176">
        <f>Source!V334</f>
        <v>0</v>
      </c>
      <c r="AA1176">
        <f>Source!X334</f>
        <v>0</v>
      </c>
      <c r="AB1176">
        <f>Source!Y334</f>
        <v>0</v>
      </c>
    </row>
    <row r="1177" spans="1:28" ht="14.25" x14ac:dyDescent="0.2">
      <c r="C1177" s="23" t="s">
        <v>1980</v>
      </c>
      <c r="D1177" s="23">
        <f>Source!BC334</f>
        <v>6.56</v>
      </c>
      <c r="F1177" s="12"/>
      <c r="G1177" s="12"/>
      <c r="H1177" s="12"/>
    </row>
    <row r="1178" spans="1:28" ht="28.5" x14ac:dyDescent="0.2">
      <c r="A1178" s="45">
        <v>168</v>
      </c>
      <c r="B1178" s="45" t="str">
        <f>Source!E335</f>
        <v>75</v>
      </c>
      <c r="C1178" s="45" t="str">
        <f>Source!G335</f>
        <v>Короба пластмассовые шириной до 40 мм</v>
      </c>
      <c r="D1178" s="45" t="str">
        <f>Source!F335</f>
        <v>м08-02-390-01</v>
      </c>
      <c r="E1178" s="30" t="str">
        <f>Source!H335</f>
        <v>100 м</v>
      </c>
      <c r="F1178" s="12">
        <f>Source!I335</f>
        <v>0.8</v>
      </c>
      <c r="G1178" s="22">
        <f>Source!AB335</f>
        <v>206.76</v>
      </c>
      <c r="H1178" s="22">
        <f>Source!O335</f>
        <v>1085.08</v>
      </c>
      <c r="T1178">
        <f>Source!O335+Source!X335+Source!Y335</f>
        <v>2387.08</v>
      </c>
      <c r="U1178">
        <f>Source!P335</f>
        <v>270.43</v>
      </c>
      <c r="V1178">
        <f>Source!S335</f>
        <v>813.02</v>
      </c>
      <c r="W1178">
        <f>Source!Q335</f>
        <v>1.63</v>
      </c>
      <c r="X1178">
        <f>Source!R335</f>
        <v>0.73</v>
      </c>
      <c r="Y1178">
        <f>Source!U335</f>
        <v>13.032</v>
      </c>
      <c r="Z1178">
        <f>Source!V335</f>
        <v>8.0000000000000002E-3</v>
      </c>
      <c r="AA1178">
        <f>Source!X335</f>
        <v>773.06</v>
      </c>
      <c r="AB1178">
        <f>Source!Y335</f>
        <v>528.94000000000005</v>
      </c>
    </row>
    <row r="1179" spans="1:28" ht="14.25" x14ac:dyDescent="0.2">
      <c r="C1179" s="23" t="str">
        <f>"Объем: "&amp;Source!I335&amp;"=80/"&amp;"100"</f>
        <v>Объем: 0,8=80/100</v>
      </c>
      <c r="F1179" s="12"/>
      <c r="G1179" s="12"/>
      <c r="H1179" s="12"/>
    </row>
    <row r="1180" spans="1:28" x14ac:dyDescent="0.2">
      <c r="C1180" s="23" t="s">
        <v>1978</v>
      </c>
      <c r="D1180" s="23">
        <f>Source!BA335</f>
        <v>6.56</v>
      </c>
    </row>
    <row r="1181" spans="1:28" x14ac:dyDescent="0.2">
      <c r="C1181" s="23" t="s">
        <v>1979</v>
      </c>
      <c r="D1181" s="23">
        <f>Source!BB335</f>
        <v>6.56</v>
      </c>
    </row>
    <row r="1182" spans="1:28" x14ac:dyDescent="0.2">
      <c r="C1182" s="23" t="s">
        <v>1980</v>
      </c>
      <c r="D1182" s="23">
        <f>Source!BC335</f>
        <v>6.56</v>
      </c>
    </row>
    <row r="1183" spans="1:28" x14ac:dyDescent="0.2">
      <c r="C1183" s="23" t="s">
        <v>1981</v>
      </c>
      <c r="D1183" s="23">
        <f>Source!BS335</f>
        <v>6.56</v>
      </c>
    </row>
    <row r="1184" spans="1:28" x14ac:dyDescent="0.2">
      <c r="C1184" s="9" t="s">
        <v>1982</v>
      </c>
      <c r="D1184" s="33"/>
      <c r="E1184" s="33"/>
      <c r="F1184" s="33">
        <f>Source!BZ335</f>
        <v>95</v>
      </c>
      <c r="G1184" s="57">
        <f>(Source!AF335+Source!AE335)*Source!FX335/100</f>
        <v>147.30699999999996</v>
      </c>
      <c r="H1184" s="57">
        <f>Source!X335</f>
        <v>773.06</v>
      </c>
    </row>
    <row r="1185" spans="1:28" x14ac:dyDescent="0.2">
      <c r="C1185" s="9" t="s">
        <v>1984</v>
      </c>
      <c r="D1185" s="33"/>
      <c r="E1185" s="33"/>
      <c r="F1185" s="33">
        <f>Source!CA335</f>
        <v>65</v>
      </c>
      <c r="G1185" s="57">
        <f>(Source!AF335+Source!AE335)*Source!FY335/100</f>
        <v>100.78899999999997</v>
      </c>
      <c r="H1185" s="57">
        <f>Source!Y335</f>
        <v>528.94000000000005</v>
      </c>
    </row>
    <row r="1186" spans="1:28" x14ac:dyDescent="0.2">
      <c r="C1186" s="9" t="s">
        <v>1986</v>
      </c>
      <c r="D1186" s="33"/>
      <c r="E1186" s="33"/>
      <c r="F1186" s="33"/>
      <c r="G1186" s="57">
        <f>((Source!AF335+Source!AE335)*Source!FX335/100)+((Source!AF335+Source!AE335)*Source!FY335/100)+Source!AB335</f>
        <v>454.85599999999994</v>
      </c>
      <c r="H1186" s="57">
        <f>Source!O335+Source!X335+Source!Y335</f>
        <v>2387.08</v>
      </c>
    </row>
    <row r="1187" spans="1:28" ht="28.5" x14ac:dyDescent="0.2">
      <c r="A1187" s="45">
        <v>169</v>
      </c>
      <c r="B1187" s="45" t="str">
        <f>Source!E336</f>
        <v>75,1</v>
      </c>
      <c r="C1187" s="45" t="str">
        <f>Source!G336</f>
        <v>Кабель-канал (короб) "Legrand" 20х12,5 мм</v>
      </c>
      <c r="D1187" s="45" t="str">
        <f>Source!F336</f>
        <v>20.2.05.04-0011</v>
      </c>
      <c r="E1187" s="30" t="str">
        <f>Source!H336</f>
        <v>100 м</v>
      </c>
      <c r="F1187" s="12">
        <f>Source!I336</f>
        <v>0.8</v>
      </c>
      <c r="G1187" s="22">
        <f>Source!AB336</f>
        <v>715</v>
      </c>
      <c r="H1187" s="22">
        <f>Source!O336</f>
        <v>3752.32</v>
      </c>
      <c r="T1187">
        <f>Source!O336+Source!X336+Source!Y336</f>
        <v>3752.32</v>
      </c>
      <c r="U1187">
        <f>Source!P336</f>
        <v>3752.32</v>
      </c>
      <c r="V1187">
        <f>Source!S336</f>
        <v>0</v>
      </c>
      <c r="W1187">
        <f>Source!Q336</f>
        <v>0</v>
      </c>
      <c r="X1187">
        <f>Source!R336</f>
        <v>0</v>
      </c>
      <c r="Y1187">
        <f>Source!U336</f>
        <v>0</v>
      </c>
      <c r="Z1187">
        <f>Source!V336</f>
        <v>0</v>
      </c>
      <c r="AA1187">
        <f>Source!X336</f>
        <v>0</v>
      </c>
      <c r="AB1187">
        <f>Source!Y336</f>
        <v>0</v>
      </c>
    </row>
    <row r="1188" spans="1:28" ht="14.25" x14ac:dyDescent="0.2">
      <c r="C1188" s="23" t="s">
        <v>1980</v>
      </c>
      <c r="D1188" s="23">
        <f>Source!BC336</f>
        <v>6.56</v>
      </c>
      <c r="F1188" s="12"/>
      <c r="G1188" s="12"/>
      <c r="H1188" s="12"/>
    </row>
    <row r="1189" spans="1:28" ht="28.5" x14ac:dyDescent="0.2">
      <c r="A1189" s="45">
        <v>170</v>
      </c>
      <c r="B1189" s="45" t="str">
        <f>Source!E337</f>
        <v>76</v>
      </c>
      <c r="C1189" s="45" t="str">
        <f>Source!G337</f>
        <v>Провод в коробах, сечением до 6 мм2</v>
      </c>
      <c r="D1189" s="45" t="str">
        <f>Source!F337</f>
        <v>м08-02-399-01</v>
      </c>
      <c r="E1189" s="30" t="str">
        <f>Source!H337</f>
        <v>100 м</v>
      </c>
      <c r="F1189" s="12">
        <f>Source!I337</f>
        <v>0.8</v>
      </c>
      <c r="G1189" s="22">
        <f>Source!AB337</f>
        <v>41.11</v>
      </c>
      <c r="H1189" s="22">
        <f>Source!O337</f>
        <v>215.74</v>
      </c>
      <c r="T1189">
        <f>Source!O337+Source!X337+Source!Y337</f>
        <v>440.51000000000005</v>
      </c>
      <c r="U1189">
        <f>Source!P337</f>
        <v>67.28</v>
      </c>
      <c r="V1189">
        <f>Source!S337</f>
        <v>139.12</v>
      </c>
      <c r="W1189">
        <f>Source!Q337</f>
        <v>9.34</v>
      </c>
      <c r="X1189">
        <f>Source!R337</f>
        <v>1.36</v>
      </c>
      <c r="Y1189">
        <f>Source!U337</f>
        <v>2.2559999999999998</v>
      </c>
      <c r="Z1189">
        <f>Source!V337</f>
        <v>1.6E-2</v>
      </c>
      <c r="AA1189">
        <f>Source!X337</f>
        <v>133.46</v>
      </c>
      <c r="AB1189">
        <f>Source!Y337</f>
        <v>91.31</v>
      </c>
    </row>
    <row r="1190" spans="1:28" ht="14.25" x14ac:dyDescent="0.2">
      <c r="C1190" s="23" t="str">
        <f>"Объем: "&amp;Source!I337&amp;"=80/"&amp;"100"</f>
        <v>Объем: 0,8=80/100</v>
      </c>
      <c r="F1190" s="12"/>
      <c r="G1190" s="12"/>
      <c r="H1190" s="12"/>
    </row>
    <row r="1191" spans="1:28" x14ac:dyDescent="0.2">
      <c r="C1191" s="23" t="s">
        <v>1978</v>
      </c>
      <c r="D1191" s="23">
        <f>Source!BA337</f>
        <v>6.56</v>
      </c>
    </row>
    <row r="1192" spans="1:28" x14ac:dyDescent="0.2">
      <c r="C1192" s="23" t="s">
        <v>1979</v>
      </c>
      <c r="D1192" s="23">
        <f>Source!BB337</f>
        <v>6.56</v>
      </c>
    </row>
    <row r="1193" spans="1:28" x14ac:dyDescent="0.2">
      <c r="C1193" s="23" t="s">
        <v>1980</v>
      </c>
      <c r="D1193" s="23">
        <f>Source!BC337</f>
        <v>6.56</v>
      </c>
    </row>
    <row r="1194" spans="1:28" x14ac:dyDescent="0.2">
      <c r="C1194" s="23" t="s">
        <v>1981</v>
      </c>
      <c r="D1194" s="23">
        <f>Source!BS337</f>
        <v>6.56</v>
      </c>
    </row>
    <row r="1195" spans="1:28" x14ac:dyDescent="0.2">
      <c r="C1195" s="9" t="s">
        <v>1982</v>
      </c>
      <c r="D1195" s="33"/>
      <c r="E1195" s="33"/>
      <c r="F1195" s="33">
        <f>Source!BZ337</f>
        <v>95</v>
      </c>
      <c r="G1195" s="57">
        <f>(Source!AF337+Source!AE337)*Source!FX337/100</f>
        <v>25.4315</v>
      </c>
      <c r="H1195" s="57">
        <f>Source!X337</f>
        <v>133.46</v>
      </c>
    </row>
    <row r="1196" spans="1:28" x14ac:dyDescent="0.2">
      <c r="C1196" s="9" t="s">
        <v>1984</v>
      </c>
      <c r="D1196" s="33"/>
      <c r="E1196" s="33"/>
      <c r="F1196" s="33">
        <f>Source!CA337</f>
        <v>65</v>
      </c>
      <c r="G1196" s="57">
        <f>(Source!AF337+Source!AE337)*Source!FY337/100</f>
        <v>17.400500000000001</v>
      </c>
      <c r="H1196" s="57">
        <f>Source!Y337</f>
        <v>91.31</v>
      </c>
    </row>
    <row r="1197" spans="1:28" x14ac:dyDescent="0.2">
      <c r="C1197" s="9" t="s">
        <v>1986</v>
      </c>
      <c r="D1197" s="33"/>
      <c r="E1197" s="33"/>
      <c r="F1197" s="33"/>
      <c r="G1197" s="57">
        <f>((Source!AF337+Source!AE337)*Source!FX337/100)+((Source!AF337+Source!AE337)*Source!FY337/100)+Source!AB337</f>
        <v>83.942000000000007</v>
      </c>
      <c r="H1197" s="57">
        <f>Source!O337+Source!X337+Source!Y337</f>
        <v>440.51000000000005</v>
      </c>
    </row>
    <row r="1198" spans="1:28" ht="85.5" x14ac:dyDescent="0.2">
      <c r="A1198" s="45">
        <v>171</v>
      </c>
      <c r="B1198" s="45" t="str">
        <f>Source!E338</f>
        <v>76,1</v>
      </c>
      <c r="C1198" s="45" t="str">
        <f>Source!G338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3х1,5ок(N,РЕ)</v>
      </c>
      <c r="D1198" s="45" t="str">
        <f>Source!F338</f>
        <v>21.1.06.10-0375</v>
      </c>
      <c r="E1198" s="30" t="str">
        <f>Source!H338</f>
        <v>1000 м</v>
      </c>
      <c r="F1198" s="12">
        <f>Source!I338</f>
        <v>0.08</v>
      </c>
      <c r="G1198" s="22">
        <f>Source!AB338</f>
        <v>10960.87</v>
      </c>
      <c r="H1198" s="22">
        <f>Source!O338</f>
        <v>5752.26</v>
      </c>
      <c r="T1198">
        <f>Source!O338+Source!X338+Source!Y338</f>
        <v>5752.26</v>
      </c>
      <c r="U1198">
        <f>Source!P338</f>
        <v>5752.26</v>
      </c>
      <c r="V1198">
        <f>Source!S338</f>
        <v>0</v>
      </c>
      <c r="W1198">
        <f>Source!Q338</f>
        <v>0</v>
      </c>
      <c r="X1198">
        <f>Source!R338</f>
        <v>0</v>
      </c>
      <c r="Y1198">
        <f>Source!U338</f>
        <v>0</v>
      </c>
      <c r="Z1198">
        <f>Source!V338</f>
        <v>0</v>
      </c>
      <c r="AA1198">
        <f>Source!X338</f>
        <v>0</v>
      </c>
      <c r="AB1198">
        <f>Source!Y338</f>
        <v>0</v>
      </c>
    </row>
    <row r="1199" spans="1:28" ht="14.25" x14ac:dyDescent="0.2">
      <c r="C1199" s="23" t="s">
        <v>1980</v>
      </c>
      <c r="D1199" s="23">
        <f>Source!BC338</f>
        <v>6.56</v>
      </c>
      <c r="F1199" s="12"/>
      <c r="G1199" s="12"/>
      <c r="H1199" s="12"/>
    </row>
    <row r="1200" spans="1:28" ht="28.5" x14ac:dyDescent="0.2">
      <c r="A1200" s="45">
        <v>172</v>
      </c>
      <c r="B1200" s="45" t="str">
        <f>Source!E339</f>
        <v>77</v>
      </c>
      <c r="C1200" s="45" t="str">
        <f>Source!G339</f>
        <v>Коробка ответвительная на стене</v>
      </c>
      <c r="D1200" s="45" t="str">
        <f>Source!F339</f>
        <v>м10-08-019-01</v>
      </c>
      <c r="E1200" s="30" t="str">
        <f>Source!H339</f>
        <v>ШТ</v>
      </c>
      <c r="F1200" s="12">
        <f>Source!I339</f>
        <v>90</v>
      </c>
      <c r="G1200" s="22">
        <f>Source!AB339</f>
        <v>5.29</v>
      </c>
      <c r="H1200" s="22">
        <f>Source!O339</f>
        <v>3123.21</v>
      </c>
      <c r="T1200">
        <f>Source!O339+Source!X339+Source!Y339</f>
        <v>7156.82</v>
      </c>
      <c r="U1200">
        <f>Source!P339</f>
        <v>242.06</v>
      </c>
      <c r="V1200">
        <f>Source!S339</f>
        <v>2881.15</v>
      </c>
      <c r="W1200">
        <f>Source!Q339</f>
        <v>0</v>
      </c>
      <c r="X1200">
        <f>Source!R339</f>
        <v>0</v>
      </c>
      <c r="Y1200">
        <f>Source!U339</f>
        <v>45</v>
      </c>
      <c r="Z1200">
        <f>Source!V339</f>
        <v>0</v>
      </c>
      <c r="AA1200">
        <f>Source!X339</f>
        <v>2304.92</v>
      </c>
      <c r="AB1200">
        <f>Source!Y339</f>
        <v>1728.69</v>
      </c>
    </row>
    <row r="1201" spans="1:28" ht="14.25" x14ac:dyDescent="0.2">
      <c r="C1201" s="23" t="s">
        <v>1978</v>
      </c>
      <c r="D1201" s="23">
        <f>Source!BA339</f>
        <v>6.56</v>
      </c>
      <c r="F1201" s="12"/>
      <c r="G1201" s="12"/>
      <c r="H1201" s="12"/>
    </row>
    <row r="1202" spans="1:28" x14ac:dyDescent="0.2">
      <c r="C1202" s="23" t="s">
        <v>1979</v>
      </c>
      <c r="D1202" s="23">
        <f>Source!BB339</f>
        <v>6.56</v>
      </c>
    </row>
    <row r="1203" spans="1:28" x14ac:dyDescent="0.2">
      <c r="C1203" s="23" t="s">
        <v>1980</v>
      </c>
      <c r="D1203" s="23">
        <f>Source!BC339</f>
        <v>6.56</v>
      </c>
    </row>
    <row r="1204" spans="1:28" x14ac:dyDescent="0.2">
      <c r="C1204" s="23" t="s">
        <v>1981</v>
      </c>
      <c r="D1204" s="23">
        <f>Source!BS339</f>
        <v>6.56</v>
      </c>
    </row>
    <row r="1205" spans="1:28" x14ac:dyDescent="0.2">
      <c r="C1205" s="9" t="s">
        <v>1982</v>
      </c>
      <c r="D1205" s="33"/>
      <c r="E1205" s="33"/>
      <c r="F1205" s="33">
        <f>Source!BZ339</f>
        <v>80</v>
      </c>
      <c r="G1205" s="57">
        <f>(Source!AF339+Source!AE339)*Source!FX339/100</f>
        <v>3.9039999999999999</v>
      </c>
      <c r="H1205" s="57">
        <f>Source!X339</f>
        <v>2304.92</v>
      </c>
    </row>
    <row r="1206" spans="1:28" x14ac:dyDescent="0.2">
      <c r="C1206" s="9" t="s">
        <v>1984</v>
      </c>
      <c r="D1206" s="33"/>
      <c r="E1206" s="33"/>
      <c r="F1206" s="33">
        <f>Source!CA339</f>
        <v>60</v>
      </c>
      <c r="G1206" s="57">
        <f>(Source!AF339+Source!AE339)*Source!FY339/100</f>
        <v>2.9279999999999999</v>
      </c>
      <c r="H1206" s="57">
        <f>Source!Y339</f>
        <v>1728.69</v>
      </c>
    </row>
    <row r="1207" spans="1:28" x14ac:dyDescent="0.2">
      <c r="C1207" s="9" t="s">
        <v>1986</v>
      </c>
      <c r="D1207" s="33"/>
      <c r="E1207" s="33"/>
      <c r="F1207" s="33"/>
      <c r="G1207" s="57">
        <f>((Source!AF339+Source!AE339)*Source!FX339/100)+((Source!AF339+Source!AE339)*Source!FY339/100)+Source!AB339</f>
        <v>12.122</v>
      </c>
      <c r="H1207" s="57">
        <f>Source!O339+Source!X339+Source!Y339</f>
        <v>7156.82</v>
      </c>
    </row>
    <row r="1208" spans="1:28" ht="28.5" x14ac:dyDescent="0.2">
      <c r="A1208" s="45">
        <v>173</v>
      </c>
      <c r="B1208" s="45" t="str">
        <f>Source!E340</f>
        <v>77,1</v>
      </c>
      <c r="C1208" s="45" t="str">
        <f>Source!G340</f>
        <v>Коробка распаечная ,наружная 75х75мм прим.</v>
      </c>
      <c r="D1208" s="45" t="str">
        <f>Source!F340</f>
        <v>20.5.02.07-0003</v>
      </c>
      <c r="E1208" s="30" t="str">
        <f>Source!H340</f>
        <v>шт.</v>
      </c>
      <c r="F1208" s="12">
        <f>Source!I340</f>
        <v>90</v>
      </c>
      <c r="G1208" s="22">
        <f>Source!AB340</f>
        <v>8.6199999999999992</v>
      </c>
      <c r="H1208" s="22">
        <f>Source!O340</f>
        <v>5089.25</v>
      </c>
      <c r="T1208">
        <f>Source!O340+Source!X340+Source!Y340</f>
        <v>5089.25</v>
      </c>
      <c r="U1208">
        <f>Source!P340</f>
        <v>5089.25</v>
      </c>
      <c r="V1208">
        <f>Source!S340</f>
        <v>0</v>
      </c>
      <c r="W1208">
        <f>Source!Q340</f>
        <v>0</v>
      </c>
      <c r="X1208">
        <f>Source!R340</f>
        <v>0</v>
      </c>
      <c r="Y1208">
        <f>Source!U340</f>
        <v>0</v>
      </c>
      <c r="Z1208">
        <f>Source!V340</f>
        <v>0</v>
      </c>
      <c r="AA1208">
        <f>Source!X340</f>
        <v>0</v>
      </c>
      <c r="AB1208">
        <f>Source!Y340</f>
        <v>0</v>
      </c>
    </row>
    <row r="1209" spans="1:28" ht="14.25" x14ac:dyDescent="0.2">
      <c r="C1209" s="23" t="s">
        <v>1980</v>
      </c>
      <c r="D1209" s="23">
        <f>Source!BC340</f>
        <v>6.56</v>
      </c>
      <c r="F1209" s="12"/>
      <c r="G1209" s="12"/>
      <c r="H1209" s="12"/>
    </row>
    <row r="1210" spans="1:28" ht="57" x14ac:dyDescent="0.2">
      <c r="A1210" s="45">
        <v>174</v>
      </c>
      <c r="B1210" s="45" t="str">
        <f>Source!E341</f>
        <v>78</v>
      </c>
      <c r="C1210" s="45" t="str">
        <f>Source!G341</f>
        <v>Сверление отверстий в кирпичных стенах электроперфоратором диаметром до 20 мм, толщина стен 0,5 кирпича</v>
      </c>
      <c r="D1210" s="45" t="str">
        <f>Source!F341</f>
        <v>69-2-1 прим.</v>
      </c>
      <c r="E1210" s="30" t="str">
        <f>Source!H341</f>
        <v>100 ШТ</v>
      </c>
      <c r="F1210" s="12">
        <f>Source!I341</f>
        <v>0.16</v>
      </c>
      <c r="G1210" s="22">
        <f>Source!AB341</f>
        <v>46.83</v>
      </c>
      <c r="H1210" s="22">
        <f>Source!O341</f>
        <v>49.15</v>
      </c>
      <c r="T1210">
        <f>Source!O341+Source!X341+Source!Y341</f>
        <v>112.07000000000001</v>
      </c>
      <c r="U1210">
        <f>Source!P341</f>
        <v>0</v>
      </c>
      <c r="V1210">
        <f>Source!S341</f>
        <v>49.15</v>
      </c>
      <c r="W1210">
        <f>Source!Q341</f>
        <v>0</v>
      </c>
      <c r="X1210">
        <f>Source!R341</f>
        <v>0</v>
      </c>
      <c r="Y1210">
        <f>Source!U341</f>
        <v>0.87840000000000007</v>
      </c>
      <c r="Z1210">
        <f>Source!V341</f>
        <v>0</v>
      </c>
      <c r="AA1210">
        <f>Source!X341</f>
        <v>38.340000000000003</v>
      </c>
      <c r="AB1210">
        <f>Source!Y341</f>
        <v>24.58</v>
      </c>
    </row>
    <row r="1211" spans="1:28" ht="14.25" x14ac:dyDescent="0.2">
      <c r="C1211" s="23" t="str">
        <f>"Объем: "&amp;Source!I341&amp;"=16/"&amp;"100"</f>
        <v>Объем: 0,16=16/100</v>
      </c>
      <c r="F1211" s="12"/>
      <c r="G1211" s="12"/>
      <c r="H1211" s="12"/>
    </row>
    <row r="1212" spans="1:28" x14ac:dyDescent="0.2">
      <c r="C1212" s="23" t="s">
        <v>1978</v>
      </c>
      <c r="D1212" s="23">
        <f>Source!BA341</f>
        <v>6.56</v>
      </c>
    </row>
    <row r="1213" spans="1:28" x14ac:dyDescent="0.2">
      <c r="C1213" s="23" t="s">
        <v>1979</v>
      </c>
      <c r="D1213" s="23">
        <f>Source!BB341</f>
        <v>6.56</v>
      </c>
    </row>
    <row r="1214" spans="1:28" x14ac:dyDescent="0.2">
      <c r="C1214" s="23" t="s">
        <v>1980</v>
      </c>
      <c r="D1214" s="23">
        <f>Source!BC341</f>
        <v>6.56</v>
      </c>
    </row>
    <row r="1215" spans="1:28" x14ac:dyDescent="0.2">
      <c r="C1215" s="23" t="s">
        <v>1981</v>
      </c>
      <c r="D1215" s="23">
        <f>Source!BS341</f>
        <v>6.56</v>
      </c>
    </row>
    <row r="1216" spans="1:28" x14ac:dyDescent="0.2">
      <c r="C1216" s="9" t="s">
        <v>1982</v>
      </c>
      <c r="D1216" s="33"/>
      <c r="E1216" s="33"/>
      <c r="F1216" s="33">
        <f>Source!BZ341</f>
        <v>78</v>
      </c>
      <c r="G1216" s="57">
        <f>(Source!AF341+Source!AE341)*Source!FX341/100</f>
        <v>36.5274</v>
      </c>
      <c r="H1216" s="57">
        <f>Source!X341</f>
        <v>38.340000000000003</v>
      </c>
    </row>
    <row r="1217" spans="1:28" x14ac:dyDescent="0.2">
      <c r="C1217" s="9" t="s">
        <v>1984</v>
      </c>
      <c r="D1217" s="33"/>
      <c r="E1217" s="33"/>
      <c r="F1217" s="33">
        <f>Source!CA341</f>
        <v>50</v>
      </c>
      <c r="G1217" s="57">
        <f>(Source!AF341+Source!AE341)*Source!FY341/100</f>
        <v>23.414999999999999</v>
      </c>
      <c r="H1217" s="57">
        <f>Source!Y341</f>
        <v>24.58</v>
      </c>
    </row>
    <row r="1218" spans="1:28" x14ac:dyDescent="0.2">
      <c r="C1218" s="9" t="s">
        <v>1986</v>
      </c>
      <c r="D1218" s="33"/>
      <c r="E1218" s="33"/>
      <c r="F1218" s="33"/>
      <c r="G1218" s="57">
        <f>((Source!AF341+Source!AE341)*Source!FX341/100)+((Source!AF341+Source!AE341)*Source!FY341/100)+Source!AB341</f>
        <v>106.7724</v>
      </c>
      <c r="H1218" s="57">
        <f>Source!O341+Source!X341+Source!Y341</f>
        <v>112.07000000000001</v>
      </c>
    </row>
    <row r="1219" spans="1:28" ht="28.5" x14ac:dyDescent="0.2">
      <c r="A1219" s="45">
        <v>175</v>
      </c>
      <c r="B1219" s="45" t="str">
        <f>Source!E342</f>
        <v>79</v>
      </c>
      <c r="C1219" s="45" t="str">
        <f>Source!G342</f>
        <v>Труба полиэтиленовая по основанию пола, диаметр до 50 мм (гильзы) прим.</v>
      </c>
      <c r="D1219" s="45" t="str">
        <f>Source!F342</f>
        <v>м08-02-410-02</v>
      </c>
      <c r="E1219" s="30" t="str">
        <f>Source!H342</f>
        <v>100 м</v>
      </c>
      <c r="F1219" s="12">
        <f>Source!I342</f>
        <v>2.4E-2</v>
      </c>
      <c r="G1219" s="22">
        <f>Source!AB342</f>
        <v>250.92</v>
      </c>
      <c r="H1219" s="22">
        <f>Source!O342</f>
        <v>39.5</v>
      </c>
      <c r="T1219">
        <f>Source!O342+Source!X342+Source!Y342</f>
        <v>76.38</v>
      </c>
      <c r="U1219">
        <f>Source!P342</f>
        <v>13.81</v>
      </c>
      <c r="V1219">
        <f>Source!S342</f>
        <v>22.61</v>
      </c>
      <c r="W1219">
        <f>Source!Q342</f>
        <v>3.08</v>
      </c>
      <c r="X1219">
        <f>Source!R342</f>
        <v>0.44</v>
      </c>
      <c r="Y1219">
        <f>Source!U342</f>
        <v>0.36671999999999999</v>
      </c>
      <c r="Z1219">
        <f>Source!V342</f>
        <v>5.28E-3</v>
      </c>
      <c r="AA1219">
        <f>Source!X342</f>
        <v>21.9</v>
      </c>
      <c r="AB1219">
        <f>Source!Y342</f>
        <v>14.98</v>
      </c>
    </row>
    <row r="1220" spans="1:28" ht="14.25" x14ac:dyDescent="0.2">
      <c r="C1220" s="23" t="str">
        <f>"Объем: "&amp;Source!I342&amp;"=2,4/"&amp;"100"</f>
        <v>Объем: 0,024=2,4/100</v>
      </c>
      <c r="F1220" s="12"/>
      <c r="G1220" s="12"/>
      <c r="H1220" s="12"/>
    </row>
    <row r="1221" spans="1:28" x14ac:dyDescent="0.2">
      <c r="C1221" s="23" t="s">
        <v>1978</v>
      </c>
      <c r="D1221" s="23">
        <f>Source!BA342</f>
        <v>6.56</v>
      </c>
    </row>
    <row r="1222" spans="1:28" x14ac:dyDescent="0.2">
      <c r="C1222" s="23" t="s">
        <v>1979</v>
      </c>
      <c r="D1222" s="23">
        <f>Source!BB342</f>
        <v>6.56</v>
      </c>
    </row>
    <row r="1223" spans="1:28" x14ac:dyDescent="0.2">
      <c r="C1223" s="23" t="s">
        <v>1980</v>
      </c>
      <c r="D1223" s="23">
        <f>Source!BC342</f>
        <v>6.56</v>
      </c>
    </row>
    <row r="1224" spans="1:28" x14ac:dyDescent="0.2">
      <c r="C1224" s="23" t="s">
        <v>1981</v>
      </c>
      <c r="D1224" s="23">
        <f>Source!BS342</f>
        <v>6.56</v>
      </c>
    </row>
    <row r="1225" spans="1:28" x14ac:dyDescent="0.2">
      <c r="C1225" s="9" t="s">
        <v>1982</v>
      </c>
      <c r="D1225" s="33"/>
      <c r="E1225" s="33"/>
      <c r="F1225" s="33">
        <f>Source!BZ342</f>
        <v>95</v>
      </c>
      <c r="G1225" s="57">
        <f>(Source!AF342+Source!AE342)*Source!FX342/100</f>
        <v>139.08000000000001</v>
      </c>
      <c r="H1225" s="57">
        <f>Source!X342</f>
        <v>21.9</v>
      </c>
    </row>
    <row r="1226" spans="1:28" x14ac:dyDescent="0.2">
      <c r="C1226" s="9" t="s">
        <v>1984</v>
      </c>
      <c r="D1226" s="33"/>
      <c r="E1226" s="33"/>
      <c r="F1226" s="33">
        <f>Source!CA342</f>
        <v>65</v>
      </c>
      <c r="G1226" s="57">
        <f>(Source!AF342+Source!AE342)*Source!FY342/100</f>
        <v>95.16</v>
      </c>
      <c r="H1226" s="57">
        <f>Source!Y342</f>
        <v>14.98</v>
      </c>
    </row>
    <row r="1227" spans="1:28" x14ac:dyDescent="0.2">
      <c r="C1227" s="9" t="s">
        <v>1986</v>
      </c>
      <c r="D1227" s="33"/>
      <c r="E1227" s="33"/>
      <c r="F1227" s="33"/>
      <c r="G1227" s="57">
        <f>((Source!AF342+Source!AE342)*Source!FX342/100)+((Source!AF342+Source!AE342)*Source!FY342/100)+Source!AB342</f>
        <v>485.15999999999997</v>
      </c>
      <c r="H1227" s="57">
        <f>Source!O342+Source!X342+Source!Y342</f>
        <v>76.38</v>
      </c>
    </row>
    <row r="1228" spans="1:28" ht="42.75" x14ac:dyDescent="0.2">
      <c r="A1228" s="45">
        <v>176</v>
      </c>
      <c r="B1228" s="45" t="str">
        <f>Source!E343</f>
        <v>79,1</v>
      </c>
      <c r="C1228" s="45" t="str">
        <f>Source!G343</f>
        <v>Трубы жесткие гладкие легкие из самозатухающего ПВХ (IP55) серии RIG, диаметром 32 мм</v>
      </c>
      <c r="D1228" s="45" t="str">
        <f>Source!F343</f>
        <v>24.3.01.03-0014</v>
      </c>
      <c r="E1228" s="30" t="str">
        <f>Source!H343</f>
        <v>10 м</v>
      </c>
      <c r="F1228" s="12">
        <f>Source!I343</f>
        <v>0.24</v>
      </c>
      <c r="G1228" s="22">
        <f>Source!AB343</f>
        <v>79.47</v>
      </c>
      <c r="H1228" s="22">
        <f>Source!O343</f>
        <v>125.12</v>
      </c>
      <c r="T1228">
        <f>Source!O343+Source!X343+Source!Y343</f>
        <v>125.12</v>
      </c>
      <c r="U1228">
        <f>Source!P343</f>
        <v>125.12</v>
      </c>
      <c r="V1228">
        <f>Source!S343</f>
        <v>0</v>
      </c>
      <c r="W1228">
        <f>Source!Q343</f>
        <v>0</v>
      </c>
      <c r="X1228">
        <f>Source!R343</f>
        <v>0</v>
      </c>
      <c r="Y1228">
        <f>Source!U343</f>
        <v>0</v>
      </c>
      <c r="Z1228">
        <f>Source!V343</f>
        <v>0</v>
      </c>
      <c r="AA1228">
        <f>Source!X343</f>
        <v>0</v>
      </c>
      <c r="AB1228">
        <f>Source!Y343</f>
        <v>0</v>
      </c>
    </row>
    <row r="1229" spans="1:28" ht="14.25" x14ac:dyDescent="0.2">
      <c r="C1229" s="23" t="s">
        <v>1980</v>
      </c>
      <c r="D1229" s="23">
        <f>Source!BC343</f>
        <v>6.56</v>
      </c>
      <c r="F1229" s="12"/>
      <c r="G1229" s="12"/>
      <c r="H1229" s="12"/>
    </row>
    <row r="1230" spans="1:28" ht="28.5" x14ac:dyDescent="0.2">
      <c r="A1230" s="45">
        <v>177</v>
      </c>
      <c r="B1230" s="45" t="str">
        <f>Source!E344</f>
        <v>80</v>
      </c>
      <c r="C1230" s="45" t="str">
        <f>Source!G344</f>
        <v>Щиток до трех групп, устанавливаемый в нише цоколя</v>
      </c>
      <c r="D1230" s="45" t="str">
        <f>Source!F344</f>
        <v>м08-02-370-02</v>
      </c>
      <c r="E1230" s="30" t="str">
        <f>Source!H344</f>
        <v>ШТ</v>
      </c>
      <c r="F1230" s="12">
        <f>Source!I344</f>
        <v>2</v>
      </c>
      <c r="G1230" s="22">
        <f>Source!AB344</f>
        <v>33.42</v>
      </c>
      <c r="H1230" s="22">
        <f>Source!O344</f>
        <v>438.46</v>
      </c>
      <c r="T1230">
        <f>Source!O344+Source!X344+Source!Y344</f>
        <v>689.51</v>
      </c>
      <c r="U1230">
        <f>Source!P344</f>
        <v>81.34</v>
      </c>
      <c r="V1230">
        <f>Source!S344</f>
        <v>123.98</v>
      </c>
      <c r="W1230">
        <f>Source!Q344</f>
        <v>233.14</v>
      </c>
      <c r="X1230">
        <f>Source!R344</f>
        <v>32.93</v>
      </c>
      <c r="Y1230">
        <f>Source!U344</f>
        <v>1.8</v>
      </c>
      <c r="Z1230">
        <f>Source!V344</f>
        <v>0.4</v>
      </c>
      <c r="AA1230">
        <f>Source!X344</f>
        <v>149.06</v>
      </c>
      <c r="AB1230">
        <f>Source!Y344</f>
        <v>101.99</v>
      </c>
    </row>
    <row r="1231" spans="1:28" ht="14.25" x14ac:dyDescent="0.2">
      <c r="C1231" s="23" t="s">
        <v>1978</v>
      </c>
      <c r="D1231" s="23">
        <f>Source!BA344</f>
        <v>6.56</v>
      </c>
      <c r="F1231" s="12"/>
      <c r="G1231" s="12"/>
      <c r="H1231" s="12"/>
    </row>
    <row r="1232" spans="1:28" x14ac:dyDescent="0.2">
      <c r="C1232" s="23" t="s">
        <v>1979</v>
      </c>
      <c r="D1232" s="23">
        <f>Source!BB344</f>
        <v>6.56</v>
      </c>
    </row>
    <row r="1233" spans="1:28" x14ac:dyDescent="0.2">
      <c r="C1233" s="23" t="s">
        <v>1980</v>
      </c>
      <c r="D1233" s="23">
        <f>Source!BC344</f>
        <v>6.56</v>
      </c>
    </row>
    <row r="1234" spans="1:28" x14ac:dyDescent="0.2">
      <c r="C1234" s="23" t="s">
        <v>1981</v>
      </c>
      <c r="D1234" s="23">
        <f>Source!BS344</f>
        <v>6.56</v>
      </c>
    </row>
    <row r="1235" spans="1:28" x14ac:dyDescent="0.2">
      <c r="C1235" s="9" t="s">
        <v>1982</v>
      </c>
      <c r="D1235" s="33"/>
      <c r="E1235" s="33"/>
      <c r="F1235" s="33">
        <f>Source!BZ344</f>
        <v>95</v>
      </c>
      <c r="G1235" s="57">
        <f>(Source!AF344+Source!AE344)*Source!FX344/100</f>
        <v>11.361999999999998</v>
      </c>
      <c r="H1235" s="57">
        <f>Source!X344</f>
        <v>149.06</v>
      </c>
    </row>
    <row r="1236" spans="1:28" x14ac:dyDescent="0.2">
      <c r="C1236" s="9" t="s">
        <v>1984</v>
      </c>
      <c r="D1236" s="33"/>
      <c r="E1236" s="33"/>
      <c r="F1236" s="33">
        <f>Source!CA344</f>
        <v>65</v>
      </c>
      <c r="G1236" s="57">
        <f>(Source!AF344+Source!AE344)*Source!FY344/100</f>
        <v>7.774</v>
      </c>
      <c r="H1236" s="57">
        <f>Source!Y344</f>
        <v>101.99</v>
      </c>
    </row>
    <row r="1237" spans="1:28" x14ac:dyDescent="0.2">
      <c r="C1237" s="9" t="s">
        <v>1986</v>
      </c>
      <c r="D1237" s="33"/>
      <c r="E1237" s="33"/>
      <c r="F1237" s="33"/>
      <c r="G1237" s="57">
        <f>((Source!AF344+Source!AE344)*Source!FX344/100)+((Source!AF344+Source!AE344)*Source!FY344/100)+Source!AB344</f>
        <v>52.555999999999997</v>
      </c>
      <c r="H1237" s="57">
        <f>Source!O344+Source!X344+Source!Y344</f>
        <v>689.51</v>
      </c>
    </row>
    <row r="1238" spans="1:28" ht="28.5" x14ac:dyDescent="0.2">
      <c r="A1238" s="45">
        <v>178</v>
      </c>
      <c r="B1238" s="45" t="str">
        <f>Source!E345</f>
        <v>80,1</v>
      </c>
      <c r="C1238" s="45" t="str">
        <f>Source!G345</f>
        <v>Щитки распределительные этажные  EKF ЩРВ-48(з) прим.</v>
      </c>
      <c r="D1238" s="45" t="str">
        <f>Source!F345</f>
        <v>62.1.02.17-0012</v>
      </c>
      <c r="E1238" s="30" t="str">
        <f>Source!H345</f>
        <v>шт.</v>
      </c>
      <c r="F1238" s="12">
        <f>Source!I345</f>
        <v>2</v>
      </c>
      <c r="G1238" s="22">
        <f>Source!AB345</f>
        <v>1494.77</v>
      </c>
      <c r="H1238" s="22">
        <f>Source!O345</f>
        <v>19611.38</v>
      </c>
      <c r="T1238">
        <f>Source!O345+Source!X345+Source!Y345</f>
        <v>19611.38</v>
      </c>
      <c r="U1238">
        <f>Source!P345</f>
        <v>19611.38</v>
      </c>
      <c r="V1238">
        <f>Source!S345</f>
        <v>0</v>
      </c>
      <c r="W1238">
        <f>Source!Q345</f>
        <v>0</v>
      </c>
      <c r="X1238">
        <f>Source!R345</f>
        <v>0</v>
      </c>
      <c r="Y1238">
        <f>Source!U345</f>
        <v>0</v>
      </c>
      <c r="Z1238">
        <f>Source!V345</f>
        <v>0</v>
      </c>
      <c r="AA1238">
        <f>Source!X345</f>
        <v>0</v>
      </c>
      <c r="AB1238">
        <f>Source!Y345</f>
        <v>0</v>
      </c>
    </row>
    <row r="1239" spans="1:28" ht="14.25" x14ac:dyDescent="0.2">
      <c r="C1239" s="23" t="s">
        <v>1980</v>
      </c>
      <c r="D1239" s="23">
        <f>Source!BC345</f>
        <v>6.56</v>
      </c>
      <c r="F1239" s="12"/>
      <c r="G1239" s="12"/>
      <c r="H1239" s="12"/>
    </row>
    <row r="1240" spans="1:28" ht="42.75" x14ac:dyDescent="0.2">
      <c r="A1240" s="45">
        <v>179</v>
      </c>
      <c r="B1240" s="45" t="str">
        <f>Source!E346</f>
        <v>81</v>
      </c>
      <c r="C1240" s="45" t="str">
        <f>Source!G346</f>
        <v>Автомат одно-, двух-, трехполюсный, устанавливаемый на конструкции на полу, на ток до 25 А</v>
      </c>
      <c r="D1240" s="45" t="str">
        <f>Source!F346</f>
        <v>м08-03-526-06</v>
      </c>
      <c r="E1240" s="30" t="str">
        <f>Source!H346</f>
        <v>ШТ</v>
      </c>
      <c r="F1240" s="12">
        <f>Source!I346</f>
        <v>10</v>
      </c>
      <c r="G1240" s="22">
        <f>Source!AB346</f>
        <v>71.97</v>
      </c>
      <c r="H1240" s="22">
        <f>Source!O346</f>
        <v>4721.24</v>
      </c>
      <c r="T1240">
        <f>Source!O346+Source!X346+Source!Y346</f>
        <v>6338.69</v>
      </c>
      <c r="U1240">
        <f>Source!P346</f>
        <v>3636.21</v>
      </c>
      <c r="V1240">
        <f>Source!S346</f>
        <v>1010.9</v>
      </c>
      <c r="W1240">
        <f>Source!Q346</f>
        <v>74.13</v>
      </c>
      <c r="X1240">
        <f>Source!R346</f>
        <v>0</v>
      </c>
      <c r="Y1240">
        <f>Source!U346</f>
        <v>16.200000000000003</v>
      </c>
      <c r="Z1240">
        <f>Source!V346</f>
        <v>0</v>
      </c>
      <c r="AA1240">
        <f>Source!X346</f>
        <v>960.36</v>
      </c>
      <c r="AB1240">
        <f>Source!Y346</f>
        <v>657.09</v>
      </c>
    </row>
    <row r="1241" spans="1:28" ht="14.25" x14ac:dyDescent="0.2">
      <c r="C1241" s="23" t="s">
        <v>1978</v>
      </c>
      <c r="D1241" s="23">
        <f>Source!BA346</f>
        <v>6.56</v>
      </c>
      <c r="F1241" s="12"/>
      <c r="G1241" s="12"/>
      <c r="H1241" s="12"/>
    </row>
    <row r="1242" spans="1:28" x14ac:dyDescent="0.2">
      <c r="C1242" s="23" t="s">
        <v>1979</v>
      </c>
      <c r="D1242" s="23">
        <f>Source!BB346</f>
        <v>6.56</v>
      </c>
    </row>
    <row r="1243" spans="1:28" x14ac:dyDescent="0.2">
      <c r="C1243" s="23" t="s">
        <v>1980</v>
      </c>
      <c r="D1243" s="23">
        <f>Source!BC346</f>
        <v>6.56</v>
      </c>
    </row>
    <row r="1244" spans="1:28" x14ac:dyDescent="0.2">
      <c r="C1244" s="23" t="s">
        <v>1981</v>
      </c>
      <c r="D1244" s="23">
        <f>Source!BS346</f>
        <v>6.56</v>
      </c>
    </row>
    <row r="1245" spans="1:28" x14ac:dyDescent="0.2">
      <c r="C1245" s="9" t="s">
        <v>1982</v>
      </c>
      <c r="D1245" s="33"/>
      <c r="E1245" s="33"/>
      <c r="F1245" s="33">
        <f>Source!BZ346</f>
        <v>95</v>
      </c>
      <c r="G1245" s="57">
        <f>(Source!AF346+Source!AE346)*Source!FX346/100</f>
        <v>14.6395</v>
      </c>
      <c r="H1245" s="57">
        <f>Source!X346</f>
        <v>960.36</v>
      </c>
    </row>
    <row r="1246" spans="1:28" x14ac:dyDescent="0.2">
      <c r="C1246" s="9" t="s">
        <v>1984</v>
      </c>
      <c r="D1246" s="33"/>
      <c r="E1246" s="33"/>
      <c r="F1246" s="33">
        <f>Source!CA346</f>
        <v>65</v>
      </c>
      <c r="G1246" s="57">
        <f>(Source!AF346+Source!AE346)*Source!FY346/100</f>
        <v>10.016500000000001</v>
      </c>
      <c r="H1246" s="57">
        <f>Source!Y346</f>
        <v>657.09</v>
      </c>
    </row>
    <row r="1247" spans="1:28" x14ac:dyDescent="0.2">
      <c r="C1247" s="9" t="s">
        <v>1986</v>
      </c>
      <c r="D1247" s="33"/>
      <c r="E1247" s="33"/>
      <c r="F1247" s="33"/>
      <c r="G1247" s="57">
        <f>((Source!AF346+Source!AE346)*Source!FX346/100)+((Source!AF346+Source!AE346)*Source!FY346/100)+Source!AB346</f>
        <v>96.626000000000005</v>
      </c>
      <c r="H1247" s="57">
        <f>Source!O346+Source!X346+Source!Y346</f>
        <v>6338.69</v>
      </c>
    </row>
    <row r="1248" spans="1:28" ht="28.5" x14ac:dyDescent="0.2">
      <c r="A1248" s="45">
        <v>180</v>
      </c>
      <c r="B1248" s="45" t="str">
        <f>Source!E347</f>
        <v>81,1</v>
      </c>
      <c r="C1248" s="45" t="str">
        <f>Source!G347</f>
        <v>Выключатели автоматические АВВ 1Р 6А прим.</v>
      </c>
      <c r="D1248" s="45" t="str">
        <f>Source!F347</f>
        <v>62.1.01.09-0048</v>
      </c>
      <c r="E1248" s="30" t="str">
        <f>Source!H347</f>
        <v>шт.</v>
      </c>
      <c r="F1248" s="12">
        <f>Source!I347</f>
        <v>10</v>
      </c>
      <c r="G1248" s="22">
        <f>Source!AB347</f>
        <v>81.61</v>
      </c>
      <c r="H1248" s="22">
        <f>Source!O347</f>
        <v>5353.62</v>
      </c>
      <c r="T1248">
        <f>Source!O347+Source!X347+Source!Y347</f>
        <v>5353.62</v>
      </c>
      <c r="U1248">
        <f>Source!P347</f>
        <v>5353.62</v>
      </c>
      <c r="V1248">
        <f>Source!S347</f>
        <v>0</v>
      </c>
      <c r="W1248">
        <f>Source!Q347</f>
        <v>0</v>
      </c>
      <c r="X1248">
        <f>Source!R347</f>
        <v>0</v>
      </c>
      <c r="Y1248">
        <f>Source!U347</f>
        <v>0</v>
      </c>
      <c r="Z1248">
        <f>Source!V347</f>
        <v>0</v>
      </c>
      <c r="AA1248">
        <f>Source!X347</f>
        <v>0</v>
      </c>
      <c r="AB1248">
        <f>Source!Y347</f>
        <v>0</v>
      </c>
    </row>
    <row r="1249" spans="1:28" ht="14.25" x14ac:dyDescent="0.2">
      <c r="C1249" s="23" t="s">
        <v>1980</v>
      </c>
      <c r="D1249" s="23">
        <f>Source!BC347</f>
        <v>6.56</v>
      </c>
      <c r="F1249" s="12"/>
      <c r="G1249" s="12"/>
      <c r="H1249" s="12"/>
    </row>
    <row r="1250" spans="1:28" ht="28.5" x14ac:dyDescent="0.2">
      <c r="A1250" s="45">
        <v>181</v>
      </c>
      <c r="B1250" s="45" t="str">
        <f>Source!E348</f>
        <v>82</v>
      </c>
      <c r="C1250" s="45" t="str">
        <f>Source!G348</f>
        <v>Прибор или аппарат</v>
      </c>
      <c r="D1250" s="45" t="str">
        <f>Source!F348</f>
        <v>м08-03-575-01</v>
      </c>
      <c r="E1250" s="30" t="str">
        <f>Source!H348</f>
        <v>ШТ</v>
      </c>
      <c r="F1250" s="12">
        <f>Source!I348</f>
        <v>4</v>
      </c>
      <c r="G1250" s="22">
        <f>Source!AB348</f>
        <v>11.51</v>
      </c>
      <c r="H1250" s="22">
        <f>Source!O348</f>
        <v>302.02999999999997</v>
      </c>
      <c r="T1250">
        <f>Source!O348+Source!X348+Source!Y348</f>
        <v>768.47</v>
      </c>
      <c r="U1250">
        <f>Source!P348</f>
        <v>10.5</v>
      </c>
      <c r="V1250">
        <f>Source!S348</f>
        <v>291.52999999999997</v>
      </c>
      <c r="W1250">
        <f>Source!Q348</f>
        <v>0</v>
      </c>
      <c r="X1250">
        <f>Source!R348</f>
        <v>0</v>
      </c>
      <c r="Y1250">
        <f>Source!U348</f>
        <v>4.4800000000000004</v>
      </c>
      <c r="Z1250">
        <f>Source!V348</f>
        <v>0</v>
      </c>
      <c r="AA1250">
        <f>Source!X348</f>
        <v>276.95</v>
      </c>
      <c r="AB1250">
        <f>Source!Y348</f>
        <v>189.49</v>
      </c>
    </row>
    <row r="1251" spans="1:28" ht="14.25" x14ac:dyDescent="0.2">
      <c r="C1251" s="23" t="s">
        <v>1978</v>
      </c>
      <c r="D1251" s="23">
        <f>Source!BA348</f>
        <v>6.56</v>
      </c>
      <c r="F1251" s="12"/>
      <c r="G1251" s="12"/>
      <c r="H1251" s="12"/>
    </row>
    <row r="1252" spans="1:28" x14ac:dyDescent="0.2">
      <c r="C1252" s="23" t="s">
        <v>1979</v>
      </c>
      <c r="D1252" s="23">
        <f>Source!BB348</f>
        <v>6.56</v>
      </c>
    </row>
    <row r="1253" spans="1:28" x14ac:dyDescent="0.2">
      <c r="C1253" s="23" t="s">
        <v>1980</v>
      </c>
      <c r="D1253" s="23">
        <f>Source!BC348</f>
        <v>6.56</v>
      </c>
    </row>
    <row r="1254" spans="1:28" x14ac:dyDescent="0.2">
      <c r="C1254" s="23" t="s">
        <v>1981</v>
      </c>
      <c r="D1254" s="23">
        <f>Source!BS348</f>
        <v>6.56</v>
      </c>
    </row>
    <row r="1255" spans="1:28" x14ac:dyDescent="0.2">
      <c r="C1255" s="9" t="s">
        <v>1982</v>
      </c>
      <c r="D1255" s="33"/>
      <c r="E1255" s="33"/>
      <c r="F1255" s="33">
        <f>Source!BZ348</f>
        <v>95</v>
      </c>
      <c r="G1255" s="57">
        <f>(Source!AF348+Source!AE348)*Source!FX348/100</f>
        <v>10.554500000000001</v>
      </c>
      <c r="H1255" s="57">
        <f>Source!X348</f>
        <v>276.95</v>
      </c>
    </row>
    <row r="1256" spans="1:28" x14ac:dyDescent="0.2">
      <c r="C1256" s="9" t="s">
        <v>1984</v>
      </c>
      <c r="D1256" s="33"/>
      <c r="E1256" s="33"/>
      <c r="F1256" s="33">
        <f>Source!CA348</f>
        <v>65</v>
      </c>
      <c r="G1256" s="57">
        <f>(Source!AF348+Source!AE348)*Source!FY348/100</f>
        <v>7.2214999999999998</v>
      </c>
      <c r="H1256" s="57">
        <f>Source!Y348</f>
        <v>189.49</v>
      </c>
    </row>
    <row r="1257" spans="1:28" x14ac:dyDescent="0.2">
      <c r="C1257" s="9" t="s">
        <v>1986</v>
      </c>
      <c r="D1257" s="33"/>
      <c r="E1257" s="33"/>
      <c r="F1257" s="33"/>
      <c r="G1257" s="57">
        <f>((Source!AF348+Source!AE348)*Source!FX348/100)+((Source!AF348+Source!AE348)*Source!FY348/100)+Source!AB348</f>
        <v>29.286000000000001</v>
      </c>
      <c r="H1257" s="57">
        <f>Source!O348+Source!X348+Source!Y348</f>
        <v>768.47</v>
      </c>
    </row>
    <row r="1258" spans="1:28" ht="42.75" x14ac:dyDescent="0.2">
      <c r="A1258" s="45">
        <v>182</v>
      </c>
      <c r="B1258" s="45" t="str">
        <f>Source!E349</f>
        <v>82,1</v>
      </c>
      <c r="C1258" s="45" t="str">
        <f>Source!G349</f>
        <v>Автомат вводной в щит освещения OptimaMat E100L050-УХЛЗ -50А/3Р/380В 10кА прим.</v>
      </c>
      <c r="D1258" s="45" t="str">
        <f>Source!F349</f>
        <v>62.1.01.09-0070</v>
      </c>
      <c r="E1258" s="30" t="str">
        <f>Source!H349</f>
        <v>шт.</v>
      </c>
      <c r="F1258" s="12">
        <f>Source!I349</f>
        <v>2</v>
      </c>
      <c r="G1258" s="22">
        <f>Source!AB349</f>
        <v>428.4</v>
      </c>
      <c r="H1258" s="22">
        <f>Source!O349</f>
        <v>5620.61</v>
      </c>
      <c r="T1258">
        <f>Source!O349+Source!X349+Source!Y349</f>
        <v>5620.61</v>
      </c>
      <c r="U1258">
        <f>Source!P349</f>
        <v>5620.61</v>
      </c>
      <c r="V1258">
        <f>Source!S349</f>
        <v>0</v>
      </c>
      <c r="W1258">
        <f>Source!Q349</f>
        <v>0</v>
      </c>
      <c r="X1258">
        <f>Source!R349</f>
        <v>0</v>
      </c>
      <c r="Y1258">
        <f>Source!U349</f>
        <v>0</v>
      </c>
      <c r="Z1258">
        <f>Source!V349</f>
        <v>0</v>
      </c>
      <c r="AA1258">
        <f>Source!X349</f>
        <v>0</v>
      </c>
      <c r="AB1258">
        <f>Source!Y349</f>
        <v>0</v>
      </c>
    </row>
    <row r="1259" spans="1:28" ht="14.25" x14ac:dyDescent="0.2">
      <c r="C1259" s="23" t="s">
        <v>1980</v>
      </c>
      <c r="D1259" s="23">
        <f>Source!BC349</f>
        <v>6.56</v>
      </c>
      <c r="F1259" s="12"/>
      <c r="G1259" s="12"/>
      <c r="H1259" s="12"/>
    </row>
    <row r="1260" spans="1:28" ht="28.5" x14ac:dyDescent="0.2">
      <c r="A1260" s="45">
        <v>183</v>
      </c>
      <c r="B1260" s="45" t="str">
        <f>Source!E350</f>
        <v>82,2</v>
      </c>
      <c r="C1260" s="45" t="str">
        <f>Source!G350</f>
        <v>Автомат ВА57ф35-340019  63А-630/3Р/400В/10кА В ВРУ прим.</v>
      </c>
      <c r="D1260" s="45" t="str">
        <f>Source!F350</f>
        <v>62.1.01.09-0071</v>
      </c>
      <c r="E1260" s="30" t="str">
        <f>Source!H350</f>
        <v>шт.</v>
      </c>
      <c r="F1260" s="12">
        <f>Source!I350</f>
        <v>2</v>
      </c>
      <c r="G1260" s="22">
        <f>Source!AB350</f>
        <v>428.4</v>
      </c>
      <c r="H1260" s="22">
        <f>Source!O350</f>
        <v>5620.61</v>
      </c>
      <c r="T1260">
        <f>Source!O350+Source!X350+Source!Y350</f>
        <v>5620.61</v>
      </c>
      <c r="U1260">
        <f>Source!P350</f>
        <v>5620.61</v>
      </c>
      <c r="V1260">
        <f>Source!S350</f>
        <v>0</v>
      </c>
      <c r="W1260">
        <f>Source!Q350</f>
        <v>0</v>
      </c>
      <c r="X1260">
        <f>Source!R350</f>
        <v>0</v>
      </c>
      <c r="Y1260">
        <f>Source!U350</f>
        <v>0</v>
      </c>
      <c r="Z1260">
        <f>Source!V350</f>
        <v>0</v>
      </c>
      <c r="AA1260">
        <f>Source!X350</f>
        <v>0</v>
      </c>
      <c r="AB1260">
        <f>Source!Y350</f>
        <v>0</v>
      </c>
    </row>
    <row r="1261" spans="1:28" ht="14.25" x14ac:dyDescent="0.2">
      <c r="C1261" s="23" t="s">
        <v>1980</v>
      </c>
      <c r="D1261" s="23">
        <f>Source!BC350</f>
        <v>6.56</v>
      </c>
      <c r="F1261" s="12"/>
      <c r="G1261" s="12"/>
      <c r="H1261" s="12"/>
    </row>
    <row r="1262" spans="1:28" ht="42.75" x14ac:dyDescent="0.2">
      <c r="A1262" s="45">
        <v>184</v>
      </c>
      <c r="B1262" s="45" t="str">
        <f>Source!E351</f>
        <v>83</v>
      </c>
      <c r="C1262" s="45" t="str">
        <f>Source!G351</f>
        <v>Профиль перфорированный монтажный длиной 2 м (Лоток оцинкованный перфорированый)</v>
      </c>
      <c r="D1262" s="45" t="str">
        <f>Source!F351</f>
        <v>м08-02-397-01 прим.</v>
      </c>
      <c r="E1262" s="30" t="str">
        <f>Source!H351</f>
        <v>100 м</v>
      </c>
      <c r="F1262" s="12">
        <f>Source!I351</f>
        <v>0.35</v>
      </c>
      <c r="G1262" s="22">
        <f>Source!AB351</f>
        <v>582.66</v>
      </c>
      <c r="H1262" s="22">
        <f>Source!O351</f>
        <v>1337.79</v>
      </c>
      <c r="T1262">
        <f>Source!O351+Source!X351+Source!Y351</f>
        <v>1719.08</v>
      </c>
      <c r="U1262">
        <f>Source!P351</f>
        <v>935.69</v>
      </c>
      <c r="V1262">
        <f>Source!S351</f>
        <v>184.74</v>
      </c>
      <c r="W1262">
        <f>Source!Q351</f>
        <v>217.36</v>
      </c>
      <c r="X1262">
        <f>Source!R351</f>
        <v>53.57</v>
      </c>
      <c r="Y1262">
        <f>Source!U351</f>
        <v>2.996</v>
      </c>
      <c r="Z1262">
        <f>Source!V351</f>
        <v>0.79449999999999998</v>
      </c>
      <c r="AA1262">
        <f>Source!X351</f>
        <v>226.39</v>
      </c>
      <c r="AB1262">
        <f>Source!Y351</f>
        <v>154.9</v>
      </c>
    </row>
    <row r="1263" spans="1:28" ht="14.25" x14ac:dyDescent="0.2">
      <c r="C1263" s="23" t="str">
        <f>"Объем: "&amp;Source!I351&amp;"=35/"&amp;"100"</f>
        <v>Объем: 0,35=35/100</v>
      </c>
      <c r="F1263" s="12"/>
      <c r="G1263" s="12"/>
      <c r="H1263" s="12"/>
    </row>
    <row r="1264" spans="1:28" x14ac:dyDescent="0.2">
      <c r="C1264" s="23" t="s">
        <v>1978</v>
      </c>
      <c r="D1264" s="23">
        <f>Source!BA351</f>
        <v>6.56</v>
      </c>
    </row>
    <row r="1265" spans="1:28" x14ac:dyDescent="0.2">
      <c r="C1265" s="23" t="s">
        <v>1979</v>
      </c>
      <c r="D1265" s="23">
        <f>Source!BB351</f>
        <v>6.56</v>
      </c>
    </row>
    <row r="1266" spans="1:28" x14ac:dyDescent="0.2">
      <c r="C1266" s="23" t="s">
        <v>1980</v>
      </c>
      <c r="D1266" s="23">
        <f>Source!BC351</f>
        <v>6.56</v>
      </c>
    </row>
    <row r="1267" spans="1:28" x14ac:dyDescent="0.2">
      <c r="C1267" s="23" t="s">
        <v>1981</v>
      </c>
      <c r="D1267" s="23">
        <f>Source!BS351</f>
        <v>6.56</v>
      </c>
    </row>
    <row r="1268" spans="1:28" x14ac:dyDescent="0.2">
      <c r="C1268" s="9" t="s">
        <v>1982</v>
      </c>
      <c r="D1268" s="33"/>
      <c r="E1268" s="33"/>
      <c r="F1268" s="33">
        <f>Source!BZ351</f>
        <v>95</v>
      </c>
      <c r="G1268" s="57">
        <f>(Source!AF351+Source!AE351)*Source!FX351/100</f>
        <v>98.600499999999997</v>
      </c>
      <c r="H1268" s="57">
        <f>Source!X351</f>
        <v>226.39</v>
      </c>
    </row>
    <row r="1269" spans="1:28" x14ac:dyDescent="0.2">
      <c r="C1269" s="9" t="s">
        <v>1984</v>
      </c>
      <c r="D1269" s="33"/>
      <c r="E1269" s="33"/>
      <c r="F1269" s="33">
        <f>Source!CA351</f>
        <v>65</v>
      </c>
      <c r="G1269" s="57">
        <f>(Source!AF351+Source!AE351)*Source!FY351/100</f>
        <v>67.463499999999996</v>
      </c>
      <c r="H1269" s="57">
        <f>Source!Y351</f>
        <v>154.9</v>
      </c>
    </row>
    <row r="1270" spans="1:28" x14ac:dyDescent="0.2">
      <c r="C1270" s="9" t="s">
        <v>1986</v>
      </c>
      <c r="D1270" s="33"/>
      <c r="E1270" s="33"/>
      <c r="F1270" s="33"/>
      <c r="G1270" s="57">
        <f>((Source!AF351+Source!AE351)*Source!FX351/100)+((Source!AF351+Source!AE351)*Source!FY351/100)+Source!AB351</f>
        <v>748.72399999999993</v>
      </c>
      <c r="H1270" s="57">
        <f>Source!O351+Source!X351+Source!Y351</f>
        <v>1719.08</v>
      </c>
    </row>
    <row r="1271" spans="1:28" ht="42.75" x14ac:dyDescent="0.2">
      <c r="A1271" s="45">
        <v>185</v>
      </c>
      <c r="B1271" s="45" t="str">
        <f>Source!E352</f>
        <v>83,1</v>
      </c>
      <c r="C1271" s="45" t="str">
        <f>Source!G352</f>
        <v>Лоток кабельный оцинкованный замковый перфорированный PNK 300-300х50 мм, длина 2,5 м</v>
      </c>
      <c r="D1271" s="45" t="str">
        <f>Source!F352</f>
        <v>20.2.07.02-0009</v>
      </c>
      <c r="E1271" s="30" t="str">
        <f>Source!H352</f>
        <v>шт.</v>
      </c>
      <c r="F1271" s="12">
        <f>Source!I352</f>
        <v>14</v>
      </c>
      <c r="G1271" s="22">
        <f>Source!AB352</f>
        <v>62.4</v>
      </c>
      <c r="H1271" s="22">
        <f>Source!O352</f>
        <v>5730.82</v>
      </c>
      <c r="T1271">
        <f>Source!O352+Source!X352+Source!Y352</f>
        <v>5730.82</v>
      </c>
      <c r="U1271">
        <f>Source!P352</f>
        <v>5730.82</v>
      </c>
      <c r="V1271">
        <f>Source!S352</f>
        <v>0</v>
      </c>
      <c r="W1271">
        <f>Source!Q352</f>
        <v>0</v>
      </c>
      <c r="X1271">
        <f>Source!R352</f>
        <v>0</v>
      </c>
      <c r="Y1271">
        <f>Source!U352</f>
        <v>0</v>
      </c>
      <c r="Z1271">
        <f>Source!V352</f>
        <v>0</v>
      </c>
      <c r="AA1271">
        <f>Source!X352</f>
        <v>0</v>
      </c>
      <c r="AB1271">
        <f>Source!Y352</f>
        <v>0</v>
      </c>
    </row>
    <row r="1272" spans="1:28" ht="14.25" x14ac:dyDescent="0.2">
      <c r="C1272" s="23" t="s">
        <v>1980</v>
      </c>
      <c r="D1272" s="23">
        <f>Source!BC352</f>
        <v>6.56</v>
      </c>
      <c r="F1272" s="12"/>
      <c r="G1272" s="12"/>
      <c r="H1272" s="12"/>
    </row>
    <row r="1273" spans="1:28" ht="42.75" x14ac:dyDescent="0.2">
      <c r="A1273" s="45">
        <v>186</v>
      </c>
      <c r="B1273" s="45" t="str">
        <f>Source!E353</f>
        <v>84</v>
      </c>
      <c r="C1273" s="45" t="str">
        <f>Source!G353</f>
        <v>Кабель до 35 кВ с креплением накладными скобами, масса 1 м кабеля до 1 кг</v>
      </c>
      <c r="D1273" s="45" t="str">
        <f>Source!F353</f>
        <v>м08-02-146-02</v>
      </c>
      <c r="E1273" s="30" t="str">
        <f>Source!H353</f>
        <v>100 м</v>
      </c>
      <c r="F1273" s="12">
        <f>Source!I353</f>
        <v>1.145</v>
      </c>
      <c r="G1273" s="22">
        <f>Source!AB353</f>
        <v>836.21</v>
      </c>
      <c r="H1273" s="22">
        <f>Source!O353</f>
        <v>6280.94</v>
      </c>
      <c r="T1273">
        <f>Source!O353+Source!X353+Source!Y353</f>
        <v>8569.75</v>
      </c>
      <c r="U1273">
        <f>Source!P353</f>
        <v>466.37</v>
      </c>
      <c r="V1273">
        <f>Source!S353</f>
        <v>968.94</v>
      </c>
      <c r="W1273">
        <f>Source!Q353</f>
        <v>4845.63</v>
      </c>
      <c r="X1273">
        <f>Source!R353</f>
        <v>461.56</v>
      </c>
      <c r="Y1273">
        <f>Source!U353</f>
        <v>15.35445</v>
      </c>
      <c r="Z1273">
        <f>Source!V353</f>
        <v>5.2441000000000004</v>
      </c>
      <c r="AA1273">
        <f>Source!X353</f>
        <v>1358.98</v>
      </c>
      <c r="AB1273">
        <f>Source!Y353</f>
        <v>929.83</v>
      </c>
    </row>
    <row r="1274" spans="1:28" ht="14.25" x14ac:dyDescent="0.2">
      <c r="C1274" s="23" t="str">
        <f>"Объем: "&amp;Source!I353&amp;"=114,5/"&amp;"100"</f>
        <v>Объем: 1,145=114,5/100</v>
      </c>
      <c r="F1274" s="12"/>
      <c r="G1274" s="12"/>
      <c r="H1274" s="12"/>
    </row>
    <row r="1275" spans="1:28" x14ac:dyDescent="0.2">
      <c r="C1275" s="23" t="s">
        <v>1978</v>
      </c>
      <c r="D1275" s="23">
        <f>Source!BA353</f>
        <v>6.56</v>
      </c>
    </row>
    <row r="1276" spans="1:28" x14ac:dyDescent="0.2">
      <c r="C1276" s="23" t="s">
        <v>1979</v>
      </c>
      <c r="D1276" s="23">
        <f>Source!BB353</f>
        <v>6.56</v>
      </c>
    </row>
    <row r="1277" spans="1:28" x14ac:dyDescent="0.2">
      <c r="C1277" s="23" t="s">
        <v>1980</v>
      </c>
      <c r="D1277" s="23">
        <f>Source!BC353</f>
        <v>6.56</v>
      </c>
    </row>
    <row r="1278" spans="1:28" x14ac:dyDescent="0.2">
      <c r="C1278" s="23" t="s">
        <v>1981</v>
      </c>
      <c r="D1278" s="23">
        <f>Source!BS353</f>
        <v>6.56</v>
      </c>
    </row>
    <row r="1279" spans="1:28" x14ac:dyDescent="0.2">
      <c r="C1279" s="9" t="s">
        <v>1982</v>
      </c>
      <c r="D1279" s="33"/>
      <c r="E1279" s="33"/>
      <c r="F1279" s="33">
        <f>Source!BZ353</f>
        <v>95</v>
      </c>
      <c r="G1279" s="57">
        <f>(Source!AF353+Source!AE353)*Source!FX353/100</f>
        <v>180.92750000000001</v>
      </c>
      <c r="H1279" s="57">
        <f>Source!X353</f>
        <v>1358.98</v>
      </c>
    </row>
    <row r="1280" spans="1:28" x14ac:dyDescent="0.2">
      <c r="C1280" s="9" t="s">
        <v>1984</v>
      </c>
      <c r="D1280" s="33"/>
      <c r="E1280" s="33"/>
      <c r="F1280" s="33">
        <f>Source!CA353</f>
        <v>65</v>
      </c>
      <c r="G1280" s="57">
        <f>(Source!AF353+Source!AE353)*Source!FY353/100</f>
        <v>123.7925</v>
      </c>
      <c r="H1280" s="57">
        <f>Source!Y353</f>
        <v>929.83</v>
      </c>
    </row>
    <row r="1281" spans="1:28" x14ac:dyDescent="0.2">
      <c r="C1281" s="9" t="s">
        <v>1986</v>
      </c>
      <c r="D1281" s="33"/>
      <c r="E1281" s="33"/>
      <c r="F1281" s="33"/>
      <c r="G1281" s="57">
        <f>((Source!AF353+Source!AE353)*Source!FX353/100)+((Source!AF353+Source!AE353)*Source!FY353/100)+Source!AB353</f>
        <v>1140.93</v>
      </c>
      <c r="H1281" s="57">
        <f>Source!O353+Source!X353+Source!Y353</f>
        <v>8569.75</v>
      </c>
    </row>
    <row r="1282" spans="1:28" ht="99.75" x14ac:dyDescent="0.2">
      <c r="A1282" s="45">
        <v>187</v>
      </c>
      <c r="B1282" s="45" t="str">
        <f>Source!E354</f>
        <v>84,1</v>
      </c>
      <c r="C1282" s="45" t="str">
        <f>Source!G354</f>
        <v>Кабель силовой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ВВГнг(A)-LS 5х25мм(N,РЕ)</v>
      </c>
      <c r="D1282" s="45" t="str">
        <f>Source!F354</f>
        <v>21.1.06.10-0412</v>
      </c>
      <c r="E1282" s="30" t="str">
        <f>Source!H354</f>
        <v>1000 м</v>
      </c>
      <c r="F1282" s="12">
        <f>Source!I354</f>
        <v>0.1145</v>
      </c>
      <c r="G1282" s="22">
        <f>Source!AB354</f>
        <v>145394.87</v>
      </c>
      <c r="H1282" s="22">
        <f>Source!O354</f>
        <v>109208.99</v>
      </c>
      <c r="T1282">
        <f>Source!O354+Source!X354+Source!Y354</f>
        <v>109208.99</v>
      </c>
      <c r="U1282">
        <f>Source!P354</f>
        <v>109208.99</v>
      </c>
      <c r="V1282">
        <f>Source!S354</f>
        <v>0</v>
      </c>
      <c r="W1282">
        <f>Source!Q354</f>
        <v>0</v>
      </c>
      <c r="X1282">
        <f>Source!R354</f>
        <v>0</v>
      </c>
      <c r="Y1282">
        <f>Source!U354</f>
        <v>0</v>
      </c>
      <c r="Z1282">
        <f>Source!V354</f>
        <v>0</v>
      </c>
      <c r="AA1282">
        <f>Source!X354</f>
        <v>0</v>
      </c>
      <c r="AB1282">
        <f>Source!Y354</f>
        <v>0</v>
      </c>
    </row>
    <row r="1283" spans="1:28" ht="14.25" x14ac:dyDescent="0.2">
      <c r="C1283" s="23" t="s">
        <v>1980</v>
      </c>
      <c r="D1283" s="23">
        <f>Source!BC354</f>
        <v>6.56</v>
      </c>
      <c r="F1283" s="12"/>
      <c r="G1283" s="12"/>
      <c r="H1283" s="12"/>
    </row>
    <row r="1285" spans="1:28" ht="15" x14ac:dyDescent="0.25">
      <c r="A1285" s="58"/>
      <c r="B1285" s="58"/>
      <c r="C1285" s="66" t="str">
        <f>CONCATENATE("Итого по подразделу: ",IF(Source!G356&lt;&gt;"Новый подраздел", Source!G356, ""))</f>
        <v>Итого по подразделу: 2 Монтаж освещения</v>
      </c>
      <c r="D1285" s="66"/>
      <c r="E1285" s="66"/>
      <c r="F1285" s="66"/>
      <c r="G1285" s="58"/>
      <c r="H1285" s="59">
        <f>IF(SUM(T1111:T1284)=0, "-", SUM(T1111:T1284))</f>
        <v>456350.44000000006</v>
      </c>
    </row>
    <row r="1286" spans="1:28" ht="15" x14ac:dyDescent="0.25">
      <c r="A1286" s="58"/>
      <c r="B1286" s="58"/>
      <c r="C1286" s="58"/>
      <c r="D1286" s="58"/>
      <c r="E1286" s="58"/>
      <c r="F1286" s="58"/>
      <c r="G1286" s="58"/>
      <c r="H1286" s="58"/>
    </row>
    <row r="1289" spans="1:28" ht="16.5" x14ac:dyDescent="0.25">
      <c r="A1289" s="68" t="str">
        <f>CONCATENATE("Подраздел: ",IF(Source!G385&lt;&gt;"Новый подраздел", Source!G385, ""))</f>
        <v>Подраздел: 3 Монтаж силовой части</v>
      </c>
      <c r="B1289" s="68"/>
      <c r="C1289" s="68"/>
      <c r="D1289" s="68"/>
      <c r="E1289" s="68"/>
      <c r="F1289" s="68"/>
      <c r="G1289" s="68"/>
      <c r="H1289" s="68"/>
    </row>
    <row r="1290" spans="1:28" ht="28.5" x14ac:dyDescent="0.2">
      <c r="A1290" s="45">
        <v>188</v>
      </c>
      <c r="B1290" s="45" t="str">
        <f>Source!E389</f>
        <v>85</v>
      </c>
      <c r="C1290" s="45" t="str">
        <f>Source!G389</f>
        <v>Короба пластмассовые шириной до 120 мм</v>
      </c>
      <c r="D1290" s="45" t="str">
        <f>Source!F389</f>
        <v>м08-02-390-03</v>
      </c>
      <c r="E1290" s="30" t="str">
        <f>Source!H389</f>
        <v>100 м</v>
      </c>
      <c r="F1290" s="12">
        <f>Source!I389</f>
        <v>0.8</v>
      </c>
      <c r="G1290" s="22">
        <f>Source!AB389</f>
        <v>286.92</v>
      </c>
      <c r="H1290" s="22">
        <f>Source!O389</f>
        <v>1505.76</v>
      </c>
      <c r="T1290">
        <f>Source!O389+Source!X389+Source!Y389</f>
        <v>3130.37</v>
      </c>
      <c r="U1290">
        <f>Source!P389</f>
        <v>489.48</v>
      </c>
      <c r="V1290">
        <f>Source!S389</f>
        <v>1014.65</v>
      </c>
      <c r="W1290">
        <f>Source!Q389</f>
        <v>1.63</v>
      </c>
      <c r="X1290">
        <f>Source!R389</f>
        <v>0.73</v>
      </c>
      <c r="Y1290">
        <f>Source!U389</f>
        <v>16.263999999999999</v>
      </c>
      <c r="Z1290">
        <f>Source!V389</f>
        <v>8.0000000000000002E-3</v>
      </c>
      <c r="AA1290">
        <f>Source!X389</f>
        <v>964.61</v>
      </c>
      <c r="AB1290">
        <f>Source!Y389</f>
        <v>660</v>
      </c>
    </row>
    <row r="1291" spans="1:28" ht="14.25" x14ac:dyDescent="0.2">
      <c r="C1291" s="23" t="str">
        <f>"Объем: "&amp;Source!I389&amp;"=80/"&amp;"100"</f>
        <v>Объем: 0,8=80/100</v>
      </c>
      <c r="F1291" s="12"/>
      <c r="G1291" s="12"/>
      <c r="H1291" s="12"/>
    </row>
    <row r="1292" spans="1:28" x14ac:dyDescent="0.2">
      <c r="C1292" s="23" t="s">
        <v>1978</v>
      </c>
      <c r="D1292" s="23">
        <f>Source!BA389</f>
        <v>6.56</v>
      </c>
    </row>
    <row r="1293" spans="1:28" x14ac:dyDescent="0.2">
      <c r="C1293" s="23" t="s">
        <v>1979</v>
      </c>
      <c r="D1293" s="23">
        <f>Source!BB389</f>
        <v>6.56</v>
      </c>
    </row>
    <row r="1294" spans="1:28" x14ac:dyDescent="0.2">
      <c r="C1294" s="23" t="s">
        <v>1980</v>
      </c>
      <c r="D1294" s="23">
        <f>Source!BC389</f>
        <v>6.56</v>
      </c>
    </row>
    <row r="1295" spans="1:28" x14ac:dyDescent="0.2">
      <c r="C1295" s="23" t="s">
        <v>1981</v>
      </c>
      <c r="D1295" s="23">
        <f>Source!BS389</f>
        <v>6.56</v>
      </c>
    </row>
    <row r="1296" spans="1:28" x14ac:dyDescent="0.2">
      <c r="C1296" s="9" t="s">
        <v>1982</v>
      </c>
      <c r="D1296" s="33"/>
      <c r="E1296" s="33"/>
      <c r="F1296" s="33">
        <f>Source!BZ389</f>
        <v>95</v>
      </c>
      <c r="G1296" s="57">
        <f>(Source!AF389+Source!AE389)*Source!FX389/100</f>
        <v>183.80599999999998</v>
      </c>
      <c r="H1296" s="57">
        <f>Source!X389</f>
        <v>964.61</v>
      </c>
    </row>
    <row r="1297" spans="1:28" x14ac:dyDescent="0.2">
      <c r="C1297" s="9" t="s">
        <v>1984</v>
      </c>
      <c r="D1297" s="33"/>
      <c r="E1297" s="33"/>
      <c r="F1297" s="33">
        <f>Source!CA389</f>
        <v>65</v>
      </c>
      <c r="G1297" s="57">
        <f>(Source!AF389+Source!AE389)*Source!FY389/100</f>
        <v>125.76199999999999</v>
      </c>
      <c r="H1297" s="57">
        <f>Source!Y389</f>
        <v>660</v>
      </c>
    </row>
    <row r="1298" spans="1:28" x14ac:dyDescent="0.2">
      <c r="C1298" s="9" t="s">
        <v>1986</v>
      </c>
      <c r="D1298" s="33"/>
      <c r="E1298" s="33"/>
      <c r="F1298" s="33"/>
      <c r="G1298" s="57">
        <f>((Source!AF389+Source!AE389)*Source!FX389/100)+((Source!AF389+Source!AE389)*Source!FY389/100)+Source!AB389</f>
        <v>596.48800000000006</v>
      </c>
      <c r="H1298" s="57">
        <f>Source!O389+Source!X389+Source!Y389</f>
        <v>3130.37</v>
      </c>
    </row>
    <row r="1299" spans="1:28" ht="28.5" x14ac:dyDescent="0.2">
      <c r="A1299" s="45">
        <v>189</v>
      </c>
      <c r="B1299" s="45" t="str">
        <f>Source!E390</f>
        <v>85,1</v>
      </c>
      <c r="C1299" s="45" t="str">
        <f>Source!G390</f>
        <v>Кабель-канал (короб) "Efapel " 110x50 мм прим.</v>
      </c>
      <c r="D1299" s="45" t="str">
        <f>Source!F390</f>
        <v>20.2.05.04-0034</v>
      </c>
      <c r="E1299" s="30" t="str">
        <f>Source!H390</f>
        <v>100 м</v>
      </c>
      <c r="F1299" s="12">
        <f>Source!I390</f>
        <v>0.8</v>
      </c>
      <c r="G1299" s="22">
        <f>Source!AB390</f>
        <v>1360</v>
      </c>
      <c r="H1299" s="22">
        <f>Source!O390</f>
        <v>7137.28</v>
      </c>
      <c r="T1299">
        <f>Source!O390+Source!X390+Source!Y390</f>
        <v>7137.28</v>
      </c>
      <c r="U1299">
        <f>Source!P390</f>
        <v>7137.28</v>
      </c>
      <c r="V1299">
        <f>Source!S390</f>
        <v>0</v>
      </c>
      <c r="W1299">
        <f>Source!Q390</f>
        <v>0</v>
      </c>
      <c r="X1299">
        <f>Source!R390</f>
        <v>0</v>
      </c>
      <c r="Y1299">
        <f>Source!U390</f>
        <v>0</v>
      </c>
      <c r="Z1299">
        <f>Source!V390</f>
        <v>0</v>
      </c>
      <c r="AA1299">
        <f>Source!X390</f>
        <v>0</v>
      </c>
      <c r="AB1299">
        <f>Source!Y390</f>
        <v>0</v>
      </c>
    </row>
    <row r="1300" spans="1:28" ht="14.25" x14ac:dyDescent="0.2">
      <c r="C1300" s="23" t="s">
        <v>1980</v>
      </c>
      <c r="D1300" s="23">
        <f>Source!BC390</f>
        <v>6.56</v>
      </c>
      <c r="F1300" s="12"/>
      <c r="G1300" s="12"/>
      <c r="H1300" s="12"/>
    </row>
    <row r="1301" spans="1:28" ht="28.5" x14ac:dyDescent="0.2">
      <c r="A1301" s="45">
        <v>190</v>
      </c>
      <c r="B1301" s="45" t="str">
        <f>Source!E391</f>
        <v>86</v>
      </c>
      <c r="C1301" s="45" t="str">
        <f>Source!G391</f>
        <v>Розетка штепсельная неутопленного типа при открытой проводке</v>
      </c>
      <c r="D1301" s="45" t="str">
        <f>Source!F391</f>
        <v>м08-03-591-08</v>
      </c>
      <c r="E1301" s="30" t="str">
        <f>Source!H391</f>
        <v>100 ШТ</v>
      </c>
      <c r="F1301" s="12">
        <f>Source!I391</f>
        <v>0.56999999999999995</v>
      </c>
      <c r="G1301" s="22">
        <f>Source!AB391</f>
        <v>453.93</v>
      </c>
      <c r="H1301" s="22">
        <f>Source!O391</f>
        <v>1697.34</v>
      </c>
      <c r="T1301">
        <f>Source!O391+Source!X391+Source!Y391</f>
        <v>3752.28</v>
      </c>
      <c r="U1301">
        <f>Source!P391</f>
        <v>397.93</v>
      </c>
      <c r="V1301">
        <f>Source!S391</f>
        <v>1281.95</v>
      </c>
      <c r="W1301">
        <f>Source!Q391</f>
        <v>17.46</v>
      </c>
      <c r="X1301">
        <f>Source!R391</f>
        <v>2.39</v>
      </c>
      <c r="Y1301">
        <f>Source!U391</f>
        <v>19.699200000000001</v>
      </c>
      <c r="Z1301">
        <f>Source!V391</f>
        <v>2.8499999999999998E-2</v>
      </c>
      <c r="AA1301">
        <f>Source!X391</f>
        <v>1220.1199999999999</v>
      </c>
      <c r="AB1301">
        <f>Source!Y391</f>
        <v>834.82</v>
      </c>
    </row>
    <row r="1302" spans="1:28" ht="14.25" x14ac:dyDescent="0.2">
      <c r="C1302" s="23" t="str">
        <f>"Объем: "&amp;Source!I391&amp;"=57/"&amp;"100"</f>
        <v>Объем: 0,57=57/100</v>
      </c>
      <c r="F1302" s="12"/>
      <c r="G1302" s="12"/>
      <c r="H1302" s="12"/>
    </row>
    <row r="1303" spans="1:28" x14ac:dyDescent="0.2">
      <c r="C1303" s="23" t="s">
        <v>1978</v>
      </c>
      <c r="D1303" s="23">
        <f>Source!BA391</f>
        <v>6.56</v>
      </c>
    </row>
    <row r="1304" spans="1:28" x14ac:dyDescent="0.2">
      <c r="C1304" s="23" t="s">
        <v>1979</v>
      </c>
      <c r="D1304" s="23">
        <f>Source!BB391</f>
        <v>6.56</v>
      </c>
    </row>
    <row r="1305" spans="1:28" x14ac:dyDescent="0.2">
      <c r="C1305" s="23" t="s">
        <v>1980</v>
      </c>
      <c r="D1305" s="23">
        <f>Source!BC391</f>
        <v>6.56</v>
      </c>
    </row>
    <row r="1306" spans="1:28" x14ac:dyDescent="0.2">
      <c r="C1306" s="23" t="s">
        <v>1981</v>
      </c>
      <c r="D1306" s="23">
        <f>Source!BS391</f>
        <v>6.56</v>
      </c>
    </row>
    <row r="1307" spans="1:28" x14ac:dyDescent="0.2">
      <c r="C1307" s="9" t="s">
        <v>1982</v>
      </c>
      <c r="D1307" s="33"/>
      <c r="E1307" s="33"/>
      <c r="F1307" s="33">
        <f>Source!BZ391</f>
        <v>95</v>
      </c>
      <c r="G1307" s="57">
        <f>(Source!AF391+Source!AE391)*Source!FX391/100</f>
        <v>326.30599999999993</v>
      </c>
      <c r="H1307" s="57">
        <f>Source!X391</f>
        <v>1220.1199999999999</v>
      </c>
    </row>
    <row r="1308" spans="1:28" x14ac:dyDescent="0.2">
      <c r="C1308" s="9" t="s">
        <v>1984</v>
      </c>
      <c r="D1308" s="33"/>
      <c r="E1308" s="33"/>
      <c r="F1308" s="33">
        <f>Source!CA391</f>
        <v>65</v>
      </c>
      <c r="G1308" s="57">
        <f>(Source!AF391+Source!AE391)*Source!FY391/100</f>
        <v>223.26199999999997</v>
      </c>
      <c r="H1308" s="57">
        <f>Source!Y391</f>
        <v>834.82</v>
      </c>
    </row>
    <row r="1309" spans="1:28" x14ac:dyDescent="0.2">
      <c r="C1309" s="9" t="s">
        <v>1986</v>
      </c>
      <c r="D1309" s="33"/>
      <c r="E1309" s="33"/>
      <c r="F1309" s="33"/>
      <c r="G1309" s="57">
        <f>((Source!AF391+Source!AE391)*Source!FX391/100)+((Source!AF391+Source!AE391)*Source!FY391/100)+Source!AB391</f>
        <v>1003.4979999999998</v>
      </c>
      <c r="H1309" s="57">
        <f>Source!O391+Source!X391+Source!Y391</f>
        <v>3752.28</v>
      </c>
    </row>
    <row r="1310" spans="1:28" ht="42.75" x14ac:dyDescent="0.2">
      <c r="A1310" s="45">
        <v>191</v>
      </c>
      <c r="B1310" s="45" t="str">
        <f>Source!E392</f>
        <v>86,1</v>
      </c>
      <c r="C1310" s="45" t="str">
        <f>Source!G392</f>
        <v>Розетка открытой проводки в кабель-канал "Efapel" с супортом 220В 45х45мм прим.</v>
      </c>
      <c r="D1310" s="45" t="str">
        <f>Source!F392</f>
        <v>20.4.03.05-0001</v>
      </c>
      <c r="E1310" s="30" t="str">
        <f>Source!H392</f>
        <v>100 шт.</v>
      </c>
      <c r="F1310" s="12">
        <f>Source!I392</f>
        <v>0.52</v>
      </c>
      <c r="G1310" s="22">
        <f>Source!AB392</f>
        <v>577</v>
      </c>
      <c r="H1310" s="22">
        <f>Source!O392</f>
        <v>1968.26</v>
      </c>
      <c r="T1310">
        <f>Source!O392+Source!X392+Source!Y392</f>
        <v>1968.26</v>
      </c>
      <c r="U1310">
        <f>Source!P392</f>
        <v>1968.26</v>
      </c>
      <c r="V1310">
        <f>Source!S392</f>
        <v>0</v>
      </c>
      <c r="W1310">
        <f>Source!Q392</f>
        <v>0</v>
      </c>
      <c r="X1310">
        <f>Source!R392</f>
        <v>0</v>
      </c>
      <c r="Y1310">
        <f>Source!U392</f>
        <v>0</v>
      </c>
      <c r="Z1310">
        <f>Source!V392</f>
        <v>0</v>
      </c>
      <c r="AA1310">
        <f>Source!X392</f>
        <v>0</v>
      </c>
      <c r="AB1310">
        <f>Source!Y392</f>
        <v>0</v>
      </c>
    </row>
    <row r="1311" spans="1:28" ht="14.25" x14ac:dyDescent="0.2">
      <c r="C1311" s="23" t="s">
        <v>1980</v>
      </c>
      <c r="D1311" s="23">
        <f>Source!BC392</f>
        <v>6.56</v>
      </c>
      <c r="F1311" s="12"/>
      <c r="G1311" s="12"/>
      <c r="H1311" s="12"/>
    </row>
    <row r="1312" spans="1:28" ht="42.75" x14ac:dyDescent="0.2">
      <c r="A1312" s="45">
        <v>192</v>
      </c>
      <c r="B1312" s="45" t="str">
        <f>Source!E393</f>
        <v>86,2</v>
      </c>
      <c r="C1312" s="45" t="str">
        <f>Source!G393</f>
        <v>Розетка открытой проводки SCHNEIDER ELEKTRIK PA-16-0036 Этюд 220В прим.</v>
      </c>
      <c r="D1312" s="45" t="str">
        <f>Source!F393</f>
        <v>20.4.03.05-0004</v>
      </c>
      <c r="E1312" s="30" t="str">
        <f>Source!H393</f>
        <v>100 шт.</v>
      </c>
      <c r="F1312" s="12">
        <f>Source!I393</f>
        <v>0.05</v>
      </c>
      <c r="G1312" s="22">
        <f>Source!AB393</f>
        <v>899</v>
      </c>
      <c r="H1312" s="22">
        <f>Source!O393</f>
        <v>294.87</v>
      </c>
      <c r="T1312">
        <f>Source!O393+Source!X393+Source!Y393</f>
        <v>294.87</v>
      </c>
      <c r="U1312">
        <f>Source!P393</f>
        <v>294.87</v>
      </c>
      <c r="V1312">
        <f>Source!S393</f>
        <v>0</v>
      </c>
      <c r="W1312">
        <f>Source!Q393</f>
        <v>0</v>
      </c>
      <c r="X1312">
        <f>Source!R393</f>
        <v>0</v>
      </c>
      <c r="Y1312">
        <f>Source!U393</f>
        <v>0</v>
      </c>
      <c r="Z1312">
        <f>Source!V393</f>
        <v>0</v>
      </c>
      <c r="AA1312">
        <f>Source!X393</f>
        <v>0</v>
      </c>
      <c r="AB1312">
        <f>Source!Y393</f>
        <v>0</v>
      </c>
    </row>
    <row r="1313" spans="1:28" ht="14.25" x14ac:dyDescent="0.2">
      <c r="C1313" s="23" t="s">
        <v>1980</v>
      </c>
      <c r="D1313" s="23">
        <f>Source!BC393</f>
        <v>6.56</v>
      </c>
      <c r="F1313" s="12"/>
      <c r="G1313" s="12"/>
      <c r="H1313" s="12"/>
    </row>
    <row r="1314" spans="1:28" ht="28.5" x14ac:dyDescent="0.2">
      <c r="A1314" s="45">
        <v>193</v>
      </c>
      <c r="B1314" s="45" t="str">
        <f>Source!E394</f>
        <v>87</v>
      </c>
      <c r="C1314" s="45" t="str">
        <f>Source!G394</f>
        <v>Розетка штепсельная полугерметическая и герметическая</v>
      </c>
      <c r="D1314" s="45" t="str">
        <f>Source!F394</f>
        <v>м08-03-591-10</v>
      </c>
      <c r="E1314" s="30" t="str">
        <f>Source!H394</f>
        <v>100 ШТ</v>
      </c>
      <c r="F1314" s="12">
        <f>Source!I394</f>
        <v>0.02</v>
      </c>
      <c r="G1314" s="22">
        <f>Source!AB394</f>
        <v>770.35</v>
      </c>
      <c r="H1314" s="22">
        <f>Source!O394</f>
        <v>101.07</v>
      </c>
      <c r="T1314">
        <f>Source!O394+Source!X394+Source!Y394</f>
        <v>228.28</v>
      </c>
      <c r="U1314">
        <f>Source!P394</f>
        <v>16.809999999999999</v>
      </c>
      <c r="V1314">
        <f>Source!S394</f>
        <v>79.239999999999995</v>
      </c>
      <c r="W1314">
        <f>Source!Q394</f>
        <v>5.0199999999999996</v>
      </c>
      <c r="X1314">
        <f>Source!R394</f>
        <v>0.26</v>
      </c>
      <c r="Y1314">
        <f>Source!U394</f>
        <v>1.2176</v>
      </c>
      <c r="Z1314">
        <f>Source!V394</f>
        <v>3.2000000000000002E-3</v>
      </c>
      <c r="AA1314">
        <f>Source!X394</f>
        <v>75.53</v>
      </c>
      <c r="AB1314">
        <f>Source!Y394</f>
        <v>51.68</v>
      </c>
    </row>
    <row r="1315" spans="1:28" ht="14.25" x14ac:dyDescent="0.2">
      <c r="C1315" s="23" t="str">
        <f>"Объем: "&amp;Source!I394&amp;"=2/"&amp;"100"</f>
        <v>Объем: 0,02=2/100</v>
      </c>
      <c r="F1315" s="12"/>
      <c r="G1315" s="12"/>
      <c r="H1315" s="12"/>
    </row>
    <row r="1316" spans="1:28" x14ac:dyDescent="0.2">
      <c r="C1316" s="23" t="s">
        <v>1978</v>
      </c>
      <c r="D1316" s="23">
        <f>Source!BA394</f>
        <v>6.56</v>
      </c>
    </row>
    <row r="1317" spans="1:28" x14ac:dyDescent="0.2">
      <c r="C1317" s="23" t="s">
        <v>1979</v>
      </c>
      <c r="D1317" s="23">
        <f>Source!BB394</f>
        <v>6.56</v>
      </c>
    </row>
    <row r="1318" spans="1:28" x14ac:dyDescent="0.2">
      <c r="C1318" s="23" t="s">
        <v>1980</v>
      </c>
      <c r="D1318" s="23">
        <f>Source!BC394</f>
        <v>6.56</v>
      </c>
    </row>
    <row r="1319" spans="1:28" x14ac:dyDescent="0.2">
      <c r="C1319" s="23" t="s">
        <v>1981</v>
      </c>
      <c r="D1319" s="23">
        <f>Source!BS394</f>
        <v>6.56</v>
      </c>
    </row>
    <row r="1320" spans="1:28" x14ac:dyDescent="0.2">
      <c r="C1320" s="9" t="s">
        <v>1982</v>
      </c>
      <c r="D1320" s="33"/>
      <c r="E1320" s="33"/>
      <c r="F1320" s="33">
        <f>Source!BZ394</f>
        <v>95</v>
      </c>
      <c r="G1320" s="57">
        <f>(Source!AF394+Source!AE394)*Source!FX394/100</f>
        <v>575.64299999999992</v>
      </c>
      <c r="H1320" s="57">
        <f>Source!X394</f>
        <v>75.53</v>
      </c>
    </row>
    <row r="1321" spans="1:28" x14ac:dyDescent="0.2">
      <c r="C1321" s="9" t="s">
        <v>1984</v>
      </c>
      <c r="D1321" s="33"/>
      <c r="E1321" s="33"/>
      <c r="F1321" s="33">
        <f>Source!CA394</f>
        <v>65</v>
      </c>
      <c r="G1321" s="57">
        <f>(Source!AF394+Source!AE394)*Source!FY394/100</f>
        <v>393.86099999999999</v>
      </c>
      <c r="H1321" s="57">
        <f>Source!Y394</f>
        <v>51.68</v>
      </c>
    </row>
    <row r="1322" spans="1:28" x14ac:dyDescent="0.2">
      <c r="C1322" s="9" t="s">
        <v>1986</v>
      </c>
      <c r="D1322" s="33"/>
      <c r="E1322" s="33"/>
      <c r="F1322" s="33"/>
      <c r="G1322" s="57">
        <f>((Source!AF394+Source!AE394)*Source!FX394/100)+((Source!AF394+Source!AE394)*Source!FY394/100)+Source!AB394</f>
        <v>1739.8539999999998</v>
      </c>
      <c r="H1322" s="57">
        <f>Source!O394+Source!X394+Source!Y394</f>
        <v>228.28</v>
      </c>
    </row>
    <row r="1323" spans="1:28" ht="42.75" x14ac:dyDescent="0.2">
      <c r="A1323" s="45">
        <v>194</v>
      </c>
      <c r="B1323" s="45" t="str">
        <f>Source!E395</f>
        <v>87,1</v>
      </c>
      <c r="C1323" s="45" t="str">
        <f>Source!G395</f>
        <v>Розетка влагозащищённая скрытой проводки SCHNEIDER ELEKTRIK  PC16-0446 Этюд 220В,IP44 прим.</v>
      </c>
      <c r="D1323" s="45" t="str">
        <f>Source!F395</f>
        <v>20.4.03.07-0020</v>
      </c>
      <c r="E1323" s="30" t="str">
        <f>Source!H395</f>
        <v>100 шт.</v>
      </c>
      <c r="F1323" s="12">
        <f>Source!I395</f>
        <v>0.02</v>
      </c>
      <c r="G1323" s="22">
        <f>Source!AB395</f>
        <v>303.13</v>
      </c>
      <c r="H1323" s="22">
        <f>Source!O395</f>
        <v>39.770000000000003</v>
      </c>
      <c r="T1323">
        <f>Source!O395+Source!X395+Source!Y395</f>
        <v>39.770000000000003</v>
      </c>
      <c r="U1323">
        <f>Source!P395</f>
        <v>39.770000000000003</v>
      </c>
      <c r="V1323">
        <f>Source!S395</f>
        <v>0</v>
      </c>
      <c r="W1323">
        <f>Source!Q395</f>
        <v>0</v>
      </c>
      <c r="X1323">
        <f>Source!R395</f>
        <v>0</v>
      </c>
      <c r="Y1323">
        <f>Source!U395</f>
        <v>0</v>
      </c>
      <c r="Z1323">
        <f>Source!V395</f>
        <v>0</v>
      </c>
      <c r="AA1323">
        <f>Source!X395</f>
        <v>0</v>
      </c>
      <c r="AB1323">
        <f>Source!Y395</f>
        <v>0</v>
      </c>
    </row>
    <row r="1324" spans="1:28" ht="14.25" x14ac:dyDescent="0.2">
      <c r="C1324" s="23" t="s">
        <v>1980</v>
      </c>
      <c r="D1324" s="23">
        <f>Source!BC395</f>
        <v>6.56</v>
      </c>
      <c r="F1324" s="12"/>
      <c r="G1324" s="12"/>
      <c r="H1324" s="12"/>
    </row>
    <row r="1325" spans="1:28" ht="28.5" x14ac:dyDescent="0.2">
      <c r="A1325" s="45">
        <v>195</v>
      </c>
      <c r="B1325" s="45" t="str">
        <f>Source!E396</f>
        <v>88</v>
      </c>
      <c r="C1325" s="45" t="str">
        <f>Source!G396</f>
        <v>Провод в коробах, сечением до 35 мм2</v>
      </c>
      <c r="D1325" s="45" t="str">
        <f>Source!F396</f>
        <v>м08-02-399-02</v>
      </c>
      <c r="E1325" s="30" t="str">
        <f>Source!H396</f>
        <v>100 м</v>
      </c>
      <c r="F1325" s="12">
        <f>Source!I396</f>
        <v>1.96</v>
      </c>
      <c r="G1325" s="22">
        <f>Source!AB396</f>
        <v>50.72</v>
      </c>
      <c r="H1325" s="22">
        <f>Source!O396</f>
        <v>652.14</v>
      </c>
      <c r="T1325">
        <f>Source!O396+Source!X396+Source!Y396</f>
        <v>1384.5</v>
      </c>
      <c r="U1325">
        <f>Source!P396</f>
        <v>174.86</v>
      </c>
      <c r="V1325">
        <f>Source!S396</f>
        <v>454.39</v>
      </c>
      <c r="W1325">
        <f>Source!Q396</f>
        <v>22.89</v>
      </c>
      <c r="X1325">
        <f>Source!R396</f>
        <v>3.34</v>
      </c>
      <c r="Y1325">
        <f>Source!U396</f>
        <v>7.3695999999999993</v>
      </c>
      <c r="Z1325">
        <f>Source!V396</f>
        <v>3.9199999999999999E-2</v>
      </c>
      <c r="AA1325">
        <f>Source!X396</f>
        <v>434.84</v>
      </c>
      <c r="AB1325">
        <f>Source!Y396</f>
        <v>297.52</v>
      </c>
    </row>
    <row r="1326" spans="1:28" ht="14.25" x14ac:dyDescent="0.2">
      <c r="C1326" s="23" t="str">
        <f>"Объем: "&amp;Source!I396&amp;"=196/"&amp;"100"</f>
        <v>Объем: 1,96=196/100</v>
      </c>
      <c r="F1326" s="12"/>
      <c r="G1326" s="12"/>
      <c r="H1326" s="12"/>
    </row>
    <row r="1327" spans="1:28" x14ac:dyDescent="0.2">
      <c r="C1327" s="23" t="s">
        <v>1978</v>
      </c>
      <c r="D1327" s="23">
        <f>Source!BA396</f>
        <v>6.56</v>
      </c>
    </row>
    <row r="1328" spans="1:28" x14ac:dyDescent="0.2">
      <c r="C1328" s="23" t="s">
        <v>1979</v>
      </c>
      <c r="D1328" s="23">
        <f>Source!BB396</f>
        <v>6.56</v>
      </c>
    </row>
    <row r="1329" spans="1:28" x14ac:dyDescent="0.2">
      <c r="C1329" s="23" t="s">
        <v>1980</v>
      </c>
      <c r="D1329" s="23">
        <f>Source!BC396</f>
        <v>6.56</v>
      </c>
    </row>
    <row r="1330" spans="1:28" x14ac:dyDescent="0.2">
      <c r="C1330" s="23" t="s">
        <v>1981</v>
      </c>
      <c r="D1330" s="23">
        <f>Source!BS396</f>
        <v>6.56</v>
      </c>
    </row>
    <row r="1331" spans="1:28" x14ac:dyDescent="0.2">
      <c r="C1331" s="9" t="s">
        <v>1982</v>
      </c>
      <c r="D1331" s="33"/>
      <c r="E1331" s="33"/>
      <c r="F1331" s="33">
        <f>Source!BZ396</f>
        <v>95</v>
      </c>
      <c r="G1331" s="57">
        <f>(Source!AF396+Source!AE396)*Source!FX396/100</f>
        <v>33.82</v>
      </c>
      <c r="H1331" s="57">
        <f>Source!X396</f>
        <v>434.84</v>
      </c>
    </row>
    <row r="1332" spans="1:28" x14ac:dyDescent="0.2">
      <c r="C1332" s="9" t="s">
        <v>1984</v>
      </c>
      <c r="D1332" s="33"/>
      <c r="E1332" s="33"/>
      <c r="F1332" s="33">
        <f>Source!CA396</f>
        <v>65</v>
      </c>
      <c r="G1332" s="57">
        <f>(Source!AF396+Source!AE396)*Source!FY396/100</f>
        <v>23.14</v>
      </c>
      <c r="H1332" s="57">
        <f>Source!Y396</f>
        <v>297.52</v>
      </c>
    </row>
    <row r="1333" spans="1:28" x14ac:dyDescent="0.2">
      <c r="C1333" s="9" t="s">
        <v>1986</v>
      </c>
      <c r="D1333" s="33"/>
      <c r="E1333" s="33"/>
      <c r="F1333" s="33"/>
      <c r="G1333" s="57">
        <f>((Source!AF396+Source!AE396)*Source!FX396/100)+((Source!AF396+Source!AE396)*Source!FY396/100)+Source!AB396</f>
        <v>107.68</v>
      </c>
      <c r="H1333" s="57">
        <f>Source!O396+Source!X396+Source!Y396</f>
        <v>1384.5</v>
      </c>
    </row>
    <row r="1334" spans="1:28" ht="85.5" x14ac:dyDescent="0.2">
      <c r="A1334" s="45">
        <v>196</v>
      </c>
      <c r="B1334" s="45" t="str">
        <f>Source!E397</f>
        <v>88,1</v>
      </c>
      <c r="C1334" s="45" t="str">
        <f>Source!G397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334" s="45" t="str">
        <f>Source!F397</f>
        <v>21.1.06.09-0152</v>
      </c>
      <c r="E1334" s="30" t="str">
        <f>Source!H397</f>
        <v>1000 м</v>
      </c>
      <c r="F1334" s="12">
        <f>Source!I397</f>
        <v>0.19600000000000001</v>
      </c>
      <c r="G1334" s="22">
        <f>Source!AB397</f>
        <v>6920.41</v>
      </c>
      <c r="H1334" s="22">
        <f>Source!O397</f>
        <v>8897.99</v>
      </c>
      <c r="T1334">
        <f>Source!O397+Source!X397+Source!Y397</f>
        <v>8897.99</v>
      </c>
      <c r="U1334">
        <f>Source!P397</f>
        <v>8897.99</v>
      </c>
      <c r="V1334">
        <f>Source!S397</f>
        <v>0</v>
      </c>
      <c r="W1334">
        <f>Source!Q397</f>
        <v>0</v>
      </c>
      <c r="X1334">
        <f>Source!R397</f>
        <v>0</v>
      </c>
      <c r="Y1334">
        <f>Source!U397</f>
        <v>0</v>
      </c>
      <c r="Z1334">
        <f>Source!V397</f>
        <v>0</v>
      </c>
      <c r="AA1334">
        <f>Source!X397</f>
        <v>0</v>
      </c>
      <c r="AB1334">
        <f>Source!Y397</f>
        <v>0</v>
      </c>
    </row>
    <row r="1335" spans="1:28" ht="14.25" x14ac:dyDescent="0.2">
      <c r="C1335" s="23" t="s">
        <v>1980</v>
      </c>
      <c r="D1335" s="23">
        <f>Source!BC397</f>
        <v>6.56</v>
      </c>
      <c r="F1335" s="12"/>
      <c r="G1335" s="12"/>
      <c r="H1335" s="12"/>
    </row>
    <row r="1336" spans="1:28" ht="28.5" x14ac:dyDescent="0.2">
      <c r="A1336" s="45">
        <v>197</v>
      </c>
      <c r="B1336" s="45" t="str">
        <f>Source!E398</f>
        <v>89</v>
      </c>
      <c r="C1336" s="45" t="str">
        <f>Source!G398</f>
        <v>Прокладка труб гофрированных ПВХ для защиты проводов и кабелей</v>
      </c>
      <c r="D1336" s="45" t="str">
        <f>Source!F398</f>
        <v>м08-10-010-01</v>
      </c>
      <c r="E1336" s="30" t="str">
        <f>Source!H398</f>
        <v>100 м</v>
      </c>
      <c r="F1336" s="12">
        <f>Source!I398</f>
        <v>1.21</v>
      </c>
      <c r="G1336" s="22">
        <f>Source!AB398</f>
        <v>156.33000000000001</v>
      </c>
      <c r="H1336" s="22">
        <f>Source!O398</f>
        <v>1240.8800000000001</v>
      </c>
      <c r="T1336">
        <f>Source!O398+Source!X398+Source!Y398</f>
        <v>3013.0600000000004</v>
      </c>
      <c r="U1336">
        <f>Source!P398</f>
        <v>133.27000000000001</v>
      </c>
      <c r="V1336">
        <f>Source!S398</f>
        <v>1107.6099999999999</v>
      </c>
      <c r="W1336">
        <f>Source!Q398</f>
        <v>0</v>
      </c>
      <c r="X1336">
        <f>Source!R398</f>
        <v>0</v>
      </c>
      <c r="Y1336">
        <f>Source!U398</f>
        <v>18.391999999999999</v>
      </c>
      <c r="Z1336">
        <f>Source!V398</f>
        <v>0</v>
      </c>
      <c r="AA1336">
        <f>Source!X398</f>
        <v>1052.23</v>
      </c>
      <c r="AB1336">
        <f>Source!Y398</f>
        <v>719.95</v>
      </c>
    </row>
    <row r="1337" spans="1:28" ht="14.25" x14ac:dyDescent="0.2">
      <c r="C1337" s="23" t="str">
        <f>"Объем: "&amp;Source!I398&amp;"=121/"&amp;"100"</f>
        <v>Объем: 1,21=121/100</v>
      </c>
      <c r="F1337" s="12"/>
      <c r="G1337" s="12"/>
      <c r="H1337" s="12"/>
    </row>
    <row r="1338" spans="1:28" x14ac:dyDescent="0.2">
      <c r="C1338" s="23" t="s">
        <v>1978</v>
      </c>
      <c r="D1338" s="23">
        <f>Source!BA398</f>
        <v>6.56</v>
      </c>
    </row>
    <row r="1339" spans="1:28" x14ac:dyDescent="0.2">
      <c r="C1339" s="23" t="s">
        <v>1979</v>
      </c>
      <c r="D1339" s="23">
        <f>Source!BB398</f>
        <v>6.56</v>
      </c>
    </row>
    <row r="1340" spans="1:28" x14ac:dyDescent="0.2">
      <c r="C1340" s="23" t="s">
        <v>1980</v>
      </c>
      <c r="D1340" s="23">
        <f>Source!BC398</f>
        <v>6.56</v>
      </c>
    </row>
    <row r="1341" spans="1:28" x14ac:dyDescent="0.2">
      <c r="C1341" s="23" t="s">
        <v>1981</v>
      </c>
      <c r="D1341" s="23">
        <f>Source!BS398</f>
        <v>6.56</v>
      </c>
    </row>
    <row r="1342" spans="1:28" x14ac:dyDescent="0.2">
      <c r="C1342" s="9" t="s">
        <v>1982</v>
      </c>
      <c r="D1342" s="33"/>
      <c r="E1342" s="33"/>
      <c r="F1342" s="33">
        <f>Source!BZ398</f>
        <v>95</v>
      </c>
      <c r="G1342" s="57">
        <f>(Source!AF398+Source!AE398)*Source!FX398/100</f>
        <v>132.56299999999999</v>
      </c>
      <c r="H1342" s="57">
        <f>Source!X398</f>
        <v>1052.23</v>
      </c>
    </row>
    <row r="1343" spans="1:28" x14ac:dyDescent="0.2">
      <c r="C1343" s="9" t="s">
        <v>1984</v>
      </c>
      <c r="D1343" s="33"/>
      <c r="E1343" s="33"/>
      <c r="F1343" s="33">
        <f>Source!CA398</f>
        <v>65</v>
      </c>
      <c r="G1343" s="57">
        <f>(Source!AF398+Source!AE398)*Source!FY398/100</f>
        <v>90.701000000000008</v>
      </c>
      <c r="H1343" s="57">
        <f>Source!Y398</f>
        <v>719.95</v>
      </c>
    </row>
    <row r="1344" spans="1:28" x14ac:dyDescent="0.2">
      <c r="C1344" s="9" t="s">
        <v>1986</v>
      </c>
      <c r="D1344" s="33"/>
      <c r="E1344" s="33"/>
      <c r="F1344" s="33"/>
      <c r="G1344" s="57">
        <f>((Source!AF398+Source!AE398)*Source!FX398/100)+((Source!AF398+Source!AE398)*Source!FY398/100)+Source!AB398</f>
        <v>379.59400000000005</v>
      </c>
      <c r="H1344" s="57">
        <f>Source!O398+Source!X398+Source!Y398</f>
        <v>3013.0600000000004</v>
      </c>
    </row>
    <row r="1345" spans="1:28" ht="42.75" x14ac:dyDescent="0.2">
      <c r="A1345" s="45">
        <v>198</v>
      </c>
      <c r="B1345" s="45" t="str">
        <f>Source!E399</f>
        <v>89,1</v>
      </c>
      <c r="C1345" s="45" t="str">
        <f>Source!G399</f>
        <v>Трубы гибкие гофрированные легкие из самозатухающего ПВХ (IP55) серии FL, с зондом, диаметром 16 мм</v>
      </c>
      <c r="D1345" s="45" t="str">
        <f>Source!F399</f>
        <v>24.3.01.02-0021</v>
      </c>
      <c r="E1345" s="30" t="str">
        <f>Source!H399</f>
        <v>10 м</v>
      </c>
      <c r="F1345" s="12">
        <f>Source!I399</f>
        <v>12.1</v>
      </c>
      <c r="G1345" s="22">
        <f>Source!AB399</f>
        <v>16.11</v>
      </c>
      <c r="H1345" s="22">
        <f>Source!O399</f>
        <v>1278.75</v>
      </c>
      <c r="T1345">
        <f>Source!O399+Source!X399+Source!Y399</f>
        <v>1278.75</v>
      </c>
      <c r="U1345">
        <f>Source!P399</f>
        <v>1278.75</v>
      </c>
      <c r="V1345">
        <f>Source!S399</f>
        <v>0</v>
      </c>
      <c r="W1345">
        <f>Source!Q399</f>
        <v>0</v>
      </c>
      <c r="X1345">
        <f>Source!R399</f>
        <v>0</v>
      </c>
      <c r="Y1345">
        <f>Source!U399</f>
        <v>0</v>
      </c>
      <c r="Z1345">
        <f>Source!V399</f>
        <v>0</v>
      </c>
      <c r="AA1345">
        <f>Source!X399</f>
        <v>0</v>
      </c>
      <c r="AB1345">
        <f>Source!Y399</f>
        <v>0</v>
      </c>
    </row>
    <row r="1346" spans="1:28" ht="14.25" x14ac:dyDescent="0.2">
      <c r="C1346" s="23" t="s">
        <v>1980</v>
      </c>
      <c r="D1346" s="23">
        <f>Source!BC399</f>
        <v>6.56</v>
      </c>
      <c r="F1346" s="12"/>
      <c r="G1346" s="12"/>
      <c r="H1346" s="12"/>
    </row>
    <row r="1347" spans="1:28" ht="71.25" x14ac:dyDescent="0.2">
      <c r="A1347" s="45">
        <v>199</v>
      </c>
      <c r="B1347" s="45" t="str">
        <f>Source!E400</f>
        <v>90</v>
      </c>
      <c r="C1347" s="45" t="str">
        <f>Source!G400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1347" s="45" t="str">
        <f>Source!F400</f>
        <v>м08-02-412-03</v>
      </c>
      <c r="E1347" s="30" t="str">
        <f>Source!H400</f>
        <v>100 м</v>
      </c>
      <c r="F1347" s="12">
        <f>Source!I400</f>
        <v>1.32</v>
      </c>
      <c r="G1347" s="22">
        <f>Source!AB400</f>
        <v>87.15</v>
      </c>
      <c r="H1347" s="22">
        <f>Source!O400</f>
        <v>754.65</v>
      </c>
      <c r="T1347">
        <f>Source!O400+Source!X400+Source!Y400</f>
        <v>1584.4099999999999</v>
      </c>
      <c r="U1347">
        <f>Source!P400</f>
        <v>196.48</v>
      </c>
      <c r="V1347">
        <f>Source!S400</f>
        <v>512.02</v>
      </c>
      <c r="W1347">
        <f>Source!Q400</f>
        <v>46.15</v>
      </c>
      <c r="X1347">
        <f>Source!R400</f>
        <v>6.58</v>
      </c>
      <c r="Y1347">
        <f>Source!U400</f>
        <v>8.3028000000000013</v>
      </c>
      <c r="Z1347">
        <f>Source!V400</f>
        <v>7.9200000000000007E-2</v>
      </c>
      <c r="AA1347">
        <f>Source!X400</f>
        <v>492.67</v>
      </c>
      <c r="AB1347">
        <f>Source!Y400</f>
        <v>337.09</v>
      </c>
    </row>
    <row r="1348" spans="1:28" ht="14.25" x14ac:dyDescent="0.2">
      <c r="C1348" s="23" t="str">
        <f>"Объем: "&amp;Source!I400&amp;"=132/"&amp;"100"</f>
        <v>Объем: 1,32=132/100</v>
      </c>
      <c r="F1348" s="12"/>
      <c r="G1348" s="12"/>
      <c r="H1348" s="12"/>
    </row>
    <row r="1349" spans="1:28" x14ac:dyDescent="0.2">
      <c r="C1349" s="23" t="s">
        <v>1978</v>
      </c>
      <c r="D1349" s="23">
        <f>Source!BA400</f>
        <v>6.56</v>
      </c>
    </row>
    <row r="1350" spans="1:28" x14ac:dyDescent="0.2">
      <c r="C1350" s="23" t="s">
        <v>1979</v>
      </c>
      <c r="D1350" s="23">
        <f>Source!BB400</f>
        <v>6.56</v>
      </c>
    </row>
    <row r="1351" spans="1:28" x14ac:dyDescent="0.2">
      <c r="C1351" s="23" t="s">
        <v>1980</v>
      </c>
      <c r="D1351" s="23">
        <f>Source!BC400</f>
        <v>6.56</v>
      </c>
    </row>
    <row r="1352" spans="1:28" x14ac:dyDescent="0.2">
      <c r="C1352" s="23" t="s">
        <v>1981</v>
      </c>
      <c r="D1352" s="23">
        <f>Source!BS400</f>
        <v>6.56</v>
      </c>
    </row>
    <row r="1353" spans="1:28" x14ac:dyDescent="0.2">
      <c r="C1353" s="9" t="s">
        <v>1982</v>
      </c>
      <c r="D1353" s="33"/>
      <c r="E1353" s="33"/>
      <c r="F1353" s="33">
        <f>Source!BZ400</f>
        <v>95</v>
      </c>
      <c r="G1353" s="57">
        <f>(Source!AF400+Source!AE400)*Source!FX400/100</f>
        <v>56.895499999999998</v>
      </c>
      <c r="H1353" s="57">
        <f>Source!X400</f>
        <v>492.67</v>
      </c>
    </row>
    <row r="1354" spans="1:28" x14ac:dyDescent="0.2">
      <c r="C1354" s="9" t="s">
        <v>1984</v>
      </c>
      <c r="D1354" s="33"/>
      <c r="E1354" s="33"/>
      <c r="F1354" s="33">
        <f>Source!CA400</f>
        <v>65</v>
      </c>
      <c r="G1354" s="57">
        <f>(Source!AF400+Source!AE400)*Source!FY400/100</f>
        <v>38.9285</v>
      </c>
      <c r="H1354" s="57">
        <f>Source!Y400</f>
        <v>337.09</v>
      </c>
    </row>
    <row r="1355" spans="1:28" x14ac:dyDescent="0.2">
      <c r="C1355" s="9" t="s">
        <v>1986</v>
      </c>
      <c r="D1355" s="33"/>
      <c r="E1355" s="33"/>
      <c r="F1355" s="33"/>
      <c r="G1355" s="57">
        <f>((Source!AF400+Source!AE400)*Source!FX400/100)+((Source!AF400+Source!AE400)*Source!FY400/100)+Source!AB400</f>
        <v>182.97399999999999</v>
      </c>
      <c r="H1355" s="57">
        <f>Source!O400+Source!X400+Source!Y400</f>
        <v>1584.4099999999999</v>
      </c>
    </row>
    <row r="1356" spans="1:28" ht="85.5" x14ac:dyDescent="0.2">
      <c r="A1356" s="45">
        <v>200</v>
      </c>
      <c r="B1356" s="45" t="str">
        <f>Source!E401</f>
        <v>90,1</v>
      </c>
      <c r="C1356" s="45" t="str">
        <f>Source!G401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1356" s="45" t="str">
        <f>Source!F401</f>
        <v>21.1.06.09-0152</v>
      </c>
      <c r="E1356" s="30" t="str">
        <f>Source!H401</f>
        <v>1000 м</v>
      </c>
      <c r="F1356" s="12">
        <f>Source!I401</f>
        <v>0.13200000000000001</v>
      </c>
      <c r="G1356" s="22">
        <f>Source!AB401</f>
        <v>6920.41</v>
      </c>
      <c r="H1356" s="22">
        <f>Source!O401</f>
        <v>5992.52</v>
      </c>
      <c r="T1356">
        <f>Source!O401+Source!X401+Source!Y401</f>
        <v>5992.52</v>
      </c>
      <c r="U1356">
        <f>Source!P401</f>
        <v>5992.52</v>
      </c>
      <c r="V1356">
        <f>Source!S401</f>
        <v>0</v>
      </c>
      <c r="W1356">
        <f>Source!Q401</f>
        <v>0</v>
      </c>
      <c r="X1356">
        <f>Source!R401</f>
        <v>0</v>
      </c>
      <c r="Y1356">
        <f>Source!U401</f>
        <v>0</v>
      </c>
      <c r="Z1356">
        <f>Source!V401</f>
        <v>0</v>
      </c>
      <c r="AA1356">
        <f>Source!X401</f>
        <v>0</v>
      </c>
      <c r="AB1356">
        <f>Source!Y401</f>
        <v>0</v>
      </c>
    </row>
    <row r="1357" spans="1:28" ht="14.25" x14ac:dyDescent="0.2">
      <c r="C1357" s="23" t="s">
        <v>1980</v>
      </c>
      <c r="D1357" s="23">
        <f>Source!BC401</f>
        <v>6.56</v>
      </c>
      <c r="F1357" s="12"/>
      <c r="G1357" s="12"/>
      <c r="H1357" s="12"/>
    </row>
    <row r="1358" spans="1:28" ht="42.75" x14ac:dyDescent="0.2">
      <c r="A1358" s="45">
        <v>201</v>
      </c>
      <c r="B1358" s="45" t="str">
        <f>Source!E402</f>
        <v>91</v>
      </c>
      <c r="C1358" s="45" t="str">
        <f>Source!G402</f>
        <v>Профиль перфорированный монтажный длиной 2 м (Лоток оцинкованный перфорированый)</v>
      </c>
      <c r="D1358" s="45" t="str">
        <f>Source!F402</f>
        <v>м08-02-397-01 прим.</v>
      </c>
      <c r="E1358" s="30" t="str">
        <f>Source!H402</f>
        <v>100 м</v>
      </c>
      <c r="F1358" s="12">
        <f>Source!I402</f>
        <v>0.68</v>
      </c>
      <c r="G1358" s="22">
        <f>Source!AB402</f>
        <v>582.66</v>
      </c>
      <c r="H1358" s="22">
        <f>Source!O402</f>
        <v>2599.13</v>
      </c>
      <c r="T1358">
        <f>Source!O402+Source!X402+Source!Y402</f>
        <v>3339.9100000000003</v>
      </c>
      <c r="U1358">
        <f>Source!P402</f>
        <v>1817.91</v>
      </c>
      <c r="V1358">
        <f>Source!S402</f>
        <v>358.92</v>
      </c>
      <c r="W1358">
        <f>Source!Q402</f>
        <v>422.3</v>
      </c>
      <c r="X1358">
        <f>Source!R402</f>
        <v>104.07</v>
      </c>
      <c r="Y1358">
        <f>Source!U402</f>
        <v>5.8208000000000011</v>
      </c>
      <c r="Z1358">
        <f>Source!V402</f>
        <v>1.5436000000000001</v>
      </c>
      <c r="AA1358">
        <f>Source!X402</f>
        <v>439.84</v>
      </c>
      <c r="AB1358">
        <f>Source!Y402</f>
        <v>300.94</v>
      </c>
    </row>
    <row r="1359" spans="1:28" ht="14.25" x14ac:dyDescent="0.2">
      <c r="C1359" s="23" t="str">
        <f>"Объем: "&amp;Source!I402&amp;"=68/"&amp;"100"</f>
        <v>Объем: 0,68=68/100</v>
      </c>
      <c r="F1359" s="12"/>
      <c r="G1359" s="12"/>
      <c r="H1359" s="12"/>
    </row>
    <row r="1360" spans="1:28" x14ac:dyDescent="0.2">
      <c r="C1360" s="23" t="s">
        <v>1978</v>
      </c>
      <c r="D1360" s="23">
        <f>Source!BA402</f>
        <v>6.56</v>
      </c>
    </row>
    <row r="1361" spans="1:28" x14ac:dyDescent="0.2">
      <c r="C1361" s="23" t="s">
        <v>1979</v>
      </c>
      <c r="D1361" s="23">
        <f>Source!BB402</f>
        <v>6.56</v>
      </c>
    </row>
    <row r="1362" spans="1:28" x14ac:dyDescent="0.2">
      <c r="C1362" s="23" t="s">
        <v>1980</v>
      </c>
      <c r="D1362" s="23">
        <f>Source!BC402</f>
        <v>6.56</v>
      </c>
    </row>
    <row r="1363" spans="1:28" x14ac:dyDescent="0.2">
      <c r="C1363" s="23" t="s">
        <v>1981</v>
      </c>
      <c r="D1363" s="23">
        <f>Source!BS402</f>
        <v>6.56</v>
      </c>
    </row>
    <row r="1364" spans="1:28" x14ac:dyDescent="0.2">
      <c r="C1364" s="9" t="s">
        <v>1982</v>
      </c>
      <c r="D1364" s="33"/>
      <c r="E1364" s="33"/>
      <c r="F1364" s="33">
        <f>Source!BZ402</f>
        <v>95</v>
      </c>
      <c r="G1364" s="57">
        <f>(Source!AF402+Source!AE402)*Source!FX402/100</f>
        <v>98.600499999999997</v>
      </c>
      <c r="H1364" s="57">
        <f>Source!X402</f>
        <v>439.84</v>
      </c>
    </row>
    <row r="1365" spans="1:28" x14ac:dyDescent="0.2">
      <c r="C1365" s="9" t="s">
        <v>1984</v>
      </c>
      <c r="D1365" s="33"/>
      <c r="E1365" s="33"/>
      <c r="F1365" s="33">
        <f>Source!CA402</f>
        <v>65</v>
      </c>
      <c r="G1365" s="57">
        <f>(Source!AF402+Source!AE402)*Source!FY402/100</f>
        <v>67.463499999999996</v>
      </c>
      <c r="H1365" s="57">
        <f>Source!Y402</f>
        <v>300.94</v>
      </c>
    </row>
    <row r="1366" spans="1:28" x14ac:dyDescent="0.2">
      <c r="C1366" s="9" t="s">
        <v>1986</v>
      </c>
      <c r="D1366" s="33"/>
      <c r="E1366" s="33"/>
      <c r="F1366" s="33"/>
      <c r="G1366" s="57">
        <f>((Source!AF402+Source!AE402)*Source!FX402/100)+((Source!AF402+Source!AE402)*Source!FY402/100)+Source!AB402</f>
        <v>748.72399999999993</v>
      </c>
      <c r="H1366" s="57">
        <f>Source!O402+Source!X402+Source!Y402</f>
        <v>3339.9100000000003</v>
      </c>
    </row>
    <row r="1367" spans="1:28" ht="42.75" x14ac:dyDescent="0.2">
      <c r="A1367" s="45">
        <v>202</v>
      </c>
      <c r="B1367" s="45" t="str">
        <f>Source!E403</f>
        <v>91,1</v>
      </c>
      <c r="C1367" s="45" t="str">
        <f>Source!G403</f>
        <v>Лоток кабельный оцинкованный замковый перфорированный PNK 300-300х50 мм, длина 2,5 м</v>
      </c>
      <c r="D1367" s="45" t="str">
        <f>Source!F403</f>
        <v>20.2.07.02-0009</v>
      </c>
      <c r="E1367" s="30" t="str">
        <f>Source!H403</f>
        <v>шт.</v>
      </c>
      <c r="F1367" s="12">
        <f>Source!I403</f>
        <v>27</v>
      </c>
      <c r="G1367" s="22">
        <f>Source!AB403</f>
        <v>62.4</v>
      </c>
      <c r="H1367" s="22">
        <f>Source!O403</f>
        <v>11052.29</v>
      </c>
      <c r="T1367">
        <f>Source!O403+Source!X403+Source!Y403</f>
        <v>11052.29</v>
      </c>
      <c r="U1367">
        <f>Source!P403</f>
        <v>11052.29</v>
      </c>
      <c r="V1367">
        <f>Source!S403</f>
        <v>0</v>
      </c>
      <c r="W1367">
        <f>Source!Q403</f>
        <v>0</v>
      </c>
      <c r="X1367">
        <f>Source!R403</f>
        <v>0</v>
      </c>
      <c r="Y1367">
        <f>Source!U403</f>
        <v>0</v>
      </c>
      <c r="Z1367">
        <f>Source!V403</f>
        <v>0</v>
      </c>
      <c r="AA1367">
        <f>Source!X403</f>
        <v>0</v>
      </c>
      <c r="AB1367">
        <f>Source!Y403</f>
        <v>0</v>
      </c>
    </row>
    <row r="1368" spans="1:28" ht="14.25" x14ac:dyDescent="0.2">
      <c r="C1368" s="23" t="s">
        <v>1980</v>
      </c>
      <c r="D1368" s="23">
        <f>Source!BC403</f>
        <v>6.56</v>
      </c>
      <c r="F1368" s="12"/>
      <c r="G1368" s="12"/>
      <c r="H1368" s="12"/>
    </row>
    <row r="1369" spans="1:28" ht="28.5" x14ac:dyDescent="0.2">
      <c r="A1369" s="45">
        <v>203</v>
      </c>
      <c r="B1369" s="45" t="str">
        <f>Source!E404</f>
        <v>92</v>
      </c>
      <c r="C1369" s="45" t="str">
        <f>Source!G404</f>
        <v>Провод в лотках, сечением до 35 мм2</v>
      </c>
      <c r="D1369" s="45" t="str">
        <f>Source!F404</f>
        <v>м08-02-398-02</v>
      </c>
      <c r="E1369" s="30" t="str">
        <f>Source!H404</f>
        <v>100 м</v>
      </c>
      <c r="F1369" s="12">
        <f>Source!I404</f>
        <v>1.7</v>
      </c>
      <c r="G1369" s="22">
        <f>Source!AB404</f>
        <v>36.19</v>
      </c>
      <c r="H1369" s="22">
        <f>Source!O404</f>
        <v>403.59</v>
      </c>
      <c r="T1369">
        <f>Source!O404+Source!X404+Source!Y404</f>
        <v>757.96</v>
      </c>
      <c r="U1369">
        <f>Source!P404</f>
        <v>148.1</v>
      </c>
      <c r="V1369">
        <f>Source!S404</f>
        <v>215.9</v>
      </c>
      <c r="W1369">
        <f>Source!Q404</f>
        <v>39.590000000000003</v>
      </c>
      <c r="X1369">
        <f>Source!R404</f>
        <v>5.58</v>
      </c>
      <c r="Y1369">
        <f>Source!U404</f>
        <v>3.5019999999999998</v>
      </c>
      <c r="Z1369">
        <f>Source!V404</f>
        <v>6.8000000000000005E-2</v>
      </c>
      <c r="AA1369">
        <f>Source!X404</f>
        <v>210.41</v>
      </c>
      <c r="AB1369">
        <f>Source!Y404</f>
        <v>143.96</v>
      </c>
    </row>
    <row r="1370" spans="1:28" ht="14.25" x14ac:dyDescent="0.2">
      <c r="C1370" s="23" t="str">
        <f>"Объем: "&amp;Source!I404&amp;"=170/"&amp;"100"</f>
        <v>Объем: 1,7=170/100</v>
      </c>
      <c r="F1370" s="12"/>
      <c r="G1370" s="12"/>
      <c r="H1370" s="12"/>
    </row>
    <row r="1371" spans="1:28" x14ac:dyDescent="0.2">
      <c r="C1371" s="23" t="s">
        <v>1978</v>
      </c>
      <c r="D1371" s="23">
        <f>Source!BA404</f>
        <v>6.56</v>
      </c>
    </row>
    <row r="1372" spans="1:28" x14ac:dyDescent="0.2">
      <c r="C1372" s="23" t="s">
        <v>1979</v>
      </c>
      <c r="D1372" s="23">
        <f>Source!BB404</f>
        <v>6.56</v>
      </c>
    </row>
    <row r="1373" spans="1:28" x14ac:dyDescent="0.2">
      <c r="C1373" s="23" t="s">
        <v>1980</v>
      </c>
      <c r="D1373" s="23">
        <f>Source!BC404</f>
        <v>6.56</v>
      </c>
    </row>
    <row r="1374" spans="1:28" x14ac:dyDescent="0.2">
      <c r="C1374" s="23" t="s">
        <v>1981</v>
      </c>
      <c r="D1374" s="23">
        <f>Source!BS404</f>
        <v>6.56</v>
      </c>
    </row>
    <row r="1375" spans="1:28" x14ac:dyDescent="0.2">
      <c r="C1375" s="9" t="s">
        <v>1982</v>
      </c>
      <c r="D1375" s="33"/>
      <c r="E1375" s="33"/>
      <c r="F1375" s="33">
        <f>Source!BZ404</f>
        <v>95</v>
      </c>
      <c r="G1375" s="57">
        <f>(Source!AF404+Source!AE404)*Source!FX404/100</f>
        <v>18.867000000000001</v>
      </c>
      <c r="H1375" s="57">
        <f>Source!X404</f>
        <v>210.41</v>
      </c>
    </row>
    <row r="1376" spans="1:28" x14ac:dyDescent="0.2">
      <c r="C1376" s="9" t="s">
        <v>1984</v>
      </c>
      <c r="D1376" s="33"/>
      <c r="E1376" s="33"/>
      <c r="F1376" s="33">
        <f>Source!CA404</f>
        <v>65</v>
      </c>
      <c r="G1376" s="57">
        <f>(Source!AF404+Source!AE404)*Source!FY404/100</f>
        <v>12.908999999999999</v>
      </c>
      <c r="H1376" s="57">
        <f>Source!Y404</f>
        <v>143.96</v>
      </c>
    </row>
    <row r="1377" spans="1:28" x14ac:dyDescent="0.2">
      <c r="C1377" s="9" t="s">
        <v>1986</v>
      </c>
      <c r="D1377" s="33"/>
      <c r="E1377" s="33"/>
      <c r="F1377" s="33"/>
      <c r="G1377" s="57">
        <f>((Source!AF404+Source!AE404)*Source!FX404/100)+((Source!AF404+Source!AE404)*Source!FY404/100)+Source!AB404</f>
        <v>67.965999999999994</v>
      </c>
      <c r="H1377" s="57">
        <f>Source!O404+Source!X404+Source!Y404</f>
        <v>757.96</v>
      </c>
    </row>
    <row r="1378" spans="1:28" ht="85.5" x14ac:dyDescent="0.2">
      <c r="A1378" s="45">
        <v>204</v>
      </c>
      <c r="B1378" s="45" t="str">
        <f>Source!E405</f>
        <v>92,1</v>
      </c>
      <c r="C1378" s="45" t="str">
        <f>Source!G405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4 мм2</v>
      </c>
      <c r="D1378" s="45" t="str">
        <f>Source!F405</f>
        <v>21.1.06.09-0153</v>
      </c>
      <c r="E1378" s="30" t="str">
        <f>Source!H405</f>
        <v>1000 м</v>
      </c>
      <c r="F1378" s="12">
        <f>Source!I405</f>
        <v>5.2999999999999999E-2</v>
      </c>
      <c r="G1378" s="22">
        <f>Source!AB405</f>
        <v>10296.33</v>
      </c>
      <c r="H1378" s="22">
        <f>Source!O405</f>
        <v>3579.83</v>
      </c>
      <c r="T1378">
        <f>Source!O405+Source!X405+Source!Y405</f>
        <v>3579.83</v>
      </c>
      <c r="U1378">
        <f>Source!P405</f>
        <v>3579.83</v>
      </c>
      <c r="V1378">
        <f>Source!S405</f>
        <v>0</v>
      </c>
      <c r="W1378">
        <f>Source!Q405</f>
        <v>0</v>
      </c>
      <c r="X1378">
        <f>Source!R405</f>
        <v>0</v>
      </c>
      <c r="Y1378">
        <f>Source!U405</f>
        <v>0</v>
      </c>
      <c r="Z1378">
        <f>Source!V405</f>
        <v>0</v>
      </c>
      <c r="AA1378">
        <f>Source!X405</f>
        <v>0</v>
      </c>
      <c r="AB1378">
        <f>Source!Y405</f>
        <v>0</v>
      </c>
    </row>
    <row r="1379" spans="1:28" ht="14.25" x14ac:dyDescent="0.2">
      <c r="C1379" s="23" t="s">
        <v>1980</v>
      </c>
      <c r="D1379" s="23">
        <f>Source!BC405</f>
        <v>6.56</v>
      </c>
      <c r="F1379" s="12"/>
      <c r="G1379" s="12"/>
      <c r="H1379" s="12"/>
    </row>
    <row r="1380" spans="1:28" ht="85.5" x14ac:dyDescent="0.2">
      <c r="A1380" s="45">
        <v>205</v>
      </c>
      <c r="B1380" s="45" t="str">
        <f>Source!E406</f>
        <v>92,2</v>
      </c>
      <c r="C1380" s="45" t="str">
        <f>Source!G406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1380" s="45" t="str">
        <f>Source!F406</f>
        <v>21.1.06.09-0177</v>
      </c>
      <c r="E1380" s="30" t="str">
        <f>Source!H406</f>
        <v>1000 м</v>
      </c>
      <c r="F1380" s="12">
        <f>Source!I406</f>
        <v>0.11700000000000001</v>
      </c>
      <c r="G1380" s="22">
        <f>Source!AB406</f>
        <v>18047.849999999999</v>
      </c>
      <c r="H1380" s="22">
        <f>Source!O406</f>
        <v>13852.09</v>
      </c>
      <c r="T1380">
        <f>Source!O406+Source!X406+Source!Y406</f>
        <v>13852.09</v>
      </c>
      <c r="U1380">
        <f>Source!P406</f>
        <v>13852.09</v>
      </c>
      <c r="V1380">
        <f>Source!S406</f>
        <v>0</v>
      </c>
      <c r="W1380">
        <f>Source!Q406</f>
        <v>0</v>
      </c>
      <c r="X1380">
        <f>Source!R406</f>
        <v>0</v>
      </c>
      <c r="Y1380">
        <f>Source!U406</f>
        <v>0</v>
      </c>
      <c r="Z1380">
        <f>Source!V406</f>
        <v>0</v>
      </c>
      <c r="AA1380">
        <f>Source!X406</f>
        <v>0</v>
      </c>
      <c r="AB1380">
        <f>Source!Y406</f>
        <v>0</v>
      </c>
    </row>
    <row r="1381" spans="1:28" ht="14.25" x14ac:dyDescent="0.2">
      <c r="C1381" s="23" t="s">
        <v>1980</v>
      </c>
      <c r="D1381" s="23">
        <f>Source!BC406</f>
        <v>6.56</v>
      </c>
      <c r="F1381" s="12"/>
      <c r="G1381" s="12"/>
      <c r="H1381" s="12"/>
    </row>
    <row r="1382" spans="1:28" ht="28.5" x14ac:dyDescent="0.2">
      <c r="A1382" s="45">
        <v>206</v>
      </c>
      <c r="B1382" s="45" t="str">
        <f>Source!E407</f>
        <v>93</v>
      </c>
      <c r="C1382" s="45" t="str">
        <f>Source!G407</f>
        <v>Провод в лотках, сечением до 120 мм2</v>
      </c>
      <c r="D1382" s="45" t="str">
        <f>Source!F407</f>
        <v>м08-02-398-04</v>
      </c>
      <c r="E1382" s="30" t="str">
        <f>Source!H407</f>
        <v>100 м</v>
      </c>
      <c r="F1382" s="12">
        <f>Source!I407</f>
        <v>0.39</v>
      </c>
      <c r="G1382" s="22">
        <f>Source!AB407</f>
        <v>85.9</v>
      </c>
      <c r="H1382" s="22">
        <f>Source!O407</f>
        <v>219.76</v>
      </c>
      <c r="T1382">
        <f>Source!O407+Source!X407+Source!Y407</f>
        <v>395.64</v>
      </c>
      <c r="U1382">
        <f>Source!P407</f>
        <v>39.549999999999997</v>
      </c>
      <c r="V1382">
        <f>Source!S407</f>
        <v>98.37</v>
      </c>
      <c r="W1382">
        <f>Source!Q407</f>
        <v>81.84</v>
      </c>
      <c r="X1382">
        <f>Source!R407</f>
        <v>11.56</v>
      </c>
      <c r="Y1382">
        <f>Source!U407</f>
        <v>1.5951</v>
      </c>
      <c r="Z1382">
        <f>Source!V407</f>
        <v>0.1404</v>
      </c>
      <c r="AA1382">
        <f>Source!X407</f>
        <v>104.43</v>
      </c>
      <c r="AB1382">
        <f>Source!Y407</f>
        <v>71.45</v>
      </c>
    </row>
    <row r="1383" spans="1:28" ht="14.25" x14ac:dyDescent="0.2">
      <c r="C1383" s="23" t="str">
        <f>"Объем: "&amp;Source!I407&amp;"=39/"&amp;"100"</f>
        <v>Объем: 0,39=39/100</v>
      </c>
      <c r="F1383" s="12"/>
      <c r="G1383" s="12"/>
      <c r="H1383" s="12"/>
    </row>
    <row r="1384" spans="1:28" x14ac:dyDescent="0.2">
      <c r="C1384" s="23" t="s">
        <v>1978</v>
      </c>
      <c r="D1384" s="23">
        <f>Source!BA407</f>
        <v>6.56</v>
      </c>
    </row>
    <row r="1385" spans="1:28" x14ac:dyDescent="0.2">
      <c r="C1385" s="23" t="s">
        <v>1979</v>
      </c>
      <c r="D1385" s="23">
        <f>Source!BB407</f>
        <v>6.56</v>
      </c>
    </row>
    <row r="1386" spans="1:28" x14ac:dyDescent="0.2">
      <c r="C1386" s="23" t="s">
        <v>1980</v>
      </c>
      <c r="D1386" s="23">
        <f>Source!BC407</f>
        <v>6.56</v>
      </c>
    </row>
    <row r="1387" spans="1:28" x14ac:dyDescent="0.2">
      <c r="C1387" s="23" t="s">
        <v>1981</v>
      </c>
      <c r="D1387" s="23">
        <f>Source!BS407</f>
        <v>6.56</v>
      </c>
    </row>
    <row r="1388" spans="1:28" x14ac:dyDescent="0.2">
      <c r="C1388" s="9" t="s">
        <v>1982</v>
      </c>
      <c r="D1388" s="33"/>
      <c r="E1388" s="33"/>
      <c r="F1388" s="33">
        <f>Source!BZ407</f>
        <v>95</v>
      </c>
      <c r="G1388" s="57">
        <f>(Source!AF407+Source!AE407)*Source!FX407/100</f>
        <v>40.8215</v>
      </c>
      <c r="H1388" s="57">
        <f>Source!X407</f>
        <v>104.43</v>
      </c>
    </row>
    <row r="1389" spans="1:28" x14ac:dyDescent="0.2">
      <c r="C1389" s="9" t="s">
        <v>1984</v>
      </c>
      <c r="D1389" s="33"/>
      <c r="E1389" s="33"/>
      <c r="F1389" s="33">
        <f>Source!CA407</f>
        <v>65</v>
      </c>
      <c r="G1389" s="57">
        <f>(Source!AF407+Source!AE407)*Source!FY407/100</f>
        <v>27.930499999999999</v>
      </c>
      <c r="H1389" s="57">
        <f>Source!Y407</f>
        <v>71.45</v>
      </c>
    </row>
    <row r="1390" spans="1:28" x14ac:dyDescent="0.2">
      <c r="C1390" s="9" t="s">
        <v>1986</v>
      </c>
      <c r="D1390" s="33"/>
      <c r="E1390" s="33"/>
      <c r="F1390" s="33"/>
      <c r="G1390" s="57">
        <f>((Source!AF407+Source!AE407)*Source!FX407/100)+((Source!AF407+Source!AE407)*Source!FY407/100)+Source!AB407</f>
        <v>154.65199999999999</v>
      </c>
      <c r="H1390" s="57">
        <f>Source!O407+Source!X407+Source!Y407</f>
        <v>395.64</v>
      </c>
    </row>
    <row r="1391" spans="1:28" ht="85.5" x14ac:dyDescent="0.2">
      <c r="A1391" s="45">
        <v>207</v>
      </c>
      <c r="B1391" s="45" t="str">
        <f>Source!E408</f>
        <v>93,1</v>
      </c>
      <c r="C1391" s="45" t="str">
        <f>Source!G408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16 мм2</v>
      </c>
      <c r="D1391" s="45" t="str">
        <f>Source!F408</f>
        <v>21.1.06.09-0180</v>
      </c>
      <c r="E1391" s="30" t="str">
        <f>Source!H408</f>
        <v>1000 м</v>
      </c>
      <c r="F1391" s="12">
        <f>Source!I408</f>
        <v>3.9E-2</v>
      </c>
      <c r="G1391" s="22">
        <f>Source!AB408</f>
        <v>69309.47</v>
      </c>
      <c r="H1391" s="22">
        <f>Source!O408</f>
        <v>17732.13</v>
      </c>
      <c r="T1391">
        <f>Source!O408+Source!X408+Source!Y408</f>
        <v>17732.13</v>
      </c>
      <c r="U1391">
        <f>Source!P408</f>
        <v>17732.13</v>
      </c>
      <c r="V1391">
        <f>Source!S408</f>
        <v>0</v>
      </c>
      <c r="W1391">
        <f>Source!Q408</f>
        <v>0</v>
      </c>
      <c r="X1391">
        <f>Source!R408</f>
        <v>0</v>
      </c>
      <c r="Y1391">
        <f>Source!U408</f>
        <v>0</v>
      </c>
      <c r="Z1391">
        <f>Source!V408</f>
        <v>0</v>
      </c>
      <c r="AA1391">
        <f>Source!X408</f>
        <v>0</v>
      </c>
      <c r="AB1391">
        <f>Source!Y408</f>
        <v>0</v>
      </c>
    </row>
    <row r="1392" spans="1:28" ht="14.25" x14ac:dyDescent="0.2">
      <c r="C1392" s="23" t="s">
        <v>1980</v>
      </c>
      <c r="D1392" s="23">
        <f>Source!BC408</f>
        <v>6.56</v>
      </c>
      <c r="F1392" s="12"/>
      <c r="G1392" s="12"/>
      <c r="H1392" s="12"/>
    </row>
    <row r="1393" spans="1:28" ht="28.5" x14ac:dyDescent="0.2">
      <c r="A1393" s="45">
        <v>208</v>
      </c>
      <c r="B1393" s="45" t="str">
        <f>Source!E409</f>
        <v>94</v>
      </c>
      <c r="C1393" s="45" t="str">
        <f>Source!G409</f>
        <v>Провод в лотках, сечением до 185 мм2</v>
      </c>
      <c r="D1393" s="45" t="str">
        <f>Source!F409</f>
        <v>м08-02-398-05</v>
      </c>
      <c r="E1393" s="30" t="str">
        <f>Source!H409</f>
        <v>100 м</v>
      </c>
      <c r="F1393" s="12">
        <f>Source!I409</f>
        <v>0.68</v>
      </c>
      <c r="G1393" s="22">
        <f>Source!AB409</f>
        <v>122.17</v>
      </c>
      <c r="H1393" s="22">
        <f>Source!O409</f>
        <v>544.98</v>
      </c>
      <c r="T1393">
        <f>Source!O409+Source!X409+Source!Y409</f>
        <v>970.01</v>
      </c>
      <c r="U1393">
        <f>Source!P409</f>
        <v>102.38</v>
      </c>
      <c r="V1393">
        <f>Source!S409</f>
        <v>236.51</v>
      </c>
      <c r="W1393">
        <f>Source!Q409</f>
        <v>206.09</v>
      </c>
      <c r="X1393">
        <f>Source!R409</f>
        <v>29.13</v>
      </c>
      <c r="Y1393">
        <f>Source!U409</f>
        <v>3.8351999999999999</v>
      </c>
      <c r="Z1393">
        <f>Source!V409</f>
        <v>0.35360000000000003</v>
      </c>
      <c r="AA1393">
        <f>Source!X409</f>
        <v>252.36</v>
      </c>
      <c r="AB1393">
        <f>Source!Y409</f>
        <v>172.67</v>
      </c>
    </row>
    <row r="1394" spans="1:28" ht="14.25" x14ac:dyDescent="0.2">
      <c r="C1394" s="23" t="str">
        <f>"Объем: "&amp;Source!I409&amp;"=68/"&amp;"100"</f>
        <v>Объем: 0,68=68/100</v>
      </c>
      <c r="F1394" s="12"/>
      <c r="G1394" s="12"/>
      <c r="H1394" s="12"/>
    </row>
    <row r="1395" spans="1:28" x14ac:dyDescent="0.2">
      <c r="C1395" s="23" t="s">
        <v>1978</v>
      </c>
      <c r="D1395" s="23">
        <f>Source!BA409</f>
        <v>6.56</v>
      </c>
    </row>
    <row r="1396" spans="1:28" x14ac:dyDescent="0.2">
      <c r="C1396" s="23" t="s">
        <v>1979</v>
      </c>
      <c r="D1396" s="23">
        <f>Source!BB409</f>
        <v>6.56</v>
      </c>
    </row>
    <row r="1397" spans="1:28" x14ac:dyDescent="0.2">
      <c r="C1397" s="23" t="s">
        <v>1980</v>
      </c>
      <c r="D1397" s="23">
        <f>Source!BC409</f>
        <v>6.56</v>
      </c>
    </row>
    <row r="1398" spans="1:28" x14ac:dyDescent="0.2">
      <c r="C1398" s="23" t="s">
        <v>1981</v>
      </c>
      <c r="D1398" s="23">
        <f>Source!BS409</f>
        <v>6.56</v>
      </c>
    </row>
    <row r="1399" spans="1:28" x14ac:dyDescent="0.2">
      <c r="C1399" s="9" t="s">
        <v>1982</v>
      </c>
      <c r="D1399" s="33"/>
      <c r="E1399" s="33"/>
      <c r="F1399" s="33">
        <f>Source!BZ409</f>
        <v>95</v>
      </c>
      <c r="G1399" s="57">
        <f>(Source!AF409+Source!AE409)*Source!FX409/100</f>
        <v>56.572499999999998</v>
      </c>
      <c r="H1399" s="57">
        <f>Source!X409</f>
        <v>252.36</v>
      </c>
    </row>
    <row r="1400" spans="1:28" x14ac:dyDescent="0.2">
      <c r="C1400" s="9" t="s">
        <v>1984</v>
      </c>
      <c r="D1400" s="33"/>
      <c r="E1400" s="33"/>
      <c r="F1400" s="33">
        <f>Source!CA409</f>
        <v>65</v>
      </c>
      <c r="G1400" s="57">
        <f>(Source!AF409+Source!AE409)*Source!FY409/100</f>
        <v>38.707500000000003</v>
      </c>
      <c r="H1400" s="57">
        <f>Source!Y409</f>
        <v>172.67</v>
      </c>
    </row>
    <row r="1401" spans="1:28" x14ac:dyDescent="0.2">
      <c r="C1401" s="9" t="s">
        <v>1986</v>
      </c>
      <c r="D1401" s="33"/>
      <c r="E1401" s="33"/>
      <c r="F1401" s="33"/>
      <c r="G1401" s="57">
        <f>((Source!AF409+Source!AE409)*Source!FX409/100)+((Source!AF409+Source!AE409)*Source!FY409/100)+Source!AB409</f>
        <v>217.45</v>
      </c>
      <c r="H1401" s="57">
        <f>Source!O409+Source!X409+Source!Y409</f>
        <v>970.01</v>
      </c>
    </row>
    <row r="1402" spans="1:28" ht="85.5" x14ac:dyDescent="0.2">
      <c r="A1402" s="45">
        <v>209</v>
      </c>
      <c r="B1402" s="45" t="str">
        <f>Source!E410</f>
        <v>94,1</v>
      </c>
      <c r="C1402" s="45" t="str">
        <f>Source!G410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70 мм2</v>
      </c>
      <c r="D1402" s="45" t="str">
        <f>Source!F410</f>
        <v>21.1.06.09-0184</v>
      </c>
      <c r="E1402" s="30" t="str">
        <f>Source!H410</f>
        <v>1000 м</v>
      </c>
      <c r="F1402" s="12">
        <f>Source!I410</f>
        <v>6.8000000000000005E-2</v>
      </c>
      <c r="G1402" s="22">
        <f>Source!AB410</f>
        <v>271190.69</v>
      </c>
      <c r="H1402" s="22">
        <f>Source!O410</f>
        <v>120972.74</v>
      </c>
      <c r="T1402">
        <f>Source!O410+Source!X410+Source!Y410</f>
        <v>120972.74</v>
      </c>
      <c r="U1402">
        <f>Source!P410</f>
        <v>120972.74</v>
      </c>
      <c r="V1402">
        <f>Source!S410</f>
        <v>0</v>
      </c>
      <c r="W1402">
        <f>Source!Q410</f>
        <v>0</v>
      </c>
      <c r="X1402">
        <f>Source!R410</f>
        <v>0</v>
      </c>
      <c r="Y1402">
        <f>Source!U410</f>
        <v>0</v>
      </c>
      <c r="Z1402">
        <f>Source!V410</f>
        <v>0</v>
      </c>
      <c r="AA1402">
        <f>Source!X410</f>
        <v>0</v>
      </c>
      <c r="AB1402">
        <f>Source!Y410</f>
        <v>0</v>
      </c>
    </row>
    <row r="1403" spans="1:28" ht="14.25" x14ac:dyDescent="0.2">
      <c r="C1403" s="23" t="s">
        <v>1980</v>
      </c>
      <c r="D1403" s="23">
        <f>Source!BC410</f>
        <v>6.56</v>
      </c>
      <c r="F1403" s="12"/>
      <c r="G1403" s="12"/>
      <c r="H1403" s="12"/>
    </row>
    <row r="1404" spans="1:28" ht="57" x14ac:dyDescent="0.2">
      <c r="A1404" s="45">
        <v>210</v>
      </c>
      <c r="B1404" s="45" t="str">
        <f>Source!E411</f>
        <v>95</v>
      </c>
      <c r="C1404" s="45" t="str">
        <f>Source!G411</f>
        <v>Щитки осветительные, устанавливаемые на стене распорными дюбелями, масса щитка до 6 кг (Боксы АВВ)</v>
      </c>
      <c r="D1404" s="45" t="str">
        <f>Source!F411</f>
        <v>м08-03-599-09 прим.</v>
      </c>
      <c r="E1404" s="30" t="str">
        <f>Source!H411</f>
        <v>ШТ</v>
      </c>
      <c r="F1404" s="12">
        <f>Source!I411</f>
        <v>4</v>
      </c>
      <c r="G1404" s="22">
        <f>Source!AB411</f>
        <v>70.22</v>
      </c>
      <c r="H1404" s="22">
        <f>Source!O411</f>
        <v>1842.58</v>
      </c>
      <c r="T1404">
        <f>Source!O411+Source!X411+Source!Y411</f>
        <v>2919.89</v>
      </c>
      <c r="U1404">
        <f>Source!P411</f>
        <v>1129.3699999999999</v>
      </c>
      <c r="V1404">
        <f>Source!S411</f>
        <v>666.5</v>
      </c>
      <c r="W1404">
        <f>Source!Q411</f>
        <v>46.71</v>
      </c>
      <c r="X1404">
        <f>Source!R411</f>
        <v>6.82</v>
      </c>
      <c r="Y1404">
        <f>Source!U411</f>
        <v>10.24</v>
      </c>
      <c r="Z1404">
        <f>Source!V411</f>
        <v>0.08</v>
      </c>
      <c r="AA1404">
        <f>Source!X411</f>
        <v>639.65</v>
      </c>
      <c r="AB1404">
        <f>Source!Y411</f>
        <v>437.66</v>
      </c>
    </row>
    <row r="1405" spans="1:28" ht="14.25" x14ac:dyDescent="0.2">
      <c r="C1405" s="23" t="s">
        <v>1978</v>
      </c>
      <c r="D1405" s="23">
        <f>Source!BA411</f>
        <v>6.56</v>
      </c>
      <c r="F1405" s="12"/>
      <c r="G1405" s="12"/>
      <c r="H1405" s="12"/>
    </row>
    <row r="1406" spans="1:28" x14ac:dyDescent="0.2">
      <c r="C1406" s="23" t="s">
        <v>1979</v>
      </c>
      <c r="D1406" s="23">
        <f>Source!BB411</f>
        <v>6.56</v>
      </c>
    </row>
    <row r="1407" spans="1:28" x14ac:dyDescent="0.2">
      <c r="C1407" s="23" t="s">
        <v>1980</v>
      </c>
      <c r="D1407" s="23">
        <f>Source!BC411</f>
        <v>6.56</v>
      </c>
    </row>
    <row r="1408" spans="1:28" x14ac:dyDescent="0.2">
      <c r="C1408" s="23" t="s">
        <v>1981</v>
      </c>
      <c r="D1408" s="23">
        <f>Source!BS411</f>
        <v>6.56</v>
      </c>
    </row>
    <row r="1409" spans="1:28" x14ac:dyDescent="0.2">
      <c r="C1409" s="9" t="s">
        <v>1982</v>
      </c>
      <c r="D1409" s="33"/>
      <c r="E1409" s="33"/>
      <c r="F1409" s="33">
        <f>Source!BZ411</f>
        <v>95</v>
      </c>
      <c r="G1409" s="57">
        <f>(Source!AF411+Source!AE411)*Source!FX411/100</f>
        <v>24.376999999999999</v>
      </c>
      <c r="H1409" s="57">
        <f>Source!X411</f>
        <v>639.65</v>
      </c>
    </row>
    <row r="1410" spans="1:28" x14ac:dyDescent="0.2">
      <c r="C1410" s="9" t="s">
        <v>1984</v>
      </c>
      <c r="D1410" s="33"/>
      <c r="E1410" s="33"/>
      <c r="F1410" s="33">
        <f>Source!CA411</f>
        <v>65</v>
      </c>
      <c r="G1410" s="57">
        <f>(Source!AF411+Source!AE411)*Source!FY411/100</f>
        <v>16.679000000000002</v>
      </c>
      <c r="H1410" s="57">
        <f>Source!Y411</f>
        <v>437.66</v>
      </c>
    </row>
    <row r="1411" spans="1:28" x14ac:dyDescent="0.2">
      <c r="C1411" s="9" t="s">
        <v>1986</v>
      </c>
      <c r="D1411" s="33"/>
      <c r="E1411" s="33"/>
      <c r="F1411" s="33"/>
      <c r="G1411" s="57">
        <f>((Source!AF411+Source!AE411)*Source!FX411/100)+((Source!AF411+Source!AE411)*Source!FY411/100)+Source!AB411</f>
        <v>111.276</v>
      </c>
      <c r="H1411" s="57">
        <f>Source!O411+Source!X411+Source!Y411</f>
        <v>2919.89</v>
      </c>
    </row>
    <row r="1412" spans="1:28" ht="42.75" x14ac:dyDescent="0.2">
      <c r="A1412" s="45">
        <v>211</v>
      </c>
      <c r="B1412" s="45" t="str">
        <f>Source!E412</f>
        <v>95,1</v>
      </c>
      <c r="C1412" s="45" t="str">
        <f>Source!G412</f>
        <v>Бокс настенный  пластиковый АВВ " Mistral 41"с прозрачной дверцей на 36 модулей,с клеммами в 2 ряда прим.</v>
      </c>
      <c r="D1412" s="45" t="str">
        <f>Source!F412</f>
        <v>22.1.01.01-0014</v>
      </c>
      <c r="E1412" s="30" t="str">
        <f>Source!H412</f>
        <v>шт.</v>
      </c>
      <c r="F1412" s="12">
        <f>Source!I412</f>
        <v>4</v>
      </c>
      <c r="G1412" s="22">
        <f>Source!AB412</f>
        <v>213.05</v>
      </c>
      <c r="H1412" s="22">
        <f>Source!O412</f>
        <v>5590.43</v>
      </c>
      <c r="T1412">
        <f>Source!O412+Source!X412+Source!Y412</f>
        <v>5590.43</v>
      </c>
      <c r="U1412">
        <f>Source!P412</f>
        <v>5590.43</v>
      </c>
      <c r="V1412">
        <f>Source!S412</f>
        <v>0</v>
      </c>
      <c r="W1412">
        <f>Source!Q412</f>
        <v>0</v>
      </c>
      <c r="X1412">
        <f>Source!R412</f>
        <v>0</v>
      </c>
      <c r="Y1412">
        <f>Source!U412</f>
        <v>0</v>
      </c>
      <c r="Z1412">
        <f>Source!V412</f>
        <v>0</v>
      </c>
      <c r="AA1412">
        <f>Source!X412</f>
        <v>0</v>
      </c>
      <c r="AB1412">
        <f>Source!Y412</f>
        <v>0</v>
      </c>
    </row>
    <row r="1413" spans="1:28" ht="14.25" x14ac:dyDescent="0.2">
      <c r="C1413" s="23" t="s">
        <v>1980</v>
      </c>
      <c r="D1413" s="23">
        <f>Source!BC412</f>
        <v>6.56</v>
      </c>
      <c r="F1413" s="12"/>
      <c r="G1413" s="12"/>
      <c r="H1413" s="12"/>
    </row>
    <row r="1414" spans="1:28" ht="28.5" x14ac:dyDescent="0.2">
      <c r="A1414" s="45">
        <v>212</v>
      </c>
      <c r="B1414" s="45" t="str">
        <f>Source!E413</f>
        <v>96</v>
      </c>
      <c r="C1414" s="45" t="str">
        <f>Source!G413</f>
        <v>Щиток до трех групп, устанавливаемый в нише цоколя</v>
      </c>
      <c r="D1414" s="45" t="str">
        <f>Source!F413</f>
        <v>м08-02-370-02</v>
      </c>
      <c r="E1414" s="30" t="str">
        <f>Source!H413</f>
        <v>ШТ</v>
      </c>
      <c r="F1414" s="12">
        <f>Source!I413</f>
        <v>2</v>
      </c>
      <c r="G1414" s="22">
        <f>Source!AB413</f>
        <v>33.42</v>
      </c>
      <c r="H1414" s="22">
        <f>Source!O413</f>
        <v>438.46</v>
      </c>
      <c r="T1414">
        <f>Source!O413+Source!X413+Source!Y413</f>
        <v>689.51</v>
      </c>
      <c r="U1414">
        <f>Source!P413</f>
        <v>81.34</v>
      </c>
      <c r="V1414">
        <f>Source!S413</f>
        <v>123.98</v>
      </c>
      <c r="W1414">
        <f>Source!Q413</f>
        <v>233.14</v>
      </c>
      <c r="X1414">
        <f>Source!R413</f>
        <v>32.93</v>
      </c>
      <c r="Y1414">
        <f>Source!U413</f>
        <v>1.8</v>
      </c>
      <c r="Z1414">
        <f>Source!V413</f>
        <v>0.4</v>
      </c>
      <c r="AA1414">
        <f>Source!X413</f>
        <v>149.06</v>
      </c>
      <c r="AB1414">
        <f>Source!Y413</f>
        <v>101.99</v>
      </c>
    </row>
    <row r="1415" spans="1:28" ht="14.25" x14ac:dyDescent="0.2">
      <c r="C1415" s="23" t="s">
        <v>1978</v>
      </c>
      <c r="D1415" s="23">
        <f>Source!BA413</f>
        <v>6.56</v>
      </c>
      <c r="F1415" s="12"/>
      <c r="G1415" s="12"/>
      <c r="H1415" s="12"/>
    </row>
    <row r="1416" spans="1:28" x14ac:dyDescent="0.2">
      <c r="C1416" s="23" t="s">
        <v>1979</v>
      </c>
      <c r="D1416" s="23">
        <f>Source!BB413</f>
        <v>6.56</v>
      </c>
    </row>
    <row r="1417" spans="1:28" x14ac:dyDescent="0.2">
      <c r="C1417" s="23" t="s">
        <v>1980</v>
      </c>
      <c r="D1417" s="23">
        <f>Source!BC413</f>
        <v>6.56</v>
      </c>
    </row>
    <row r="1418" spans="1:28" x14ac:dyDescent="0.2">
      <c r="C1418" s="23" t="s">
        <v>1981</v>
      </c>
      <c r="D1418" s="23">
        <f>Source!BS413</f>
        <v>6.56</v>
      </c>
    </row>
    <row r="1419" spans="1:28" x14ac:dyDescent="0.2">
      <c r="C1419" s="9" t="s">
        <v>1982</v>
      </c>
      <c r="D1419" s="33"/>
      <c r="E1419" s="33"/>
      <c r="F1419" s="33">
        <f>Source!BZ413</f>
        <v>95</v>
      </c>
      <c r="G1419" s="57">
        <f>(Source!AF413+Source!AE413)*Source!FX413/100</f>
        <v>11.361999999999998</v>
      </c>
      <c r="H1419" s="57">
        <f>Source!X413</f>
        <v>149.06</v>
      </c>
    </row>
    <row r="1420" spans="1:28" x14ac:dyDescent="0.2">
      <c r="C1420" s="9" t="s">
        <v>1984</v>
      </c>
      <c r="D1420" s="33"/>
      <c r="E1420" s="33"/>
      <c r="F1420" s="33">
        <f>Source!CA413</f>
        <v>65</v>
      </c>
      <c r="G1420" s="57">
        <f>(Source!AF413+Source!AE413)*Source!FY413/100</f>
        <v>7.774</v>
      </c>
      <c r="H1420" s="57">
        <f>Source!Y413</f>
        <v>101.99</v>
      </c>
    </row>
    <row r="1421" spans="1:28" x14ac:dyDescent="0.2">
      <c r="C1421" s="9" t="s">
        <v>1986</v>
      </c>
      <c r="D1421" s="33"/>
      <c r="E1421" s="33"/>
      <c r="F1421" s="33"/>
      <c r="G1421" s="57">
        <f>((Source!AF413+Source!AE413)*Source!FX413/100)+((Source!AF413+Source!AE413)*Source!FY413/100)+Source!AB413</f>
        <v>52.555999999999997</v>
      </c>
      <c r="H1421" s="57">
        <f>Source!O413+Source!X413+Source!Y413</f>
        <v>689.51</v>
      </c>
    </row>
    <row r="1422" spans="1:28" ht="28.5" x14ac:dyDescent="0.2">
      <c r="A1422" s="45">
        <v>213</v>
      </c>
      <c r="B1422" s="45" t="str">
        <f>Source!E414</f>
        <v>96,1</v>
      </c>
      <c r="C1422" s="45" t="str">
        <f>Source!G414</f>
        <v>Щитки распределительные этажные  EKF ЩРВ-48(з) прим.</v>
      </c>
      <c r="D1422" s="45" t="str">
        <f>Source!F414</f>
        <v>62.1.02.17-0012</v>
      </c>
      <c r="E1422" s="30" t="str">
        <f>Source!H414</f>
        <v>шт.</v>
      </c>
      <c r="F1422" s="12">
        <f>Source!I414</f>
        <v>2</v>
      </c>
      <c r="G1422" s="22">
        <f>Source!AB414</f>
        <v>1494.77</v>
      </c>
      <c r="H1422" s="22">
        <f>Source!O414</f>
        <v>19611.38</v>
      </c>
      <c r="T1422">
        <f>Source!O414+Source!X414+Source!Y414</f>
        <v>19611.38</v>
      </c>
      <c r="U1422">
        <f>Source!P414</f>
        <v>19611.38</v>
      </c>
      <c r="V1422">
        <f>Source!S414</f>
        <v>0</v>
      </c>
      <c r="W1422">
        <f>Source!Q414</f>
        <v>0</v>
      </c>
      <c r="X1422">
        <f>Source!R414</f>
        <v>0</v>
      </c>
      <c r="Y1422">
        <f>Source!U414</f>
        <v>0</v>
      </c>
      <c r="Z1422">
        <f>Source!V414</f>
        <v>0</v>
      </c>
      <c r="AA1422">
        <f>Source!X414</f>
        <v>0</v>
      </c>
      <c r="AB1422">
        <f>Source!Y414</f>
        <v>0</v>
      </c>
    </row>
    <row r="1423" spans="1:28" ht="14.25" x14ac:dyDescent="0.2">
      <c r="C1423" s="23" t="s">
        <v>1980</v>
      </c>
      <c r="D1423" s="23">
        <f>Source!BC414</f>
        <v>6.56</v>
      </c>
      <c r="F1423" s="12"/>
      <c r="G1423" s="12"/>
      <c r="H1423" s="12"/>
    </row>
    <row r="1424" spans="1:28" ht="42.75" x14ac:dyDescent="0.2">
      <c r="A1424" s="45">
        <v>214</v>
      </c>
      <c r="B1424" s="45" t="str">
        <f>Source!E415</f>
        <v>97</v>
      </c>
      <c r="C1424" s="45" t="str">
        <f>Source!G415</f>
        <v>Автомат одно-, двух-, трехполюсный, устанавливаемый на конструкции на стене или колонне, на ток до 25 А</v>
      </c>
      <c r="D1424" s="45" t="str">
        <f>Source!F415</f>
        <v>м08-03-526-01</v>
      </c>
      <c r="E1424" s="30" t="str">
        <f>Source!H415</f>
        <v>ШТ</v>
      </c>
      <c r="F1424" s="12">
        <f>Source!I415</f>
        <v>26</v>
      </c>
      <c r="G1424" s="22">
        <f>Source!AB415</f>
        <v>35.979999999999997</v>
      </c>
      <c r="H1424" s="22">
        <f>Source!O415</f>
        <v>6136.75</v>
      </c>
      <c r="T1424">
        <f>Source!O415+Source!X415+Source!Y415</f>
        <v>10186.519999999999</v>
      </c>
      <c r="U1424">
        <f>Source!P415</f>
        <v>3426.55</v>
      </c>
      <c r="V1424">
        <f>Source!S415</f>
        <v>2531.11</v>
      </c>
      <c r="W1424">
        <f>Source!Q415</f>
        <v>179.09</v>
      </c>
      <c r="X1424">
        <f>Source!R415</f>
        <v>0</v>
      </c>
      <c r="Y1424">
        <f>Source!U415</f>
        <v>40.56</v>
      </c>
      <c r="Z1424">
        <f>Source!V415</f>
        <v>0</v>
      </c>
      <c r="AA1424">
        <f>Source!X415</f>
        <v>2404.5500000000002</v>
      </c>
      <c r="AB1424">
        <f>Source!Y415</f>
        <v>1645.22</v>
      </c>
    </row>
    <row r="1425" spans="1:28" ht="14.25" x14ac:dyDescent="0.2">
      <c r="C1425" s="23" t="s">
        <v>1978</v>
      </c>
      <c r="D1425" s="23">
        <f>Source!BA415</f>
        <v>6.56</v>
      </c>
      <c r="F1425" s="12"/>
      <c r="G1425" s="12"/>
      <c r="H1425" s="12"/>
    </row>
    <row r="1426" spans="1:28" x14ac:dyDescent="0.2">
      <c r="C1426" s="23" t="s">
        <v>1979</v>
      </c>
      <c r="D1426" s="23">
        <f>Source!BB415</f>
        <v>6.56</v>
      </c>
    </row>
    <row r="1427" spans="1:28" x14ac:dyDescent="0.2">
      <c r="C1427" s="23" t="s">
        <v>1980</v>
      </c>
      <c r="D1427" s="23">
        <f>Source!BC415</f>
        <v>6.56</v>
      </c>
    </row>
    <row r="1428" spans="1:28" x14ac:dyDescent="0.2">
      <c r="C1428" s="23" t="s">
        <v>1981</v>
      </c>
      <c r="D1428" s="23">
        <f>Source!BS415</f>
        <v>6.56</v>
      </c>
    </row>
    <row r="1429" spans="1:28" x14ac:dyDescent="0.2">
      <c r="C1429" s="9" t="s">
        <v>1982</v>
      </c>
      <c r="D1429" s="33"/>
      <c r="E1429" s="33"/>
      <c r="F1429" s="33">
        <f>Source!BZ415</f>
        <v>95</v>
      </c>
      <c r="G1429" s="57">
        <f>(Source!AF415+Source!AE415)*Source!FX415/100</f>
        <v>14.097999999999999</v>
      </c>
      <c r="H1429" s="57">
        <f>Source!X415</f>
        <v>2404.5500000000002</v>
      </c>
    </row>
    <row r="1430" spans="1:28" x14ac:dyDescent="0.2">
      <c r="C1430" s="9" t="s">
        <v>1984</v>
      </c>
      <c r="D1430" s="33"/>
      <c r="E1430" s="33"/>
      <c r="F1430" s="33">
        <f>Source!CA415</f>
        <v>65</v>
      </c>
      <c r="G1430" s="57">
        <f>(Source!AF415+Source!AE415)*Source!FY415/100</f>
        <v>9.6460000000000008</v>
      </c>
      <c r="H1430" s="57">
        <f>Source!Y415</f>
        <v>1645.22</v>
      </c>
    </row>
    <row r="1431" spans="1:28" x14ac:dyDescent="0.2">
      <c r="C1431" s="9" t="s">
        <v>1986</v>
      </c>
      <c r="D1431" s="33"/>
      <c r="E1431" s="33"/>
      <c r="F1431" s="33"/>
      <c r="G1431" s="57">
        <f>((Source!AF415+Source!AE415)*Source!FX415/100)+((Source!AF415+Source!AE415)*Source!FY415/100)+Source!AB415</f>
        <v>59.723999999999997</v>
      </c>
      <c r="H1431" s="57">
        <f>Source!O415+Source!X415+Source!Y415</f>
        <v>10186.519999999999</v>
      </c>
    </row>
    <row r="1432" spans="1:28" ht="42.75" x14ac:dyDescent="0.2">
      <c r="A1432" s="45">
        <v>215</v>
      </c>
      <c r="B1432" s="45" t="str">
        <f>Source!E416</f>
        <v>97,1</v>
      </c>
      <c r="C1432" s="45" t="str">
        <f>Source!G416</f>
        <v>Автоматы дифференциальные двухполюсные 10A, 30MA тип АВВ DS901L в щите прим.</v>
      </c>
      <c r="D1432" s="45" t="str">
        <f>Source!F416</f>
        <v>62.1.01.02-0002</v>
      </c>
      <c r="E1432" s="30" t="str">
        <f>Source!H416</f>
        <v>шт.</v>
      </c>
      <c r="F1432" s="12">
        <f>Source!I416</f>
        <v>2</v>
      </c>
      <c r="G1432" s="22">
        <f>Source!AB416</f>
        <v>246.69</v>
      </c>
      <c r="H1432" s="22">
        <f>Source!O416</f>
        <v>3236.57</v>
      </c>
      <c r="T1432">
        <f>Source!O416+Source!X416+Source!Y416</f>
        <v>3236.57</v>
      </c>
      <c r="U1432">
        <f>Source!P416</f>
        <v>3236.57</v>
      </c>
      <c r="V1432">
        <f>Source!S416</f>
        <v>0</v>
      </c>
      <c r="W1432">
        <f>Source!Q416</f>
        <v>0</v>
      </c>
      <c r="X1432">
        <f>Source!R416</f>
        <v>0</v>
      </c>
      <c r="Y1432">
        <f>Source!U416</f>
        <v>0</v>
      </c>
      <c r="Z1432">
        <f>Source!V416</f>
        <v>0</v>
      </c>
      <c r="AA1432">
        <f>Source!X416</f>
        <v>0</v>
      </c>
      <c r="AB1432">
        <f>Source!Y416</f>
        <v>0</v>
      </c>
    </row>
    <row r="1433" spans="1:28" ht="14.25" x14ac:dyDescent="0.2">
      <c r="C1433" s="23" t="s">
        <v>1980</v>
      </c>
      <c r="D1433" s="23">
        <f>Source!BC416</f>
        <v>6.56</v>
      </c>
      <c r="F1433" s="12"/>
      <c r="G1433" s="12"/>
      <c r="H1433" s="12"/>
    </row>
    <row r="1434" spans="1:28" ht="28.5" x14ac:dyDescent="0.2">
      <c r="A1434" s="45">
        <v>216</v>
      </c>
      <c r="B1434" s="45" t="str">
        <f>Source!E417</f>
        <v>97,2</v>
      </c>
      <c r="C1434" s="45" t="str">
        <f>Source!G417</f>
        <v>Выключатели автоматические АВВ 1Р 10А прим.</v>
      </c>
      <c r="D1434" s="45" t="str">
        <f>Source!F417</f>
        <v>62.1.01.09-0049</v>
      </c>
      <c r="E1434" s="30" t="str">
        <f>Source!H417</f>
        <v>шт.</v>
      </c>
      <c r="F1434" s="12">
        <f>Source!I417</f>
        <v>3</v>
      </c>
      <c r="G1434" s="22">
        <f>Source!AB417</f>
        <v>73.63</v>
      </c>
      <c r="H1434" s="22">
        <f>Source!O417</f>
        <v>1449.04</v>
      </c>
      <c r="T1434">
        <f>Source!O417+Source!X417+Source!Y417</f>
        <v>1449.04</v>
      </c>
      <c r="U1434">
        <f>Source!P417</f>
        <v>1449.04</v>
      </c>
      <c r="V1434">
        <f>Source!S417</f>
        <v>0</v>
      </c>
      <c r="W1434">
        <f>Source!Q417</f>
        <v>0</v>
      </c>
      <c r="X1434">
        <f>Source!R417</f>
        <v>0</v>
      </c>
      <c r="Y1434">
        <f>Source!U417</f>
        <v>0</v>
      </c>
      <c r="Z1434">
        <f>Source!V417</f>
        <v>0</v>
      </c>
      <c r="AA1434">
        <f>Source!X417</f>
        <v>0</v>
      </c>
      <c r="AB1434">
        <f>Source!Y417</f>
        <v>0</v>
      </c>
    </row>
    <row r="1435" spans="1:28" ht="14.25" x14ac:dyDescent="0.2">
      <c r="C1435" s="23" t="s">
        <v>1980</v>
      </c>
      <c r="D1435" s="23">
        <f>Source!BC417</f>
        <v>6.56</v>
      </c>
      <c r="F1435" s="12"/>
      <c r="G1435" s="12"/>
      <c r="H1435" s="12"/>
    </row>
    <row r="1436" spans="1:28" ht="28.5" x14ac:dyDescent="0.2">
      <c r="A1436" s="45">
        <v>217</v>
      </c>
      <c r="B1436" s="45" t="str">
        <f>Source!E418</f>
        <v>97,3</v>
      </c>
      <c r="C1436" s="45" t="str">
        <f>Source!G418</f>
        <v>Выключатели автоматические АВВ 1Р 16А прим.</v>
      </c>
      <c r="D1436" s="45" t="str">
        <f>Source!F418</f>
        <v>62.1.01.09-0050</v>
      </c>
      <c r="E1436" s="30" t="str">
        <f>Source!H418</f>
        <v>шт.</v>
      </c>
      <c r="F1436" s="12">
        <f>Source!I418</f>
        <v>14.999999999999998</v>
      </c>
      <c r="G1436" s="22">
        <f>Source!AB418</f>
        <v>66.48</v>
      </c>
      <c r="H1436" s="22">
        <f>Source!O418</f>
        <v>6541.63</v>
      </c>
      <c r="T1436">
        <f>Source!O418+Source!X418+Source!Y418</f>
        <v>6541.63</v>
      </c>
      <c r="U1436">
        <f>Source!P418</f>
        <v>6541.63</v>
      </c>
      <c r="V1436">
        <f>Source!S418</f>
        <v>0</v>
      </c>
      <c r="W1436">
        <f>Source!Q418</f>
        <v>0</v>
      </c>
      <c r="X1436">
        <f>Source!R418</f>
        <v>0</v>
      </c>
      <c r="Y1436">
        <f>Source!U418</f>
        <v>0</v>
      </c>
      <c r="Z1436">
        <f>Source!V418</f>
        <v>0</v>
      </c>
      <c r="AA1436">
        <f>Source!X418</f>
        <v>0</v>
      </c>
      <c r="AB1436">
        <f>Source!Y418</f>
        <v>0</v>
      </c>
    </row>
    <row r="1437" spans="1:28" ht="14.25" x14ac:dyDescent="0.2">
      <c r="C1437" s="23" t="s">
        <v>1980</v>
      </c>
      <c r="D1437" s="23">
        <f>Source!BC418</f>
        <v>6.56</v>
      </c>
      <c r="F1437" s="12"/>
      <c r="G1437" s="12"/>
      <c r="H1437" s="12"/>
    </row>
    <row r="1438" spans="1:28" ht="28.5" x14ac:dyDescent="0.2">
      <c r="A1438" s="45">
        <v>218</v>
      </c>
      <c r="B1438" s="45" t="str">
        <f>Source!E419</f>
        <v>97,4</v>
      </c>
      <c r="C1438" s="45" t="str">
        <f>Source!G419</f>
        <v>Выключатели автоматические АВВ  3Р 16А прим.</v>
      </c>
      <c r="D1438" s="45" t="str">
        <f>Source!F419</f>
        <v>62.1.01.09-0066</v>
      </c>
      <c r="E1438" s="30" t="str">
        <f>Source!H419</f>
        <v>шт.</v>
      </c>
      <c r="F1438" s="12">
        <f>Source!I419</f>
        <v>3</v>
      </c>
      <c r="G1438" s="22">
        <f>Source!AB419</f>
        <v>231.3</v>
      </c>
      <c r="H1438" s="22">
        <f>Source!O419</f>
        <v>4551.9799999999996</v>
      </c>
      <c r="T1438">
        <f>Source!O419+Source!X419+Source!Y419</f>
        <v>4551.9799999999996</v>
      </c>
      <c r="U1438">
        <f>Source!P419</f>
        <v>4551.9799999999996</v>
      </c>
      <c r="V1438">
        <f>Source!S419</f>
        <v>0</v>
      </c>
      <c r="W1438">
        <f>Source!Q419</f>
        <v>0</v>
      </c>
      <c r="X1438">
        <f>Source!R419</f>
        <v>0</v>
      </c>
      <c r="Y1438">
        <f>Source!U419</f>
        <v>0</v>
      </c>
      <c r="Z1438">
        <f>Source!V419</f>
        <v>0</v>
      </c>
      <c r="AA1438">
        <f>Source!X419</f>
        <v>0</v>
      </c>
      <c r="AB1438">
        <f>Source!Y419</f>
        <v>0</v>
      </c>
    </row>
    <row r="1439" spans="1:28" ht="14.25" x14ac:dyDescent="0.2">
      <c r="C1439" s="23" t="s">
        <v>1980</v>
      </c>
      <c r="D1439" s="23">
        <f>Source!BC419</f>
        <v>6.56</v>
      </c>
      <c r="F1439" s="12"/>
      <c r="G1439" s="12"/>
      <c r="H1439" s="12"/>
    </row>
    <row r="1440" spans="1:28" ht="28.5" x14ac:dyDescent="0.2">
      <c r="A1440" s="45">
        <v>219</v>
      </c>
      <c r="B1440" s="45" t="str">
        <f>Source!E420</f>
        <v>97,5</v>
      </c>
      <c r="C1440" s="45" t="str">
        <f>Source!G420</f>
        <v>Выключатели автоматические АВВ 3Р 20А</v>
      </c>
      <c r="D1440" s="45" t="str">
        <f>Source!F420</f>
        <v>62.1.01.09-0067</v>
      </c>
      <c r="E1440" s="30" t="str">
        <f>Source!H420</f>
        <v>шт.</v>
      </c>
      <c r="F1440" s="12">
        <f>Source!I420</f>
        <v>3</v>
      </c>
      <c r="G1440" s="22">
        <f>Source!AB420</f>
        <v>302.16000000000003</v>
      </c>
      <c r="H1440" s="22">
        <f>Source!O420</f>
        <v>5946.51</v>
      </c>
      <c r="T1440">
        <f>Source!O420+Source!X420+Source!Y420</f>
        <v>5946.51</v>
      </c>
      <c r="U1440">
        <f>Source!P420</f>
        <v>5946.51</v>
      </c>
      <c r="V1440">
        <f>Source!S420</f>
        <v>0</v>
      </c>
      <c r="W1440">
        <f>Source!Q420</f>
        <v>0</v>
      </c>
      <c r="X1440">
        <f>Source!R420</f>
        <v>0</v>
      </c>
      <c r="Y1440">
        <f>Source!U420</f>
        <v>0</v>
      </c>
      <c r="Z1440">
        <f>Source!V420</f>
        <v>0</v>
      </c>
      <c r="AA1440">
        <f>Source!X420</f>
        <v>0</v>
      </c>
      <c r="AB1440">
        <f>Source!Y420</f>
        <v>0</v>
      </c>
    </row>
    <row r="1441" spans="1:28" ht="14.25" x14ac:dyDescent="0.2">
      <c r="C1441" s="23" t="s">
        <v>1980</v>
      </c>
      <c r="D1441" s="23">
        <f>Source!BC420</f>
        <v>6.56</v>
      </c>
      <c r="F1441" s="12"/>
      <c r="G1441" s="12"/>
      <c r="H1441" s="12"/>
    </row>
    <row r="1442" spans="1:28" ht="28.5" x14ac:dyDescent="0.2">
      <c r="A1442" s="45">
        <v>220</v>
      </c>
      <c r="B1442" s="45" t="str">
        <f>Source!E421</f>
        <v>98</v>
      </c>
      <c r="C1442" s="45" t="str">
        <f>Source!G421</f>
        <v>Прибор или аппарат</v>
      </c>
      <c r="D1442" s="45" t="str">
        <f>Source!F421</f>
        <v>м08-03-575-01</v>
      </c>
      <c r="E1442" s="30" t="str">
        <f>Source!H421</f>
        <v>ШТ</v>
      </c>
      <c r="F1442" s="12">
        <f>Source!I421</f>
        <v>6</v>
      </c>
      <c r="G1442" s="22">
        <f>Source!AB421</f>
        <v>11.51</v>
      </c>
      <c r="H1442" s="22">
        <f>Source!O421</f>
        <v>453.03</v>
      </c>
      <c r="T1442">
        <f>Source!O421+Source!X421+Source!Y421</f>
        <v>1152.7</v>
      </c>
      <c r="U1442">
        <f>Source!P421</f>
        <v>15.74</v>
      </c>
      <c r="V1442">
        <f>Source!S421</f>
        <v>437.29</v>
      </c>
      <c r="W1442">
        <f>Source!Q421</f>
        <v>0</v>
      </c>
      <c r="X1442">
        <f>Source!R421</f>
        <v>0</v>
      </c>
      <c r="Y1442">
        <f>Source!U421</f>
        <v>6.7200000000000006</v>
      </c>
      <c r="Z1442">
        <f>Source!V421</f>
        <v>0</v>
      </c>
      <c r="AA1442">
        <f>Source!X421</f>
        <v>415.43</v>
      </c>
      <c r="AB1442">
        <f>Source!Y421</f>
        <v>284.24</v>
      </c>
    </row>
    <row r="1443" spans="1:28" ht="14.25" x14ac:dyDescent="0.2">
      <c r="C1443" s="23" t="s">
        <v>1978</v>
      </c>
      <c r="D1443" s="23">
        <f>Source!BA421</f>
        <v>6.56</v>
      </c>
      <c r="F1443" s="12"/>
      <c r="G1443" s="12"/>
      <c r="H1443" s="12"/>
    </row>
    <row r="1444" spans="1:28" x14ac:dyDescent="0.2">
      <c r="C1444" s="23" t="s">
        <v>1979</v>
      </c>
      <c r="D1444" s="23">
        <f>Source!BB421</f>
        <v>6.56</v>
      </c>
    </row>
    <row r="1445" spans="1:28" x14ac:dyDescent="0.2">
      <c r="C1445" s="23" t="s">
        <v>1980</v>
      </c>
      <c r="D1445" s="23">
        <f>Source!BC421</f>
        <v>6.56</v>
      </c>
    </row>
    <row r="1446" spans="1:28" x14ac:dyDescent="0.2">
      <c r="C1446" s="23" t="s">
        <v>1981</v>
      </c>
      <c r="D1446" s="23">
        <f>Source!BS421</f>
        <v>6.56</v>
      </c>
    </row>
    <row r="1447" spans="1:28" x14ac:dyDescent="0.2">
      <c r="C1447" s="9" t="s">
        <v>1982</v>
      </c>
      <c r="D1447" s="33"/>
      <c r="E1447" s="33"/>
      <c r="F1447" s="33">
        <f>Source!BZ421</f>
        <v>95</v>
      </c>
      <c r="G1447" s="57">
        <f>(Source!AF421+Source!AE421)*Source!FX421/100</f>
        <v>10.554500000000001</v>
      </c>
      <c r="H1447" s="57">
        <f>Source!X421</f>
        <v>415.43</v>
      </c>
    </row>
    <row r="1448" spans="1:28" x14ac:dyDescent="0.2">
      <c r="C1448" s="9" t="s">
        <v>1984</v>
      </c>
      <c r="D1448" s="33"/>
      <c r="E1448" s="33"/>
      <c r="F1448" s="33">
        <f>Source!CA421</f>
        <v>65</v>
      </c>
      <c r="G1448" s="57">
        <f>(Source!AF421+Source!AE421)*Source!FY421/100</f>
        <v>7.2214999999999998</v>
      </c>
      <c r="H1448" s="57">
        <f>Source!Y421</f>
        <v>284.24</v>
      </c>
    </row>
    <row r="1449" spans="1:28" x14ac:dyDescent="0.2">
      <c r="C1449" s="9" t="s">
        <v>1986</v>
      </c>
      <c r="D1449" s="33"/>
      <c r="E1449" s="33"/>
      <c r="F1449" s="33"/>
      <c r="G1449" s="57">
        <f>((Source!AF421+Source!AE421)*Source!FX421/100)+((Source!AF421+Source!AE421)*Source!FY421/100)+Source!AB421</f>
        <v>29.286000000000001</v>
      </c>
      <c r="H1449" s="57">
        <f>Source!O421+Source!X421+Source!Y421</f>
        <v>1152.7</v>
      </c>
    </row>
    <row r="1450" spans="1:28" ht="28.5" x14ac:dyDescent="0.2">
      <c r="A1450" s="45">
        <v>221</v>
      </c>
      <c r="B1450" s="45" t="str">
        <f>Source!E422</f>
        <v>98,1</v>
      </c>
      <c r="C1450" s="45" t="str">
        <f>Source!G422</f>
        <v>Выключатели автоматические АВВ 3Р 32А</v>
      </c>
      <c r="D1450" s="45" t="str">
        <f>Source!F422</f>
        <v>62.1.01.09-0068</v>
      </c>
      <c r="E1450" s="30" t="str">
        <f>Source!H422</f>
        <v>шт.</v>
      </c>
      <c r="F1450" s="12">
        <f>Source!I422</f>
        <v>2</v>
      </c>
      <c r="G1450" s="22">
        <f>Source!AB422</f>
        <v>347.49</v>
      </c>
      <c r="H1450" s="22">
        <f>Source!O422</f>
        <v>4559.07</v>
      </c>
      <c r="T1450">
        <f>Source!O422+Source!X422+Source!Y422</f>
        <v>4559.07</v>
      </c>
      <c r="U1450">
        <f>Source!P422</f>
        <v>4559.07</v>
      </c>
      <c r="V1450">
        <f>Source!S422</f>
        <v>0</v>
      </c>
      <c r="W1450">
        <f>Source!Q422</f>
        <v>0</v>
      </c>
      <c r="X1450">
        <f>Source!R422</f>
        <v>0</v>
      </c>
      <c r="Y1450">
        <f>Source!U422</f>
        <v>0</v>
      </c>
      <c r="Z1450">
        <f>Source!V422</f>
        <v>0</v>
      </c>
      <c r="AA1450">
        <f>Source!X422</f>
        <v>0</v>
      </c>
      <c r="AB1450">
        <f>Source!Y422</f>
        <v>0</v>
      </c>
    </row>
    <row r="1451" spans="1:28" ht="14.25" x14ac:dyDescent="0.2">
      <c r="C1451" s="23" t="s">
        <v>1980</v>
      </c>
      <c r="D1451" s="23">
        <f>Source!BC422</f>
        <v>6.56</v>
      </c>
      <c r="F1451" s="12"/>
      <c r="G1451" s="12"/>
      <c r="H1451" s="12"/>
    </row>
    <row r="1452" spans="1:28" ht="42.75" x14ac:dyDescent="0.2">
      <c r="A1452" s="45">
        <v>222</v>
      </c>
      <c r="B1452" s="45" t="str">
        <f>Source!E423</f>
        <v>98,2</v>
      </c>
      <c r="C1452" s="45" t="str">
        <f>Source!G423</f>
        <v>Автомат вводный в щите этажном АВВ Т- max160А 3P с регулировкой щита распределитеьного</v>
      </c>
      <c r="D1452" s="45" t="str">
        <f>Source!F423</f>
        <v>62.1.01.09-0108</v>
      </c>
      <c r="E1452" s="30" t="str">
        <f>Source!H423</f>
        <v>шт.</v>
      </c>
      <c r="F1452" s="12">
        <f>Source!I423</f>
        <v>2</v>
      </c>
      <c r="G1452" s="22">
        <f>Source!AB423</f>
        <v>728.85</v>
      </c>
      <c r="H1452" s="22">
        <f>Source!O423</f>
        <v>9562.51</v>
      </c>
      <c r="T1452">
        <f>Source!O423+Source!X423+Source!Y423</f>
        <v>9562.51</v>
      </c>
      <c r="U1452">
        <f>Source!P423</f>
        <v>9562.51</v>
      </c>
      <c r="V1452">
        <f>Source!S423</f>
        <v>0</v>
      </c>
      <c r="W1452">
        <f>Source!Q423</f>
        <v>0</v>
      </c>
      <c r="X1452">
        <f>Source!R423</f>
        <v>0</v>
      </c>
      <c r="Y1452">
        <f>Source!U423</f>
        <v>0</v>
      </c>
      <c r="Z1452">
        <f>Source!V423</f>
        <v>0</v>
      </c>
      <c r="AA1452">
        <f>Source!X423</f>
        <v>0</v>
      </c>
      <c r="AB1452">
        <f>Source!Y423</f>
        <v>0</v>
      </c>
    </row>
    <row r="1453" spans="1:28" ht="14.25" x14ac:dyDescent="0.2">
      <c r="C1453" s="23" t="s">
        <v>1980</v>
      </c>
      <c r="D1453" s="23">
        <f>Source!BC423</f>
        <v>6.56</v>
      </c>
      <c r="F1453" s="12"/>
      <c r="G1453" s="12"/>
      <c r="H1453" s="12"/>
    </row>
    <row r="1454" spans="1:28" ht="28.5" x14ac:dyDescent="0.2">
      <c r="A1454" s="45">
        <v>223</v>
      </c>
      <c r="B1454" s="45" t="str">
        <f>Source!E424</f>
        <v>98,3</v>
      </c>
      <c r="C1454" s="45" t="str">
        <f>Source!G424</f>
        <v>Котактор серии ПРО ВА 04-35 160А с регулировкой ЩР прим. в щитовой</v>
      </c>
      <c r="D1454" s="45" t="str">
        <f>Source!F424</f>
        <v>62.1.01.09-0102</v>
      </c>
      <c r="E1454" s="30" t="str">
        <f>Source!H424</f>
        <v>шт.</v>
      </c>
      <c r="F1454" s="12">
        <f>Source!I424</f>
        <v>2</v>
      </c>
      <c r="G1454" s="22">
        <f>Source!AB424</f>
        <v>1049.99</v>
      </c>
      <c r="H1454" s="22">
        <f>Source!O424</f>
        <v>13775.87</v>
      </c>
      <c r="T1454">
        <f>Source!O424+Source!X424+Source!Y424</f>
        <v>13775.87</v>
      </c>
      <c r="U1454">
        <f>Source!P424</f>
        <v>13775.87</v>
      </c>
      <c r="V1454">
        <f>Source!S424</f>
        <v>0</v>
      </c>
      <c r="W1454">
        <f>Source!Q424</f>
        <v>0</v>
      </c>
      <c r="X1454">
        <f>Source!R424</f>
        <v>0</v>
      </c>
      <c r="Y1454">
        <f>Source!U424</f>
        <v>0</v>
      </c>
      <c r="Z1454">
        <f>Source!V424</f>
        <v>0</v>
      </c>
      <c r="AA1454">
        <f>Source!X424</f>
        <v>0</v>
      </c>
      <c r="AB1454">
        <f>Source!Y424</f>
        <v>0</v>
      </c>
    </row>
    <row r="1455" spans="1:28" ht="14.25" x14ac:dyDescent="0.2">
      <c r="C1455" s="23" t="s">
        <v>1980</v>
      </c>
      <c r="D1455" s="23">
        <f>Source!BC424</f>
        <v>6.56</v>
      </c>
      <c r="F1455" s="12"/>
      <c r="G1455" s="12"/>
      <c r="H1455" s="12"/>
    </row>
    <row r="1456" spans="1:28" ht="57" x14ac:dyDescent="0.2">
      <c r="A1456" s="45">
        <v>224</v>
      </c>
      <c r="B1456" s="45" t="str">
        <f>Source!E425</f>
        <v>99</v>
      </c>
      <c r="C1456" s="45" t="str">
        <f>Source!G425</f>
        <v>Сверление отверстий в кирпичных стенах электроперфоратором диаметром до 20 мм, толщина стен 0,5 кирпича</v>
      </c>
      <c r="D1456" s="45" t="str">
        <f>Source!F425</f>
        <v>69-2-1 прим.</v>
      </c>
      <c r="E1456" s="30" t="str">
        <f>Source!H425</f>
        <v>100 ШТ</v>
      </c>
      <c r="F1456" s="12">
        <f>Source!I425</f>
        <v>0.15</v>
      </c>
      <c r="G1456" s="22">
        <f>Source!AB425</f>
        <v>46.83</v>
      </c>
      <c r="H1456" s="22">
        <f>Source!O425</f>
        <v>46.08</v>
      </c>
      <c r="T1456">
        <f>Source!O425+Source!X425+Source!Y425</f>
        <v>105.06</v>
      </c>
      <c r="U1456">
        <f>Source!P425</f>
        <v>0</v>
      </c>
      <c r="V1456">
        <f>Source!S425</f>
        <v>46.08</v>
      </c>
      <c r="W1456">
        <f>Source!Q425</f>
        <v>0</v>
      </c>
      <c r="X1456">
        <f>Source!R425</f>
        <v>0</v>
      </c>
      <c r="Y1456">
        <f>Source!U425</f>
        <v>0.82350000000000001</v>
      </c>
      <c r="Z1456">
        <f>Source!V425</f>
        <v>0</v>
      </c>
      <c r="AA1456">
        <f>Source!X425</f>
        <v>35.94</v>
      </c>
      <c r="AB1456">
        <f>Source!Y425</f>
        <v>23.04</v>
      </c>
    </row>
    <row r="1457" spans="1:28" ht="14.25" x14ac:dyDescent="0.2">
      <c r="C1457" s="23" t="str">
        <f>"Объем: "&amp;Source!I425&amp;"=15/"&amp;"100"</f>
        <v>Объем: 0,15=15/100</v>
      </c>
      <c r="F1457" s="12"/>
      <c r="G1457" s="12"/>
      <c r="H1457" s="12"/>
    </row>
    <row r="1458" spans="1:28" x14ac:dyDescent="0.2">
      <c r="C1458" s="23" t="s">
        <v>1978</v>
      </c>
      <c r="D1458" s="23">
        <f>Source!BA425</f>
        <v>6.56</v>
      </c>
    </row>
    <row r="1459" spans="1:28" x14ac:dyDescent="0.2">
      <c r="C1459" s="23" t="s">
        <v>1979</v>
      </c>
      <c r="D1459" s="23">
        <f>Source!BB425</f>
        <v>6.56</v>
      </c>
    </row>
    <row r="1460" spans="1:28" x14ac:dyDescent="0.2">
      <c r="C1460" s="23" t="s">
        <v>1980</v>
      </c>
      <c r="D1460" s="23">
        <f>Source!BC425</f>
        <v>6.56</v>
      </c>
    </row>
    <row r="1461" spans="1:28" x14ac:dyDescent="0.2">
      <c r="C1461" s="23" t="s">
        <v>1981</v>
      </c>
      <c r="D1461" s="23">
        <f>Source!BS425</f>
        <v>6.56</v>
      </c>
    </row>
    <row r="1462" spans="1:28" x14ac:dyDescent="0.2">
      <c r="C1462" s="9" t="s">
        <v>1982</v>
      </c>
      <c r="D1462" s="33"/>
      <c r="E1462" s="33"/>
      <c r="F1462" s="33">
        <f>Source!BZ425</f>
        <v>78</v>
      </c>
      <c r="G1462" s="57">
        <f>(Source!AF425+Source!AE425)*Source!FX425/100</f>
        <v>36.5274</v>
      </c>
      <c r="H1462" s="57">
        <f>Source!X425</f>
        <v>35.94</v>
      </c>
    </row>
    <row r="1463" spans="1:28" x14ac:dyDescent="0.2">
      <c r="C1463" s="9" t="s">
        <v>1984</v>
      </c>
      <c r="D1463" s="33"/>
      <c r="E1463" s="33"/>
      <c r="F1463" s="33">
        <f>Source!CA425</f>
        <v>50</v>
      </c>
      <c r="G1463" s="57">
        <f>(Source!AF425+Source!AE425)*Source!FY425/100</f>
        <v>23.414999999999999</v>
      </c>
      <c r="H1463" s="57">
        <f>Source!Y425</f>
        <v>23.04</v>
      </c>
    </row>
    <row r="1464" spans="1:28" x14ac:dyDescent="0.2">
      <c r="C1464" s="9" t="s">
        <v>1986</v>
      </c>
      <c r="D1464" s="33"/>
      <c r="E1464" s="33"/>
      <c r="F1464" s="33"/>
      <c r="G1464" s="57">
        <f>((Source!AF425+Source!AE425)*Source!FX425/100)+((Source!AF425+Source!AE425)*Source!FY425/100)+Source!AB425</f>
        <v>106.7724</v>
      </c>
      <c r="H1464" s="57">
        <f>Source!O425+Source!X425+Source!Y425</f>
        <v>105.06</v>
      </c>
    </row>
    <row r="1465" spans="1:28" ht="28.5" x14ac:dyDescent="0.2">
      <c r="A1465" s="45">
        <v>225</v>
      </c>
      <c r="B1465" s="45" t="str">
        <f>Source!E426</f>
        <v>100</v>
      </c>
      <c r="C1465" s="45" t="str">
        <f>Source!G426</f>
        <v>Труба полиэтиленовая по основанию пола, диаметр до 50 мм (гильзы) прим.</v>
      </c>
      <c r="D1465" s="45" t="str">
        <f>Source!F426</f>
        <v>м08-02-410-02</v>
      </c>
      <c r="E1465" s="30" t="str">
        <f>Source!H426</f>
        <v>100 м</v>
      </c>
      <c r="F1465" s="12">
        <f>Source!I426</f>
        <v>4.4999999999999998E-2</v>
      </c>
      <c r="G1465" s="22">
        <f>Source!AB426</f>
        <v>250.92</v>
      </c>
      <c r="H1465" s="22">
        <f>Source!O426</f>
        <v>74.069999999999993</v>
      </c>
      <c r="T1465">
        <f>Source!O426+Source!X426+Source!Y426</f>
        <v>143.22</v>
      </c>
      <c r="U1465">
        <f>Source!P426</f>
        <v>25.9</v>
      </c>
      <c r="V1465">
        <f>Source!S426</f>
        <v>42.4</v>
      </c>
      <c r="W1465">
        <f>Source!Q426</f>
        <v>5.77</v>
      </c>
      <c r="X1465">
        <f>Source!R426</f>
        <v>0.82</v>
      </c>
      <c r="Y1465">
        <f>Source!U426</f>
        <v>0.68759999999999999</v>
      </c>
      <c r="Z1465">
        <f>Source!V426</f>
        <v>9.8999999999999991E-3</v>
      </c>
      <c r="AA1465">
        <f>Source!X426</f>
        <v>41.06</v>
      </c>
      <c r="AB1465">
        <f>Source!Y426</f>
        <v>28.09</v>
      </c>
    </row>
    <row r="1466" spans="1:28" ht="14.25" x14ac:dyDescent="0.2">
      <c r="C1466" s="23" t="str">
        <f>"Объем: "&amp;Source!I426&amp;"=4,5/"&amp;"100"</f>
        <v>Объем: 0,045=4,5/100</v>
      </c>
      <c r="F1466" s="12"/>
      <c r="G1466" s="12"/>
      <c r="H1466" s="12"/>
    </row>
    <row r="1467" spans="1:28" x14ac:dyDescent="0.2">
      <c r="C1467" s="23" t="s">
        <v>1978</v>
      </c>
      <c r="D1467" s="23">
        <f>Source!BA426</f>
        <v>6.56</v>
      </c>
    </row>
    <row r="1468" spans="1:28" x14ac:dyDescent="0.2">
      <c r="C1468" s="23" t="s">
        <v>1979</v>
      </c>
      <c r="D1468" s="23">
        <f>Source!BB426</f>
        <v>6.56</v>
      </c>
    </row>
    <row r="1469" spans="1:28" x14ac:dyDescent="0.2">
      <c r="C1469" s="23" t="s">
        <v>1980</v>
      </c>
      <c r="D1469" s="23">
        <f>Source!BC426</f>
        <v>6.56</v>
      </c>
    </row>
    <row r="1470" spans="1:28" x14ac:dyDescent="0.2">
      <c r="C1470" s="23" t="s">
        <v>1981</v>
      </c>
      <c r="D1470" s="23">
        <f>Source!BS426</f>
        <v>6.56</v>
      </c>
    </row>
    <row r="1471" spans="1:28" x14ac:dyDescent="0.2">
      <c r="C1471" s="9" t="s">
        <v>1982</v>
      </c>
      <c r="D1471" s="33"/>
      <c r="E1471" s="33"/>
      <c r="F1471" s="33">
        <f>Source!BZ426</f>
        <v>95</v>
      </c>
      <c r="G1471" s="57">
        <f>(Source!AF426+Source!AE426)*Source!FX426/100</f>
        <v>139.08000000000001</v>
      </c>
      <c r="H1471" s="57">
        <f>Source!X426</f>
        <v>41.06</v>
      </c>
    </row>
    <row r="1472" spans="1:28" x14ac:dyDescent="0.2">
      <c r="C1472" s="9" t="s">
        <v>1984</v>
      </c>
      <c r="D1472" s="33"/>
      <c r="E1472" s="33"/>
      <c r="F1472" s="33">
        <f>Source!CA426</f>
        <v>65</v>
      </c>
      <c r="G1472" s="57">
        <f>(Source!AF426+Source!AE426)*Source!FY426/100</f>
        <v>95.16</v>
      </c>
      <c r="H1472" s="57">
        <f>Source!Y426</f>
        <v>28.09</v>
      </c>
    </row>
    <row r="1473" spans="1:28" x14ac:dyDescent="0.2">
      <c r="C1473" s="9" t="s">
        <v>1986</v>
      </c>
      <c r="D1473" s="33"/>
      <c r="E1473" s="33"/>
      <c r="F1473" s="33"/>
      <c r="G1473" s="57">
        <f>((Source!AF426+Source!AE426)*Source!FX426/100)+((Source!AF426+Source!AE426)*Source!FY426/100)+Source!AB426</f>
        <v>485.15999999999997</v>
      </c>
      <c r="H1473" s="57">
        <f>Source!O426+Source!X426+Source!Y426</f>
        <v>143.22</v>
      </c>
    </row>
    <row r="1474" spans="1:28" ht="42.75" x14ac:dyDescent="0.2">
      <c r="A1474" s="45">
        <v>226</v>
      </c>
      <c r="B1474" s="45" t="str">
        <f>Source!E427</f>
        <v>100,1</v>
      </c>
      <c r="C1474" s="45" t="str">
        <f>Source!G427</f>
        <v>Трубы жесткие гладкие легкие из самозатухающего ПВХ (IP55) серии RIG, диаметром 32 мм</v>
      </c>
      <c r="D1474" s="45" t="str">
        <f>Source!F427</f>
        <v>24.3.01.03-0014</v>
      </c>
      <c r="E1474" s="30" t="str">
        <f>Source!H427</f>
        <v>10 м</v>
      </c>
      <c r="F1474" s="12">
        <f>Source!I427</f>
        <v>0.44999999999999996</v>
      </c>
      <c r="G1474" s="22">
        <f>Source!AB427</f>
        <v>79.47</v>
      </c>
      <c r="H1474" s="22">
        <f>Source!O427</f>
        <v>234.6</v>
      </c>
      <c r="T1474">
        <f>Source!O427+Source!X427+Source!Y427</f>
        <v>234.6</v>
      </c>
      <c r="U1474">
        <f>Source!P427</f>
        <v>234.6</v>
      </c>
      <c r="V1474">
        <f>Source!S427</f>
        <v>0</v>
      </c>
      <c r="W1474">
        <f>Source!Q427</f>
        <v>0</v>
      </c>
      <c r="X1474">
        <f>Source!R427</f>
        <v>0</v>
      </c>
      <c r="Y1474">
        <f>Source!U427</f>
        <v>0</v>
      </c>
      <c r="Z1474">
        <f>Source!V427</f>
        <v>0</v>
      </c>
      <c r="AA1474">
        <f>Source!X427</f>
        <v>0</v>
      </c>
      <c r="AB1474">
        <f>Source!Y427</f>
        <v>0</v>
      </c>
    </row>
    <row r="1475" spans="1:28" ht="14.25" x14ac:dyDescent="0.2">
      <c r="C1475" s="23" t="s">
        <v>1980</v>
      </c>
      <c r="D1475" s="23">
        <f>Source!BC427</f>
        <v>6.56</v>
      </c>
      <c r="F1475" s="12"/>
      <c r="G1475" s="12"/>
      <c r="H1475" s="12"/>
    </row>
    <row r="1476" spans="1:28" ht="57" x14ac:dyDescent="0.2">
      <c r="A1476" s="45">
        <v>227</v>
      </c>
      <c r="B1476" s="45" t="str">
        <f>Source!E428</f>
        <v>101</v>
      </c>
      <c r="C1476" s="45" t="str">
        <f>Source!G428</f>
        <v>Заделка концевая в резиновой перчатке для 3-5-жильного кабеля напряжением до 1 кВ, сечение одной жилы до 35 мм2</v>
      </c>
      <c r="D1476" s="45" t="str">
        <f>Source!F428</f>
        <v>м08-02-159-01</v>
      </c>
      <c r="E1476" s="30" t="str">
        <f>Source!H428</f>
        <v>ШТ</v>
      </c>
      <c r="F1476" s="12">
        <f>Source!I428</f>
        <v>4</v>
      </c>
      <c r="G1476" s="22">
        <f>Source!AB428</f>
        <v>21.35</v>
      </c>
      <c r="H1476" s="22">
        <f>Source!O428</f>
        <v>560.23</v>
      </c>
      <c r="T1476">
        <f>Source!O428+Source!X428+Source!Y428</f>
        <v>1238.6999999999998</v>
      </c>
      <c r="U1476">
        <f>Source!P428</f>
        <v>136.19</v>
      </c>
      <c r="V1476">
        <f>Source!S428</f>
        <v>424.04</v>
      </c>
      <c r="W1476">
        <f>Source!Q428</f>
        <v>0</v>
      </c>
      <c r="X1476">
        <f>Source!R428</f>
        <v>0</v>
      </c>
      <c r="Y1476">
        <f>Source!U428</f>
        <v>6.72</v>
      </c>
      <c r="Z1476">
        <f>Source!V428</f>
        <v>0</v>
      </c>
      <c r="AA1476">
        <f>Source!X428</f>
        <v>402.84</v>
      </c>
      <c r="AB1476">
        <f>Source!Y428</f>
        <v>275.63</v>
      </c>
    </row>
    <row r="1477" spans="1:28" ht="14.25" x14ac:dyDescent="0.2">
      <c r="C1477" s="23" t="s">
        <v>1978</v>
      </c>
      <c r="D1477" s="23">
        <f>Source!BA428</f>
        <v>6.56</v>
      </c>
      <c r="F1477" s="12"/>
      <c r="G1477" s="12"/>
      <c r="H1477" s="12"/>
    </row>
    <row r="1478" spans="1:28" x14ac:dyDescent="0.2">
      <c r="C1478" s="23" t="s">
        <v>1979</v>
      </c>
      <c r="D1478" s="23">
        <f>Source!BB428</f>
        <v>6.56</v>
      </c>
    </row>
    <row r="1479" spans="1:28" x14ac:dyDescent="0.2">
      <c r="C1479" s="23" t="s">
        <v>1980</v>
      </c>
      <c r="D1479" s="23">
        <f>Source!BC428</f>
        <v>6.56</v>
      </c>
    </row>
    <row r="1480" spans="1:28" x14ac:dyDescent="0.2">
      <c r="C1480" s="23" t="s">
        <v>1981</v>
      </c>
      <c r="D1480" s="23">
        <f>Source!BS428</f>
        <v>6.56</v>
      </c>
    </row>
    <row r="1481" spans="1:28" x14ac:dyDescent="0.2">
      <c r="C1481" s="9" t="s">
        <v>1982</v>
      </c>
      <c r="D1481" s="33"/>
      <c r="E1481" s="33"/>
      <c r="F1481" s="33">
        <f>Source!BZ428</f>
        <v>95</v>
      </c>
      <c r="G1481" s="57">
        <f>(Source!AF428+Source!AE428)*Source!FX428/100</f>
        <v>15.352</v>
      </c>
      <c r="H1481" s="57">
        <f>Source!X428</f>
        <v>402.84</v>
      </c>
    </row>
    <row r="1482" spans="1:28" x14ac:dyDescent="0.2">
      <c r="C1482" s="9" t="s">
        <v>1984</v>
      </c>
      <c r="D1482" s="33"/>
      <c r="E1482" s="33"/>
      <c r="F1482" s="33">
        <f>Source!CA428</f>
        <v>65</v>
      </c>
      <c r="G1482" s="57">
        <f>(Source!AF428+Source!AE428)*Source!FY428/100</f>
        <v>10.504000000000001</v>
      </c>
      <c r="H1482" s="57">
        <f>Source!Y428</f>
        <v>275.63</v>
      </c>
    </row>
    <row r="1483" spans="1:28" x14ac:dyDescent="0.2">
      <c r="C1483" s="9" t="s">
        <v>1986</v>
      </c>
      <c r="D1483" s="33"/>
      <c r="E1483" s="33"/>
      <c r="F1483" s="33"/>
      <c r="G1483" s="57">
        <f>((Source!AF428+Source!AE428)*Source!FX428/100)+((Source!AF428+Source!AE428)*Source!FY428/100)+Source!AB428</f>
        <v>47.206000000000003</v>
      </c>
      <c r="H1483" s="57">
        <f>Source!O428+Source!X428+Source!Y428</f>
        <v>1238.6999999999998</v>
      </c>
    </row>
    <row r="1484" spans="1:28" ht="28.5" x14ac:dyDescent="0.2">
      <c r="A1484" s="45">
        <v>228</v>
      </c>
      <c r="B1484" s="45" t="str">
        <f>Source!E429</f>
        <v>101,1</v>
      </c>
      <c r="C1484" s="45" t="str">
        <f>Source!G429</f>
        <v>Перчатка термоусаживаемая</v>
      </c>
      <c r="D1484" s="45" t="str">
        <f>Source!F429</f>
        <v>20.2.02.07-0021</v>
      </c>
      <c r="E1484" s="30" t="str">
        <f>Source!H429</f>
        <v>шт.</v>
      </c>
      <c r="F1484" s="12">
        <f>Source!I429</f>
        <v>4</v>
      </c>
      <c r="G1484" s="22">
        <f>Source!AB429</f>
        <v>38</v>
      </c>
      <c r="H1484" s="22">
        <f>Source!O429</f>
        <v>997.12</v>
      </c>
      <c r="T1484">
        <f>Source!O429+Source!X429+Source!Y429</f>
        <v>997.12</v>
      </c>
      <c r="U1484">
        <f>Source!P429</f>
        <v>997.12</v>
      </c>
      <c r="V1484">
        <f>Source!S429</f>
        <v>0</v>
      </c>
      <c r="W1484">
        <f>Source!Q429</f>
        <v>0</v>
      </c>
      <c r="X1484">
        <f>Source!R429</f>
        <v>0</v>
      </c>
      <c r="Y1484">
        <f>Source!U429</f>
        <v>0</v>
      </c>
      <c r="Z1484">
        <f>Source!V429</f>
        <v>0</v>
      </c>
      <c r="AA1484">
        <f>Source!X429</f>
        <v>0</v>
      </c>
      <c r="AB1484">
        <f>Source!Y429</f>
        <v>0</v>
      </c>
    </row>
    <row r="1485" spans="1:28" ht="14.25" x14ac:dyDescent="0.2">
      <c r="C1485" s="23" t="s">
        <v>1980</v>
      </c>
      <c r="D1485" s="23">
        <f>Source!BC429</f>
        <v>6.56</v>
      </c>
      <c r="F1485" s="12"/>
      <c r="G1485" s="12"/>
      <c r="H1485" s="12"/>
    </row>
    <row r="1487" spans="1:28" ht="15" x14ac:dyDescent="0.25">
      <c r="A1487" s="58"/>
      <c r="B1487" s="58"/>
      <c r="C1487" s="66" t="str">
        <f>CONCATENATE("Итого по подразделу: ",IF(Source!G431&lt;&gt;"Новый подраздел", Source!G431, ""))</f>
        <v>Итого по подразделу: 3 Монтаж силовой части</v>
      </c>
      <c r="D1487" s="66"/>
      <c r="E1487" s="66"/>
      <c r="F1487" s="66"/>
      <c r="G1487" s="58"/>
      <c r="H1487" s="59">
        <f>IF(SUM(T1289:T1486)=0, "-", SUM(T1289:T1486))</f>
        <v>303847.25</v>
      </c>
    </row>
    <row r="1488" spans="1:28" ht="15" x14ac:dyDescent="0.25">
      <c r="A1488" s="58"/>
      <c r="B1488" s="58"/>
      <c r="C1488" s="58"/>
      <c r="D1488" s="58"/>
      <c r="E1488" s="58"/>
      <c r="F1488" s="58"/>
      <c r="G1488" s="58"/>
      <c r="H1488" s="58"/>
    </row>
    <row r="1491" spans="1:28" ht="15" x14ac:dyDescent="0.25">
      <c r="A1491" s="58"/>
      <c r="B1491" s="58"/>
      <c r="C1491" s="66" t="str">
        <f>CONCATENATE("Итого по разделу: ",IF(Source!G460&lt;&gt;"Новый раздел", Source!G460, ""))</f>
        <v>Итого по разделу: 2 Электромонтажные работы</v>
      </c>
      <c r="D1491" s="66"/>
      <c r="E1491" s="66"/>
      <c r="F1491" s="66"/>
      <c r="G1491" s="58"/>
      <c r="H1491" s="59">
        <f>IF(SUM(T1047:T1490)=0, "-", SUM(T1047:T1490))</f>
        <v>766468.93</v>
      </c>
    </row>
    <row r="1492" spans="1:28" ht="15" x14ac:dyDescent="0.25">
      <c r="A1492" s="58"/>
      <c r="B1492" s="58"/>
      <c r="C1492" s="58"/>
      <c r="D1492" s="58"/>
      <c r="E1492" s="58"/>
      <c r="F1492" s="58"/>
      <c r="G1492" s="58"/>
      <c r="H1492" s="58"/>
    </row>
    <row r="1495" spans="1:28" ht="16.5" x14ac:dyDescent="0.25">
      <c r="A1495" s="68" t="str">
        <f>CONCATENATE("Раздел: ",IF(Source!G489&lt;&gt;"Новый раздел", Source!G489, ""))</f>
        <v>Раздел: 3 Пусконаладочные работы</v>
      </c>
      <c r="B1495" s="68"/>
      <c r="C1495" s="68"/>
      <c r="D1495" s="68"/>
      <c r="E1495" s="68"/>
      <c r="F1495" s="68"/>
      <c r="G1495" s="68"/>
      <c r="H1495" s="68"/>
    </row>
    <row r="1496" spans="1:28" ht="114" x14ac:dyDescent="0.2">
      <c r="A1496" s="45">
        <v>229</v>
      </c>
      <c r="B1496" s="45" t="str">
        <f>Source!E493</f>
        <v>102</v>
      </c>
      <c r="C1496" s="45" t="str">
        <f>Source!G493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1496" s="45" t="str">
        <f>Source!F493</f>
        <v>п01-11-028-01</v>
      </c>
      <c r="E1496" s="30" t="str">
        <f>Source!H493</f>
        <v>ШТ</v>
      </c>
      <c r="F1496" s="12">
        <f>Source!I493</f>
        <v>38</v>
      </c>
      <c r="G1496" s="22">
        <f>Source!AB493</f>
        <v>3.28</v>
      </c>
      <c r="H1496" s="22">
        <f>Source!O493</f>
        <v>2360.6799999999998</v>
      </c>
      <c r="T1496">
        <f>Source!O493+Source!X493+Source!Y493</f>
        <v>4839.3899999999994</v>
      </c>
      <c r="U1496">
        <f>Source!P493</f>
        <v>0</v>
      </c>
      <c r="V1496">
        <f>Source!S493</f>
        <v>2360.6799999999998</v>
      </c>
      <c r="W1496">
        <f>Source!Q493</f>
        <v>0</v>
      </c>
      <c r="X1496">
        <f>Source!R493</f>
        <v>0</v>
      </c>
      <c r="Y1496">
        <f>Source!U493</f>
        <v>9.7279999999999998</v>
      </c>
      <c r="Z1496">
        <f>Source!V493</f>
        <v>0</v>
      </c>
      <c r="AA1496">
        <f>Source!X493</f>
        <v>1534.44</v>
      </c>
      <c r="AB1496">
        <f>Source!Y493</f>
        <v>944.27</v>
      </c>
    </row>
    <row r="1497" spans="1:28" ht="14.25" x14ac:dyDescent="0.2">
      <c r="C1497" s="23" t="s">
        <v>1978</v>
      </c>
      <c r="D1497" s="23">
        <f>Source!BA493</f>
        <v>18.940000000000001</v>
      </c>
      <c r="F1497" s="12"/>
      <c r="G1497" s="12"/>
      <c r="H1497" s="12"/>
    </row>
    <row r="1498" spans="1:28" x14ac:dyDescent="0.2">
      <c r="C1498" s="23" t="s">
        <v>1990</v>
      </c>
      <c r="D1498" s="82" t="s">
        <v>49</v>
      </c>
      <c r="E1498" s="82"/>
      <c r="F1498" s="82"/>
      <c r="G1498" s="82"/>
      <c r="H1498" s="82"/>
    </row>
    <row r="1499" spans="1:28" x14ac:dyDescent="0.2">
      <c r="C1499" s="23" t="s">
        <v>1991</v>
      </c>
      <c r="D1499" s="82" t="s">
        <v>49</v>
      </c>
      <c r="E1499" s="82"/>
      <c r="F1499" s="82"/>
      <c r="G1499" s="82"/>
      <c r="H1499" s="82"/>
    </row>
    <row r="1500" spans="1:28" x14ac:dyDescent="0.2">
      <c r="C1500" s="9" t="s">
        <v>1982</v>
      </c>
      <c r="D1500" s="33"/>
      <c r="E1500" s="33"/>
      <c r="F1500" s="33">
        <f>Source!BZ493</f>
        <v>65</v>
      </c>
      <c r="G1500" s="57">
        <f>(Source!AF493+Source!AE493)*Source!FX493/100</f>
        <v>2.1319999999999997</v>
      </c>
      <c r="H1500" s="57">
        <f>Source!X493</f>
        <v>1534.44</v>
      </c>
    </row>
    <row r="1501" spans="1:28" x14ac:dyDescent="0.2">
      <c r="C1501" s="9" t="s">
        <v>1984</v>
      </c>
      <c r="D1501" s="33"/>
      <c r="E1501" s="33"/>
      <c r="F1501" s="33">
        <f>Source!CA493</f>
        <v>40</v>
      </c>
      <c r="G1501" s="57">
        <f>(Source!AF493+Source!AE493)*Source!FY493/100</f>
        <v>1.3119999999999998</v>
      </c>
      <c r="H1501" s="57">
        <f>Source!Y493</f>
        <v>944.27</v>
      </c>
    </row>
    <row r="1502" spans="1:28" x14ac:dyDescent="0.2">
      <c r="C1502" s="9" t="s">
        <v>1986</v>
      </c>
      <c r="D1502" s="33"/>
      <c r="E1502" s="33"/>
      <c r="F1502" s="33"/>
      <c r="G1502" s="57">
        <f>((Source!AF493+Source!AE493)*Source!FX493/100)+((Source!AF493+Source!AE493)*Source!FY493/100)+Source!AB493</f>
        <v>6.7239999999999993</v>
      </c>
      <c r="H1502" s="57">
        <f>Source!O493+Source!X493+Source!Y493</f>
        <v>4839.3899999999994</v>
      </c>
    </row>
    <row r="1503" spans="1:28" ht="28.5" x14ac:dyDescent="0.2">
      <c r="A1503" s="45">
        <v>230</v>
      </c>
      <c r="B1503" s="45" t="str">
        <f>Source!E494</f>
        <v>103</v>
      </c>
      <c r="C1503" s="45" t="str">
        <f>Source!G494</f>
        <v>Замер полного сопротивления цепи "фаза-нуль"</v>
      </c>
      <c r="D1503" s="45" t="str">
        <f>Source!F494</f>
        <v>п01-11-013-01</v>
      </c>
      <c r="E1503" s="30" t="str">
        <f>Source!H494</f>
        <v>ШТ</v>
      </c>
      <c r="F1503" s="12">
        <f>Source!I494</f>
        <v>59</v>
      </c>
      <c r="G1503" s="22">
        <f>Source!AB494</f>
        <v>12.5</v>
      </c>
      <c r="H1503" s="22">
        <f>Source!O494</f>
        <v>13968.25</v>
      </c>
      <c r="T1503">
        <f>Source!O494+Source!X494+Source!Y494</f>
        <v>28634.91</v>
      </c>
      <c r="U1503">
        <f>Source!P494</f>
        <v>0</v>
      </c>
      <c r="V1503">
        <f>Source!S494</f>
        <v>13968.25</v>
      </c>
      <c r="W1503">
        <f>Source!Q494</f>
        <v>0</v>
      </c>
      <c r="X1503">
        <f>Source!R494</f>
        <v>0</v>
      </c>
      <c r="Y1503">
        <f>Source!U494</f>
        <v>57.583999999999996</v>
      </c>
      <c r="Z1503">
        <f>Source!V494</f>
        <v>0</v>
      </c>
      <c r="AA1503">
        <f>Source!X494</f>
        <v>9079.36</v>
      </c>
      <c r="AB1503">
        <f>Source!Y494</f>
        <v>5587.3</v>
      </c>
    </row>
    <row r="1504" spans="1:28" ht="14.25" x14ac:dyDescent="0.2">
      <c r="C1504" s="23" t="s">
        <v>1978</v>
      </c>
      <c r="D1504" s="23">
        <f>Source!BA494</f>
        <v>18.940000000000001</v>
      </c>
      <c r="F1504" s="12"/>
      <c r="G1504" s="12"/>
      <c r="H1504" s="12"/>
    </row>
    <row r="1505" spans="1:28" x14ac:dyDescent="0.2">
      <c r="C1505" s="23" t="s">
        <v>1990</v>
      </c>
      <c r="D1505" s="82" t="s">
        <v>49</v>
      </c>
      <c r="E1505" s="82"/>
      <c r="F1505" s="82"/>
      <c r="G1505" s="82"/>
      <c r="H1505" s="82"/>
    </row>
    <row r="1506" spans="1:28" x14ac:dyDescent="0.2">
      <c r="C1506" s="23" t="s">
        <v>1991</v>
      </c>
      <c r="D1506" s="82" t="s">
        <v>49</v>
      </c>
      <c r="E1506" s="82"/>
      <c r="F1506" s="82"/>
      <c r="G1506" s="82"/>
      <c r="H1506" s="82"/>
    </row>
    <row r="1507" spans="1:28" x14ac:dyDescent="0.2">
      <c r="C1507" s="9" t="s">
        <v>1982</v>
      </c>
      <c r="D1507" s="33"/>
      <c r="E1507" s="33"/>
      <c r="F1507" s="33">
        <f>Source!BZ494</f>
        <v>65</v>
      </c>
      <c r="G1507" s="57">
        <f>(Source!AF494+Source!AE494)*Source!FX494/100</f>
        <v>8.125</v>
      </c>
      <c r="H1507" s="57">
        <f>Source!X494</f>
        <v>9079.36</v>
      </c>
    </row>
    <row r="1508" spans="1:28" x14ac:dyDescent="0.2">
      <c r="C1508" s="9" t="s">
        <v>1984</v>
      </c>
      <c r="D1508" s="33"/>
      <c r="E1508" s="33"/>
      <c r="F1508" s="33">
        <f>Source!CA494</f>
        <v>40</v>
      </c>
      <c r="G1508" s="57">
        <f>(Source!AF494+Source!AE494)*Source!FY494/100</f>
        <v>5</v>
      </c>
      <c r="H1508" s="57">
        <f>Source!Y494</f>
        <v>5587.3</v>
      </c>
    </row>
    <row r="1509" spans="1:28" x14ac:dyDescent="0.2">
      <c r="C1509" s="9" t="s">
        <v>1986</v>
      </c>
      <c r="D1509" s="33"/>
      <c r="E1509" s="33"/>
      <c r="F1509" s="33"/>
      <c r="G1509" s="57">
        <f>((Source!AF494+Source!AE494)*Source!FX494/100)+((Source!AF494+Source!AE494)*Source!FY494/100)+Source!AB494</f>
        <v>25.625</v>
      </c>
      <c r="H1509" s="57">
        <f>Source!O494+Source!X494+Source!Y494</f>
        <v>28634.91</v>
      </c>
    </row>
    <row r="1510" spans="1:28" ht="42.75" x14ac:dyDescent="0.2">
      <c r="A1510" s="45">
        <v>231</v>
      </c>
      <c r="B1510" s="45" t="str">
        <f>Source!E495</f>
        <v>104</v>
      </c>
      <c r="C1510" s="45" t="str">
        <f>Source!G495</f>
        <v>Проверка наличия цепи между заземлителями и заземленными элементами</v>
      </c>
      <c r="D1510" s="45" t="str">
        <f>Source!F495</f>
        <v>п01-11-011-01</v>
      </c>
      <c r="E1510" s="30" t="str">
        <f>Source!H495</f>
        <v>100 измерений</v>
      </c>
      <c r="F1510" s="12">
        <f>Source!I495</f>
        <v>0.04</v>
      </c>
      <c r="G1510" s="22">
        <f>Source!AB495</f>
        <v>132.76</v>
      </c>
      <c r="H1510" s="22">
        <f>Source!O495</f>
        <v>100.58</v>
      </c>
      <c r="T1510">
        <f>Source!O495+Source!X495+Source!Y495</f>
        <v>206.18999999999997</v>
      </c>
      <c r="U1510">
        <f>Source!P495</f>
        <v>0</v>
      </c>
      <c r="V1510">
        <f>Source!S495</f>
        <v>100.58</v>
      </c>
      <c r="W1510">
        <f>Source!Q495</f>
        <v>0</v>
      </c>
      <c r="X1510">
        <f>Source!R495</f>
        <v>0</v>
      </c>
      <c r="Y1510">
        <f>Source!U495</f>
        <v>0.41472000000000009</v>
      </c>
      <c r="Z1510">
        <f>Source!V495</f>
        <v>0</v>
      </c>
      <c r="AA1510">
        <f>Source!X495</f>
        <v>65.38</v>
      </c>
      <c r="AB1510">
        <f>Source!Y495</f>
        <v>40.229999999999997</v>
      </c>
    </row>
    <row r="1511" spans="1:28" ht="14.25" x14ac:dyDescent="0.2">
      <c r="C1511" s="23" t="str">
        <f>"Объем: "&amp;Source!I495&amp;"=4/"&amp;"100"</f>
        <v>Объем: 0,04=4/100</v>
      </c>
      <c r="F1511" s="12"/>
      <c r="G1511" s="12"/>
      <c r="H1511" s="12"/>
    </row>
    <row r="1512" spans="1:28" x14ac:dyDescent="0.2">
      <c r="C1512" s="23" t="s">
        <v>1978</v>
      </c>
      <c r="D1512" s="23">
        <f>Source!BA495</f>
        <v>18.940000000000001</v>
      </c>
    </row>
    <row r="1513" spans="1:28" x14ac:dyDescent="0.2">
      <c r="C1513" s="23" t="s">
        <v>1990</v>
      </c>
      <c r="D1513" s="82" t="s">
        <v>49</v>
      </c>
      <c r="E1513" s="82"/>
      <c r="F1513" s="82"/>
      <c r="G1513" s="82"/>
      <c r="H1513" s="82"/>
    </row>
    <row r="1514" spans="1:28" x14ac:dyDescent="0.2">
      <c r="C1514" s="23" t="s">
        <v>1991</v>
      </c>
      <c r="D1514" s="82" t="s">
        <v>49</v>
      </c>
      <c r="E1514" s="82"/>
      <c r="F1514" s="82"/>
      <c r="G1514" s="82"/>
      <c r="H1514" s="82"/>
    </row>
    <row r="1515" spans="1:28" x14ac:dyDescent="0.2">
      <c r="C1515" s="9" t="s">
        <v>1982</v>
      </c>
      <c r="D1515" s="33"/>
      <c r="E1515" s="33"/>
      <c r="F1515" s="33">
        <f>Source!BZ495</f>
        <v>65</v>
      </c>
      <c r="G1515" s="57">
        <f>(Source!AF495+Source!AE495)*Source!FX495/100</f>
        <v>86.293999999999997</v>
      </c>
      <c r="H1515" s="57">
        <f>Source!X495</f>
        <v>65.38</v>
      </c>
    </row>
    <row r="1516" spans="1:28" x14ac:dyDescent="0.2">
      <c r="C1516" s="9" t="s">
        <v>1984</v>
      </c>
      <c r="D1516" s="33"/>
      <c r="E1516" s="33"/>
      <c r="F1516" s="33">
        <f>Source!CA495</f>
        <v>40</v>
      </c>
      <c r="G1516" s="57">
        <f>(Source!AF495+Source!AE495)*Source!FY495/100</f>
        <v>53.103999999999999</v>
      </c>
      <c r="H1516" s="57">
        <f>Source!Y495</f>
        <v>40.229999999999997</v>
      </c>
    </row>
    <row r="1517" spans="1:28" x14ac:dyDescent="0.2">
      <c r="C1517" s="9" t="s">
        <v>1986</v>
      </c>
      <c r="D1517" s="33"/>
      <c r="E1517" s="33"/>
      <c r="F1517" s="33"/>
      <c r="G1517" s="57">
        <f>((Source!AF495+Source!AE495)*Source!FX495/100)+((Source!AF495+Source!AE495)*Source!FY495/100)+Source!AB495</f>
        <v>272.15800000000002</v>
      </c>
      <c r="H1517" s="57">
        <f>Source!O495+Source!X495+Source!Y495</f>
        <v>206.18999999999997</v>
      </c>
    </row>
    <row r="1518" spans="1:28" ht="42.75" x14ac:dyDescent="0.2">
      <c r="A1518" s="45">
        <v>232</v>
      </c>
      <c r="B1518" s="45" t="str">
        <f>Source!E496</f>
        <v>105</v>
      </c>
      <c r="C1518" s="45" t="str">
        <f>Source!G496</f>
        <v>Испытание аппарата коммутационного напряжением до 1 кВ (силовых цепей) (автоматы)</v>
      </c>
      <c r="D1518" s="45" t="str">
        <f>Source!F496</f>
        <v>п01-12-021-01</v>
      </c>
      <c r="E1518" s="30" t="str">
        <f>Source!H496</f>
        <v>испытание</v>
      </c>
      <c r="F1518" s="12">
        <f>Source!I496</f>
        <v>36</v>
      </c>
      <c r="G1518" s="22">
        <f>Source!AB496</f>
        <v>15.7</v>
      </c>
      <c r="H1518" s="22">
        <f>Source!O496</f>
        <v>10704.89</v>
      </c>
      <c r="T1518">
        <f>Source!O496+Source!X496+Source!Y496</f>
        <v>21945.03</v>
      </c>
      <c r="U1518">
        <f>Source!P496</f>
        <v>0</v>
      </c>
      <c r="V1518">
        <f>Source!S496</f>
        <v>10704.89</v>
      </c>
      <c r="W1518">
        <f>Source!Q496</f>
        <v>0</v>
      </c>
      <c r="X1518">
        <f>Source!R496</f>
        <v>0</v>
      </c>
      <c r="Y1518">
        <f>Source!U496</f>
        <v>46.656000000000006</v>
      </c>
      <c r="Z1518">
        <f>Source!V496</f>
        <v>0</v>
      </c>
      <c r="AA1518">
        <f>Source!X496</f>
        <v>6958.18</v>
      </c>
      <c r="AB1518">
        <f>Source!Y496</f>
        <v>4281.96</v>
      </c>
    </row>
    <row r="1519" spans="1:28" ht="14.25" x14ac:dyDescent="0.2">
      <c r="C1519" s="23" t="s">
        <v>1978</v>
      </c>
      <c r="D1519" s="23">
        <f>Source!BA496</f>
        <v>18.940000000000001</v>
      </c>
      <c r="F1519" s="12"/>
      <c r="G1519" s="12"/>
      <c r="H1519" s="12"/>
    </row>
    <row r="1520" spans="1:28" x14ac:dyDescent="0.2">
      <c r="C1520" s="23" t="s">
        <v>1990</v>
      </c>
      <c r="D1520" s="82" t="s">
        <v>49</v>
      </c>
      <c r="E1520" s="82"/>
      <c r="F1520" s="82"/>
      <c r="G1520" s="82"/>
      <c r="H1520" s="82"/>
    </row>
    <row r="1521" spans="1:28" x14ac:dyDescent="0.2">
      <c r="C1521" s="23" t="s">
        <v>1991</v>
      </c>
      <c r="D1521" s="82" t="s">
        <v>49</v>
      </c>
      <c r="E1521" s="82"/>
      <c r="F1521" s="82"/>
      <c r="G1521" s="82"/>
      <c r="H1521" s="82"/>
    </row>
    <row r="1522" spans="1:28" x14ac:dyDescent="0.2">
      <c r="C1522" s="9" t="s">
        <v>1982</v>
      </c>
      <c r="D1522" s="33"/>
      <c r="E1522" s="33"/>
      <c r="F1522" s="33">
        <f>Source!BZ496</f>
        <v>65</v>
      </c>
      <c r="G1522" s="57">
        <f>(Source!AF496+Source!AE496)*Source!FX496/100</f>
        <v>10.205</v>
      </c>
      <c r="H1522" s="57">
        <f>Source!X496</f>
        <v>6958.18</v>
      </c>
    </row>
    <row r="1523" spans="1:28" x14ac:dyDescent="0.2">
      <c r="C1523" s="9" t="s">
        <v>1984</v>
      </c>
      <c r="D1523" s="33"/>
      <c r="E1523" s="33"/>
      <c r="F1523" s="33">
        <f>Source!CA496</f>
        <v>40</v>
      </c>
      <c r="G1523" s="57">
        <f>(Source!AF496+Source!AE496)*Source!FY496/100</f>
        <v>6.28</v>
      </c>
      <c r="H1523" s="57">
        <f>Source!Y496</f>
        <v>4281.96</v>
      </c>
    </row>
    <row r="1524" spans="1:28" x14ac:dyDescent="0.2">
      <c r="C1524" s="9" t="s">
        <v>1986</v>
      </c>
      <c r="D1524" s="33"/>
      <c r="E1524" s="33"/>
      <c r="F1524" s="33"/>
      <c r="G1524" s="57">
        <f>((Source!AF496+Source!AE496)*Source!FX496/100)+((Source!AF496+Source!AE496)*Source!FY496/100)+Source!AB496</f>
        <v>32.185000000000002</v>
      </c>
      <c r="H1524" s="57">
        <f>Source!O496+Source!X496+Source!Y496</f>
        <v>21945.03</v>
      </c>
    </row>
    <row r="1526" spans="1:28" ht="15" x14ac:dyDescent="0.25">
      <c r="A1526" s="58"/>
      <c r="B1526" s="58"/>
      <c r="C1526" s="66" t="str">
        <f>CONCATENATE("Итого по разделу: ",IF(Source!G498&lt;&gt;"Новый раздел", Source!G498, ""))</f>
        <v>Итого по разделу: 3 Пусконаладочные работы</v>
      </c>
      <c r="D1526" s="66"/>
      <c r="E1526" s="66"/>
      <c r="F1526" s="66"/>
      <c r="G1526" s="58"/>
      <c r="H1526" s="59">
        <f>IF(SUM(T1495:T1525)=0, "-", SUM(T1495:T1525))</f>
        <v>55625.520000000004</v>
      </c>
    </row>
    <row r="1527" spans="1:28" ht="15" x14ac:dyDescent="0.25">
      <c r="A1527" s="58"/>
      <c r="B1527" s="58"/>
      <c r="C1527" s="58"/>
      <c r="D1527" s="58"/>
      <c r="E1527" s="58"/>
      <c r="F1527" s="58"/>
      <c r="G1527" s="58"/>
      <c r="H1527" s="58"/>
    </row>
    <row r="1530" spans="1:28" ht="16.5" x14ac:dyDescent="0.25">
      <c r="A1530" s="68" t="str">
        <f>CONCATENATE("Раздел: ",IF(Source!G527&lt;&gt;"Новый раздел", Source!G527, ""))</f>
        <v>Раздел: 4 Пожарная сигнализация</v>
      </c>
      <c r="B1530" s="68"/>
      <c r="C1530" s="68"/>
      <c r="D1530" s="68"/>
      <c r="E1530" s="68"/>
      <c r="F1530" s="68"/>
      <c r="G1530" s="68"/>
      <c r="H1530" s="68"/>
    </row>
    <row r="1531" spans="1:28" ht="57" x14ac:dyDescent="0.2">
      <c r="A1531" s="45">
        <v>233</v>
      </c>
      <c r="B1531" s="45" t="str">
        <f>Source!E531</f>
        <v>106</v>
      </c>
      <c r="C1531" s="45" t="str">
        <f>Source!G531</f>
        <v>Извещатель ПС автоматический дымовой, фотоэлектрический, радиоизотопный, световой в нормальном исполнении</v>
      </c>
      <c r="D1531" s="45" t="str">
        <f>Source!F531</f>
        <v>м10-08-002-02</v>
      </c>
      <c r="E1531" s="30" t="str">
        <f>Source!H531</f>
        <v>ШТ</v>
      </c>
      <c r="F1531" s="12">
        <f>Source!I531</f>
        <v>10</v>
      </c>
      <c r="G1531" s="22">
        <f>Source!AB531</f>
        <v>18.91</v>
      </c>
      <c r="H1531" s="22">
        <f>Source!O531</f>
        <v>1240.5</v>
      </c>
      <c r="T1531">
        <f>Source!O531+Source!X531+Source!Y531</f>
        <v>2724.64</v>
      </c>
      <c r="U1531">
        <f>Source!P531</f>
        <v>180.4</v>
      </c>
      <c r="V1531">
        <f>Source!S531</f>
        <v>1060.0999999999999</v>
      </c>
      <c r="W1531">
        <f>Source!Q531</f>
        <v>0</v>
      </c>
      <c r="X1531">
        <f>Source!R531</f>
        <v>0</v>
      </c>
      <c r="Y1531">
        <f>Source!U531</f>
        <v>16.8</v>
      </c>
      <c r="Z1531">
        <f>Source!V531</f>
        <v>0</v>
      </c>
      <c r="AA1531">
        <f>Source!X531</f>
        <v>848.08</v>
      </c>
      <c r="AB1531">
        <f>Source!Y531</f>
        <v>636.05999999999995</v>
      </c>
    </row>
    <row r="1532" spans="1:28" ht="14.25" x14ac:dyDescent="0.2">
      <c r="C1532" s="23" t="s">
        <v>1978</v>
      </c>
      <c r="D1532" s="23">
        <f>Source!BA531</f>
        <v>6.56</v>
      </c>
      <c r="F1532" s="12"/>
      <c r="G1532" s="12"/>
      <c r="H1532" s="12"/>
    </row>
    <row r="1533" spans="1:28" x14ac:dyDescent="0.2">
      <c r="C1533" s="23" t="s">
        <v>1979</v>
      </c>
      <c r="D1533" s="23">
        <f>Source!BB531</f>
        <v>6.56</v>
      </c>
    </row>
    <row r="1534" spans="1:28" x14ac:dyDescent="0.2">
      <c r="C1534" s="23" t="s">
        <v>1980</v>
      </c>
      <c r="D1534" s="23">
        <f>Source!BC531</f>
        <v>6.56</v>
      </c>
    </row>
    <row r="1535" spans="1:28" x14ac:dyDescent="0.2">
      <c r="C1535" s="23" t="s">
        <v>1981</v>
      </c>
      <c r="D1535" s="23">
        <f>Source!BS531</f>
        <v>6.56</v>
      </c>
    </row>
    <row r="1536" spans="1:28" x14ac:dyDescent="0.2">
      <c r="C1536" s="9" t="s">
        <v>1982</v>
      </c>
      <c r="D1536" s="33"/>
      <c r="E1536" s="33"/>
      <c r="F1536" s="33">
        <f>Source!BZ531</f>
        <v>80</v>
      </c>
      <c r="G1536" s="57">
        <f>(Source!AF531+Source!AE531)*Source!FX531/100</f>
        <v>12.927999999999999</v>
      </c>
      <c r="H1536" s="57">
        <f>Source!X531</f>
        <v>848.08</v>
      </c>
    </row>
    <row r="1537" spans="1:28" x14ac:dyDescent="0.2">
      <c r="C1537" s="9" t="s">
        <v>1984</v>
      </c>
      <c r="D1537" s="33"/>
      <c r="E1537" s="33"/>
      <c r="F1537" s="33">
        <f>Source!CA531</f>
        <v>60</v>
      </c>
      <c r="G1537" s="57">
        <f>(Source!AF531+Source!AE531)*Source!FY531/100</f>
        <v>9.6959999999999997</v>
      </c>
      <c r="H1537" s="57">
        <f>Source!Y531</f>
        <v>636.05999999999995</v>
      </c>
    </row>
    <row r="1538" spans="1:28" x14ac:dyDescent="0.2">
      <c r="C1538" s="9" t="s">
        <v>1986</v>
      </c>
      <c r="D1538" s="33"/>
      <c r="E1538" s="33"/>
      <c r="F1538" s="33"/>
      <c r="G1538" s="57">
        <f>((Source!AF531+Source!AE531)*Source!FX531/100)+((Source!AF531+Source!AE531)*Source!FY531/100)+Source!AB531</f>
        <v>41.533999999999999</v>
      </c>
      <c r="H1538" s="57">
        <f>Source!O531+Source!X531+Source!Y531</f>
        <v>2724.64</v>
      </c>
    </row>
    <row r="1539" spans="1:28" ht="28.5" x14ac:dyDescent="0.2">
      <c r="A1539" s="45">
        <v>234</v>
      </c>
      <c r="B1539" s="45" t="str">
        <f>Source!E532</f>
        <v>106,1</v>
      </c>
      <c r="C1539" s="45" t="str">
        <f>Source!G532</f>
        <v>Извещатель пожарный дымовой ДИП-34А</v>
      </c>
      <c r="D1539" s="45" t="str">
        <f>Source!F532</f>
        <v>61.2.02.01-0019</v>
      </c>
      <c r="E1539" s="30" t="str">
        <f>Source!H532</f>
        <v>10 шт.</v>
      </c>
      <c r="F1539" s="12">
        <f>Source!I532</f>
        <v>1</v>
      </c>
      <c r="G1539" s="22">
        <f>Source!AB532</f>
        <v>1165.22</v>
      </c>
      <c r="H1539" s="22">
        <f>Source!O532</f>
        <v>7643.84</v>
      </c>
      <c r="T1539">
        <f>Source!O532+Source!X532+Source!Y532</f>
        <v>7643.84</v>
      </c>
      <c r="U1539">
        <f>Source!P532</f>
        <v>7643.84</v>
      </c>
      <c r="V1539">
        <f>Source!S532</f>
        <v>0</v>
      </c>
      <c r="W1539">
        <f>Source!Q532</f>
        <v>0</v>
      </c>
      <c r="X1539">
        <f>Source!R532</f>
        <v>0</v>
      </c>
      <c r="Y1539">
        <f>Source!U532</f>
        <v>0</v>
      </c>
      <c r="Z1539">
        <f>Source!V532</f>
        <v>0</v>
      </c>
      <c r="AA1539">
        <f>Source!X532</f>
        <v>0</v>
      </c>
      <c r="AB1539">
        <f>Source!Y532</f>
        <v>0</v>
      </c>
    </row>
    <row r="1540" spans="1:28" ht="14.25" x14ac:dyDescent="0.2">
      <c r="C1540" s="23" t="s">
        <v>1980</v>
      </c>
      <c r="D1540" s="23">
        <f>Source!BC532</f>
        <v>6.56</v>
      </c>
      <c r="F1540" s="12"/>
      <c r="G1540" s="12"/>
      <c r="H1540" s="12"/>
    </row>
    <row r="1541" spans="1:28" ht="28.5" x14ac:dyDescent="0.2">
      <c r="A1541" s="45">
        <v>235</v>
      </c>
      <c r="B1541" s="45" t="str">
        <f>Source!E533</f>
        <v>107</v>
      </c>
      <c r="C1541" s="45" t="str">
        <f>Source!G533</f>
        <v>Прокладка труб гофрированных ПВХ для защиты проводов и кабелей</v>
      </c>
      <c r="D1541" s="45" t="str">
        <f>Source!F533</f>
        <v>м08-10-010-01</v>
      </c>
      <c r="E1541" s="30" t="str">
        <f>Source!H533</f>
        <v>100 м</v>
      </c>
      <c r="F1541" s="12">
        <f>Source!I533</f>
        <v>0.34</v>
      </c>
      <c r="G1541" s="22">
        <f>Source!AB533</f>
        <v>156.33000000000001</v>
      </c>
      <c r="H1541" s="22">
        <f>Source!O533</f>
        <v>348.68</v>
      </c>
      <c r="T1541">
        <f>Source!O533+Source!X533+Source!Y533</f>
        <v>846.65000000000009</v>
      </c>
      <c r="U1541">
        <f>Source!P533</f>
        <v>37.450000000000003</v>
      </c>
      <c r="V1541">
        <f>Source!S533</f>
        <v>311.23</v>
      </c>
      <c r="W1541">
        <f>Source!Q533</f>
        <v>0</v>
      </c>
      <c r="X1541">
        <f>Source!R533</f>
        <v>0</v>
      </c>
      <c r="Y1541">
        <f>Source!U533</f>
        <v>5.1680000000000001</v>
      </c>
      <c r="Z1541">
        <f>Source!V533</f>
        <v>0</v>
      </c>
      <c r="AA1541">
        <f>Source!X533</f>
        <v>295.67</v>
      </c>
      <c r="AB1541">
        <f>Source!Y533</f>
        <v>202.3</v>
      </c>
    </row>
    <row r="1542" spans="1:28" ht="14.25" x14ac:dyDescent="0.2">
      <c r="C1542" s="23" t="str">
        <f>"Объем: "&amp;Source!I533&amp;"=34/"&amp;"100"</f>
        <v>Объем: 0,34=34/100</v>
      </c>
      <c r="F1542" s="12"/>
      <c r="G1542" s="12"/>
      <c r="H1542" s="12"/>
    </row>
    <row r="1543" spans="1:28" x14ac:dyDescent="0.2">
      <c r="C1543" s="23" t="s">
        <v>1978</v>
      </c>
      <c r="D1543" s="23">
        <f>Source!BA533</f>
        <v>6.56</v>
      </c>
    </row>
    <row r="1544" spans="1:28" x14ac:dyDescent="0.2">
      <c r="C1544" s="23" t="s">
        <v>1979</v>
      </c>
      <c r="D1544" s="23">
        <f>Source!BB533</f>
        <v>6.56</v>
      </c>
    </row>
    <row r="1545" spans="1:28" x14ac:dyDescent="0.2">
      <c r="C1545" s="23" t="s">
        <v>1980</v>
      </c>
      <c r="D1545" s="23">
        <f>Source!BC533</f>
        <v>6.56</v>
      </c>
    </row>
    <row r="1546" spans="1:28" x14ac:dyDescent="0.2">
      <c r="C1546" s="23" t="s">
        <v>1981</v>
      </c>
      <c r="D1546" s="23">
        <f>Source!BS533</f>
        <v>6.56</v>
      </c>
    </row>
    <row r="1547" spans="1:28" x14ac:dyDescent="0.2">
      <c r="C1547" s="9" t="s">
        <v>1982</v>
      </c>
      <c r="D1547" s="33"/>
      <c r="E1547" s="33"/>
      <c r="F1547" s="33">
        <f>Source!BZ533</f>
        <v>95</v>
      </c>
      <c r="G1547" s="57">
        <f>(Source!AF533+Source!AE533)*Source!FX533/100</f>
        <v>132.56299999999999</v>
      </c>
      <c r="H1547" s="57">
        <f>Source!X533</f>
        <v>295.67</v>
      </c>
    </row>
    <row r="1548" spans="1:28" x14ac:dyDescent="0.2">
      <c r="C1548" s="9" t="s">
        <v>1984</v>
      </c>
      <c r="D1548" s="33"/>
      <c r="E1548" s="33"/>
      <c r="F1548" s="33">
        <f>Source!CA533</f>
        <v>65</v>
      </c>
      <c r="G1548" s="57">
        <f>(Source!AF533+Source!AE533)*Source!FY533/100</f>
        <v>90.701000000000008</v>
      </c>
      <c r="H1548" s="57">
        <f>Source!Y533</f>
        <v>202.3</v>
      </c>
    </row>
    <row r="1549" spans="1:28" x14ac:dyDescent="0.2">
      <c r="C1549" s="9" t="s">
        <v>1986</v>
      </c>
      <c r="D1549" s="33"/>
      <c r="E1549" s="33"/>
      <c r="F1549" s="33"/>
      <c r="G1549" s="57">
        <f>((Source!AF533+Source!AE533)*Source!FX533/100)+((Source!AF533+Source!AE533)*Source!FY533/100)+Source!AB533</f>
        <v>379.59400000000005</v>
      </c>
      <c r="H1549" s="57">
        <f>Source!O533+Source!X533+Source!Y533</f>
        <v>846.65000000000009</v>
      </c>
    </row>
    <row r="1550" spans="1:28" ht="42.75" x14ac:dyDescent="0.2">
      <c r="A1550" s="45">
        <v>236</v>
      </c>
      <c r="B1550" s="45" t="str">
        <f>Source!E534</f>
        <v>107,1</v>
      </c>
      <c r="C1550" s="45" t="str">
        <f>Source!G534</f>
        <v>Трубы гибкие гофрированные легкие из самозатухающего ПВХ (IP55) серии FL, с зондом, диаметром 16 мм</v>
      </c>
      <c r="D1550" s="45" t="str">
        <f>Source!F534</f>
        <v>24.3.01.02-0021</v>
      </c>
      <c r="E1550" s="30" t="str">
        <f>Source!H534</f>
        <v>10 м</v>
      </c>
      <c r="F1550" s="12">
        <f>Source!I534</f>
        <v>3.3999999999999995</v>
      </c>
      <c r="G1550" s="22">
        <f>Source!AB534</f>
        <v>16.11</v>
      </c>
      <c r="H1550" s="22">
        <f>Source!O534</f>
        <v>359.32</v>
      </c>
      <c r="T1550">
        <f>Source!O534+Source!X534+Source!Y534</f>
        <v>359.32</v>
      </c>
      <c r="U1550">
        <f>Source!P534</f>
        <v>359.32</v>
      </c>
      <c r="V1550">
        <f>Source!S534</f>
        <v>0</v>
      </c>
      <c r="W1550">
        <f>Source!Q534</f>
        <v>0</v>
      </c>
      <c r="X1550">
        <f>Source!R534</f>
        <v>0</v>
      </c>
      <c r="Y1550">
        <f>Source!U534</f>
        <v>0</v>
      </c>
      <c r="Z1550">
        <f>Source!V534</f>
        <v>0</v>
      </c>
      <c r="AA1550">
        <f>Source!X534</f>
        <v>0</v>
      </c>
      <c r="AB1550">
        <f>Source!Y534</f>
        <v>0</v>
      </c>
    </row>
    <row r="1551" spans="1:28" ht="14.25" x14ac:dyDescent="0.2">
      <c r="C1551" s="23" t="s">
        <v>1980</v>
      </c>
      <c r="D1551" s="23">
        <f>Source!BC534</f>
        <v>6.56</v>
      </c>
      <c r="F1551" s="12"/>
      <c r="G1551" s="12"/>
      <c r="H1551" s="12"/>
    </row>
    <row r="1552" spans="1:28" ht="71.25" x14ac:dyDescent="0.2">
      <c r="A1552" s="45">
        <v>237</v>
      </c>
      <c r="B1552" s="45" t="str">
        <f>Source!E535</f>
        <v>108</v>
      </c>
      <c r="C1552" s="45" t="str">
        <f>Source!G535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1552" s="45" t="str">
        <f>Source!F535</f>
        <v>м08-02-412-02</v>
      </c>
      <c r="E1552" s="30" t="str">
        <f>Source!H535</f>
        <v>100 м</v>
      </c>
      <c r="F1552" s="12">
        <f>Source!I535</f>
        <v>0.48</v>
      </c>
      <c r="G1552" s="22">
        <f>Source!AB535</f>
        <v>68.7</v>
      </c>
      <c r="H1552" s="22">
        <f>Source!O535</f>
        <v>216.32</v>
      </c>
      <c r="T1552">
        <f>Source!O535+Source!X535+Source!Y535</f>
        <v>474.11</v>
      </c>
      <c r="U1552">
        <f>Source!P535</f>
        <v>45.59</v>
      </c>
      <c r="V1552">
        <f>Source!S535</f>
        <v>159.55000000000001</v>
      </c>
      <c r="W1552">
        <f>Source!Q535</f>
        <v>11.18</v>
      </c>
      <c r="X1552">
        <f>Source!R535</f>
        <v>1.57</v>
      </c>
      <c r="Y1552">
        <f>Source!U535</f>
        <v>2.5871999999999997</v>
      </c>
      <c r="Z1552">
        <f>Source!V535</f>
        <v>1.9199999999999998E-2</v>
      </c>
      <c r="AA1552">
        <f>Source!X535</f>
        <v>153.06</v>
      </c>
      <c r="AB1552">
        <f>Source!Y535</f>
        <v>104.73</v>
      </c>
    </row>
    <row r="1553" spans="1:28" ht="14.25" x14ac:dyDescent="0.2">
      <c r="C1553" s="23" t="str">
        <f>"Объем: "&amp;Source!I535&amp;"=48/"&amp;"100"</f>
        <v>Объем: 0,48=48/100</v>
      </c>
      <c r="F1553" s="12"/>
      <c r="G1553" s="12"/>
      <c r="H1553" s="12"/>
    </row>
    <row r="1554" spans="1:28" x14ac:dyDescent="0.2">
      <c r="C1554" s="23" t="s">
        <v>1978</v>
      </c>
      <c r="D1554" s="23">
        <f>Source!BA535</f>
        <v>6.56</v>
      </c>
    </row>
    <row r="1555" spans="1:28" x14ac:dyDescent="0.2">
      <c r="C1555" s="23" t="s">
        <v>1979</v>
      </c>
      <c r="D1555" s="23">
        <f>Source!BB535</f>
        <v>6.56</v>
      </c>
    </row>
    <row r="1556" spans="1:28" x14ac:dyDescent="0.2">
      <c r="C1556" s="23" t="s">
        <v>1980</v>
      </c>
      <c r="D1556" s="23">
        <f>Source!BC535</f>
        <v>6.56</v>
      </c>
    </row>
    <row r="1557" spans="1:28" x14ac:dyDescent="0.2">
      <c r="C1557" s="23" t="s">
        <v>1981</v>
      </c>
      <c r="D1557" s="23">
        <f>Source!BS535</f>
        <v>6.56</v>
      </c>
    </row>
    <row r="1558" spans="1:28" x14ac:dyDescent="0.2">
      <c r="C1558" s="9" t="s">
        <v>1982</v>
      </c>
      <c r="D1558" s="33"/>
      <c r="E1558" s="33"/>
      <c r="F1558" s="33">
        <f>Source!BZ535</f>
        <v>95</v>
      </c>
      <c r="G1558" s="57">
        <f>(Source!AF535+Source!AE535)*Source!FX535/100</f>
        <v>48.611500000000007</v>
      </c>
      <c r="H1558" s="57">
        <f>Source!X535</f>
        <v>153.06</v>
      </c>
    </row>
    <row r="1559" spans="1:28" x14ac:dyDescent="0.2">
      <c r="C1559" s="9" t="s">
        <v>1984</v>
      </c>
      <c r="D1559" s="33"/>
      <c r="E1559" s="33"/>
      <c r="F1559" s="33">
        <f>Source!CA535</f>
        <v>65</v>
      </c>
      <c r="G1559" s="57">
        <f>(Source!AF535+Source!AE535)*Source!FY535/100</f>
        <v>33.2605</v>
      </c>
      <c r="H1559" s="57">
        <f>Source!Y535</f>
        <v>104.73</v>
      </c>
    </row>
    <row r="1560" spans="1:28" x14ac:dyDescent="0.2">
      <c r="C1560" s="9" t="s">
        <v>1986</v>
      </c>
      <c r="D1560" s="33"/>
      <c r="E1560" s="33"/>
      <c r="F1560" s="33"/>
      <c r="G1560" s="57">
        <f>((Source!AF535+Source!AE535)*Source!FX535/100)+((Source!AF535+Source!AE535)*Source!FY535/100)+Source!AB535</f>
        <v>150.572</v>
      </c>
      <c r="H1560" s="57">
        <f>Source!O535+Source!X535+Source!Y535</f>
        <v>474.11</v>
      </c>
    </row>
    <row r="1561" spans="1:28" ht="128.25" x14ac:dyDescent="0.2">
      <c r="A1561" s="45">
        <v>238</v>
      </c>
      <c r="B1561" s="45" t="str">
        <f>Source!E536</f>
        <v>108,1</v>
      </c>
      <c r="C1561" s="45" t="str">
        <f>Source!G536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1561" s="45" t="str">
        <f>Source!F536</f>
        <v>21.1.08.01-0131</v>
      </c>
      <c r="E1561" s="30" t="str">
        <f>Source!H536</f>
        <v>1000 м</v>
      </c>
      <c r="F1561" s="12">
        <f>Source!I536</f>
        <v>4.8000000000000001E-2</v>
      </c>
      <c r="G1561" s="22">
        <f>Source!AB536</f>
        <v>7307.7</v>
      </c>
      <c r="H1561" s="22">
        <f>Source!O536</f>
        <v>2301.0500000000002</v>
      </c>
      <c r="T1561">
        <f>Source!O536+Source!X536+Source!Y536</f>
        <v>2301.0500000000002</v>
      </c>
      <c r="U1561">
        <f>Source!P536</f>
        <v>2301.0500000000002</v>
      </c>
      <c r="V1561">
        <f>Source!S536</f>
        <v>0</v>
      </c>
      <c r="W1561">
        <f>Source!Q536</f>
        <v>0</v>
      </c>
      <c r="X1561">
        <f>Source!R536</f>
        <v>0</v>
      </c>
      <c r="Y1561">
        <f>Source!U536</f>
        <v>0</v>
      </c>
      <c r="Z1561">
        <f>Source!V536</f>
        <v>0</v>
      </c>
      <c r="AA1561">
        <f>Source!X536</f>
        <v>0</v>
      </c>
      <c r="AB1561">
        <f>Source!Y536</f>
        <v>0</v>
      </c>
    </row>
    <row r="1562" spans="1:28" ht="14.25" x14ac:dyDescent="0.2">
      <c r="C1562" s="23" t="s">
        <v>1980</v>
      </c>
      <c r="D1562" s="23">
        <f>Source!BC536</f>
        <v>6.56</v>
      </c>
      <c r="F1562" s="12"/>
      <c r="G1562" s="12"/>
      <c r="H1562" s="12"/>
    </row>
    <row r="1563" spans="1:28" ht="42.75" x14ac:dyDescent="0.2">
      <c r="A1563" s="45">
        <v>239</v>
      </c>
      <c r="B1563" s="45" t="str">
        <f>Source!E537</f>
        <v>109</v>
      </c>
      <c r="C1563" s="45" t="str">
        <f>Source!G537</f>
        <v>Электрическая проверка и настройка устройства центрального управляющего</v>
      </c>
      <c r="D1563" s="45" t="str">
        <f>Source!F537</f>
        <v>м10-02-041-01</v>
      </c>
      <c r="E1563" s="30" t="str">
        <f>Source!H537</f>
        <v>КОМПЛ</v>
      </c>
      <c r="F1563" s="12">
        <f>Source!I537</f>
        <v>1</v>
      </c>
      <c r="G1563" s="22">
        <f>Source!AB537</f>
        <v>3202.35</v>
      </c>
      <c r="H1563" s="22">
        <f>Source!O537</f>
        <v>21007.41</v>
      </c>
      <c r="T1563">
        <f>Source!O537+Source!X537+Source!Y537</f>
        <v>49841.13</v>
      </c>
      <c r="U1563">
        <f>Source!P537</f>
        <v>411.9</v>
      </c>
      <c r="V1563">
        <f>Source!S537</f>
        <v>20595.509999999998</v>
      </c>
      <c r="W1563">
        <f>Source!Q537</f>
        <v>0</v>
      </c>
      <c r="X1563">
        <f>Source!R537</f>
        <v>0</v>
      </c>
      <c r="Y1563">
        <f>Source!U537</f>
        <v>243</v>
      </c>
      <c r="Z1563">
        <f>Source!V537</f>
        <v>0</v>
      </c>
      <c r="AA1563">
        <f>Source!X537</f>
        <v>16476.41</v>
      </c>
      <c r="AB1563">
        <f>Source!Y537</f>
        <v>12357.31</v>
      </c>
    </row>
    <row r="1564" spans="1:28" ht="14.25" x14ac:dyDescent="0.2">
      <c r="C1564" s="23" t="s">
        <v>1978</v>
      </c>
      <c r="D1564" s="23">
        <f>Source!BA537</f>
        <v>6.56</v>
      </c>
      <c r="F1564" s="12"/>
      <c r="G1564" s="12"/>
      <c r="H1564" s="12"/>
    </row>
    <row r="1565" spans="1:28" x14ac:dyDescent="0.2">
      <c r="C1565" s="23" t="s">
        <v>1979</v>
      </c>
      <c r="D1565" s="23">
        <f>Source!BB537</f>
        <v>6.56</v>
      </c>
    </row>
    <row r="1566" spans="1:28" x14ac:dyDescent="0.2">
      <c r="C1566" s="23" t="s">
        <v>1980</v>
      </c>
      <c r="D1566" s="23">
        <f>Source!BC537</f>
        <v>6.56</v>
      </c>
    </row>
    <row r="1567" spans="1:28" x14ac:dyDescent="0.2">
      <c r="C1567" s="23" t="s">
        <v>1981</v>
      </c>
      <c r="D1567" s="23">
        <f>Source!BS537</f>
        <v>6.56</v>
      </c>
    </row>
    <row r="1568" spans="1:28" x14ac:dyDescent="0.2">
      <c r="C1568" s="9" t="s">
        <v>1982</v>
      </c>
      <c r="D1568" s="33"/>
      <c r="E1568" s="33"/>
      <c r="F1568" s="33">
        <f>Source!BZ537</f>
        <v>80</v>
      </c>
      <c r="G1568" s="57">
        <f>(Source!AF537+Source!AE537)*Source!FX537/100</f>
        <v>2511.6479999999997</v>
      </c>
      <c r="H1568" s="57">
        <f>Source!X537</f>
        <v>16476.41</v>
      </c>
    </row>
    <row r="1569" spans="1:28" x14ac:dyDescent="0.2">
      <c r="C1569" s="9" t="s">
        <v>1984</v>
      </c>
      <c r="D1569" s="33"/>
      <c r="E1569" s="33"/>
      <c r="F1569" s="33">
        <f>Source!CA537</f>
        <v>60</v>
      </c>
      <c r="G1569" s="57">
        <f>(Source!AF537+Source!AE537)*Source!FY537/100</f>
        <v>1883.7360000000001</v>
      </c>
      <c r="H1569" s="57">
        <f>Source!Y537</f>
        <v>12357.31</v>
      </c>
    </row>
    <row r="1570" spans="1:28" x14ac:dyDescent="0.2">
      <c r="C1570" s="9" t="s">
        <v>1986</v>
      </c>
      <c r="D1570" s="33"/>
      <c r="E1570" s="33"/>
      <c r="F1570" s="33"/>
      <c r="G1570" s="57">
        <f>((Source!AF537+Source!AE537)*Source!FX537/100)+((Source!AF537+Source!AE537)*Source!FY537/100)+Source!AB537</f>
        <v>7597.7340000000004</v>
      </c>
      <c r="H1570" s="57">
        <f>Source!O537+Source!X537+Source!Y537</f>
        <v>49841.13</v>
      </c>
    </row>
    <row r="1572" spans="1:28" ht="15" x14ac:dyDescent="0.25">
      <c r="A1572" s="58"/>
      <c r="B1572" s="58"/>
      <c r="C1572" s="66" t="str">
        <f>CONCATENATE("Итого по разделу: ",IF(Source!G539&lt;&gt;"Новый раздел", Source!G539, ""))</f>
        <v>Итого по разделу: 4 Пожарная сигнализация</v>
      </c>
      <c r="D1572" s="66"/>
      <c r="E1572" s="66"/>
      <c r="F1572" s="66"/>
      <c r="G1572" s="58"/>
      <c r="H1572" s="59">
        <f>IF(SUM(T1530:T1571)=0, "-", SUM(T1530:T1571))</f>
        <v>64190.74</v>
      </c>
    </row>
    <row r="1573" spans="1:28" ht="15" x14ac:dyDescent="0.25">
      <c r="A1573" s="58"/>
      <c r="B1573" s="58"/>
      <c r="C1573" s="58"/>
      <c r="D1573" s="58"/>
      <c r="E1573" s="58"/>
      <c r="F1573" s="58"/>
      <c r="G1573" s="58"/>
      <c r="H1573" s="58"/>
    </row>
    <row r="1576" spans="1:28" ht="16.5" x14ac:dyDescent="0.25">
      <c r="A1576" s="68" t="str">
        <f>CONCATENATE("Раздел: ",IF(Source!G568&lt;&gt;"Новый раздел", Source!G568, ""))</f>
        <v>Раздел: 5 Сети СКС</v>
      </c>
      <c r="B1576" s="68"/>
      <c r="C1576" s="68"/>
      <c r="D1576" s="68"/>
      <c r="E1576" s="68"/>
      <c r="F1576" s="68"/>
      <c r="G1576" s="68"/>
      <c r="H1576" s="68"/>
    </row>
    <row r="1577" spans="1:28" ht="28.5" x14ac:dyDescent="0.2">
      <c r="A1577" s="45">
        <v>240</v>
      </c>
      <c r="B1577" s="45" t="str">
        <f>Source!E572</f>
        <v>110</v>
      </c>
      <c r="C1577" s="45" t="str">
        <f>Source!G572</f>
        <v>Розетка штепсельная неутопленного типа при открытой проводке</v>
      </c>
      <c r="D1577" s="45" t="str">
        <f>Source!F572</f>
        <v>м08-03-591-08</v>
      </c>
      <c r="E1577" s="30" t="str">
        <f>Source!H572</f>
        <v>100 ШТ</v>
      </c>
      <c r="F1577" s="12">
        <f>Source!I572</f>
        <v>0.18</v>
      </c>
      <c r="G1577" s="22">
        <f>Source!AB572</f>
        <v>453.93</v>
      </c>
      <c r="H1577" s="22">
        <f>Source!O572</f>
        <v>536</v>
      </c>
      <c r="T1577">
        <f>Source!O572+Source!X572+Source!Y572</f>
        <v>1184.94</v>
      </c>
      <c r="U1577">
        <f>Source!P572</f>
        <v>125.66</v>
      </c>
      <c r="V1577">
        <f>Source!S572</f>
        <v>404.83</v>
      </c>
      <c r="W1577">
        <f>Source!Q572</f>
        <v>5.51</v>
      </c>
      <c r="X1577">
        <f>Source!R572</f>
        <v>0.76</v>
      </c>
      <c r="Y1577">
        <f>Source!U572</f>
        <v>6.2208000000000006</v>
      </c>
      <c r="Z1577">
        <f>Source!V572</f>
        <v>8.9999999999999993E-3</v>
      </c>
      <c r="AA1577">
        <f>Source!X572</f>
        <v>385.31</v>
      </c>
      <c r="AB1577">
        <f>Source!Y572</f>
        <v>263.63</v>
      </c>
    </row>
    <row r="1578" spans="1:28" ht="14.25" x14ac:dyDescent="0.2">
      <c r="C1578" s="23" t="str">
        <f>"Объем: "&amp;Source!I572&amp;"=18/"&amp;"100"</f>
        <v>Объем: 0,18=18/100</v>
      </c>
      <c r="F1578" s="12"/>
      <c r="G1578" s="12"/>
      <c r="H1578" s="12"/>
    </row>
    <row r="1579" spans="1:28" x14ac:dyDescent="0.2">
      <c r="C1579" s="23" t="s">
        <v>1978</v>
      </c>
      <c r="D1579" s="23">
        <f>Source!BA572</f>
        <v>6.56</v>
      </c>
    </row>
    <row r="1580" spans="1:28" x14ac:dyDescent="0.2">
      <c r="C1580" s="23" t="s">
        <v>1979</v>
      </c>
      <c r="D1580" s="23">
        <f>Source!BB572</f>
        <v>6.56</v>
      </c>
    </row>
    <row r="1581" spans="1:28" x14ac:dyDescent="0.2">
      <c r="C1581" s="23" t="s">
        <v>1980</v>
      </c>
      <c r="D1581" s="23">
        <f>Source!BC572</f>
        <v>6.56</v>
      </c>
    </row>
    <row r="1582" spans="1:28" x14ac:dyDescent="0.2">
      <c r="C1582" s="23" t="s">
        <v>1981</v>
      </c>
      <c r="D1582" s="23">
        <f>Source!BS572</f>
        <v>6.56</v>
      </c>
    </row>
    <row r="1583" spans="1:28" x14ac:dyDescent="0.2">
      <c r="C1583" s="9" t="s">
        <v>1982</v>
      </c>
      <c r="D1583" s="33"/>
      <c r="E1583" s="33"/>
      <c r="F1583" s="33">
        <f>Source!BZ572</f>
        <v>95</v>
      </c>
      <c r="G1583" s="57">
        <f>(Source!AF572+Source!AE572)*Source!FX572/100</f>
        <v>326.30599999999993</v>
      </c>
      <c r="H1583" s="57">
        <f>Source!X572</f>
        <v>385.31</v>
      </c>
    </row>
    <row r="1584" spans="1:28" x14ac:dyDescent="0.2">
      <c r="C1584" s="9" t="s">
        <v>1984</v>
      </c>
      <c r="D1584" s="33"/>
      <c r="E1584" s="33"/>
      <c r="F1584" s="33">
        <f>Source!CA572</f>
        <v>65</v>
      </c>
      <c r="G1584" s="57">
        <f>(Source!AF572+Source!AE572)*Source!FY572/100</f>
        <v>223.26199999999997</v>
      </c>
      <c r="H1584" s="57">
        <f>Source!Y572</f>
        <v>263.63</v>
      </c>
    </row>
    <row r="1585" spans="1:28" x14ac:dyDescent="0.2">
      <c r="C1585" s="9" t="s">
        <v>1986</v>
      </c>
      <c r="D1585" s="33"/>
      <c r="E1585" s="33"/>
      <c r="F1585" s="33"/>
      <c r="G1585" s="57">
        <f>((Source!AF572+Source!AE572)*Source!FX572/100)+((Source!AF572+Source!AE572)*Source!FY572/100)+Source!AB572</f>
        <v>1003.4979999999998</v>
      </c>
      <c r="H1585" s="57">
        <f>Source!O572+Source!X572+Source!Y572</f>
        <v>1184.94</v>
      </c>
    </row>
    <row r="1586" spans="1:28" ht="28.5" x14ac:dyDescent="0.2">
      <c r="A1586" s="45">
        <v>241</v>
      </c>
      <c r="B1586" s="45" t="str">
        <f>Source!E573</f>
        <v>110,1</v>
      </c>
      <c r="C1586" s="45" t="str">
        <f>Source!G573</f>
        <v>Розетка открытой проводки RJ-45(45х45мм)</v>
      </c>
      <c r="D1586" s="45" t="str">
        <f>Source!F573</f>
        <v>20.4.03.05-0001</v>
      </c>
      <c r="E1586" s="30" t="str">
        <f>Source!H573</f>
        <v>100 шт.</v>
      </c>
      <c r="F1586" s="12">
        <f>Source!I573</f>
        <v>0.18</v>
      </c>
      <c r="G1586" s="22">
        <f>Source!AB573</f>
        <v>577</v>
      </c>
      <c r="H1586" s="22">
        <f>Source!O573</f>
        <v>681.32</v>
      </c>
      <c r="T1586">
        <f>Source!O573+Source!X573+Source!Y573</f>
        <v>681.32</v>
      </c>
      <c r="U1586">
        <f>Source!P573</f>
        <v>681.32</v>
      </c>
      <c r="V1586">
        <f>Source!S573</f>
        <v>0</v>
      </c>
      <c r="W1586">
        <f>Source!Q573</f>
        <v>0</v>
      </c>
      <c r="X1586">
        <f>Source!R573</f>
        <v>0</v>
      </c>
      <c r="Y1586">
        <f>Source!U573</f>
        <v>0</v>
      </c>
      <c r="Z1586">
        <f>Source!V573</f>
        <v>0</v>
      </c>
      <c r="AA1586">
        <f>Source!X573</f>
        <v>0</v>
      </c>
      <c r="AB1586">
        <f>Source!Y573</f>
        <v>0</v>
      </c>
    </row>
    <row r="1587" spans="1:28" ht="14.25" x14ac:dyDescent="0.2">
      <c r="C1587" s="23" t="s">
        <v>1980</v>
      </c>
      <c r="D1587" s="23">
        <f>Source!BC573</f>
        <v>6.56</v>
      </c>
      <c r="F1587" s="12"/>
      <c r="G1587" s="12"/>
      <c r="H1587" s="12"/>
    </row>
    <row r="1588" spans="1:28" ht="42.75" x14ac:dyDescent="0.2">
      <c r="A1588" s="45">
        <v>242</v>
      </c>
      <c r="B1588" s="45" t="str">
        <f>Source!E574</f>
        <v>111</v>
      </c>
      <c r="C1588" s="45" t="str">
        <f>Source!G574</f>
        <v>Прокладка кабеля или провода питания на провододержателях сечением 6 мм2</v>
      </c>
      <c r="D1588" s="45" t="str">
        <f>Source!F574</f>
        <v>м10-01-053-01</v>
      </c>
      <c r="E1588" s="30" t="str">
        <f>Source!H574</f>
        <v>100 м</v>
      </c>
      <c r="F1588" s="12">
        <f>Source!I574</f>
        <v>6.92</v>
      </c>
      <c r="G1588" s="22">
        <f>Source!AB574</f>
        <v>165.97</v>
      </c>
      <c r="H1588" s="22">
        <f>Source!O574</f>
        <v>7534.24</v>
      </c>
      <c r="T1588">
        <f>Source!O574+Source!X574+Source!Y574</f>
        <v>15367.82</v>
      </c>
      <c r="U1588">
        <f>Source!P574</f>
        <v>160.69999999999999</v>
      </c>
      <c r="V1588">
        <f>Source!S574</f>
        <v>5371.61</v>
      </c>
      <c r="W1588">
        <f>Source!Q574</f>
        <v>2001.93</v>
      </c>
      <c r="X1588">
        <f>Source!R574</f>
        <v>223.8</v>
      </c>
      <c r="Y1588">
        <f>Source!U574</f>
        <v>85.116</v>
      </c>
      <c r="Z1588">
        <f>Source!V574</f>
        <v>3.3908</v>
      </c>
      <c r="AA1588">
        <f>Source!X574</f>
        <v>4476.33</v>
      </c>
      <c r="AB1588">
        <f>Source!Y574</f>
        <v>3357.25</v>
      </c>
    </row>
    <row r="1589" spans="1:28" ht="14.25" x14ac:dyDescent="0.2">
      <c r="C1589" s="23" t="str">
        <f>"Объем: "&amp;Source!I574&amp;"=692/"&amp;"100"</f>
        <v>Объем: 6,92=692/100</v>
      </c>
      <c r="F1589" s="12"/>
      <c r="G1589" s="12"/>
      <c r="H1589" s="12"/>
    </row>
    <row r="1590" spans="1:28" x14ac:dyDescent="0.2">
      <c r="C1590" s="23" t="s">
        <v>1978</v>
      </c>
      <c r="D1590" s="23">
        <f>Source!BA574</f>
        <v>6.56</v>
      </c>
    </row>
    <row r="1591" spans="1:28" x14ac:dyDescent="0.2">
      <c r="C1591" s="23" t="s">
        <v>1979</v>
      </c>
      <c r="D1591" s="23">
        <f>Source!BB574</f>
        <v>6.56</v>
      </c>
    </row>
    <row r="1592" spans="1:28" x14ac:dyDescent="0.2">
      <c r="C1592" s="23" t="s">
        <v>1980</v>
      </c>
      <c r="D1592" s="23">
        <f>Source!BC574</f>
        <v>6.56</v>
      </c>
    </row>
    <row r="1593" spans="1:28" x14ac:dyDescent="0.2">
      <c r="C1593" s="23" t="s">
        <v>1981</v>
      </c>
      <c r="D1593" s="23">
        <f>Source!BS574</f>
        <v>6.56</v>
      </c>
    </row>
    <row r="1594" spans="1:28" x14ac:dyDescent="0.2">
      <c r="C1594" s="9" t="s">
        <v>1982</v>
      </c>
      <c r="D1594" s="33"/>
      <c r="E1594" s="33"/>
      <c r="F1594" s="33">
        <f>Source!BZ574</f>
        <v>80</v>
      </c>
      <c r="G1594" s="57">
        <f>(Source!AF574+Source!AE574)*Source!FX574/100</f>
        <v>98.60799999999999</v>
      </c>
      <c r="H1594" s="57">
        <f>Source!X574</f>
        <v>4476.33</v>
      </c>
    </row>
    <row r="1595" spans="1:28" x14ac:dyDescent="0.2">
      <c r="C1595" s="9" t="s">
        <v>1984</v>
      </c>
      <c r="D1595" s="33"/>
      <c r="E1595" s="33"/>
      <c r="F1595" s="33">
        <f>Source!CA574</f>
        <v>60</v>
      </c>
      <c r="G1595" s="57">
        <f>(Source!AF574+Source!AE574)*Source!FY574/100</f>
        <v>73.955999999999989</v>
      </c>
      <c r="H1595" s="57">
        <f>Source!Y574</f>
        <v>3357.25</v>
      </c>
    </row>
    <row r="1596" spans="1:28" x14ac:dyDescent="0.2">
      <c r="C1596" s="9" t="s">
        <v>1986</v>
      </c>
      <c r="D1596" s="33"/>
      <c r="E1596" s="33"/>
      <c r="F1596" s="33"/>
      <c r="G1596" s="57">
        <f>((Source!AF574+Source!AE574)*Source!FX574/100)+((Source!AF574+Source!AE574)*Source!FY574/100)+Source!AB574</f>
        <v>338.53399999999999</v>
      </c>
      <c r="H1596" s="57">
        <f>Source!O574+Source!X574+Source!Y574</f>
        <v>15367.82</v>
      </c>
    </row>
    <row r="1597" spans="1:28" ht="28.5" x14ac:dyDescent="0.2">
      <c r="A1597" s="45">
        <v>243</v>
      </c>
      <c r="B1597" s="45" t="str">
        <f>Source!E575</f>
        <v>111,1</v>
      </c>
      <c r="C1597" s="45" t="str">
        <f>Source!G575</f>
        <v>Кабель (витая пара) UTP 4x2x0,52 категория 5е</v>
      </c>
      <c r="D1597" s="45" t="str">
        <f>Source!F575</f>
        <v>21.1.04.01-0004</v>
      </c>
      <c r="E1597" s="30" t="str">
        <f>Source!H575</f>
        <v>1000 м</v>
      </c>
      <c r="F1597" s="12">
        <f>Source!I575</f>
        <v>0.69199999999999995</v>
      </c>
      <c r="G1597" s="22">
        <f>Source!AB575</f>
        <v>1150.19</v>
      </c>
      <c r="H1597" s="22">
        <f>Source!O575</f>
        <v>5221.3100000000004</v>
      </c>
      <c r="T1597">
        <f>Source!O575+Source!X575+Source!Y575</f>
        <v>5221.3100000000004</v>
      </c>
      <c r="U1597">
        <f>Source!P575</f>
        <v>5221.3100000000004</v>
      </c>
      <c r="V1597">
        <f>Source!S575</f>
        <v>0</v>
      </c>
      <c r="W1597">
        <f>Source!Q575</f>
        <v>0</v>
      </c>
      <c r="X1597">
        <f>Source!R575</f>
        <v>0</v>
      </c>
      <c r="Y1597">
        <f>Source!U575</f>
        <v>0</v>
      </c>
      <c r="Z1597">
        <f>Source!V575</f>
        <v>0</v>
      </c>
      <c r="AA1597">
        <f>Source!X575</f>
        <v>0</v>
      </c>
      <c r="AB1597">
        <f>Source!Y575</f>
        <v>0</v>
      </c>
    </row>
    <row r="1598" spans="1:28" ht="14.25" x14ac:dyDescent="0.2">
      <c r="C1598" s="23" t="s">
        <v>1980</v>
      </c>
      <c r="D1598" s="23">
        <f>Source!BC575</f>
        <v>6.56</v>
      </c>
      <c r="F1598" s="12"/>
      <c r="G1598" s="12"/>
      <c r="H1598" s="12"/>
    </row>
    <row r="1599" spans="1:28" ht="57" x14ac:dyDescent="0.2">
      <c r="A1599" s="45">
        <v>244</v>
      </c>
      <c r="B1599" s="45" t="str">
        <f>Source!E576</f>
        <v>112</v>
      </c>
      <c r="C1599" s="45" t="str">
        <f>Source!G576</f>
        <v>Сверление отверстий в кирпичных стенах электроперфоратором диаметром до 20 мм, толщина стен 0,5 кирпича</v>
      </c>
      <c r="D1599" s="45" t="str">
        <f>Source!F576</f>
        <v>69-2-1 прим.</v>
      </c>
      <c r="E1599" s="30" t="str">
        <f>Source!H576</f>
        <v>100 ШТ</v>
      </c>
      <c r="F1599" s="12">
        <f>Source!I576</f>
        <v>0.15</v>
      </c>
      <c r="G1599" s="22">
        <f>Source!AB576</f>
        <v>46.83</v>
      </c>
      <c r="H1599" s="22">
        <f>Source!O576</f>
        <v>46.08</v>
      </c>
      <c r="T1599">
        <f>Source!O576+Source!X576+Source!Y576</f>
        <v>105.06</v>
      </c>
      <c r="U1599">
        <f>Source!P576</f>
        <v>0</v>
      </c>
      <c r="V1599">
        <f>Source!S576</f>
        <v>46.08</v>
      </c>
      <c r="W1599">
        <f>Source!Q576</f>
        <v>0</v>
      </c>
      <c r="X1599">
        <f>Source!R576</f>
        <v>0</v>
      </c>
      <c r="Y1599">
        <f>Source!U576</f>
        <v>0.82350000000000001</v>
      </c>
      <c r="Z1599">
        <f>Source!V576</f>
        <v>0</v>
      </c>
      <c r="AA1599">
        <f>Source!X576</f>
        <v>35.94</v>
      </c>
      <c r="AB1599">
        <f>Source!Y576</f>
        <v>23.04</v>
      </c>
    </row>
    <row r="1600" spans="1:28" ht="14.25" x14ac:dyDescent="0.2">
      <c r="C1600" s="23" t="str">
        <f>"Объем: "&amp;Source!I576&amp;"=15/"&amp;"100"</f>
        <v>Объем: 0,15=15/100</v>
      </c>
      <c r="F1600" s="12"/>
      <c r="G1600" s="12"/>
      <c r="H1600" s="12"/>
    </row>
    <row r="1601" spans="1:28" x14ac:dyDescent="0.2">
      <c r="C1601" s="23" t="s">
        <v>1978</v>
      </c>
      <c r="D1601" s="23">
        <f>Source!BA576</f>
        <v>6.56</v>
      </c>
    </row>
    <row r="1602" spans="1:28" x14ac:dyDescent="0.2">
      <c r="C1602" s="23" t="s">
        <v>1979</v>
      </c>
      <c r="D1602" s="23">
        <f>Source!BB576</f>
        <v>6.56</v>
      </c>
    </row>
    <row r="1603" spans="1:28" x14ac:dyDescent="0.2">
      <c r="C1603" s="23" t="s">
        <v>1980</v>
      </c>
      <c r="D1603" s="23">
        <f>Source!BC576</f>
        <v>6.56</v>
      </c>
    </row>
    <row r="1604" spans="1:28" x14ac:dyDescent="0.2">
      <c r="C1604" s="23" t="s">
        <v>1981</v>
      </c>
      <c r="D1604" s="23">
        <f>Source!BS576</f>
        <v>6.56</v>
      </c>
    </row>
    <row r="1605" spans="1:28" x14ac:dyDescent="0.2">
      <c r="C1605" s="9" t="s">
        <v>1982</v>
      </c>
      <c r="D1605" s="33"/>
      <c r="E1605" s="33"/>
      <c r="F1605" s="33">
        <f>Source!BZ576</f>
        <v>78</v>
      </c>
      <c r="G1605" s="57">
        <f>(Source!AF576+Source!AE576)*Source!FX576/100</f>
        <v>36.5274</v>
      </c>
      <c r="H1605" s="57">
        <f>Source!X576</f>
        <v>35.94</v>
      </c>
    </row>
    <row r="1606" spans="1:28" x14ac:dyDescent="0.2">
      <c r="C1606" s="9" t="s">
        <v>1984</v>
      </c>
      <c r="D1606" s="33"/>
      <c r="E1606" s="33"/>
      <c r="F1606" s="33">
        <f>Source!CA576</f>
        <v>50</v>
      </c>
      <c r="G1606" s="57">
        <f>(Source!AF576+Source!AE576)*Source!FY576/100</f>
        <v>23.414999999999999</v>
      </c>
      <c r="H1606" s="57">
        <f>Source!Y576</f>
        <v>23.04</v>
      </c>
    </row>
    <row r="1607" spans="1:28" x14ac:dyDescent="0.2">
      <c r="C1607" s="9" t="s">
        <v>1986</v>
      </c>
      <c r="D1607" s="33"/>
      <c r="E1607" s="33"/>
      <c r="F1607" s="33"/>
      <c r="G1607" s="57">
        <f>((Source!AF576+Source!AE576)*Source!FX576/100)+((Source!AF576+Source!AE576)*Source!FY576/100)+Source!AB576</f>
        <v>106.7724</v>
      </c>
      <c r="H1607" s="57">
        <f>Source!O576+Source!X576+Source!Y576</f>
        <v>105.06</v>
      </c>
    </row>
    <row r="1608" spans="1:28" ht="28.5" x14ac:dyDescent="0.2">
      <c r="A1608" s="45">
        <v>245</v>
      </c>
      <c r="B1608" s="45" t="str">
        <f>Source!E577</f>
        <v>113</v>
      </c>
      <c r="C1608" s="45" t="str">
        <f>Source!G577</f>
        <v>Труба полиэтиленовая по основанию пола, диаметр до 50 мм (гильзы) прим.</v>
      </c>
      <c r="D1608" s="45" t="str">
        <f>Source!F577</f>
        <v>м08-02-410-02</v>
      </c>
      <c r="E1608" s="30" t="str">
        <f>Source!H577</f>
        <v>100 м</v>
      </c>
      <c r="F1608" s="12">
        <f>Source!I577</f>
        <v>4.4999999999999998E-2</v>
      </c>
      <c r="G1608" s="22">
        <f>Source!AB577</f>
        <v>250.92</v>
      </c>
      <c r="H1608" s="22">
        <f>Source!O577</f>
        <v>74.069999999999993</v>
      </c>
      <c r="T1608">
        <f>Source!O577+Source!X577+Source!Y577</f>
        <v>143.22</v>
      </c>
      <c r="U1608">
        <f>Source!P577</f>
        <v>25.9</v>
      </c>
      <c r="V1608">
        <f>Source!S577</f>
        <v>42.4</v>
      </c>
      <c r="W1608">
        <f>Source!Q577</f>
        <v>5.77</v>
      </c>
      <c r="X1608">
        <f>Source!R577</f>
        <v>0.82</v>
      </c>
      <c r="Y1608">
        <f>Source!U577</f>
        <v>0.68759999999999999</v>
      </c>
      <c r="Z1608">
        <f>Source!V577</f>
        <v>9.8999999999999991E-3</v>
      </c>
      <c r="AA1608">
        <f>Source!X577</f>
        <v>41.06</v>
      </c>
      <c r="AB1608">
        <f>Source!Y577</f>
        <v>28.09</v>
      </c>
    </row>
    <row r="1609" spans="1:28" ht="14.25" x14ac:dyDescent="0.2">
      <c r="C1609" s="23" t="str">
        <f>"Объем: "&amp;Source!I577&amp;"=4,5/"&amp;"100"</f>
        <v>Объем: 0,045=4,5/100</v>
      </c>
      <c r="F1609" s="12"/>
      <c r="G1609" s="12"/>
      <c r="H1609" s="12"/>
    </row>
    <row r="1610" spans="1:28" x14ac:dyDescent="0.2">
      <c r="C1610" s="23" t="s">
        <v>1978</v>
      </c>
      <c r="D1610" s="23">
        <f>Source!BA577</f>
        <v>6.56</v>
      </c>
    </row>
    <row r="1611" spans="1:28" x14ac:dyDescent="0.2">
      <c r="C1611" s="23" t="s">
        <v>1979</v>
      </c>
      <c r="D1611" s="23">
        <f>Source!BB577</f>
        <v>6.56</v>
      </c>
    </row>
    <row r="1612" spans="1:28" x14ac:dyDescent="0.2">
      <c r="C1612" s="23" t="s">
        <v>1980</v>
      </c>
      <c r="D1612" s="23">
        <f>Source!BC577</f>
        <v>6.56</v>
      </c>
    </row>
    <row r="1613" spans="1:28" x14ac:dyDescent="0.2">
      <c r="C1613" s="23" t="s">
        <v>1981</v>
      </c>
      <c r="D1613" s="23">
        <f>Source!BS577</f>
        <v>6.56</v>
      </c>
    </row>
    <row r="1614" spans="1:28" x14ac:dyDescent="0.2">
      <c r="C1614" s="9" t="s">
        <v>1982</v>
      </c>
      <c r="D1614" s="33"/>
      <c r="E1614" s="33"/>
      <c r="F1614" s="33">
        <f>Source!BZ577</f>
        <v>95</v>
      </c>
      <c r="G1614" s="57">
        <f>(Source!AF577+Source!AE577)*Source!FX577/100</f>
        <v>139.08000000000001</v>
      </c>
      <c r="H1614" s="57">
        <f>Source!X577</f>
        <v>41.06</v>
      </c>
    </row>
    <row r="1615" spans="1:28" x14ac:dyDescent="0.2">
      <c r="C1615" s="9" t="s">
        <v>1984</v>
      </c>
      <c r="D1615" s="33"/>
      <c r="E1615" s="33"/>
      <c r="F1615" s="33">
        <f>Source!CA577</f>
        <v>65</v>
      </c>
      <c r="G1615" s="57">
        <f>(Source!AF577+Source!AE577)*Source!FY577/100</f>
        <v>95.16</v>
      </c>
      <c r="H1615" s="57">
        <f>Source!Y577</f>
        <v>28.09</v>
      </c>
    </row>
    <row r="1616" spans="1:28" x14ac:dyDescent="0.2">
      <c r="C1616" s="9" t="s">
        <v>1986</v>
      </c>
      <c r="D1616" s="33"/>
      <c r="E1616" s="33"/>
      <c r="F1616" s="33"/>
      <c r="G1616" s="57">
        <f>((Source!AF577+Source!AE577)*Source!FX577/100)+((Source!AF577+Source!AE577)*Source!FY577/100)+Source!AB577</f>
        <v>485.15999999999997</v>
      </c>
      <c r="H1616" s="57">
        <f>Source!O577+Source!X577+Source!Y577</f>
        <v>143.22</v>
      </c>
    </row>
    <row r="1617" spans="1:28" ht="42.75" x14ac:dyDescent="0.2">
      <c r="A1617" s="45">
        <v>246</v>
      </c>
      <c r="B1617" s="45" t="str">
        <f>Source!E578</f>
        <v>113,1</v>
      </c>
      <c r="C1617" s="45" t="str">
        <f>Source!G578</f>
        <v>Трубы жесткие гладкие легкие из самозатухающего ПВХ (IP55) серии RIG, диаметром 32 мм</v>
      </c>
      <c r="D1617" s="45" t="str">
        <f>Source!F578</f>
        <v>24.3.01.03-0014</v>
      </c>
      <c r="E1617" s="30" t="str">
        <f>Source!H578</f>
        <v>10 м</v>
      </c>
      <c r="F1617" s="12">
        <f>Source!I578</f>
        <v>0.44999999999999996</v>
      </c>
      <c r="G1617" s="22">
        <f>Source!AB578</f>
        <v>79.47</v>
      </c>
      <c r="H1617" s="22">
        <f>Source!O578</f>
        <v>234.6</v>
      </c>
      <c r="T1617">
        <f>Source!O578+Source!X578+Source!Y578</f>
        <v>234.6</v>
      </c>
      <c r="U1617">
        <f>Source!P578</f>
        <v>234.6</v>
      </c>
      <c r="V1617">
        <f>Source!S578</f>
        <v>0</v>
      </c>
      <c r="W1617">
        <f>Source!Q578</f>
        <v>0</v>
      </c>
      <c r="X1617">
        <f>Source!R578</f>
        <v>0</v>
      </c>
      <c r="Y1617">
        <f>Source!U578</f>
        <v>0</v>
      </c>
      <c r="Z1617">
        <f>Source!V578</f>
        <v>0</v>
      </c>
      <c r="AA1617">
        <f>Source!X578</f>
        <v>0</v>
      </c>
      <c r="AB1617">
        <f>Source!Y578</f>
        <v>0</v>
      </c>
    </row>
    <row r="1618" spans="1:28" ht="14.25" x14ac:dyDescent="0.2">
      <c r="C1618" s="23" t="s">
        <v>1980</v>
      </c>
      <c r="D1618" s="23">
        <f>Source!BC578</f>
        <v>6.56</v>
      </c>
      <c r="F1618" s="12"/>
      <c r="G1618" s="12"/>
      <c r="H1618" s="12"/>
    </row>
    <row r="1619" spans="1:28" ht="42.75" x14ac:dyDescent="0.2">
      <c r="A1619" s="45">
        <v>247</v>
      </c>
      <c r="B1619" s="45" t="str">
        <f>Source!E579</f>
        <v>114</v>
      </c>
      <c r="C1619" s="45" t="str">
        <f>Source!G579</f>
        <v>Профиль перфорированный монтажный длиной 2 м (Лоток оцинкованный перфорированый)</v>
      </c>
      <c r="D1619" s="45" t="str">
        <f>Source!F579</f>
        <v>м08-02-397-01 прим.</v>
      </c>
      <c r="E1619" s="30" t="str">
        <f>Source!H579</f>
        <v>100 м</v>
      </c>
      <c r="F1619" s="12">
        <f>Source!I579</f>
        <v>0.57999999999999996</v>
      </c>
      <c r="G1619" s="22">
        <f>Source!AB579</f>
        <v>582.66</v>
      </c>
      <c r="H1619" s="22">
        <f>Source!O579</f>
        <v>2216.9</v>
      </c>
      <c r="T1619">
        <f>Source!O579+Source!X579+Source!Y579</f>
        <v>2848.75</v>
      </c>
      <c r="U1619">
        <f>Source!P579</f>
        <v>1550.57</v>
      </c>
      <c r="V1619">
        <f>Source!S579</f>
        <v>306.13</v>
      </c>
      <c r="W1619">
        <f>Source!Q579</f>
        <v>360.2</v>
      </c>
      <c r="X1619">
        <f>Source!R579</f>
        <v>88.77</v>
      </c>
      <c r="Y1619">
        <f>Source!U579</f>
        <v>4.9648000000000003</v>
      </c>
      <c r="Z1619">
        <f>Source!V579</f>
        <v>1.3166</v>
      </c>
      <c r="AA1619">
        <f>Source!X579</f>
        <v>375.16</v>
      </c>
      <c r="AB1619">
        <f>Source!Y579</f>
        <v>256.69</v>
      </c>
    </row>
    <row r="1620" spans="1:28" ht="14.25" x14ac:dyDescent="0.2">
      <c r="C1620" s="23" t="str">
        <f>"Объем: "&amp;Source!I579&amp;"=58/"&amp;"100"</f>
        <v>Объем: 0,58=58/100</v>
      </c>
      <c r="F1620" s="12"/>
      <c r="G1620" s="12"/>
      <c r="H1620" s="12"/>
    </row>
    <row r="1621" spans="1:28" x14ac:dyDescent="0.2">
      <c r="C1621" s="23" t="s">
        <v>1978</v>
      </c>
      <c r="D1621" s="23">
        <f>Source!BA579</f>
        <v>6.56</v>
      </c>
    </row>
    <row r="1622" spans="1:28" x14ac:dyDescent="0.2">
      <c r="C1622" s="23" t="s">
        <v>1979</v>
      </c>
      <c r="D1622" s="23">
        <f>Source!BB579</f>
        <v>6.56</v>
      </c>
    </row>
    <row r="1623" spans="1:28" x14ac:dyDescent="0.2">
      <c r="C1623" s="23" t="s">
        <v>1980</v>
      </c>
      <c r="D1623" s="23">
        <f>Source!BC579</f>
        <v>6.56</v>
      </c>
    </row>
    <row r="1624" spans="1:28" x14ac:dyDescent="0.2">
      <c r="C1624" s="23" t="s">
        <v>1981</v>
      </c>
      <c r="D1624" s="23">
        <f>Source!BS579</f>
        <v>6.56</v>
      </c>
    </row>
    <row r="1625" spans="1:28" x14ac:dyDescent="0.2">
      <c r="C1625" s="9" t="s">
        <v>1982</v>
      </c>
      <c r="D1625" s="33"/>
      <c r="E1625" s="33"/>
      <c r="F1625" s="33">
        <f>Source!BZ579</f>
        <v>95</v>
      </c>
      <c r="G1625" s="57">
        <f>(Source!AF579+Source!AE579)*Source!FX579/100</f>
        <v>98.600499999999997</v>
      </c>
      <c r="H1625" s="57">
        <f>Source!X579</f>
        <v>375.16</v>
      </c>
    </row>
    <row r="1626" spans="1:28" x14ac:dyDescent="0.2">
      <c r="C1626" s="9" t="s">
        <v>1984</v>
      </c>
      <c r="D1626" s="33"/>
      <c r="E1626" s="33"/>
      <c r="F1626" s="33">
        <f>Source!CA579</f>
        <v>65</v>
      </c>
      <c r="G1626" s="57">
        <f>(Source!AF579+Source!AE579)*Source!FY579/100</f>
        <v>67.463499999999996</v>
      </c>
      <c r="H1626" s="57">
        <f>Source!Y579</f>
        <v>256.69</v>
      </c>
    </row>
    <row r="1627" spans="1:28" x14ac:dyDescent="0.2">
      <c r="C1627" s="9" t="s">
        <v>1986</v>
      </c>
      <c r="D1627" s="33"/>
      <c r="E1627" s="33"/>
      <c r="F1627" s="33"/>
      <c r="G1627" s="57">
        <f>((Source!AF579+Source!AE579)*Source!FX579/100)+((Source!AF579+Source!AE579)*Source!FY579/100)+Source!AB579</f>
        <v>748.72399999999993</v>
      </c>
      <c r="H1627" s="57">
        <f>Source!O579+Source!X579+Source!Y579</f>
        <v>2848.75</v>
      </c>
    </row>
    <row r="1628" spans="1:28" ht="42.75" x14ac:dyDescent="0.2">
      <c r="A1628" s="45">
        <v>248</v>
      </c>
      <c r="B1628" s="45" t="str">
        <f>Source!E580</f>
        <v>114,1</v>
      </c>
      <c r="C1628" s="45" t="str">
        <f>Source!G580</f>
        <v>Лоток кабельный проволочный оцинкованный размером 60х30 х3000мм прим.</v>
      </c>
      <c r="D1628" s="45" t="str">
        <f>Source!F580</f>
        <v>20.2.07.06-0001</v>
      </c>
      <c r="E1628" s="30" t="str">
        <f>Source!H580</f>
        <v>м</v>
      </c>
      <c r="F1628" s="12">
        <f>Source!I580</f>
        <v>57.999999999999993</v>
      </c>
      <c r="G1628" s="22">
        <f>Source!AB580</f>
        <v>22.51</v>
      </c>
      <c r="H1628" s="22">
        <f>Source!O580</f>
        <v>8564.6</v>
      </c>
      <c r="T1628">
        <f>Source!O580+Source!X580+Source!Y580</f>
        <v>8564.6</v>
      </c>
      <c r="U1628">
        <f>Source!P580</f>
        <v>8564.6</v>
      </c>
      <c r="V1628">
        <f>Source!S580</f>
        <v>0</v>
      </c>
      <c r="W1628">
        <f>Source!Q580</f>
        <v>0</v>
      </c>
      <c r="X1628">
        <f>Source!R580</f>
        <v>0</v>
      </c>
      <c r="Y1628">
        <f>Source!U580</f>
        <v>0</v>
      </c>
      <c r="Z1628">
        <f>Source!V580</f>
        <v>0</v>
      </c>
      <c r="AA1628">
        <f>Source!X580</f>
        <v>0</v>
      </c>
      <c r="AB1628">
        <f>Source!Y580</f>
        <v>0</v>
      </c>
    </row>
    <row r="1629" spans="1:28" ht="14.25" x14ac:dyDescent="0.2">
      <c r="C1629" s="23" t="s">
        <v>1980</v>
      </c>
      <c r="D1629" s="23">
        <f>Source!BC580</f>
        <v>6.56</v>
      </c>
      <c r="F1629" s="12"/>
      <c r="G1629" s="12"/>
      <c r="H1629" s="12"/>
    </row>
    <row r="1631" spans="1:28" ht="15" x14ac:dyDescent="0.25">
      <c r="A1631" s="58"/>
      <c r="B1631" s="58"/>
      <c r="C1631" s="66" t="str">
        <f>CONCATENATE("Итого по разделу: ",IF(Source!G582&lt;&gt;"Новый раздел", Source!G582, ""))</f>
        <v>Итого по разделу: 5 Сети СКС</v>
      </c>
      <c r="D1631" s="66"/>
      <c r="E1631" s="66"/>
      <c r="F1631" s="66"/>
      <c r="G1631" s="58"/>
      <c r="H1631" s="59">
        <f>IF(SUM(T1576:T1630)=0, "-", SUM(T1576:T1630))</f>
        <v>34351.620000000003</v>
      </c>
    </row>
    <row r="1632" spans="1:28" ht="15" x14ac:dyDescent="0.25">
      <c r="A1632" s="58"/>
      <c r="B1632" s="58"/>
      <c r="C1632" s="58"/>
      <c r="D1632" s="58"/>
      <c r="E1632" s="58"/>
      <c r="F1632" s="58"/>
      <c r="G1632" s="58"/>
      <c r="H1632" s="58"/>
    </row>
    <row r="1635" spans="1:28" ht="16.5" x14ac:dyDescent="0.25">
      <c r="A1635" s="68" t="str">
        <f>CONCATENATE("Раздел: ",IF(Source!G611&lt;&gt;"Новый раздел", Source!G611, ""))</f>
        <v>Раздел: 6 Отопление</v>
      </c>
      <c r="B1635" s="68"/>
      <c r="C1635" s="68"/>
      <c r="D1635" s="68"/>
      <c r="E1635" s="68"/>
      <c r="F1635" s="68"/>
      <c r="G1635" s="68"/>
      <c r="H1635" s="68"/>
    </row>
    <row r="1636" spans="1:28" ht="14.25" x14ac:dyDescent="0.2">
      <c r="A1636" s="45">
        <v>249</v>
      </c>
      <c r="B1636" s="45" t="str">
        <f>Source!E615</f>
        <v>115</v>
      </c>
      <c r="C1636" s="45" t="str">
        <f>Source!G615</f>
        <v>Демонтаж радиаторов весом до 80 кг</v>
      </c>
      <c r="D1636" s="45" t="str">
        <f>Source!F615</f>
        <v>65-19-1</v>
      </c>
      <c r="E1636" s="30" t="str">
        <f>Source!H615</f>
        <v>100 ШТ</v>
      </c>
      <c r="F1636" s="12">
        <f>Source!I615</f>
        <v>0.14000000000000001</v>
      </c>
      <c r="G1636" s="22">
        <f>Source!AB615</f>
        <v>935.72</v>
      </c>
      <c r="H1636" s="22">
        <f>Source!O615</f>
        <v>859.37</v>
      </c>
      <c r="T1636">
        <f>Source!O615+Source!X615+Source!Y615</f>
        <v>1879.68</v>
      </c>
      <c r="U1636">
        <f>Source!P615</f>
        <v>0</v>
      </c>
      <c r="V1636">
        <f>Source!S615</f>
        <v>795.06</v>
      </c>
      <c r="W1636">
        <f>Source!Q615</f>
        <v>64.31</v>
      </c>
      <c r="X1636">
        <f>Source!R615</f>
        <v>27.77</v>
      </c>
      <c r="Y1636">
        <f>Source!U615</f>
        <v>15.400000000000002</v>
      </c>
      <c r="Z1636">
        <f>Source!V615</f>
        <v>0.31360000000000005</v>
      </c>
      <c r="AA1636">
        <f>Source!X615</f>
        <v>608.89</v>
      </c>
      <c r="AB1636">
        <f>Source!Y615</f>
        <v>411.42</v>
      </c>
    </row>
    <row r="1637" spans="1:28" ht="14.25" x14ac:dyDescent="0.2">
      <c r="C1637" s="23" t="str">
        <f>"Объем: "&amp;Source!I615&amp;"=14/"&amp;"100"</f>
        <v>Объем: 0,14=14/100</v>
      </c>
      <c r="F1637" s="12"/>
      <c r="G1637" s="12"/>
      <c r="H1637" s="12"/>
    </row>
    <row r="1638" spans="1:28" x14ac:dyDescent="0.2">
      <c r="C1638" s="23" t="s">
        <v>1978</v>
      </c>
      <c r="D1638" s="23">
        <f>Source!BA615</f>
        <v>6.56</v>
      </c>
    </row>
    <row r="1639" spans="1:28" x14ac:dyDescent="0.2">
      <c r="C1639" s="23" t="s">
        <v>1979</v>
      </c>
      <c r="D1639" s="23">
        <f>Source!BB615</f>
        <v>6.56</v>
      </c>
    </row>
    <row r="1640" spans="1:28" x14ac:dyDescent="0.2">
      <c r="C1640" s="23" t="s">
        <v>1980</v>
      </c>
      <c r="D1640" s="23">
        <f>Source!BC615</f>
        <v>6.56</v>
      </c>
    </row>
    <row r="1641" spans="1:28" x14ac:dyDescent="0.2">
      <c r="C1641" s="23" t="s">
        <v>1981</v>
      </c>
      <c r="D1641" s="23">
        <f>Source!BS615</f>
        <v>6.56</v>
      </c>
    </row>
    <row r="1642" spans="1:28" x14ac:dyDescent="0.2">
      <c r="C1642" s="9" t="s">
        <v>1982</v>
      </c>
      <c r="D1642" s="33"/>
      <c r="E1642" s="33"/>
      <c r="F1642" s="33">
        <f>Source!BZ615</f>
        <v>74</v>
      </c>
      <c r="G1642" s="57">
        <f>(Source!AF615+Source!AE615)*Source!FX615/100</f>
        <v>662.99559999999997</v>
      </c>
      <c r="H1642" s="57">
        <f>Source!X615</f>
        <v>608.89</v>
      </c>
    </row>
    <row r="1643" spans="1:28" x14ac:dyDescent="0.2">
      <c r="C1643" s="9" t="s">
        <v>1984</v>
      </c>
      <c r="D1643" s="33"/>
      <c r="E1643" s="33"/>
      <c r="F1643" s="33">
        <f>Source!CA615</f>
        <v>50</v>
      </c>
      <c r="G1643" s="57">
        <f>(Source!AF615+Source!AE615)*Source!FY615/100</f>
        <v>447.97</v>
      </c>
      <c r="H1643" s="57">
        <f>Source!Y615</f>
        <v>411.42</v>
      </c>
    </row>
    <row r="1644" spans="1:28" x14ac:dyDescent="0.2">
      <c r="C1644" s="9" t="s">
        <v>1986</v>
      </c>
      <c r="D1644" s="33"/>
      <c r="E1644" s="33"/>
      <c r="F1644" s="33"/>
      <c r="G1644" s="57">
        <f>((Source!AF615+Source!AE615)*Source!FX615/100)+((Source!AF615+Source!AE615)*Source!FY615/100)+Source!AB615</f>
        <v>2046.6856</v>
      </c>
      <c r="H1644" s="57">
        <f>Source!O615+Source!X615+Source!Y615</f>
        <v>1879.68</v>
      </c>
    </row>
    <row r="1645" spans="1:28" ht="42.75" x14ac:dyDescent="0.2">
      <c r="A1645" s="45">
        <v>250</v>
      </c>
      <c r="B1645" s="45" t="str">
        <f>Source!E616</f>
        <v>116</v>
      </c>
      <c r="C1645" s="45" t="str">
        <f>Source!G616</f>
        <v>Разборка трубопроводов из водогазопроводных труб диаметром до 32 мм</v>
      </c>
      <c r="D1645" s="45" t="str">
        <f>Source!F616</f>
        <v>65-1-1</v>
      </c>
      <c r="E1645" s="30" t="str">
        <f>Source!H616</f>
        <v>100 м</v>
      </c>
      <c r="F1645" s="12">
        <f>Source!I616</f>
        <v>1.84</v>
      </c>
      <c r="G1645" s="22">
        <f>Source!AB616</f>
        <v>295.11</v>
      </c>
      <c r="H1645" s="22">
        <f>Source!O616</f>
        <v>3562.1</v>
      </c>
      <c r="T1645">
        <f>Source!O616+Source!X616+Source!Y616</f>
        <v>7893.2</v>
      </c>
      <c r="U1645">
        <f>Source!P616</f>
        <v>0</v>
      </c>
      <c r="V1645">
        <f>Source!S616</f>
        <v>3476.52</v>
      </c>
      <c r="W1645">
        <f>Source!Q616</f>
        <v>85.58</v>
      </c>
      <c r="X1645">
        <f>Source!R616</f>
        <v>16.3</v>
      </c>
      <c r="Y1645">
        <f>Source!U616</f>
        <v>63.7744</v>
      </c>
      <c r="Z1645">
        <f>Source!V616</f>
        <v>0.18400000000000002</v>
      </c>
      <c r="AA1645">
        <f>Source!X616</f>
        <v>2584.69</v>
      </c>
      <c r="AB1645">
        <f>Source!Y616</f>
        <v>1746.41</v>
      </c>
    </row>
    <row r="1646" spans="1:28" ht="14.25" x14ac:dyDescent="0.2">
      <c r="C1646" s="23" t="str">
        <f>"Объем: "&amp;Source!I616&amp;"=184/"&amp;"100"</f>
        <v>Объем: 1,84=184/100</v>
      </c>
      <c r="F1646" s="12"/>
      <c r="G1646" s="12"/>
      <c r="H1646" s="12"/>
    </row>
    <row r="1647" spans="1:28" x14ac:dyDescent="0.2">
      <c r="C1647" s="23" t="s">
        <v>1978</v>
      </c>
      <c r="D1647" s="23">
        <f>Source!BA616</f>
        <v>6.56</v>
      </c>
    </row>
    <row r="1648" spans="1:28" x14ac:dyDescent="0.2">
      <c r="C1648" s="23" t="s">
        <v>1979</v>
      </c>
      <c r="D1648" s="23">
        <f>Source!BB616</f>
        <v>6.56</v>
      </c>
    </row>
    <row r="1649" spans="1:28" x14ac:dyDescent="0.2">
      <c r="C1649" s="23" t="s">
        <v>1980</v>
      </c>
      <c r="D1649" s="23">
        <f>Source!BC616</f>
        <v>6.56</v>
      </c>
    </row>
    <row r="1650" spans="1:28" x14ac:dyDescent="0.2">
      <c r="C1650" s="23" t="s">
        <v>1981</v>
      </c>
      <c r="D1650" s="23">
        <f>Source!BS616</f>
        <v>6.56</v>
      </c>
    </row>
    <row r="1651" spans="1:28" x14ac:dyDescent="0.2">
      <c r="C1651" s="23" t="s">
        <v>1987</v>
      </c>
      <c r="D1651" s="82" t="s">
        <v>48</v>
      </c>
      <c r="E1651" s="82"/>
      <c r="F1651" s="82"/>
      <c r="G1651" s="82"/>
      <c r="H1651" s="82"/>
    </row>
    <row r="1652" spans="1:28" x14ac:dyDescent="0.2">
      <c r="C1652" s="9" t="s">
        <v>1982</v>
      </c>
      <c r="D1652" s="33"/>
      <c r="E1652" s="33"/>
      <c r="F1652" s="33">
        <f>Source!BZ616</f>
        <v>74</v>
      </c>
      <c r="G1652" s="57">
        <f>(Source!AF616+Source!AE616)*Source!FX616/100</f>
        <v>214.13380000000001</v>
      </c>
      <c r="H1652" s="57">
        <f>Source!X616</f>
        <v>2584.69</v>
      </c>
    </row>
    <row r="1653" spans="1:28" x14ac:dyDescent="0.2">
      <c r="C1653" s="9" t="s">
        <v>1984</v>
      </c>
      <c r="D1653" s="33"/>
      <c r="E1653" s="33"/>
      <c r="F1653" s="33">
        <f>Source!CA616</f>
        <v>50</v>
      </c>
      <c r="G1653" s="57">
        <f>(Source!AF616+Source!AE616)*Source!FY616/100</f>
        <v>144.685</v>
      </c>
      <c r="H1653" s="57">
        <f>Source!Y616</f>
        <v>1746.41</v>
      </c>
    </row>
    <row r="1654" spans="1:28" x14ac:dyDescent="0.2">
      <c r="C1654" s="9" t="s">
        <v>1986</v>
      </c>
      <c r="D1654" s="33"/>
      <c r="E1654" s="33"/>
      <c r="F1654" s="33"/>
      <c r="G1654" s="57">
        <f>((Source!AF616+Source!AE616)*Source!FX616/100)+((Source!AF616+Source!AE616)*Source!FY616/100)+Source!AB616</f>
        <v>653.92880000000002</v>
      </c>
      <c r="H1654" s="57">
        <f>Source!O616+Source!X616+Source!Y616</f>
        <v>7893.2</v>
      </c>
    </row>
    <row r="1655" spans="1:28" ht="28.5" x14ac:dyDescent="0.2">
      <c r="A1655" s="45">
        <v>251</v>
      </c>
      <c r="B1655" s="45" t="str">
        <f>Source!E617</f>
        <v>117</v>
      </c>
      <c r="C1655" s="45" t="str">
        <f>Source!G617</f>
        <v>Установка радиаторов стальных</v>
      </c>
      <c r="D1655" s="45" t="str">
        <f>Source!F617</f>
        <v>18-03-001-02</v>
      </c>
      <c r="E1655" s="30" t="str">
        <f>Source!H617</f>
        <v>100 квт</v>
      </c>
      <c r="F1655" s="12">
        <f>Source!I617</f>
        <v>0.47849999999999998</v>
      </c>
      <c r="G1655" s="22">
        <f>Source!AB617</f>
        <v>2078.6799999999998</v>
      </c>
      <c r="H1655" s="22">
        <f>Source!O617</f>
        <v>6524.89</v>
      </c>
      <c r="T1655">
        <f>Source!O617+Source!X617+Source!Y617</f>
        <v>10758.53</v>
      </c>
      <c r="U1655">
        <f>Source!P617</f>
        <v>3645.15</v>
      </c>
      <c r="V1655">
        <f>Source!S617</f>
        <v>2124.1</v>
      </c>
      <c r="W1655">
        <f>Source!Q617</f>
        <v>755.64</v>
      </c>
      <c r="X1655">
        <f>Source!R617</f>
        <v>152.05000000000001</v>
      </c>
      <c r="Y1655">
        <f>Source!U617</f>
        <v>36.09803999999999</v>
      </c>
      <c r="Z1655">
        <f>Source!V617</f>
        <v>1.8721312499999998</v>
      </c>
      <c r="AA1655">
        <f>Source!X617</f>
        <v>2617.5700000000002</v>
      </c>
      <c r="AB1655">
        <f>Source!Y617</f>
        <v>1616.07</v>
      </c>
    </row>
    <row r="1656" spans="1:28" ht="14.25" x14ac:dyDescent="0.2">
      <c r="C1656" s="23" t="str">
        <f>"Объем: "&amp;Source!I617&amp;"=47,85/"&amp;"100"</f>
        <v>Объем: 0,4785=47,85/100</v>
      </c>
      <c r="F1656" s="12"/>
      <c r="G1656" s="12"/>
      <c r="H1656" s="12"/>
    </row>
    <row r="1657" spans="1:28" x14ac:dyDescent="0.2">
      <c r="C1657" s="23" t="s">
        <v>1978</v>
      </c>
      <c r="D1657" s="23">
        <f>Source!BA617</f>
        <v>6.56</v>
      </c>
    </row>
    <row r="1658" spans="1:28" x14ac:dyDescent="0.2">
      <c r="C1658" s="23" t="s">
        <v>1979</v>
      </c>
      <c r="D1658" s="23">
        <f>Source!BB617</f>
        <v>6.56</v>
      </c>
    </row>
    <row r="1659" spans="1:28" x14ac:dyDescent="0.2">
      <c r="C1659" s="23" t="s">
        <v>1980</v>
      </c>
      <c r="D1659" s="23">
        <f>Source!BC617</f>
        <v>6.56</v>
      </c>
    </row>
    <row r="1660" spans="1:28" x14ac:dyDescent="0.2">
      <c r="C1660" s="23" t="s">
        <v>1981</v>
      </c>
      <c r="D1660" s="23">
        <f>Source!BS617</f>
        <v>6.56</v>
      </c>
    </row>
    <row r="1661" spans="1:28" x14ac:dyDescent="0.2">
      <c r="C1661" s="23" t="s">
        <v>1988</v>
      </c>
      <c r="D1661" s="82" t="s">
        <v>187</v>
      </c>
      <c r="E1661" s="82"/>
      <c r="F1661" s="82"/>
      <c r="G1661" s="82"/>
      <c r="H1661" s="82"/>
    </row>
    <row r="1662" spans="1:28" x14ac:dyDescent="0.2">
      <c r="C1662" s="23" t="s">
        <v>1989</v>
      </c>
      <c r="D1662" s="82" t="s">
        <v>187</v>
      </c>
      <c r="E1662" s="82"/>
      <c r="F1662" s="82"/>
      <c r="G1662" s="82"/>
      <c r="H1662" s="82"/>
    </row>
    <row r="1663" spans="1:28" x14ac:dyDescent="0.2">
      <c r="C1663" s="23" t="s">
        <v>1990</v>
      </c>
      <c r="D1663" s="82" t="s">
        <v>188</v>
      </c>
      <c r="E1663" s="82"/>
      <c r="F1663" s="82"/>
      <c r="G1663" s="82"/>
      <c r="H1663" s="82"/>
    </row>
    <row r="1664" spans="1:28" x14ac:dyDescent="0.2">
      <c r="C1664" s="23" t="s">
        <v>1991</v>
      </c>
      <c r="D1664" s="82" t="s">
        <v>188</v>
      </c>
      <c r="E1664" s="82"/>
      <c r="F1664" s="82"/>
      <c r="G1664" s="82"/>
      <c r="H1664" s="82"/>
    </row>
    <row r="1665" spans="1:28" x14ac:dyDescent="0.2">
      <c r="C1665" s="23" t="s">
        <v>1992</v>
      </c>
      <c r="D1665" s="82" t="s">
        <v>187</v>
      </c>
      <c r="E1665" s="82"/>
      <c r="F1665" s="82"/>
      <c r="G1665" s="82"/>
      <c r="H1665" s="82"/>
    </row>
    <row r="1666" spans="1:28" x14ac:dyDescent="0.2">
      <c r="C1666" s="9" t="s">
        <v>1982</v>
      </c>
      <c r="D1666" s="33"/>
      <c r="E1666" s="33"/>
      <c r="F1666" s="33">
        <f>Source!BZ617</f>
        <v>128</v>
      </c>
      <c r="G1666" s="57">
        <f>(Source!AF617+Source!AE617)*Source!FX617/100</f>
        <v>835.34976000000006</v>
      </c>
      <c r="H1666" s="57">
        <f>Source!X617</f>
        <v>2617.5700000000002</v>
      </c>
    </row>
    <row r="1667" spans="1:28" x14ac:dyDescent="0.2">
      <c r="C1667" s="9" t="s">
        <v>1983</v>
      </c>
      <c r="D1667" s="33"/>
      <c r="E1667" s="33"/>
      <c r="F1667" s="33"/>
      <c r="G1667" s="33" t="str">
        <f>CONCATENATE(Source!DL617,Source!FT617, "=", Source!FX617, "%")</f>
        <v>*0,9=115,2%</v>
      </c>
      <c r="H1667" s="33" t="str">
        <f>CONCATENATE(Source!AT617)</f>
        <v>115</v>
      </c>
    </row>
    <row r="1668" spans="1:28" x14ac:dyDescent="0.2">
      <c r="C1668" s="9" t="s">
        <v>1984</v>
      </c>
      <c r="D1668" s="33"/>
      <c r="E1668" s="33"/>
      <c r="F1668" s="33">
        <f>Source!CA617</f>
        <v>83</v>
      </c>
      <c r="G1668" s="57">
        <f>(Source!AF617+Source!AE617)*Source!FY617/100</f>
        <v>511.57921500000003</v>
      </c>
      <c r="H1668" s="57">
        <f>Source!Y617</f>
        <v>1616.07</v>
      </c>
    </row>
    <row r="1669" spans="1:28" x14ac:dyDescent="0.2">
      <c r="C1669" s="9" t="s">
        <v>1985</v>
      </c>
      <c r="D1669" s="33"/>
      <c r="E1669" s="33"/>
      <c r="F1669" s="33"/>
      <c r="G1669" s="33" t="str">
        <f>CONCATENATE(Source!DM617,Source!FU617, "=", Source!FY617, "%")</f>
        <v>*0,85=70,55%</v>
      </c>
      <c r="H1669" s="33" t="str">
        <f>CONCATENATE(Source!AU617)</f>
        <v>71</v>
      </c>
    </row>
    <row r="1670" spans="1:28" x14ac:dyDescent="0.2">
      <c r="C1670" s="9" t="s">
        <v>1986</v>
      </c>
      <c r="D1670" s="33"/>
      <c r="E1670" s="33"/>
      <c r="F1670" s="33"/>
      <c r="G1670" s="57">
        <f>((Source!AF617+Source!AE617)*Source!FX617/100)+((Source!AF617+Source!AE617)*Source!FY617/100)+Source!AB617</f>
        <v>3425.6089750000001</v>
      </c>
      <c r="H1670" s="57">
        <f>Source!O617+Source!X617+Source!Y617</f>
        <v>10758.53</v>
      </c>
    </row>
    <row r="1671" spans="1:28" ht="42.75" x14ac:dyDescent="0.2">
      <c r="A1671" s="45">
        <v>252</v>
      </c>
      <c r="B1671" s="45" t="str">
        <f>Source!E618</f>
        <v>117,1</v>
      </c>
      <c r="C1671" s="45" t="str">
        <f>Source!G618</f>
        <v>Радиаторы биметаллические, марка «Rifar-Монолит A 500», количество секций 10, мощность 1650 Втприм.</v>
      </c>
      <c r="D1671" s="45" t="str">
        <f>Source!F618</f>
        <v>18.5.10.05-0008</v>
      </c>
      <c r="E1671" s="30" t="str">
        <f>Source!H618</f>
        <v>шт.</v>
      </c>
      <c r="F1671" s="12">
        <f>Source!I618</f>
        <v>13</v>
      </c>
      <c r="G1671" s="22">
        <f>Source!AB618</f>
        <v>1367</v>
      </c>
      <c r="H1671" s="22">
        <f>Source!O618</f>
        <v>116577.76</v>
      </c>
      <c r="T1671">
        <f>Source!O618+Source!X618+Source!Y618</f>
        <v>116577.76</v>
      </c>
      <c r="U1671">
        <f>Source!P618</f>
        <v>116577.76</v>
      </c>
      <c r="V1671">
        <f>Source!S618</f>
        <v>0</v>
      </c>
      <c r="W1671">
        <f>Source!Q618</f>
        <v>0</v>
      </c>
      <c r="X1671">
        <f>Source!R618</f>
        <v>0</v>
      </c>
      <c r="Y1671">
        <f>Source!U618</f>
        <v>0</v>
      </c>
      <c r="Z1671">
        <f>Source!V618</f>
        <v>0</v>
      </c>
      <c r="AA1671">
        <f>Source!X618</f>
        <v>0</v>
      </c>
      <c r="AB1671">
        <f>Source!Y618</f>
        <v>0</v>
      </c>
    </row>
    <row r="1672" spans="1:28" ht="14.25" x14ac:dyDescent="0.2">
      <c r="C1672" s="23" t="s">
        <v>1980</v>
      </c>
      <c r="D1672" s="23">
        <f>Source!BC618</f>
        <v>6.56</v>
      </c>
      <c r="F1672" s="12"/>
      <c r="G1672" s="12"/>
      <c r="H1672" s="12"/>
    </row>
    <row r="1673" spans="1:28" ht="42.75" x14ac:dyDescent="0.2">
      <c r="A1673" s="45">
        <v>253</v>
      </c>
      <c r="B1673" s="45" t="str">
        <f>Source!E619</f>
        <v>117,2</v>
      </c>
      <c r="C1673" s="45" t="str">
        <f>Source!G619</f>
        <v>Радиаторы биметаллические, марка «Rifar-Монолит A 500», количество секций 8, мощность 1320 Вт прим.</v>
      </c>
      <c r="D1673" s="45" t="str">
        <f>Source!F619</f>
        <v>18.5.10.05-0006</v>
      </c>
      <c r="E1673" s="30" t="str">
        <f>Source!H619</f>
        <v>шт.</v>
      </c>
      <c r="F1673" s="12">
        <f>Source!I619</f>
        <v>3.9999999999999996</v>
      </c>
      <c r="G1673" s="22">
        <f>Source!AB619</f>
        <v>1093.5999999999999</v>
      </c>
      <c r="H1673" s="22">
        <f>Source!O619</f>
        <v>28696.06</v>
      </c>
      <c r="T1673">
        <f>Source!O619+Source!X619+Source!Y619</f>
        <v>28696.06</v>
      </c>
      <c r="U1673">
        <f>Source!P619</f>
        <v>28696.06</v>
      </c>
      <c r="V1673">
        <f>Source!S619</f>
        <v>0</v>
      </c>
      <c r="W1673">
        <f>Source!Q619</f>
        <v>0</v>
      </c>
      <c r="X1673">
        <f>Source!R619</f>
        <v>0</v>
      </c>
      <c r="Y1673">
        <f>Source!U619</f>
        <v>0</v>
      </c>
      <c r="Z1673">
        <f>Source!V619</f>
        <v>0</v>
      </c>
      <c r="AA1673">
        <f>Source!X619</f>
        <v>0</v>
      </c>
      <c r="AB1673">
        <f>Source!Y619</f>
        <v>0</v>
      </c>
    </row>
    <row r="1674" spans="1:28" ht="14.25" x14ac:dyDescent="0.2">
      <c r="C1674" s="23" t="s">
        <v>1980</v>
      </c>
      <c r="D1674" s="23">
        <f>Source!BC619</f>
        <v>6.56</v>
      </c>
      <c r="F1674" s="12"/>
      <c r="G1674" s="12"/>
      <c r="H1674" s="12"/>
    </row>
    <row r="1675" spans="1:28" ht="42.75" x14ac:dyDescent="0.2">
      <c r="A1675" s="45">
        <v>254</v>
      </c>
      <c r="B1675" s="45" t="str">
        <f>Source!E620</f>
        <v>117,3</v>
      </c>
      <c r="C1675" s="45" t="str">
        <f>Source!G620</f>
        <v>Радиаторы биметаллические, марка «Rifar-Монолит A 500», количество секций 14, мощность 1815 Вт прим.</v>
      </c>
      <c r="D1675" s="45" t="str">
        <f>Source!F620</f>
        <v>18.5.10.05-0009</v>
      </c>
      <c r="E1675" s="30" t="str">
        <f>Source!H620</f>
        <v>шт.</v>
      </c>
      <c r="F1675" s="12">
        <f>Source!I620</f>
        <v>9</v>
      </c>
      <c r="G1675" s="22">
        <f>Source!AB620</f>
        <v>1503.69</v>
      </c>
      <c r="H1675" s="22">
        <f>Source!O620</f>
        <v>88777.86</v>
      </c>
      <c r="T1675">
        <f>Source!O620+Source!X620+Source!Y620</f>
        <v>88777.86</v>
      </c>
      <c r="U1675">
        <f>Source!P620</f>
        <v>88777.86</v>
      </c>
      <c r="V1675">
        <f>Source!S620</f>
        <v>0</v>
      </c>
      <c r="W1675">
        <f>Source!Q620</f>
        <v>0</v>
      </c>
      <c r="X1675">
        <f>Source!R620</f>
        <v>0</v>
      </c>
      <c r="Y1675">
        <f>Source!U620</f>
        <v>0</v>
      </c>
      <c r="Z1675">
        <f>Source!V620</f>
        <v>0</v>
      </c>
      <c r="AA1675">
        <f>Source!X620</f>
        <v>0</v>
      </c>
      <c r="AB1675">
        <f>Source!Y620</f>
        <v>0</v>
      </c>
    </row>
    <row r="1676" spans="1:28" ht="14.25" x14ac:dyDescent="0.2">
      <c r="C1676" s="23" t="s">
        <v>1980</v>
      </c>
      <c r="D1676" s="23">
        <f>Source!BC620</f>
        <v>6.56</v>
      </c>
      <c r="F1676" s="12"/>
      <c r="G1676" s="12"/>
      <c r="H1676" s="12"/>
    </row>
    <row r="1677" spans="1:28" ht="28.5" x14ac:dyDescent="0.2">
      <c r="A1677" s="45">
        <v>255</v>
      </c>
      <c r="B1677" s="45" t="str">
        <f>Source!E621</f>
        <v>117,4</v>
      </c>
      <c r="C1677" s="45" t="str">
        <f>Source!G621</f>
        <v>Радиаторы</v>
      </c>
      <c r="D1677" s="45" t="str">
        <f>Source!F621</f>
        <v>18.5.10.06</v>
      </c>
      <c r="E1677" s="30" t="str">
        <f>Source!H621</f>
        <v>квт</v>
      </c>
      <c r="F1677" s="12">
        <f>Source!I621</f>
        <v>47.85</v>
      </c>
      <c r="G1677" s="22">
        <f>Source!AB621</f>
        <v>0</v>
      </c>
      <c r="H1677" s="22">
        <f>Source!O621</f>
        <v>0</v>
      </c>
      <c r="T1677">
        <f>Source!O621+Source!X621+Source!Y621</f>
        <v>0</v>
      </c>
      <c r="U1677">
        <f>Source!P621</f>
        <v>0</v>
      </c>
      <c r="V1677">
        <f>Source!S621</f>
        <v>0</v>
      </c>
      <c r="W1677">
        <f>Source!Q621</f>
        <v>0</v>
      </c>
      <c r="X1677">
        <f>Source!R621</f>
        <v>0</v>
      </c>
      <c r="Y1677">
        <f>Source!U621</f>
        <v>0</v>
      </c>
      <c r="Z1677">
        <f>Source!V621</f>
        <v>0</v>
      </c>
      <c r="AA1677">
        <f>Source!X621</f>
        <v>0</v>
      </c>
      <c r="AB1677">
        <f>Source!Y621</f>
        <v>0</v>
      </c>
    </row>
    <row r="1678" spans="1:28" ht="14.25" x14ac:dyDescent="0.2">
      <c r="C1678" s="23" t="s">
        <v>1980</v>
      </c>
      <c r="D1678" s="23">
        <f>Source!BC621</f>
        <v>6.56</v>
      </c>
      <c r="F1678" s="12"/>
      <c r="G1678" s="12"/>
      <c r="H1678" s="12"/>
    </row>
    <row r="1679" spans="1:28" ht="57" x14ac:dyDescent="0.2">
      <c r="A1679" s="45">
        <v>256</v>
      </c>
      <c r="B1679" s="45" t="str">
        <f>Source!E622</f>
        <v>118</v>
      </c>
      <c r="C1679" s="45" t="str">
        <f>Source!G622</f>
        <v>Прокладка трубопроводов отопления из стальных водогазопроводных неоцинкованных труб диаметром 20 мм</v>
      </c>
      <c r="D1679" s="45" t="str">
        <f>Source!F622</f>
        <v>16-02-001-02</v>
      </c>
      <c r="E1679" s="30" t="str">
        <f>Source!H622</f>
        <v>100 м</v>
      </c>
      <c r="F1679" s="12">
        <f>Source!I622</f>
        <v>2</v>
      </c>
      <c r="G1679" s="22">
        <f>Source!AB622</f>
        <v>440.93</v>
      </c>
      <c r="H1679" s="22">
        <f>Source!O622</f>
        <v>5785</v>
      </c>
      <c r="T1679">
        <f>Source!O622+Source!X622+Source!Y622</f>
        <v>14871.77</v>
      </c>
      <c r="U1679">
        <f>Source!P622</f>
        <v>357.78</v>
      </c>
      <c r="V1679">
        <f>Source!S622</f>
        <v>4785.5200000000004</v>
      </c>
      <c r="W1679">
        <f>Source!Q622</f>
        <v>641.70000000000005</v>
      </c>
      <c r="X1679">
        <f>Source!R622</f>
        <v>99.84</v>
      </c>
      <c r="Y1679">
        <f>Source!U622</f>
        <v>75.830999999999989</v>
      </c>
      <c r="Z1679">
        <f>Source!V622</f>
        <v>1.25</v>
      </c>
      <c r="AA1679">
        <f>Source!X622</f>
        <v>5618.16</v>
      </c>
      <c r="AB1679">
        <f>Source!Y622</f>
        <v>3468.61</v>
      </c>
    </row>
    <row r="1680" spans="1:28" ht="14.25" x14ac:dyDescent="0.2">
      <c r="C1680" s="23" t="str">
        <f>"Объем: "&amp;Source!I622&amp;"=200/"&amp;"100"</f>
        <v>Объем: 2=200/100</v>
      </c>
      <c r="F1680" s="12"/>
      <c r="G1680" s="12"/>
      <c r="H1680" s="12"/>
    </row>
    <row r="1681" spans="1:28" x14ac:dyDescent="0.2">
      <c r="C1681" s="23" t="s">
        <v>1978</v>
      </c>
      <c r="D1681" s="23">
        <f>Source!BA622</f>
        <v>6.56</v>
      </c>
    </row>
    <row r="1682" spans="1:28" x14ac:dyDescent="0.2">
      <c r="C1682" s="23" t="s">
        <v>1979</v>
      </c>
      <c r="D1682" s="23">
        <f>Source!BB622</f>
        <v>6.56</v>
      </c>
    </row>
    <row r="1683" spans="1:28" x14ac:dyDescent="0.2">
      <c r="C1683" s="23" t="s">
        <v>1980</v>
      </c>
      <c r="D1683" s="23">
        <f>Source!BC622</f>
        <v>6.56</v>
      </c>
    </row>
    <row r="1684" spans="1:28" x14ac:dyDescent="0.2">
      <c r="C1684" s="23" t="s">
        <v>1981</v>
      </c>
      <c r="D1684" s="23">
        <f>Source!BS622</f>
        <v>6.56</v>
      </c>
    </row>
    <row r="1685" spans="1:28" x14ac:dyDescent="0.2">
      <c r="C1685" s="23" t="s">
        <v>1988</v>
      </c>
      <c r="D1685" s="82" t="s">
        <v>187</v>
      </c>
      <c r="E1685" s="82"/>
      <c r="F1685" s="82"/>
      <c r="G1685" s="82"/>
      <c r="H1685" s="82"/>
    </row>
    <row r="1686" spans="1:28" x14ac:dyDescent="0.2">
      <c r="C1686" s="23" t="s">
        <v>1989</v>
      </c>
      <c r="D1686" s="82" t="s">
        <v>187</v>
      </c>
      <c r="E1686" s="82"/>
      <c r="F1686" s="82"/>
      <c r="G1686" s="82"/>
      <c r="H1686" s="82"/>
    </row>
    <row r="1687" spans="1:28" x14ac:dyDescent="0.2">
      <c r="C1687" s="23" t="s">
        <v>1990</v>
      </c>
      <c r="D1687" s="82" t="s">
        <v>188</v>
      </c>
      <c r="E1687" s="82"/>
      <c r="F1687" s="82"/>
      <c r="G1687" s="82"/>
      <c r="H1687" s="82"/>
    </row>
    <row r="1688" spans="1:28" x14ac:dyDescent="0.2">
      <c r="C1688" s="23" t="s">
        <v>1991</v>
      </c>
      <c r="D1688" s="82" t="s">
        <v>188</v>
      </c>
      <c r="E1688" s="82"/>
      <c r="F1688" s="82"/>
      <c r="G1688" s="82"/>
      <c r="H1688" s="82"/>
    </row>
    <row r="1689" spans="1:28" x14ac:dyDescent="0.2">
      <c r="C1689" s="23" t="s">
        <v>1992</v>
      </c>
      <c r="D1689" s="82" t="s">
        <v>187</v>
      </c>
      <c r="E1689" s="82"/>
      <c r="F1689" s="82"/>
      <c r="G1689" s="82"/>
      <c r="H1689" s="82"/>
    </row>
    <row r="1690" spans="1:28" x14ac:dyDescent="0.2">
      <c r="C1690" s="9" t="s">
        <v>1982</v>
      </c>
      <c r="D1690" s="33"/>
      <c r="E1690" s="33"/>
      <c r="F1690" s="33">
        <f>Source!BZ622</f>
        <v>128</v>
      </c>
      <c r="G1690" s="57">
        <f>(Source!AF622+Source!AE622)*Source!FX622/100</f>
        <v>428.95872000000003</v>
      </c>
      <c r="H1690" s="57">
        <f>Source!X622</f>
        <v>5618.16</v>
      </c>
    </row>
    <row r="1691" spans="1:28" x14ac:dyDescent="0.2">
      <c r="C1691" s="9" t="s">
        <v>1983</v>
      </c>
      <c r="D1691" s="33"/>
      <c r="E1691" s="33"/>
      <c r="F1691" s="33"/>
      <c r="G1691" s="33" t="str">
        <f>CONCATENATE(Source!DL622,Source!FT622, "=", Source!FX622, "%")</f>
        <v>*0,9=115,2%</v>
      </c>
      <c r="H1691" s="33" t="str">
        <f>CONCATENATE(Source!AT622)</f>
        <v>115</v>
      </c>
    </row>
    <row r="1692" spans="1:28" x14ac:dyDescent="0.2">
      <c r="C1692" s="9" t="s">
        <v>1984</v>
      </c>
      <c r="D1692" s="33"/>
      <c r="E1692" s="33"/>
      <c r="F1692" s="33">
        <f>Source!CA622</f>
        <v>83</v>
      </c>
      <c r="G1692" s="57">
        <f>(Source!AF622+Source!AE622)*Source!FY622/100</f>
        <v>262.69997999999998</v>
      </c>
      <c r="H1692" s="57">
        <f>Source!Y622</f>
        <v>3468.61</v>
      </c>
    </row>
    <row r="1693" spans="1:28" x14ac:dyDescent="0.2">
      <c r="C1693" s="9" t="s">
        <v>1985</v>
      </c>
      <c r="D1693" s="33"/>
      <c r="E1693" s="33"/>
      <c r="F1693" s="33"/>
      <c r="G1693" s="33" t="str">
        <f>CONCATENATE(Source!DM622,Source!FU622, "=", Source!FY622, "%")</f>
        <v>*0,85=70,55%</v>
      </c>
      <c r="H1693" s="33" t="str">
        <f>CONCATENATE(Source!AU622)</f>
        <v>71</v>
      </c>
    </row>
    <row r="1694" spans="1:28" x14ac:dyDescent="0.2">
      <c r="C1694" s="9" t="s">
        <v>1986</v>
      </c>
      <c r="D1694" s="33"/>
      <c r="E1694" s="33"/>
      <c r="F1694" s="33"/>
      <c r="G1694" s="57">
        <f>((Source!AF622+Source!AE622)*Source!FX622/100)+((Source!AF622+Source!AE622)*Source!FY622/100)+Source!AB622</f>
        <v>1132.5887</v>
      </c>
      <c r="H1694" s="57">
        <f>Source!O622+Source!X622+Source!Y622</f>
        <v>14871.77</v>
      </c>
    </row>
    <row r="1695" spans="1:28" ht="42.75" x14ac:dyDescent="0.2">
      <c r="A1695" s="45">
        <v>257</v>
      </c>
      <c r="B1695" s="45" t="str">
        <f>Source!E623</f>
        <v>118,1</v>
      </c>
      <c r="C1695" s="45" t="str">
        <f>Source!G623</f>
        <v>Краны шаровые BUGATTI для воды и пара стандартные ВВ с размером резьбы 3/4"</v>
      </c>
      <c r="D1695" s="45" t="str">
        <f>Source!F623</f>
        <v>18.1.09.08-0276</v>
      </c>
      <c r="E1695" s="30" t="str">
        <f>Source!H623</f>
        <v>шт.</v>
      </c>
      <c r="F1695" s="12">
        <f>Source!I623</f>
        <v>40</v>
      </c>
      <c r="G1695" s="22">
        <f>Source!AB623</f>
        <v>41.41</v>
      </c>
      <c r="H1695" s="22">
        <f>Source!O623</f>
        <v>10865.98</v>
      </c>
      <c r="T1695">
        <f>Source!O623+Source!X623+Source!Y623</f>
        <v>10865.98</v>
      </c>
      <c r="U1695">
        <f>Source!P623</f>
        <v>10865.98</v>
      </c>
      <c r="V1695">
        <f>Source!S623</f>
        <v>0</v>
      </c>
      <c r="W1695">
        <f>Source!Q623</f>
        <v>0</v>
      </c>
      <c r="X1695">
        <f>Source!R623</f>
        <v>0</v>
      </c>
      <c r="Y1695">
        <f>Source!U623</f>
        <v>0</v>
      </c>
      <c r="Z1695">
        <f>Source!V623</f>
        <v>0</v>
      </c>
      <c r="AA1695">
        <f>Source!X623</f>
        <v>0</v>
      </c>
      <c r="AB1695">
        <f>Source!Y623</f>
        <v>0</v>
      </c>
    </row>
    <row r="1696" spans="1:28" ht="14.25" x14ac:dyDescent="0.2">
      <c r="C1696" s="23" t="s">
        <v>1980</v>
      </c>
      <c r="D1696" s="23">
        <f>Source!BC623</f>
        <v>6.56</v>
      </c>
      <c r="F1696" s="12"/>
      <c r="G1696" s="12"/>
      <c r="H1696" s="12"/>
    </row>
    <row r="1697" spans="1:28" ht="42.75" x14ac:dyDescent="0.2">
      <c r="A1697" s="45">
        <v>258</v>
      </c>
      <c r="B1697" s="45" t="str">
        <f>Source!E624</f>
        <v>118,2</v>
      </c>
      <c r="C1697" s="45" t="str">
        <f>Source!G624</f>
        <v>Хомут стальной оцинкованный с саморезом и резиновой прокладкой для крепления труб диаметром 20 мм</v>
      </c>
      <c r="D1697" s="45" t="str">
        <f>Source!F624</f>
        <v>23.1.02.06-0042</v>
      </c>
      <c r="E1697" s="30" t="str">
        <f>Source!H624</f>
        <v>10 шт.</v>
      </c>
      <c r="F1697" s="12">
        <f>Source!I624</f>
        <v>0.6</v>
      </c>
      <c r="G1697" s="22">
        <f>Source!AB624</f>
        <v>57.5</v>
      </c>
      <c r="H1697" s="22">
        <f>Source!O624</f>
        <v>226.32</v>
      </c>
      <c r="T1697">
        <f>Source!O624+Source!X624+Source!Y624</f>
        <v>226.32</v>
      </c>
      <c r="U1697">
        <f>Source!P624</f>
        <v>226.32</v>
      </c>
      <c r="V1697">
        <f>Source!S624</f>
        <v>0</v>
      </c>
      <c r="W1697">
        <f>Source!Q624</f>
        <v>0</v>
      </c>
      <c r="X1697">
        <f>Source!R624</f>
        <v>0</v>
      </c>
      <c r="Y1697">
        <f>Source!U624</f>
        <v>0</v>
      </c>
      <c r="Z1697">
        <f>Source!V624</f>
        <v>0</v>
      </c>
      <c r="AA1697">
        <f>Source!X624</f>
        <v>0</v>
      </c>
      <c r="AB1697">
        <f>Source!Y624</f>
        <v>0</v>
      </c>
    </row>
    <row r="1698" spans="1:28" ht="14.25" x14ac:dyDescent="0.2">
      <c r="C1698" s="23" t="s">
        <v>1980</v>
      </c>
      <c r="D1698" s="23">
        <f>Source!BC624</f>
        <v>6.56</v>
      </c>
      <c r="F1698" s="12"/>
      <c r="G1698" s="12"/>
      <c r="H1698" s="12"/>
    </row>
    <row r="1699" spans="1:28" ht="71.25" x14ac:dyDescent="0.2">
      <c r="A1699" s="45">
        <v>259</v>
      </c>
      <c r="B1699" s="45" t="str">
        <f>Source!E625</f>
        <v>118,3</v>
      </c>
      <c r="C1699" s="45" t="str">
        <f>Source!G625</f>
        <v>Трубы стальные сварные водогазопроводные с резьбой черные усиленные (неоцинкованные), диаметр условного прохода 20 мм, толщина стенки 3,2 мм</v>
      </c>
      <c r="D1699" s="45" t="str">
        <f>Source!F625</f>
        <v>23.3.06.06-0002</v>
      </c>
      <c r="E1699" s="30" t="str">
        <f>Source!H625</f>
        <v>м</v>
      </c>
      <c r="F1699" s="12">
        <f>Source!I625</f>
        <v>200</v>
      </c>
      <c r="G1699" s="22">
        <f>Source!AB625</f>
        <v>12.93</v>
      </c>
      <c r="H1699" s="22">
        <f>Source!O625</f>
        <v>16964.16</v>
      </c>
      <c r="T1699">
        <f>Source!O625+Source!X625+Source!Y625</f>
        <v>16964.16</v>
      </c>
      <c r="U1699">
        <f>Source!P625</f>
        <v>16964.16</v>
      </c>
      <c r="V1699">
        <f>Source!S625</f>
        <v>0</v>
      </c>
      <c r="W1699">
        <f>Source!Q625</f>
        <v>0</v>
      </c>
      <c r="X1699">
        <f>Source!R625</f>
        <v>0</v>
      </c>
      <c r="Y1699">
        <f>Source!U625</f>
        <v>0</v>
      </c>
      <c r="Z1699">
        <f>Source!V625</f>
        <v>0</v>
      </c>
      <c r="AA1699">
        <f>Source!X625</f>
        <v>0</v>
      </c>
      <c r="AB1699">
        <f>Source!Y625</f>
        <v>0</v>
      </c>
    </row>
    <row r="1700" spans="1:28" ht="14.25" x14ac:dyDescent="0.2">
      <c r="C1700" s="23" t="s">
        <v>1980</v>
      </c>
      <c r="D1700" s="23">
        <f>Source!BC625</f>
        <v>6.56</v>
      </c>
      <c r="F1700" s="12"/>
      <c r="G1700" s="12"/>
      <c r="H1700" s="12"/>
    </row>
    <row r="1701" spans="1:28" ht="57" x14ac:dyDescent="0.2">
      <c r="A1701" s="45">
        <v>260</v>
      </c>
      <c r="B1701" s="45" t="str">
        <f>Source!E626</f>
        <v>119</v>
      </c>
      <c r="C1701" s="45" t="str">
        <f>Source!G626</f>
        <v>Сверление вертикальных отверстий в бетонных конструкциях полов перфоратором глубиной 200 мм диаметром 32 мм</v>
      </c>
      <c r="D1701" s="45" t="str">
        <f>Source!F626</f>
        <v>46-03-013-03</v>
      </c>
      <c r="E1701" s="30" t="str">
        <f>Source!H626</f>
        <v>100 ШТ</v>
      </c>
      <c r="F1701" s="12">
        <f>Source!I626</f>
        <v>0.12</v>
      </c>
      <c r="G1701" s="22">
        <f>Source!AB626</f>
        <v>62.1</v>
      </c>
      <c r="H1701" s="22">
        <f>Source!O626</f>
        <v>48.89</v>
      </c>
      <c r="T1701">
        <f>Source!O626+Source!X626+Source!Y626</f>
        <v>126.61999999999999</v>
      </c>
      <c r="U1701">
        <f>Source!P626</f>
        <v>0</v>
      </c>
      <c r="V1701">
        <f>Source!S626</f>
        <v>48.89</v>
      </c>
      <c r="W1701">
        <f>Source!Q626</f>
        <v>0</v>
      </c>
      <c r="X1701">
        <f>Source!R626</f>
        <v>0</v>
      </c>
      <c r="Y1701">
        <f>Source!U626</f>
        <v>0.87360000000000004</v>
      </c>
      <c r="Z1701">
        <f>Source!V626</f>
        <v>0</v>
      </c>
      <c r="AA1701">
        <f>Source!X626</f>
        <v>48.4</v>
      </c>
      <c r="AB1701">
        <f>Source!Y626</f>
        <v>29.33</v>
      </c>
    </row>
    <row r="1702" spans="1:28" ht="14.25" x14ac:dyDescent="0.2">
      <c r="C1702" s="23" t="str">
        <f>"Объем: "&amp;Source!I626&amp;"=12/"&amp;"100"</f>
        <v>Объем: 0,12=12/100</v>
      </c>
      <c r="F1702" s="12"/>
      <c r="G1702" s="12"/>
      <c r="H1702" s="12"/>
    </row>
    <row r="1703" spans="1:28" x14ac:dyDescent="0.2">
      <c r="C1703" s="23" t="s">
        <v>1978</v>
      </c>
      <c r="D1703" s="23">
        <f>Source!BA626</f>
        <v>6.56</v>
      </c>
    </row>
    <row r="1704" spans="1:28" x14ac:dyDescent="0.2">
      <c r="C1704" s="23" t="s">
        <v>1979</v>
      </c>
      <c r="D1704" s="23">
        <f>Source!BB626</f>
        <v>6.56</v>
      </c>
    </row>
    <row r="1705" spans="1:28" x14ac:dyDescent="0.2">
      <c r="C1705" s="23" t="s">
        <v>1980</v>
      </c>
      <c r="D1705" s="23">
        <f>Source!BC626</f>
        <v>6.56</v>
      </c>
    </row>
    <row r="1706" spans="1:28" x14ac:dyDescent="0.2">
      <c r="C1706" s="23" t="s">
        <v>1981</v>
      </c>
      <c r="D1706" s="23">
        <f>Source!BS626</f>
        <v>6.56</v>
      </c>
    </row>
    <row r="1707" spans="1:28" x14ac:dyDescent="0.2">
      <c r="C1707" s="9" t="s">
        <v>1982</v>
      </c>
      <c r="D1707" s="33"/>
      <c r="E1707" s="33"/>
      <c r="F1707" s="33">
        <f>Source!BZ626</f>
        <v>110</v>
      </c>
      <c r="G1707" s="57">
        <f>(Source!AF626+Source!AE626)*Source!FX626/100</f>
        <v>61.479000000000006</v>
      </c>
      <c r="H1707" s="57">
        <f>Source!X626</f>
        <v>48.4</v>
      </c>
    </row>
    <row r="1708" spans="1:28" x14ac:dyDescent="0.2">
      <c r="C1708" s="9" t="s">
        <v>1983</v>
      </c>
      <c r="D1708" s="33"/>
      <c r="E1708" s="33"/>
      <c r="F1708" s="33"/>
      <c r="G1708" s="33" t="str">
        <f>CONCATENATE(Source!DL626,Source!FT626, "=", Source!FX626, "%")</f>
        <v>*0,9=99%</v>
      </c>
      <c r="H1708" s="33" t="str">
        <f>CONCATENATE(Source!AT626)</f>
        <v>99</v>
      </c>
    </row>
    <row r="1709" spans="1:28" x14ac:dyDescent="0.2">
      <c r="C1709" s="9" t="s">
        <v>1984</v>
      </c>
      <c r="D1709" s="33"/>
      <c r="E1709" s="33"/>
      <c r="F1709" s="33">
        <f>Source!CA626</f>
        <v>70</v>
      </c>
      <c r="G1709" s="57">
        <f>(Source!AF626+Source!AE626)*Source!FY626/100</f>
        <v>36.9495</v>
      </c>
      <c r="H1709" s="57">
        <f>Source!Y626</f>
        <v>29.33</v>
      </c>
    </row>
    <row r="1710" spans="1:28" x14ac:dyDescent="0.2">
      <c r="C1710" s="9" t="s">
        <v>1985</v>
      </c>
      <c r="D1710" s="33"/>
      <c r="E1710" s="33"/>
      <c r="F1710" s="33"/>
      <c r="G1710" s="33" t="str">
        <f>CONCATENATE(Source!DM626,Source!FU626, "=", Source!FY626, "%")</f>
        <v>*0,85=59,5%</v>
      </c>
      <c r="H1710" s="33" t="str">
        <f>CONCATENATE(Source!AU626)</f>
        <v>60</v>
      </c>
    </row>
    <row r="1711" spans="1:28" x14ac:dyDescent="0.2">
      <c r="C1711" s="9" t="s">
        <v>1986</v>
      </c>
      <c r="D1711" s="33"/>
      <c r="E1711" s="33"/>
      <c r="F1711" s="33"/>
      <c r="G1711" s="57">
        <f>((Source!AF626+Source!AE626)*Source!FX626/100)+((Source!AF626+Source!AE626)*Source!FY626/100)+Source!AB626</f>
        <v>160.52850000000001</v>
      </c>
      <c r="H1711" s="57">
        <f>Source!O626+Source!X626+Source!Y626</f>
        <v>126.61999999999999</v>
      </c>
    </row>
    <row r="1712" spans="1:28" ht="57" x14ac:dyDescent="0.2">
      <c r="A1712" s="45">
        <v>261</v>
      </c>
      <c r="B1712" s="45" t="str">
        <f>Source!E627</f>
        <v>120</v>
      </c>
      <c r="C1712" s="45" t="str">
        <f>Source!G627</f>
        <v>Прокладка трубопроводов отопления из стальных водогазопроводных неоцинкованных труб диаметром 32 мм (гильзы)</v>
      </c>
      <c r="D1712" s="45" t="str">
        <f>Source!F627</f>
        <v>16-02-001-04 прим.</v>
      </c>
      <c r="E1712" s="30" t="str">
        <f>Source!H627</f>
        <v>100 м</v>
      </c>
      <c r="F1712" s="12">
        <f>Source!I627</f>
        <v>0.14399999999999999</v>
      </c>
      <c r="G1712" s="22">
        <f>Source!AB627</f>
        <v>442.63</v>
      </c>
      <c r="H1712" s="22">
        <f>Source!O627</f>
        <v>418.13</v>
      </c>
      <c r="T1712">
        <f>Source!O627+Source!X627+Source!Y627</f>
        <v>1072.3800000000001</v>
      </c>
      <c r="U1712">
        <f>Source!P627</f>
        <v>27.37</v>
      </c>
      <c r="V1712">
        <f>Source!S627</f>
        <v>344.56</v>
      </c>
      <c r="W1712">
        <f>Source!Q627</f>
        <v>46.2</v>
      </c>
      <c r="X1712">
        <f>Source!R627</f>
        <v>7.19</v>
      </c>
      <c r="Y1712">
        <f>Source!U627</f>
        <v>5.4598319999999987</v>
      </c>
      <c r="Z1712">
        <f>Source!V627</f>
        <v>0.09</v>
      </c>
      <c r="AA1712">
        <f>Source!X627</f>
        <v>404.51</v>
      </c>
      <c r="AB1712">
        <f>Source!Y627</f>
        <v>249.74</v>
      </c>
    </row>
    <row r="1713" spans="1:28" ht="14.25" x14ac:dyDescent="0.2">
      <c r="C1713" s="23" t="str">
        <f>"Объем: "&amp;Source!I627&amp;"=14,4/"&amp;"100"</f>
        <v>Объем: 0,144=14,4/100</v>
      </c>
      <c r="F1713" s="12"/>
      <c r="G1713" s="12"/>
      <c r="H1713" s="12"/>
    </row>
    <row r="1714" spans="1:28" x14ac:dyDescent="0.2">
      <c r="C1714" s="23" t="s">
        <v>1978</v>
      </c>
      <c r="D1714" s="23">
        <f>Source!BA627</f>
        <v>6.56</v>
      </c>
    </row>
    <row r="1715" spans="1:28" x14ac:dyDescent="0.2">
      <c r="C1715" s="23" t="s">
        <v>1979</v>
      </c>
      <c r="D1715" s="23">
        <f>Source!BB627</f>
        <v>6.56</v>
      </c>
    </row>
    <row r="1716" spans="1:28" x14ac:dyDescent="0.2">
      <c r="C1716" s="23" t="s">
        <v>1980</v>
      </c>
      <c r="D1716" s="23">
        <f>Source!BC627</f>
        <v>6.56</v>
      </c>
    </row>
    <row r="1717" spans="1:28" x14ac:dyDescent="0.2">
      <c r="C1717" s="23" t="s">
        <v>1981</v>
      </c>
      <c r="D1717" s="23">
        <f>Source!BS627</f>
        <v>6.56</v>
      </c>
    </row>
    <row r="1718" spans="1:28" x14ac:dyDescent="0.2">
      <c r="C1718" s="23" t="s">
        <v>1988</v>
      </c>
      <c r="D1718" s="82" t="s">
        <v>187</v>
      </c>
      <c r="E1718" s="82"/>
      <c r="F1718" s="82"/>
      <c r="G1718" s="82"/>
      <c r="H1718" s="82"/>
    </row>
    <row r="1719" spans="1:28" x14ac:dyDescent="0.2">
      <c r="C1719" s="23" t="s">
        <v>1989</v>
      </c>
      <c r="D1719" s="82" t="s">
        <v>187</v>
      </c>
      <c r="E1719" s="82"/>
      <c r="F1719" s="82"/>
      <c r="G1719" s="82"/>
      <c r="H1719" s="82"/>
    </row>
    <row r="1720" spans="1:28" x14ac:dyDescent="0.2">
      <c r="C1720" s="23" t="s">
        <v>1990</v>
      </c>
      <c r="D1720" s="82" t="s">
        <v>188</v>
      </c>
      <c r="E1720" s="82"/>
      <c r="F1720" s="82"/>
      <c r="G1720" s="82"/>
      <c r="H1720" s="82"/>
    </row>
    <row r="1721" spans="1:28" x14ac:dyDescent="0.2">
      <c r="C1721" s="23" t="s">
        <v>1991</v>
      </c>
      <c r="D1721" s="82" t="s">
        <v>188</v>
      </c>
      <c r="E1721" s="82"/>
      <c r="F1721" s="82"/>
      <c r="G1721" s="82"/>
      <c r="H1721" s="82"/>
    </row>
    <row r="1722" spans="1:28" x14ac:dyDescent="0.2">
      <c r="C1722" s="23" t="s">
        <v>1992</v>
      </c>
      <c r="D1722" s="82" t="s">
        <v>187</v>
      </c>
      <c r="E1722" s="82"/>
      <c r="F1722" s="82"/>
      <c r="G1722" s="82"/>
      <c r="H1722" s="82"/>
    </row>
    <row r="1723" spans="1:28" x14ac:dyDescent="0.2">
      <c r="C1723" s="9" t="s">
        <v>1982</v>
      </c>
      <c r="D1723" s="33"/>
      <c r="E1723" s="33"/>
      <c r="F1723" s="33">
        <f>Source!BZ627</f>
        <v>128</v>
      </c>
      <c r="G1723" s="57">
        <f>(Source!AF627+Source!AE627)*Source!FX627/100</f>
        <v>428.95872000000003</v>
      </c>
      <c r="H1723" s="57">
        <f>Source!X627</f>
        <v>404.51</v>
      </c>
    </row>
    <row r="1724" spans="1:28" x14ac:dyDescent="0.2">
      <c r="C1724" s="9" t="s">
        <v>1983</v>
      </c>
      <c r="D1724" s="33"/>
      <c r="E1724" s="33"/>
      <c r="F1724" s="33"/>
      <c r="G1724" s="33" t="str">
        <f>CONCATENATE(Source!DL627,Source!FT627, "=", Source!FX627, "%")</f>
        <v>*0,9=115,2%</v>
      </c>
      <c r="H1724" s="33" t="str">
        <f>CONCATENATE(Source!AT627)</f>
        <v>115</v>
      </c>
    </row>
    <row r="1725" spans="1:28" x14ac:dyDescent="0.2">
      <c r="C1725" s="9" t="s">
        <v>1984</v>
      </c>
      <c r="D1725" s="33"/>
      <c r="E1725" s="33"/>
      <c r="F1725" s="33">
        <f>Source!CA627</f>
        <v>83</v>
      </c>
      <c r="G1725" s="57">
        <f>(Source!AF627+Source!AE627)*Source!FY627/100</f>
        <v>262.69997999999998</v>
      </c>
      <c r="H1725" s="57">
        <f>Source!Y627</f>
        <v>249.74</v>
      </c>
    </row>
    <row r="1726" spans="1:28" x14ac:dyDescent="0.2">
      <c r="C1726" s="9" t="s">
        <v>1985</v>
      </c>
      <c r="D1726" s="33"/>
      <c r="E1726" s="33"/>
      <c r="F1726" s="33"/>
      <c r="G1726" s="33" t="str">
        <f>CONCATENATE(Source!DM627,Source!FU627, "=", Source!FY627, "%")</f>
        <v>*0,85=70,55%</v>
      </c>
      <c r="H1726" s="33" t="str">
        <f>CONCATENATE(Source!AU627)</f>
        <v>71</v>
      </c>
    </row>
    <row r="1727" spans="1:28" x14ac:dyDescent="0.2">
      <c r="C1727" s="9" t="s">
        <v>1986</v>
      </c>
      <c r="D1727" s="33"/>
      <c r="E1727" s="33"/>
      <c r="F1727" s="33"/>
      <c r="G1727" s="57">
        <f>((Source!AF627+Source!AE627)*Source!FX627/100)+((Source!AF627+Source!AE627)*Source!FY627/100)+Source!AB627</f>
        <v>1134.2887000000001</v>
      </c>
      <c r="H1727" s="57">
        <f>Source!O627+Source!X627+Source!Y627</f>
        <v>1072.3800000000001</v>
      </c>
    </row>
    <row r="1728" spans="1:28" ht="85.5" x14ac:dyDescent="0.2">
      <c r="A1728" s="45">
        <v>262</v>
      </c>
      <c r="B1728" s="45" t="str">
        <f>Source!E628</f>
        <v>120,1</v>
      </c>
      <c r="C1728" s="45" t="str">
        <f>Source!G628</f>
        <v>Трубы стальные сварные водогазопроводные с резьбой черные легкие (неоцинкованные) диаметр условного прохода 32 мм, толщина стенки 2,8 мм( Гильзы стальные ) прим.</v>
      </c>
      <c r="D1728" s="45" t="str">
        <f>Source!F628</f>
        <v>23.3.06.04-0009</v>
      </c>
      <c r="E1728" s="30" t="str">
        <f>Source!H628</f>
        <v>м</v>
      </c>
      <c r="F1728" s="12">
        <f>Source!I628</f>
        <v>14.4</v>
      </c>
      <c r="G1728" s="22">
        <f>Source!AB628</f>
        <v>20.32</v>
      </c>
      <c r="H1728" s="22">
        <f>Source!O628</f>
        <v>1919.51</v>
      </c>
      <c r="T1728">
        <f>Source!O628+Source!X628+Source!Y628</f>
        <v>1919.51</v>
      </c>
      <c r="U1728">
        <f>Source!P628</f>
        <v>1919.51</v>
      </c>
      <c r="V1728">
        <f>Source!S628</f>
        <v>0</v>
      </c>
      <c r="W1728">
        <f>Source!Q628</f>
        <v>0</v>
      </c>
      <c r="X1728">
        <f>Source!R628</f>
        <v>0</v>
      </c>
      <c r="Y1728">
        <f>Source!U628</f>
        <v>0</v>
      </c>
      <c r="Z1728">
        <f>Source!V628</f>
        <v>0</v>
      </c>
      <c r="AA1728">
        <f>Source!X628</f>
        <v>0</v>
      </c>
      <c r="AB1728">
        <f>Source!Y628</f>
        <v>0</v>
      </c>
    </row>
    <row r="1729" spans="1:28" ht="14.25" x14ac:dyDescent="0.2">
      <c r="C1729" s="23" t="s">
        <v>1980</v>
      </c>
      <c r="D1729" s="23">
        <f>Source!BC628</f>
        <v>6.56</v>
      </c>
      <c r="F1729" s="12"/>
      <c r="G1729" s="12"/>
      <c r="H1729" s="12"/>
    </row>
    <row r="1730" spans="1:28" ht="42.75" x14ac:dyDescent="0.2">
      <c r="A1730" s="45">
        <v>263</v>
      </c>
      <c r="B1730" s="45" t="str">
        <f>Source!E629</f>
        <v>121</v>
      </c>
      <c r="C1730" s="45" t="str">
        <f>Source!G629</f>
        <v>Врезка в действующие внутренние сети трубопроводов отопления и водоснабжения диаметром 20 мм</v>
      </c>
      <c r="D1730" s="45" t="str">
        <f>Source!F629</f>
        <v>16-07-003-02</v>
      </c>
      <c r="E1730" s="30" t="str">
        <f>Source!H629</f>
        <v>ШТ</v>
      </c>
      <c r="F1730" s="12">
        <f>Source!I629</f>
        <v>7</v>
      </c>
      <c r="G1730" s="22">
        <f>Source!AB629</f>
        <v>61.11</v>
      </c>
      <c r="H1730" s="22">
        <f>Source!O629</f>
        <v>2806.17</v>
      </c>
      <c r="T1730">
        <f>Source!O629+Source!X629+Source!Y629</f>
        <v>6595.0099999999993</v>
      </c>
      <c r="U1730">
        <f>Source!P629</f>
        <v>557.47</v>
      </c>
      <c r="V1730">
        <f>Source!S629</f>
        <v>2031.5</v>
      </c>
      <c r="W1730">
        <f>Source!Q629</f>
        <v>217.2</v>
      </c>
      <c r="X1730">
        <f>Source!R629</f>
        <v>5.51</v>
      </c>
      <c r="Y1730">
        <f>Source!U629</f>
        <v>31.22</v>
      </c>
      <c r="Z1730">
        <f>Source!V629</f>
        <v>7.0000000000000007E-2</v>
      </c>
      <c r="AA1730">
        <f>Source!X629</f>
        <v>2342.56</v>
      </c>
      <c r="AB1730">
        <f>Source!Y629</f>
        <v>1446.28</v>
      </c>
    </row>
    <row r="1731" spans="1:28" ht="14.25" x14ac:dyDescent="0.2">
      <c r="C1731" s="23" t="s">
        <v>1978</v>
      </c>
      <c r="D1731" s="23">
        <f>Source!BA629</f>
        <v>6.56</v>
      </c>
      <c r="F1731" s="12"/>
      <c r="G1731" s="12"/>
      <c r="H1731" s="12"/>
    </row>
    <row r="1732" spans="1:28" x14ac:dyDescent="0.2">
      <c r="C1732" s="23" t="s">
        <v>1979</v>
      </c>
      <c r="D1732" s="23">
        <f>Source!BB629</f>
        <v>6.56</v>
      </c>
    </row>
    <row r="1733" spans="1:28" x14ac:dyDescent="0.2">
      <c r="C1733" s="23" t="s">
        <v>1980</v>
      </c>
      <c r="D1733" s="23">
        <f>Source!BC629</f>
        <v>6.56</v>
      </c>
    </row>
    <row r="1734" spans="1:28" x14ac:dyDescent="0.2">
      <c r="C1734" s="23" t="s">
        <v>1981</v>
      </c>
      <c r="D1734" s="23">
        <f>Source!BS629</f>
        <v>6.56</v>
      </c>
    </row>
    <row r="1735" spans="1:28" x14ac:dyDescent="0.2">
      <c r="C1735" s="9" t="s">
        <v>1982</v>
      </c>
      <c r="D1735" s="33"/>
      <c r="E1735" s="33"/>
      <c r="F1735" s="33">
        <f>Source!BZ629</f>
        <v>128</v>
      </c>
      <c r="G1735" s="57">
        <f>(Source!AF629+Source!AE629)*Source!FX629/100</f>
        <v>51.102719999999998</v>
      </c>
      <c r="H1735" s="57">
        <f>Source!X629</f>
        <v>2342.56</v>
      </c>
    </row>
    <row r="1736" spans="1:28" x14ac:dyDescent="0.2">
      <c r="C1736" s="9" t="s">
        <v>1983</v>
      </c>
      <c r="D1736" s="33"/>
      <c r="E1736" s="33"/>
      <c r="F1736" s="33"/>
      <c r="G1736" s="33" t="str">
        <f>CONCATENATE(Source!DL629,Source!FT629, "=", Source!FX629, "%")</f>
        <v>*0,9=115,2%</v>
      </c>
      <c r="H1736" s="33" t="str">
        <f>CONCATENATE(Source!AT629)</f>
        <v>115</v>
      </c>
    </row>
    <row r="1737" spans="1:28" x14ac:dyDescent="0.2">
      <c r="C1737" s="9" t="s">
        <v>1984</v>
      </c>
      <c r="D1737" s="33"/>
      <c r="E1737" s="33"/>
      <c r="F1737" s="33">
        <f>Source!CA629</f>
        <v>83</v>
      </c>
      <c r="G1737" s="57">
        <f>(Source!AF629+Source!AE629)*Source!FY629/100</f>
        <v>31.29598</v>
      </c>
      <c r="H1737" s="57">
        <f>Source!Y629</f>
        <v>1446.28</v>
      </c>
    </row>
    <row r="1738" spans="1:28" x14ac:dyDescent="0.2">
      <c r="C1738" s="9" t="s">
        <v>1985</v>
      </c>
      <c r="D1738" s="33"/>
      <c r="E1738" s="33"/>
      <c r="F1738" s="33"/>
      <c r="G1738" s="33" t="str">
        <f>CONCATENATE(Source!DM629,Source!FU629, "=", Source!FY629, "%")</f>
        <v>*0,85=70,55%</v>
      </c>
      <c r="H1738" s="33" t="str">
        <f>CONCATENATE(Source!AU629)</f>
        <v>71</v>
      </c>
    </row>
    <row r="1739" spans="1:28" x14ac:dyDescent="0.2">
      <c r="C1739" s="9" t="s">
        <v>1986</v>
      </c>
      <c r="D1739" s="33"/>
      <c r="E1739" s="33"/>
      <c r="F1739" s="33"/>
      <c r="G1739" s="57">
        <f>((Source!AF629+Source!AE629)*Source!FX629/100)+((Source!AF629+Source!AE629)*Source!FY629/100)+Source!AB629</f>
        <v>143.50869999999998</v>
      </c>
      <c r="H1739" s="57">
        <f>Source!O629+Source!X629+Source!Y629</f>
        <v>6595.0099999999993</v>
      </c>
    </row>
    <row r="1740" spans="1:28" ht="57" x14ac:dyDescent="0.2">
      <c r="A1740" s="45">
        <v>264</v>
      </c>
      <c r="B1740" s="45" t="str">
        <f>Source!E630</f>
        <v>122</v>
      </c>
      <c r="C1740" s="45" t="str">
        <f>Source!G630</f>
        <v>Масляная окраска металлических поверхностей решеток, переплетов, труб диаметром менее 50 мм и т.п., количество окрасок 2 (0,13х608м)</v>
      </c>
      <c r="D1740" s="45" t="str">
        <f>Source!F630</f>
        <v>15-04-030-04</v>
      </c>
      <c r="E1740" s="30" t="str">
        <f>Source!H630</f>
        <v>100 м2</v>
      </c>
      <c r="F1740" s="12">
        <f>Source!I630</f>
        <v>0.23719999999999999</v>
      </c>
      <c r="G1740" s="22">
        <f>Source!AB630</f>
        <v>815.45</v>
      </c>
      <c r="H1740" s="22">
        <f>Source!O630</f>
        <v>1268.8599999999999</v>
      </c>
      <c r="T1740">
        <f>Source!O630+Source!X630+Source!Y630</f>
        <v>2869.99</v>
      </c>
      <c r="U1740">
        <f>Source!P630</f>
        <v>137.82</v>
      </c>
      <c r="V1740">
        <f>Source!S630</f>
        <v>1126.6099999999999</v>
      </c>
      <c r="W1740">
        <f>Source!Q630</f>
        <v>4.43</v>
      </c>
      <c r="X1740">
        <f>Source!R630</f>
        <v>0.95</v>
      </c>
      <c r="Y1740">
        <f>Source!U630</f>
        <v>19.383746799999997</v>
      </c>
      <c r="Z1740">
        <f>Source!V630</f>
        <v>1.1860000000000001E-2</v>
      </c>
      <c r="AA1740">
        <f>Source!X630</f>
        <v>1071.18</v>
      </c>
      <c r="AB1740">
        <f>Source!Y630</f>
        <v>529.95000000000005</v>
      </c>
    </row>
    <row r="1741" spans="1:28" ht="14.25" x14ac:dyDescent="0.2">
      <c r="C1741" s="23" t="str">
        <f>"Объем: "&amp;Source!I630&amp;"=23,72/"&amp;"100"</f>
        <v>Объем: 0,2372=23,72/100</v>
      </c>
      <c r="F1741" s="12"/>
      <c r="G1741" s="12"/>
      <c r="H1741" s="12"/>
    </row>
    <row r="1742" spans="1:28" x14ac:dyDescent="0.2">
      <c r="C1742" s="23" t="s">
        <v>1978</v>
      </c>
      <c r="D1742" s="23">
        <f>Source!BA630</f>
        <v>6.56</v>
      </c>
    </row>
    <row r="1743" spans="1:28" x14ac:dyDescent="0.2">
      <c r="C1743" s="23" t="s">
        <v>1979</v>
      </c>
      <c r="D1743" s="23">
        <f>Source!BB630</f>
        <v>6.56</v>
      </c>
    </row>
    <row r="1744" spans="1:28" x14ac:dyDescent="0.2">
      <c r="C1744" s="23" t="s">
        <v>1980</v>
      </c>
      <c r="D1744" s="23">
        <f>Source!BC630</f>
        <v>6.56</v>
      </c>
    </row>
    <row r="1745" spans="1:28" x14ac:dyDescent="0.2">
      <c r="C1745" s="23" t="s">
        <v>1981</v>
      </c>
      <c r="D1745" s="23">
        <f>Source!BS630</f>
        <v>6.56</v>
      </c>
    </row>
    <row r="1746" spans="1:28" x14ac:dyDescent="0.2">
      <c r="C1746" s="23" t="s">
        <v>1988</v>
      </c>
      <c r="D1746" s="82" t="s">
        <v>187</v>
      </c>
      <c r="E1746" s="82"/>
      <c r="F1746" s="82"/>
      <c r="G1746" s="82"/>
      <c r="H1746" s="82"/>
    </row>
    <row r="1747" spans="1:28" x14ac:dyDescent="0.2">
      <c r="C1747" s="23" t="s">
        <v>1989</v>
      </c>
      <c r="D1747" s="82" t="s">
        <v>187</v>
      </c>
      <c r="E1747" s="82"/>
      <c r="F1747" s="82"/>
      <c r="G1747" s="82"/>
      <c r="H1747" s="82"/>
    </row>
    <row r="1748" spans="1:28" x14ac:dyDescent="0.2">
      <c r="C1748" s="23" t="s">
        <v>1990</v>
      </c>
      <c r="D1748" s="82" t="s">
        <v>188</v>
      </c>
      <c r="E1748" s="82"/>
      <c r="F1748" s="82"/>
      <c r="G1748" s="82"/>
      <c r="H1748" s="82"/>
    </row>
    <row r="1749" spans="1:28" x14ac:dyDescent="0.2">
      <c r="C1749" s="23" t="s">
        <v>1991</v>
      </c>
      <c r="D1749" s="82" t="s">
        <v>188</v>
      </c>
      <c r="E1749" s="82"/>
      <c r="F1749" s="82"/>
      <c r="G1749" s="82"/>
      <c r="H1749" s="82"/>
    </row>
    <row r="1750" spans="1:28" x14ac:dyDescent="0.2">
      <c r="C1750" s="23" t="s">
        <v>1992</v>
      </c>
      <c r="D1750" s="82" t="s">
        <v>187</v>
      </c>
      <c r="E1750" s="82"/>
      <c r="F1750" s="82"/>
      <c r="G1750" s="82"/>
      <c r="H1750" s="82"/>
    </row>
    <row r="1751" spans="1:28" x14ac:dyDescent="0.2">
      <c r="C1751" s="9" t="s">
        <v>1982</v>
      </c>
      <c r="D1751" s="33"/>
      <c r="E1751" s="33"/>
      <c r="F1751" s="33">
        <f>Source!BZ630</f>
        <v>105</v>
      </c>
      <c r="G1751" s="57">
        <f>(Source!AF630+Source!AE630)*Source!FX630/100</f>
        <v>684.7847999999999</v>
      </c>
      <c r="H1751" s="57">
        <f>Source!X630</f>
        <v>1071.18</v>
      </c>
    </row>
    <row r="1752" spans="1:28" x14ac:dyDescent="0.2">
      <c r="C1752" s="9" t="s">
        <v>1983</v>
      </c>
      <c r="D1752" s="33"/>
      <c r="E1752" s="33"/>
      <c r="F1752" s="33"/>
      <c r="G1752" s="33" t="str">
        <f>CONCATENATE(Source!DL630,Source!FT630, "=", Source!FX630, "%")</f>
        <v>*0,9=94,5%</v>
      </c>
      <c r="H1752" s="33" t="str">
        <f>CONCATENATE(Source!AT630)</f>
        <v>95</v>
      </c>
    </row>
    <row r="1753" spans="1:28" x14ac:dyDescent="0.2">
      <c r="C1753" s="9" t="s">
        <v>1984</v>
      </c>
      <c r="D1753" s="33"/>
      <c r="E1753" s="33"/>
      <c r="F1753" s="33">
        <f>Source!CA630</f>
        <v>55</v>
      </c>
      <c r="G1753" s="57">
        <f>(Source!AF630+Source!AE630)*Source!FY630/100</f>
        <v>338.76919999999996</v>
      </c>
      <c r="H1753" s="57">
        <f>Source!Y630</f>
        <v>529.95000000000005</v>
      </c>
    </row>
    <row r="1754" spans="1:28" x14ac:dyDescent="0.2">
      <c r="C1754" s="9" t="s">
        <v>1985</v>
      </c>
      <c r="D1754" s="33"/>
      <c r="E1754" s="33"/>
      <c r="F1754" s="33"/>
      <c r="G1754" s="33" t="str">
        <f>CONCATENATE(Source!DM630,Source!FU630, "=", Source!FY630, "%")</f>
        <v>*0,85=46,75%</v>
      </c>
      <c r="H1754" s="33" t="str">
        <f>CONCATENATE(Source!AU630)</f>
        <v>47</v>
      </c>
    </row>
    <row r="1755" spans="1:28" x14ac:dyDescent="0.2">
      <c r="C1755" s="9" t="s">
        <v>1986</v>
      </c>
      <c r="D1755" s="33"/>
      <c r="E1755" s="33"/>
      <c r="F1755" s="33"/>
      <c r="G1755" s="57">
        <f>((Source!AF630+Source!AE630)*Source!FX630/100)+((Source!AF630+Source!AE630)*Source!FY630/100)+Source!AB630</f>
        <v>1839.0039999999999</v>
      </c>
      <c r="H1755" s="57">
        <f>Source!O630+Source!X630+Source!Y630</f>
        <v>2869.99</v>
      </c>
    </row>
    <row r="1756" spans="1:28" ht="42.75" x14ac:dyDescent="0.2">
      <c r="A1756" s="45">
        <v>265</v>
      </c>
      <c r="B1756" s="45" t="str">
        <f>Source!E631</f>
        <v>122,1</v>
      </c>
      <c r="C1756" s="45" t="str">
        <f>Source!G631</f>
        <v>Краски для внутренних работ масляные готовые к применению МА-15 БИО</v>
      </c>
      <c r="D1756" s="45" t="str">
        <f>Source!F631</f>
        <v>14.4.02.04-0101</v>
      </c>
      <c r="E1756" s="30" t="str">
        <f>Source!H631</f>
        <v>т</v>
      </c>
      <c r="F1756" s="12">
        <f>Source!I631</f>
        <v>5.8349999999999999E-3</v>
      </c>
      <c r="G1756" s="22">
        <f>Source!AB631</f>
        <v>42508.19</v>
      </c>
      <c r="H1756" s="22">
        <f>Source!O631</f>
        <v>1627.11</v>
      </c>
      <c r="T1756">
        <f>Source!O631+Source!X631+Source!Y631</f>
        <v>1627.11</v>
      </c>
      <c r="U1756">
        <f>Source!P631</f>
        <v>1627.11</v>
      </c>
      <c r="V1756">
        <f>Source!S631</f>
        <v>0</v>
      </c>
      <c r="W1756">
        <f>Source!Q631</f>
        <v>0</v>
      </c>
      <c r="X1756">
        <f>Source!R631</f>
        <v>0</v>
      </c>
      <c r="Y1756">
        <f>Source!U631</f>
        <v>0</v>
      </c>
      <c r="Z1756">
        <f>Source!V631</f>
        <v>0</v>
      </c>
      <c r="AA1756">
        <f>Source!X631</f>
        <v>0</v>
      </c>
      <c r="AB1756">
        <f>Source!Y631</f>
        <v>0</v>
      </c>
    </row>
    <row r="1757" spans="1:28" ht="14.25" x14ac:dyDescent="0.2">
      <c r="C1757" s="23" t="s">
        <v>1980</v>
      </c>
      <c r="D1757" s="23">
        <f>Source!BC631</f>
        <v>6.56</v>
      </c>
      <c r="F1757" s="12"/>
      <c r="G1757" s="12"/>
      <c r="H1757" s="12"/>
    </row>
    <row r="1758" spans="1:28" ht="28.5" x14ac:dyDescent="0.2">
      <c r="A1758" s="45">
        <v>266</v>
      </c>
      <c r="B1758" s="45" t="str">
        <f>Source!E632</f>
        <v>122,2</v>
      </c>
      <c r="C1758" s="45" t="str">
        <f>Source!G632</f>
        <v>Краски для внутренних работ масляные готовые к применению</v>
      </c>
      <c r="D1758" s="45" t="str">
        <f>Source!F632</f>
        <v>14.4.02.04</v>
      </c>
      <c r="E1758" s="30" t="str">
        <f>Source!H632</f>
        <v>т</v>
      </c>
      <c r="F1758" s="12">
        <f>Source!I632</f>
        <v>5.8349999999999999E-3</v>
      </c>
      <c r="G1758" s="22">
        <f>Source!AB632</f>
        <v>0</v>
      </c>
      <c r="H1758" s="22">
        <f>Source!O632</f>
        <v>0</v>
      </c>
      <c r="T1758">
        <f>Source!O632+Source!X632+Source!Y632</f>
        <v>0</v>
      </c>
      <c r="U1758">
        <f>Source!P632</f>
        <v>0</v>
      </c>
      <c r="V1758">
        <f>Source!S632</f>
        <v>0</v>
      </c>
      <c r="W1758">
        <f>Source!Q632</f>
        <v>0</v>
      </c>
      <c r="X1758">
        <f>Source!R632</f>
        <v>0</v>
      </c>
      <c r="Y1758">
        <f>Source!U632</f>
        <v>0</v>
      </c>
      <c r="Z1758">
        <f>Source!V632</f>
        <v>0</v>
      </c>
      <c r="AA1758">
        <f>Source!X632</f>
        <v>0</v>
      </c>
      <c r="AB1758">
        <f>Source!Y632</f>
        <v>0</v>
      </c>
    </row>
    <row r="1759" spans="1:28" ht="14.25" x14ac:dyDescent="0.2">
      <c r="C1759" s="23" t="s">
        <v>1980</v>
      </c>
      <c r="D1759" s="23">
        <f>Source!BC632</f>
        <v>6.56</v>
      </c>
      <c r="F1759" s="12"/>
      <c r="G1759" s="12"/>
      <c r="H1759" s="12"/>
    </row>
    <row r="1760" spans="1:28" ht="57" x14ac:dyDescent="0.2">
      <c r="A1760" s="45">
        <v>267</v>
      </c>
      <c r="B1760" s="45" t="str">
        <f>Source!E633</f>
        <v>123</v>
      </c>
      <c r="C1760" s="45" t="str">
        <f>Source!G633</f>
        <v>Гидравлическое испытание трубопроводов систем отопления, водопровода и горячего водоснабжения диаметром до 50 мм</v>
      </c>
      <c r="D1760" s="45" t="str">
        <f>Source!F633</f>
        <v>16-07-005-01</v>
      </c>
      <c r="E1760" s="30" t="str">
        <f>Source!H633</f>
        <v>100 м</v>
      </c>
      <c r="F1760" s="12">
        <f>Source!I633</f>
        <v>2</v>
      </c>
      <c r="G1760" s="22">
        <f>Source!AB633</f>
        <v>127</v>
      </c>
      <c r="H1760" s="22">
        <f>Source!O633</f>
        <v>1666.24</v>
      </c>
      <c r="T1760">
        <f>Source!O633+Source!X633+Source!Y633</f>
        <v>3302.96</v>
      </c>
      <c r="U1760">
        <f>Source!P633</f>
        <v>56.28</v>
      </c>
      <c r="V1760">
        <f>Source!S633</f>
        <v>879.96</v>
      </c>
      <c r="W1760">
        <f>Source!Q633</f>
        <v>730</v>
      </c>
      <c r="X1760">
        <f>Source!R633</f>
        <v>0</v>
      </c>
      <c r="Y1760">
        <f>Source!U633</f>
        <v>11.522999999999998</v>
      </c>
      <c r="Z1760">
        <f>Source!V633</f>
        <v>0</v>
      </c>
      <c r="AA1760">
        <f>Source!X633</f>
        <v>1011.95</v>
      </c>
      <c r="AB1760">
        <f>Source!Y633</f>
        <v>624.77</v>
      </c>
    </row>
    <row r="1761" spans="3:8" ht="14.25" x14ac:dyDescent="0.2">
      <c r="C1761" s="23" t="str">
        <f>"Объем: "&amp;Source!I633&amp;"=200/"&amp;"100"</f>
        <v>Объем: 2=200/100</v>
      </c>
      <c r="F1761" s="12"/>
      <c r="G1761" s="12"/>
      <c r="H1761" s="12"/>
    </row>
    <row r="1762" spans="3:8" x14ac:dyDescent="0.2">
      <c r="C1762" s="23" t="s">
        <v>1978</v>
      </c>
      <c r="D1762" s="23">
        <f>Source!BA633</f>
        <v>6.56</v>
      </c>
    </row>
    <row r="1763" spans="3:8" x14ac:dyDescent="0.2">
      <c r="C1763" s="23" t="s">
        <v>1979</v>
      </c>
      <c r="D1763" s="23">
        <f>Source!BB633</f>
        <v>6.56</v>
      </c>
    </row>
    <row r="1764" spans="3:8" x14ac:dyDescent="0.2">
      <c r="C1764" s="23" t="s">
        <v>1980</v>
      </c>
      <c r="D1764" s="23">
        <f>Source!BC633</f>
        <v>6.56</v>
      </c>
    </row>
    <row r="1765" spans="3:8" x14ac:dyDescent="0.2">
      <c r="C1765" s="23" t="s">
        <v>1981</v>
      </c>
      <c r="D1765" s="23">
        <f>Source!BS633</f>
        <v>6.56</v>
      </c>
    </row>
    <row r="1766" spans="3:8" x14ac:dyDescent="0.2">
      <c r="C1766" s="23" t="s">
        <v>1988</v>
      </c>
      <c r="D1766" s="82" t="s">
        <v>187</v>
      </c>
      <c r="E1766" s="82"/>
      <c r="F1766" s="82"/>
      <c r="G1766" s="82"/>
      <c r="H1766" s="82"/>
    </row>
    <row r="1767" spans="3:8" x14ac:dyDescent="0.2">
      <c r="C1767" s="23" t="s">
        <v>1989</v>
      </c>
      <c r="D1767" s="82" t="s">
        <v>187</v>
      </c>
      <c r="E1767" s="82"/>
      <c r="F1767" s="82"/>
      <c r="G1767" s="82"/>
      <c r="H1767" s="82"/>
    </row>
    <row r="1768" spans="3:8" x14ac:dyDescent="0.2">
      <c r="C1768" s="23" t="s">
        <v>1990</v>
      </c>
      <c r="D1768" s="82" t="s">
        <v>188</v>
      </c>
      <c r="E1768" s="82"/>
      <c r="F1768" s="82"/>
      <c r="G1768" s="82"/>
      <c r="H1768" s="82"/>
    </row>
    <row r="1769" spans="3:8" x14ac:dyDescent="0.2">
      <c r="C1769" s="23" t="s">
        <v>1991</v>
      </c>
      <c r="D1769" s="82" t="s">
        <v>188</v>
      </c>
      <c r="E1769" s="82"/>
      <c r="F1769" s="82"/>
      <c r="G1769" s="82"/>
      <c r="H1769" s="82"/>
    </row>
    <row r="1770" spans="3:8" x14ac:dyDescent="0.2">
      <c r="C1770" s="23" t="s">
        <v>1992</v>
      </c>
      <c r="D1770" s="82" t="s">
        <v>187</v>
      </c>
      <c r="E1770" s="82"/>
      <c r="F1770" s="82"/>
      <c r="G1770" s="82"/>
      <c r="H1770" s="82"/>
    </row>
    <row r="1771" spans="3:8" x14ac:dyDescent="0.2">
      <c r="C1771" s="9" t="s">
        <v>1982</v>
      </c>
      <c r="D1771" s="33"/>
      <c r="E1771" s="33"/>
      <c r="F1771" s="33">
        <f>Source!BZ633</f>
        <v>128</v>
      </c>
      <c r="G1771" s="57">
        <f>(Source!AF633+Source!AE633)*Source!FX633/100</f>
        <v>77.264639999999986</v>
      </c>
      <c r="H1771" s="57">
        <f>Source!X633</f>
        <v>1011.95</v>
      </c>
    </row>
    <row r="1772" spans="3:8" x14ac:dyDescent="0.2">
      <c r="C1772" s="9" t="s">
        <v>1983</v>
      </c>
      <c r="D1772" s="33"/>
      <c r="E1772" s="33"/>
      <c r="F1772" s="33"/>
      <c r="G1772" s="33" t="str">
        <f>CONCATENATE(Source!DL633,Source!FT633, "=", Source!FX633, "%")</f>
        <v>*0,9=115,2%</v>
      </c>
      <c r="H1772" s="33" t="str">
        <f>CONCATENATE(Source!AT633)</f>
        <v>115</v>
      </c>
    </row>
    <row r="1773" spans="3:8" x14ac:dyDescent="0.2">
      <c r="C1773" s="9" t="s">
        <v>1984</v>
      </c>
      <c r="D1773" s="33"/>
      <c r="E1773" s="33"/>
      <c r="F1773" s="33">
        <f>Source!CA633</f>
        <v>83</v>
      </c>
      <c r="G1773" s="57">
        <f>(Source!AF633+Source!AE633)*Source!FY633/100</f>
        <v>47.317884999999997</v>
      </c>
      <c r="H1773" s="57">
        <f>Source!Y633</f>
        <v>624.77</v>
      </c>
    </row>
    <row r="1774" spans="3:8" x14ac:dyDescent="0.2">
      <c r="C1774" s="9" t="s">
        <v>1985</v>
      </c>
      <c r="D1774" s="33"/>
      <c r="E1774" s="33"/>
      <c r="F1774" s="33"/>
      <c r="G1774" s="33" t="str">
        <f>CONCATENATE(Source!DM633,Source!FU633, "=", Source!FY633, "%")</f>
        <v>*0,85=70,55%</v>
      </c>
      <c r="H1774" s="33" t="str">
        <f>CONCATENATE(Source!AU633)</f>
        <v>71</v>
      </c>
    </row>
    <row r="1775" spans="3:8" x14ac:dyDescent="0.2">
      <c r="C1775" s="9" t="s">
        <v>1986</v>
      </c>
      <c r="D1775" s="33"/>
      <c r="E1775" s="33"/>
      <c r="F1775" s="33"/>
      <c r="G1775" s="57">
        <f>((Source!AF633+Source!AE633)*Source!FX633/100)+((Source!AF633+Source!AE633)*Source!FY633/100)+Source!AB633</f>
        <v>251.58252499999998</v>
      </c>
      <c r="H1775" s="57">
        <f>Source!O633+Source!X633+Source!Y633</f>
        <v>3302.96</v>
      </c>
    </row>
    <row r="1777" spans="1:28" ht="15" x14ac:dyDescent="0.25">
      <c r="A1777" s="58"/>
      <c r="B1777" s="58"/>
      <c r="C1777" s="66" t="str">
        <f>CONCATENATE("Итого по разделу: ",IF(Source!G635&lt;&gt;"Новый раздел", Source!G635, ""))</f>
        <v>Итого по разделу: 6 Отопление</v>
      </c>
      <c r="D1777" s="66"/>
      <c r="E1777" s="66"/>
      <c r="F1777" s="66"/>
      <c r="G1777" s="58"/>
      <c r="H1777" s="59">
        <f>IF(SUM(T1635:T1776)=0, "-", SUM(T1635:T1776))</f>
        <v>315024.89999999997</v>
      </c>
    </row>
    <row r="1778" spans="1:28" ht="15" x14ac:dyDescent="0.25">
      <c r="A1778" s="58"/>
      <c r="B1778" s="58"/>
      <c r="C1778" s="58"/>
      <c r="D1778" s="58"/>
      <c r="E1778" s="58"/>
      <c r="F1778" s="58"/>
      <c r="G1778" s="58"/>
      <c r="H1778" s="58"/>
    </row>
    <row r="1781" spans="1:28" ht="16.5" x14ac:dyDescent="0.25">
      <c r="A1781" s="68" t="str">
        <f>CONCATENATE("Раздел: ",IF(Source!G664&lt;&gt;"Новый раздел", Source!G664, ""))</f>
        <v>Раздел: 7 Система горячего и холодного водоснабжения</v>
      </c>
      <c r="B1781" s="68"/>
      <c r="C1781" s="68"/>
      <c r="D1781" s="68"/>
      <c r="E1781" s="68"/>
      <c r="F1781" s="68"/>
      <c r="G1781" s="68"/>
      <c r="H1781" s="68"/>
    </row>
    <row r="1782" spans="1:28" ht="42.75" x14ac:dyDescent="0.2">
      <c r="A1782" s="45">
        <v>268</v>
      </c>
      <c r="B1782" s="45" t="str">
        <f>Source!E668</f>
        <v>124</v>
      </c>
      <c r="C1782" s="45" t="str">
        <f>Source!G668</f>
        <v>Разборка трубопроводов из водогазопроводных труб диаметром до 32 мм</v>
      </c>
      <c r="D1782" s="45" t="str">
        <f>Source!F668</f>
        <v>65-1-1</v>
      </c>
      <c r="E1782" s="30" t="str">
        <f>Source!H668</f>
        <v>100 м</v>
      </c>
      <c r="F1782" s="12">
        <f>Source!I668</f>
        <v>0.48</v>
      </c>
      <c r="G1782" s="22">
        <f>Source!AB668</f>
        <v>295.11</v>
      </c>
      <c r="H1782" s="22">
        <f>Source!O668</f>
        <v>929.24</v>
      </c>
      <c r="T1782">
        <f>Source!O668+Source!X668+Source!Y668</f>
        <v>2059.1</v>
      </c>
      <c r="U1782">
        <f>Source!P668</f>
        <v>0</v>
      </c>
      <c r="V1782">
        <f>Source!S668</f>
        <v>906.92</v>
      </c>
      <c r="W1782">
        <f>Source!Q668</f>
        <v>22.32</v>
      </c>
      <c r="X1782">
        <f>Source!R668</f>
        <v>4.25</v>
      </c>
      <c r="Y1782">
        <f>Source!U668</f>
        <v>16.636799999999997</v>
      </c>
      <c r="Z1782">
        <f>Source!V668</f>
        <v>4.8000000000000001E-2</v>
      </c>
      <c r="AA1782">
        <f>Source!X668</f>
        <v>674.27</v>
      </c>
      <c r="AB1782">
        <f>Source!Y668</f>
        <v>455.59</v>
      </c>
    </row>
    <row r="1783" spans="1:28" ht="14.25" x14ac:dyDescent="0.2">
      <c r="C1783" s="23" t="str">
        <f>"Объем: "&amp;Source!I668&amp;"=48/"&amp;"100"</f>
        <v>Объем: 0,48=48/100</v>
      </c>
      <c r="F1783" s="12"/>
      <c r="G1783" s="12"/>
      <c r="H1783" s="12"/>
    </row>
    <row r="1784" spans="1:28" x14ac:dyDescent="0.2">
      <c r="C1784" s="23" t="s">
        <v>1978</v>
      </c>
      <c r="D1784" s="23">
        <f>Source!BA668</f>
        <v>6.56</v>
      </c>
    </row>
    <row r="1785" spans="1:28" x14ac:dyDescent="0.2">
      <c r="C1785" s="23" t="s">
        <v>1979</v>
      </c>
      <c r="D1785" s="23">
        <f>Source!BB668</f>
        <v>6.56</v>
      </c>
    </row>
    <row r="1786" spans="1:28" x14ac:dyDescent="0.2">
      <c r="C1786" s="23" t="s">
        <v>1980</v>
      </c>
      <c r="D1786" s="23">
        <f>Source!BC668</f>
        <v>6.56</v>
      </c>
    </row>
    <row r="1787" spans="1:28" x14ac:dyDescent="0.2">
      <c r="C1787" s="23" t="s">
        <v>1981</v>
      </c>
      <c r="D1787" s="23">
        <f>Source!BS668</f>
        <v>6.56</v>
      </c>
    </row>
    <row r="1788" spans="1:28" x14ac:dyDescent="0.2">
      <c r="C1788" s="23" t="s">
        <v>1987</v>
      </c>
      <c r="D1788" s="82" t="s">
        <v>48</v>
      </c>
      <c r="E1788" s="82"/>
      <c r="F1788" s="82"/>
      <c r="G1788" s="82"/>
      <c r="H1788" s="82"/>
    </row>
    <row r="1789" spans="1:28" x14ac:dyDescent="0.2">
      <c r="C1789" s="9" t="s">
        <v>1982</v>
      </c>
      <c r="D1789" s="33"/>
      <c r="E1789" s="33"/>
      <c r="F1789" s="33">
        <f>Source!BZ668</f>
        <v>74</v>
      </c>
      <c r="G1789" s="57">
        <f>(Source!AF668+Source!AE668)*Source!FX668/100</f>
        <v>214.13380000000001</v>
      </c>
      <c r="H1789" s="57">
        <f>Source!X668</f>
        <v>674.27</v>
      </c>
    </row>
    <row r="1790" spans="1:28" x14ac:dyDescent="0.2">
      <c r="C1790" s="9" t="s">
        <v>1984</v>
      </c>
      <c r="D1790" s="33"/>
      <c r="E1790" s="33"/>
      <c r="F1790" s="33">
        <f>Source!CA668</f>
        <v>50</v>
      </c>
      <c r="G1790" s="57">
        <f>(Source!AF668+Source!AE668)*Source!FY668/100</f>
        <v>144.685</v>
      </c>
      <c r="H1790" s="57">
        <f>Source!Y668</f>
        <v>455.59</v>
      </c>
    </row>
    <row r="1791" spans="1:28" x14ac:dyDescent="0.2">
      <c r="C1791" s="9" t="s">
        <v>1986</v>
      </c>
      <c r="D1791" s="33"/>
      <c r="E1791" s="33"/>
      <c r="F1791" s="33"/>
      <c r="G1791" s="57">
        <f>((Source!AF668+Source!AE668)*Source!FX668/100)+((Source!AF668+Source!AE668)*Source!FY668/100)+Source!AB668</f>
        <v>653.92880000000002</v>
      </c>
      <c r="H1791" s="57">
        <f>Source!O668+Source!X668+Source!Y668</f>
        <v>2059.1</v>
      </c>
    </row>
    <row r="1792" spans="1:28" ht="14.25" x14ac:dyDescent="0.2">
      <c r="A1792" s="45">
        <v>269</v>
      </c>
      <c r="B1792" s="45" t="str">
        <f>Source!E669</f>
        <v>125</v>
      </c>
      <c r="C1792" s="45" t="str">
        <f>Source!G669</f>
        <v>Демонтаж умывальников и раковин</v>
      </c>
      <c r="D1792" s="45" t="str">
        <f>Source!F669</f>
        <v>65-4-1</v>
      </c>
      <c r="E1792" s="30" t="str">
        <f>Source!H669</f>
        <v>100 ШТ</v>
      </c>
      <c r="F1792" s="12">
        <f>Source!I669</f>
        <v>0.02</v>
      </c>
      <c r="G1792" s="22">
        <f>Source!AB669</f>
        <v>445.72</v>
      </c>
      <c r="H1792" s="22">
        <f>Source!O669</f>
        <v>58.48</v>
      </c>
      <c r="T1792">
        <f>Source!O669+Source!X669+Source!Y669</f>
        <v>130.24</v>
      </c>
      <c r="U1792">
        <f>Source!P669</f>
        <v>0</v>
      </c>
      <c r="V1792">
        <f>Source!S669</f>
        <v>57.41</v>
      </c>
      <c r="W1792">
        <f>Source!Q669</f>
        <v>1.07</v>
      </c>
      <c r="X1792">
        <f>Source!R669</f>
        <v>0.46</v>
      </c>
      <c r="Y1792">
        <f>Source!U669</f>
        <v>1.026</v>
      </c>
      <c r="Z1792">
        <f>Source!V669</f>
        <v>5.2000000000000006E-3</v>
      </c>
      <c r="AA1792">
        <f>Source!X669</f>
        <v>42.82</v>
      </c>
      <c r="AB1792">
        <f>Source!Y669</f>
        <v>28.94</v>
      </c>
    </row>
    <row r="1793" spans="1:28" ht="14.25" x14ac:dyDescent="0.2">
      <c r="C1793" s="23" t="str">
        <f>"Объем: "&amp;Source!I669&amp;"=2/"&amp;"100"</f>
        <v>Объем: 0,02=2/100</v>
      </c>
      <c r="F1793" s="12"/>
      <c r="G1793" s="12"/>
      <c r="H1793" s="12"/>
    </row>
    <row r="1794" spans="1:28" x14ac:dyDescent="0.2">
      <c r="C1794" s="23" t="s">
        <v>1978</v>
      </c>
      <c r="D1794" s="23">
        <f>Source!BA669</f>
        <v>6.56</v>
      </c>
    </row>
    <row r="1795" spans="1:28" x14ac:dyDescent="0.2">
      <c r="C1795" s="23" t="s">
        <v>1979</v>
      </c>
      <c r="D1795" s="23">
        <f>Source!BB669</f>
        <v>6.56</v>
      </c>
    </row>
    <row r="1796" spans="1:28" x14ac:dyDescent="0.2">
      <c r="C1796" s="23" t="s">
        <v>1980</v>
      </c>
      <c r="D1796" s="23">
        <f>Source!BC669</f>
        <v>6.56</v>
      </c>
    </row>
    <row r="1797" spans="1:28" x14ac:dyDescent="0.2">
      <c r="C1797" s="23" t="s">
        <v>1981</v>
      </c>
      <c r="D1797" s="23">
        <f>Source!BS669</f>
        <v>6.56</v>
      </c>
    </row>
    <row r="1798" spans="1:28" x14ac:dyDescent="0.2">
      <c r="C1798" s="9" t="s">
        <v>1982</v>
      </c>
      <c r="D1798" s="33"/>
      <c r="E1798" s="33"/>
      <c r="F1798" s="33">
        <f>Source!BZ669</f>
        <v>74</v>
      </c>
      <c r="G1798" s="57">
        <f>(Source!AF669+Source!AE669)*Source!FX669/100</f>
        <v>326.41399999999999</v>
      </c>
      <c r="H1798" s="57">
        <f>Source!X669</f>
        <v>42.82</v>
      </c>
    </row>
    <row r="1799" spans="1:28" x14ac:dyDescent="0.2">
      <c r="C1799" s="9" t="s">
        <v>1984</v>
      </c>
      <c r="D1799" s="33"/>
      <c r="E1799" s="33"/>
      <c r="F1799" s="33">
        <f>Source!CA669</f>
        <v>50</v>
      </c>
      <c r="G1799" s="57">
        <f>(Source!AF669+Source!AE669)*Source!FY669/100</f>
        <v>220.55</v>
      </c>
      <c r="H1799" s="57">
        <f>Source!Y669</f>
        <v>28.94</v>
      </c>
    </row>
    <row r="1800" spans="1:28" x14ac:dyDescent="0.2">
      <c r="C1800" s="9" t="s">
        <v>1986</v>
      </c>
      <c r="D1800" s="33"/>
      <c r="E1800" s="33"/>
      <c r="F1800" s="33"/>
      <c r="G1800" s="57">
        <f>((Source!AF669+Source!AE669)*Source!FX669/100)+((Source!AF669+Source!AE669)*Source!FY669/100)+Source!AB669</f>
        <v>992.68399999999997</v>
      </c>
      <c r="H1800" s="57">
        <f>Source!O669+Source!X669+Source!Y669</f>
        <v>130.24</v>
      </c>
    </row>
    <row r="1801" spans="1:28" ht="57" x14ac:dyDescent="0.2">
      <c r="A1801" s="45">
        <v>270</v>
      </c>
      <c r="B1801" s="45" t="str">
        <f>Source!E670</f>
        <v>126</v>
      </c>
      <c r="C1801" s="45" t="str">
        <f>Source!G670</f>
        <v>Прокладка трубопроводов водоснабжения из напорных полиэтиленовых труб наружным диаметром 20 мм</v>
      </c>
      <c r="D1801" s="45" t="str">
        <f>Source!F670</f>
        <v>16-04-002-01</v>
      </c>
      <c r="E1801" s="30" t="str">
        <f>Source!H670</f>
        <v>100 м</v>
      </c>
      <c r="F1801" s="12">
        <f>Source!I670</f>
        <v>0.68600000000000005</v>
      </c>
      <c r="G1801" s="22">
        <f>Source!AB670</f>
        <v>3922.98</v>
      </c>
      <c r="H1801" s="22">
        <f>Source!O670</f>
        <v>17654.04</v>
      </c>
      <c r="T1801">
        <f>Source!O670+Source!X670+Source!Y670</f>
        <v>37742.089999999997</v>
      </c>
      <c r="U1801">
        <f>Source!P670</f>
        <v>251.47</v>
      </c>
      <c r="V1801">
        <f>Source!S670</f>
        <v>9766.52</v>
      </c>
      <c r="W1801">
        <f>Source!Q670</f>
        <v>7636.05</v>
      </c>
      <c r="X1801">
        <f>Source!R670</f>
        <v>1033.51</v>
      </c>
      <c r="Y1801">
        <f>Source!U670</f>
        <v>150.08033599999999</v>
      </c>
      <c r="Z1801">
        <f>Source!V670</f>
        <v>11.696300000000001</v>
      </c>
      <c r="AA1801">
        <f>Source!X670</f>
        <v>12420.03</v>
      </c>
      <c r="AB1801">
        <f>Source!Y670</f>
        <v>7668.02</v>
      </c>
    </row>
    <row r="1802" spans="1:28" ht="14.25" x14ac:dyDescent="0.2">
      <c r="C1802" s="23" t="str">
        <f>"Объем: "&amp;Source!I670&amp;"=68,6/"&amp;"100"</f>
        <v>Объем: 0,686=68,6/100</v>
      </c>
      <c r="F1802" s="12"/>
      <c r="G1802" s="12"/>
      <c r="H1802" s="12"/>
    </row>
    <row r="1803" spans="1:28" x14ac:dyDescent="0.2">
      <c r="C1803" s="23" t="s">
        <v>1978</v>
      </c>
      <c r="D1803" s="23">
        <f>Source!BA670</f>
        <v>6.56</v>
      </c>
    </row>
    <row r="1804" spans="1:28" x14ac:dyDescent="0.2">
      <c r="C1804" s="23" t="s">
        <v>1979</v>
      </c>
      <c r="D1804" s="23">
        <f>Source!BB670</f>
        <v>6.56</v>
      </c>
    </row>
    <row r="1805" spans="1:28" x14ac:dyDescent="0.2">
      <c r="C1805" s="23" t="s">
        <v>1980</v>
      </c>
      <c r="D1805" s="23">
        <f>Source!BC670</f>
        <v>6.56</v>
      </c>
    </row>
    <row r="1806" spans="1:28" x14ac:dyDescent="0.2">
      <c r="C1806" s="23" t="s">
        <v>1981</v>
      </c>
      <c r="D1806" s="23">
        <f>Source!BS670</f>
        <v>6.56</v>
      </c>
    </row>
    <row r="1807" spans="1:28" x14ac:dyDescent="0.2">
      <c r="C1807" s="23" t="s">
        <v>1988</v>
      </c>
      <c r="D1807" s="82" t="s">
        <v>187</v>
      </c>
      <c r="E1807" s="82"/>
      <c r="F1807" s="82"/>
      <c r="G1807" s="82"/>
      <c r="H1807" s="82"/>
    </row>
    <row r="1808" spans="1:28" x14ac:dyDescent="0.2">
      <c r="C1808" s="23" t="s">
        <v>1989</v>
      </c>
      <c r="D1808" s="82" t="s">
        <v>187</v>
      </c>
      <c r="E1808" s="82"/>
      <c r="F1808" s="82"/>
      <c r="G1808" s="82"/>
      <c r="H1808" s="82"/>
    </row>
    <row r="1809" spans="1:28" x14ac:dyDescent="0.2">
      <c r="C1809" s="23" t="s">
        <v>1990</v>
      </c>
      <c r="D1809" s="82" t="s">
        <v>188</v>
      </c>
      <c r="E1809" s="82"/>
      <c r="F1809" s="82"/>
      <c r="G1809" s="82"/>
      <c r="H1809" s="82"/>
    </row>
    <row r="1810" spans="1:28" x14ac:dyDescent="0.2">
      <c r="C1810" s="23" t="s">
        <v>1991</v>
      </c>
      <c r="D1810" s="82" t="s">
        <v>188</v>
      </c>
      <c r="E1810" s="82"/>
      <c r="F1810" s="82"/>
      <c r="G1810" s="82"/>
      <c r="H1810" s="82"/>
    </row>
    <row r="1811" spans="1:28" x14ac:dyDescent="0.2">
      <c r="C1811" s="23" t="s">
        <v>1992</v>
      </c>
      <c r="D1811" s="82" t="s">
        <v>187</v>
      </c>
      <c r="E1811" s="82"/>
      <c r="F1811" s="82"/>
      <c r="G1811" s="82"/>
      <c r="H1811" s="82"/>
    </row>
    <row r="1812" spans="1:28" x14ac:dyDescent="0.2">
      <c r="C1812" s="9" t="s">
        <v>1982</v>
      </c>
      <c r="D1812" s="33"/>
      <c r="E1812" s="33"/>
      <c r="F1812" s="33">
        <f>Source!BZ670</f>
        <v>128</v>
      </c>
      <c r="G1812" s="57">
        <f>(Source!AF670+Source!AE670)*Source!FX670/100</f>
        <v>2764.7078400000005</v>
      </c>
      <c r="H1812" s="57">
        <f>Source!X670</f>
        <v>12420.03</v>
      </c>
    </row>
    <row r="1813" spans="1:28" x14ac:dyDescent="0.2">
      <c r="C1813" s="9" t="s">
        <v>1983</v>
      </c>
      <c r="D1813" s="33"/>
      <c r="E1813" s="33"/>
      <c r="F1813" s="33"/>
      <c r="G1813" s="33" t="str">
        <f>CONCATENATE(Source!DL670,Source!FT670, "=", Source!FX670, "%")</f>
        <v>*0,9=115,2%</v>
      </c>
      <c r="H1813" s="33" t="str">
        <f>CONCATENATE(Source!AT670)</f>
        <v>115</v>
      </c>
    </row>
    <row r="1814" spans="1:28" x14ac:dyDescent="0.2">
      <c r="C1814" s="9" t="s">
        <v>1984</v>
      </c>
      <c r="D1814" s="33"/>
      <c r="E1814" s="33"/>
      <c r="F1814" s="33">
        <f>Source!CA670</f>
        <v>83</v>
      </c>
      <c r="G1814" s="57">
        <f>(Source!AF670+Source!AE670)*Source!FY670/100</f>
        <v>1693.14356</v>
      </c>
      <c r="H1814" s="57">
        <f>Source!Y670</f>
        <v>7668.02</v>
      </c>
    </row>
    <row r="1815" spans="1:28" x14ac:dyDescent="0.2">
      <c r="C1815" s="9" t="s">
        <v>1985</v>
      </c>
      <c r="D1815" s="33"/>
      <c r="E1815" s="33"/>
      <c r="F1815" s="33"/>
      <c r="G1815" s="33" t="str">
        <f>CONCATENATE(Source!DM670,Source!FU670, "=", Source!FY670, "%")</f>
        <v>*0,85=70,55%</v>
      </c>
      <c r="H1815" s="33" t="str">
        <f>CONCATENATE(Source!AU670)</f>
        <v>71</v>
      </c>
    </row>
    <row r="1816" spans="1:28" x14ac:dyDescent="0.2">
      <c r="C1816" s="9" t="s">
        <v>1986</v>
      </c>
      <c r="D1816" s="33"/>
      <c r="E1816" s="33"/>
      <c r="F1816" s="33"/>
      <c r="G1816" s="57">
        <f>((Source!AF670+Source!AE670)*Source!FX670/100)+((Source!AF670+Source!AE670)*Source!FY670/100)+Source!AB670</f>
        <v>8380.8314000000009</v>
      </c>
      <c r="H1816" s="57">
        <f>Source!O670+Source!X670+Source!Y670</f>
        <v>37742.089999999997</v>
      </c>
    </row>
    <row r="1817" spans="1:28" ht="42.75" x14ac:dyDescent="0.2">
      <c r="A1817" s="45">
        <v>271</v>
      </c>
      <c r="B1817" s="45" t="str">
        <f>Source!E671</f>
        <v>126,1</v>
      </c>
      <c r="C1817" s="45" t="str">
        <f>Source!G671</f>
        <v>Краны шаровые BUGATTI New Jerseyдля воды и пара стандартные ВВ с размером резьбы 3/4" прим.</v>
      </c>
      <c r="D1817" s="45" t="str">
        <f>Source!F671</f>
        <v>18.1.09.08-0276</v>
      </c>
      <c r="E1817" s="30" t="str">
        <f>Source!H671</f>
        <v>шт.</v>
      </c>
      <c r="F1817" s="12">
        <f>Source!I671</f>
        <v>11.999999999999998</v>
      </c>
      <c r="G1817" s="22">
        <f>Source!AB671</f>
        <v>41.41</v>
      </c>
      <c r="H1817" s="22">
        <f>Source!O671</f>
        <v>3259.8</v>
      </c>
      <c r="T1817">
        <f>Source!O671+Source!X671+Source!Y671</f>
        <v>3259.8</v>
      </c>
      <c r="U1817">
        <f>Source!P671</f>
        <v>3259.8</v>
      </c>
      <c r="V1817">
        <f>Source!S671</f>
        <v>0</v>
      </c>
      <c r="W1817">
        <f>Source!Q671</f>
        <v>0</v>
      </c>
      <c r="X1817">
        <f>Source!R671</f>
        <v>0</v>
      </c>
      <c r="Y1817">
        <f>Source!U671</f>
        <v>0</v>
      </c>
      <c r="Z1817">
        <f>Source!V671</f>
        <v>0</v>
      </c>
      <c r="AA1817">
        <f>Source!X671</f>
        <v>0</v>
      </c>
      <c r="AB1817">
        <f>Source!Y671</f>
        <v>0</v>
      </c>
    </row>
    <row r="1818" spans="1:28" ht="14.25" x14ac:dyDescent="0.2">
      <c r="C1818" s="23" t="s">
        <v>1980</v>
      </c>
      <c r="D1818" s="23">
        <f>Source!BC671</f>
        <v>6.56</v>
      </c>
      <c r="F1818" s="12"/>
      <c r="G1818" s="12"/>
      <c r="H1818" s="12"/>
    </row>
    <row r="1819" spans="1:28" ht="85.5" x14ac:dyDescent="0.2">
      <c r="A1819" s="45">
        <v>272</v>
      </c>
      <c r="B1819" s="45" t="str">
        <f>Source!E672</f>
        <v>126,2</v>
      </c>
      <c r="C1819" s="45" t="str">
        <f>Source!G672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1819" s="45" t="str">
        <f>Source!F672</f>
        <v>24.3.02.01-0002</v>
      </c>
      <c r="E1819" s="30" t="str">
        <f>Source!H672</f>
        <v>м</v>
      </c>
      <c r="F1819" s="12">
        <f>Source!I672</f>
        <v>23.999999999999996</v>
      </c>
      <c r="G1819" s="22">
        <f>Source!AB672</f>
        <v>4.5999999999999996</v>
      </c>
      <c r="H1819" s="22">
        <f>Source!O672</f>
        <v>724.22</v>
      </c>
      <c r="T1819">
        <f>Source!O672+Source!X672+Source!Y672</f>
        <v>724.22</v>
      </c>
      <c r="U1819">
        <f>Source!P672</f>
        <v>724.22</v>
      </c>
      <c r="V1819">
        <f>Source!S672</f>
        <v>0</v>
      </c>
      <c r="W1819">
        <f>Source!Q672</f>
        <v>0</v>
      </c>
      <c r="X1819">
        <f>Source!R672</f>
        <v>0</v>
      </c>
      <c r="Y1819">
        <f>Source!U672</f>
        <v>0</v>
      </c>
      <c r="Z1819">
        <f>Source!V672</f>
        <v>0</v>
      </c>
      <c r="AA1819">
        <f>Source!X672</f>
        <v>0</v>
      </c>
      <c r="AB1819">
        <f>Source!Y672</f>
        <v>0</v>
      </c>
    </row>
    <row r="1820" spans="1:28" ht="14.25" x14ac:dyDescent="0.2">
      <c r="C1820" s="23" t="s">
        <v>1980</v>
      </c>
      <c r="D1820" s="23">
        <f>Source!BC672</f>
        <v>6.56</v>
      </c>
      <c r="F1820" s="12"/>
      <c r="G1820" s="12"/>
      <c r="H1820" s="12"/>
    </row>
    <row r="1821" spans="1:28" ht="85.5" x14ac:dyDescent="0.2">
      <c r="A1821" s="45">
        <v>273</v>
      </c>
      <c r="B1821" s="45" t="str">
        <f>Source!E673</f>
        <v>126,3</v>
      </c>
      <c r="C1821" s="45" t="str">
        <f>Source!G673</f>
        <v>Трубопроводы напорные из полипропилена PPRS с гильзами и креплениями для холодного и горячего водоснабжения PN20 SDR 6, диаметром 20 мм, толщина стенки 3,4 мм</v>
      </c>
      <c r="D1821" s="45" t="str">
        <f>Source!F673</f>
        <v>24.3.02.01-0012</v>
      </c>
      <c r="E1821" s="30" t="str">
        <f>Source!H673</f>
        <v>м</v>
      </c>
      <c r="F1821" s="12">
        <f>Source!I673</f>
        <v>44.6</v>
      </c>
      <c r="G1821" s="22">
        <f>Source!AB673</f>
        <v>9.7899999999999991</v>
      </c>
      <c r="H1821" s="22">
        <f>Source!O673</f>
        <v>2864.32</v>
      </c>
      <c r="T1821">
        <f>Source!O673+Source!X673+Source!Y673</f>
        <v>2864.32</v>
      </c>
      <c r="U1821">
        <f>Source!P673</f>
        <v>2864.32</v>
      </c>
      <c r="V1821">
        <f>Source!S673</f>
        <v>0</v>
      </c>
      <c r="W1821">
        <f>Source!Q673</f>
        <v>0</v>
      </c>
      <c r="X1821">
        <f>Source!R673</f>
        <v>0</v>
      </c>
      <c r="Y1821">
        <f>Source!U673</f>
        <v>0</v>
      </c>
      <c r="Z1821">
        <f>Source!V673</f>
        <v>0</v>
      </c>
      <c r="AA1821">
        <f>Source!X673</f>
        <v>0</v>
      </c>
      <c r="AB1821">
        <f>Source!Y673</f>
        <v>0</v>
      </c>
    </row>
    <row r="1822" spans="1:28" ht="14.25" x14ac:dyDescent="0.2">
      <c r="C1822" s="23" t="s">
        <v>1980</v>
      </c>
      <c r="D1822" s="23">
        <f>Source!BC673</f>
        <v>6.56</v>
      </c>
      <c r="F1822" s="12"/>
      <c r="G1822" s="12"/>
      <c r="H1822" s="12"/>
    </row>
    <row r="1823" spans="1:28" ht="28.5" x14ac:dyDescent="0.2">
      <c r="A1823" s="45">
        <v>274</v>
      </c>
      <c r="B1823" s="45" t="str">
        <f>Source!E674</f>
        <v>127</v>
      </c>
      <c r="C1823" s="45" t="str">
        <f>Source!G674</f>
        <v>Установка раковин</v>
      </c>
      <c r="D1823" s="45" t="str">
        <f>Source!F674</f>
        <v>17-01-005-04</v>
      </c>
      <c r="E1823" s="30" t="str">
        <f>Source!H674</f>
        <v>10 компл</v>
      </c>
      <c r="F1823" s="12">
        <f>Source!I674</f>
        <v>0.4</v>
      </c>
      <c r="G1823" s="22">
        <f>Source!AB674</f>
        <v>169.59</v>
      </c>
      <c r="H1823" s="22">
        <f>Source!O674</f>
        <v>445.01</v>
      </c>
      <c r="T1823">
        <f>Source!O674+Source!X674+Source!Y674</f>
        <v>946.06</v>
      </c>
      <c r="U1823">
        <f>Source!P674</f>
        <v>146.68</v>
      </c>
      <c r="V1823">
        <f>Source!S674</f>
        <v>260.95999999999998</v>
      </c>
      <c r="W1823">
        <f>Source!Q674</f>
        <v>37.369999999999997</v>
      </c>
      <c r="X1823">
        <f>Source!R674</f>
        <v>8.42</v>
      </c>
      <c r="Y1823">
        <f>Source!U674</f>
        <v>4.1353999999999997</v>
      </c>
      <c r="Z1823">
        <f>Source!V674</f>
        <v>0.10500000000000001</v>
      </c>
      <c r="AA1823">
        <f>Source!X674</f>
        <v>309.79000000000002</v>
      </c>
      <c r="AB1823">
        <f>Source!Y674</f>
        <v>191.26</v>
      </c>
    </row>
    <row r="1824" spans="1:28" ht="14.25" x14ac:dyDescent="0.2">
      <c r="C1824" s="23" t="str">
        <f>"Объем: "&amp;Source!I674&amp;"=4/"&amp;"10"</f>
        <v>Объем: 0,4=4/10</v>
      </c>
      <c r="F1824" s="12"/>
      <c r="G1824" s="12"/>
      <c r="H1824" s="12"/>
    </row>
    <row r="1825" spans="1:28" x14ac:dyDescent="0.2">
      <c r="C1825" s="23" t="s">
        <v>1978</v>
      </c>
      <c r="D1825" s="23">
        <f>Source!BA674</f>
        <v>6.56</v>
      </c>
    </row>
    <row r="1826" spans="1:28" x14ac:dyDescent="0.2">
      <c r="C1826" s="23" t="s">
        <v>1979</v>
      </c>
      <c r="D1826" s="23">
        <f>Source!BB674</f>
        <v>6.56</v>
      </c>
    </row>
    <row r="1827" spans="1:28" x14ac:dyDescent="0.2">
      <c r="C1827" s="23" t="s">
        <v>1980</v>
      </c>
      <c r="D1827" s="23">
        <f>Source!BC674</f>
        <v>6.56</v>
      </c>
    </row>
    <row r="1828" spans="1:28" x14ac:dyDescent="0.2">
      <c r="C1828" s="23" t="s">
        <v>1981</v>
      </c>
      <c r="D1828" s="23">
        <f>Source!BS674</f>
        <v>6.56</v>
      </c>
    </row>
    <row r="1829" spans="1:28" x14ac:dyDescent="0.2">
      <c r="C1829" s="23" t="s">
        <v>1988</v>
      </c>
      <c r="D1829" s="82" t="s">
        <v>187</v>
      </c>
      <c r="E1829" s="82"/>
      <c r="F1829" s="82"/>
      <c r="G1829" s="82"/>
      <c r="H1829" s="82"/>
    </row>
    <row r="1830" spans="1:28" x14ac:dyDescent="0.2">
      <c r="C1830" s="23" t="s">
        <v>1989</v>
      </c>
      <c r="D1830" s="82" t="s">
        <v>187</v>
      </c>
      <c r="E1830" s="82"/>
      <c r="F1830" s="82"/>
      <c r="G1830" s="82"/>
      <c r="H1830" s="82"/>
    </row>
    <row r="1831" spans="1:28" x14ac:dyDescent="0.2">
      <c r="C1831" s="23" t="s">
        <v>1990</v>
      </c>
      <c r="D1831" s="82" t="s">
        <v>188</v>
      </c>
      <c r="E1831" s="82"/>
      <c r="F1831" s="82"/>
      <c r="G1831" s="82"/>
      <c r="H1831" s="82"/>
    </row>
    <row r="1832" spans="1:28" x14ac:dyDescent="0.2">
      <c r="C1832" s="23" t="s">
        <v>1991</v>
      </c>
      <c r="D1832" s="82" t="s">
        <v>188</v>
      </c>
      <c r="E1832" s="82"/>
      <c r="F1832" s="82"/>
      <c r="G1832" s="82"/>
      <c r="H1832" s="82"/>
    </row>
    <row r="1833" spans="1:28" x14ac:dyDescent="0.2">
      <c r="C1833" s="23" t="s">
        <v>1992</v>
      </c>
      <c r="D1833" s="82" t="s">
        <v>187</v>
      </c>
      <c r="E1833" s="82"/>
      <c r="F1833" s="82"/>
      <c r="G1833" s="82"/>
      <c r="H1833" s="82"/>
    </row>
    <row r="1834" spans="1:28" x14ac:dyDescent="0.2">
      <c r="C1834" s="9" t="s">
        <v>1982</v>
      </c>
      <c r="D1834" s="33"/>
      <c r="E1834" s="33"/>
      <c r="F1834" s="33">
        <f>Source!BZ674</f>
        <v>128</v>
      </c>
      <c r="G1834" s="57">
        <f>(Source!AF674+Source!AE674)*Source!FX674/100</f>
        <v>118.26432000000001</v>
      </c>
      <c r="H1834" s="57">
        <f>Source!X674</f>
        <v>309.79000000000002</v>
      </c>
    </row>
    <row r="1835" spans="1:28" x14ac:dyDescent="0.2">
      <c r="C1835" s="9" t="s">
        <v>1983</v>
      </c>
      <c r="D1835" s="33"/>
      <c r="E1835" s="33"/>
      <c r="F1835" s="33"/>
      <c r="G1835" s="33" t="str">
        <f>CONCATENATE(Source!DL674,Source!FT674, "=", Source!FX674, "%")</f>
        <v>*0,9=115,2%</v>
      </c>
      <c r="H1835" s="33" t="str">
        <f>CONCATENATE(Source!AT674)</f>
        <v>115</v>
      </c>
    </row>
    <row r="1836" spans="1:28" x14ac:dyDescent="0.2">
      <c r="C1836" s="9" t="s">
        <v>1984</v>
      </c>
      <c r="D1836" s="33"/>
      <c r="E1836" s="33"/>
      <c r="F1836" s="33">
        <f>Source!CA674</f>
        <v>83</v>
      </c>
      <c r="G1836" s="57">
        <f>(Source!AF674+Source!AE674)*Source!FY674/100</f>
        <v>72.426629999999989</v>
      </c>
      <c r="H1836" s="57">
        <f>Source!Y674</f>
        <v>191.26</v>
      </c>
    </row>
    <row r="1837" spans="1:28" x14ac:dyDescent="0.2">
      <c r="C1837" s="9" t="s">
        <v>1985</v>
      </c>
      <c r="D1837" s="33"/>
      <c r="E1837" s="33"/>
      <c r="F1837" s="33"/>
      <c r="G1837" s="33" t="str">
        <f>CONCATENATE(Source!DM674,Source!FU674, "=", Source!FY674, "%")</f>
        <v>*0,85=70,55%</v>
      </c>
      <c r="H1837" s="33" t="str">
        <f>CONCATENATE(Source!AU674)</f>
        <v>71</v>
      </c>
    </row>
    <row r="1838" spans="1:28" x14ac:dyDescent="0.2">
      <c r="C1838" s="9" t="s">
        <v>1986</v>
      </c>
      <c r="D1838" s="33"/>
      <c r="E1838" s="33"/>
      <c r="F1838" s="33"/>
      <c r="G1838" s="57">
        <f>((Source!AF674+Source!AE674)*Source!FX674/100)+((Source!AF674+Source!AE674)*Source!FY674/100)+Source!AB674</f>
        <v>360.28094999999996</v>
      </c>
      <c r="H1838" s="57">
        <f>Source!O674+Source!X674+Source!Y674</f>
        <v>946.06</v>
      </c>
    </row>
    <row r="1839" spans="1:28" ht="28.5" x14ac:dyDescent="0.2">
      <c r="A1839" s="45">
        <v>275</v>
      </c>
      <c r="B1839" s="45" t="str">
        <f>Source!E675</f>
        <v>127,1</v>
      </c>
      <c r="C1839" s="45" t="str">
        <f>Source!G675</f>
        <v>Пьедесталы для раковины Santek Бореаль WH110591 прим.</v>
      </c>
      <c r="D1839" s="45" t="str">
        <f>Source!F675</f>
        <v>18.2.06.12-0021</v>
      </c>
      <c r="E1839" s="30" t="str">
        <f>Source!H675</f>
        <v>шт.</v>
      </c>
      <c r="F1839" s="12">
        <f>Source!I675</f>
        <v>4</v>
      </c>
      <c r="G1839" s="22">
        <f>Source!AB675</f>
        <v>130.53</v>
      </c>
      <c r="H1839" s="22">
        <f>Source!O675</f>
        <v>3425.11</v>
      </c>
      <c r="T1839">
        <f>Source!O675+Source!X675+Source!Y675</f>
        <v>3425.11</v>
      </c>
      <c r="U1839">
        <f>Source!P675</f>
        <v>3425.11</v>
      </c>
      <c r="V1839">
        <f>Source!S675</f>
        <v>0</v>
      </c>
      <c r="W1839">
        <f>Source!Q675</f>
        <v>0</v>
      </c>
      <c r="X1839">
        <f>Source!R675</f>
        <v>0</v>
      </c>
      <c r="Y1839">
        <f>Source!U675</f>
        <v>0</v>
      </c>
      <c r="Z1839">
        <f>Source!V675</f>
        <v>0</v>
      </c>
      <c r="AA1839">
        <f>Source!X675</f>
        <v>0</v>
      </c>
      <c r="AB1839">
        <f>Source!Y675</f>
        <v>0</v>
      </c>
    </row>
    <row r="1840" spans="1:28" ht="14.25" x14ac:dyDescent="0.2">
      <c r="C1840" s="23" t="s">
        <v>1980</v>
      </c>
      <c r="D1840" s="23">
        <f>Source!BC675</f>
        <v>6.56</v>
      </c>
      <c r="F1840" s="12"/>
      <c r="G1840" s="12"/>
      <c r="H1840" s="12"/>
    </row>
    <row r="1841" spans="1:28" ht="85.5" x14ac:dyDescent="0.2">
      <c r="A1841" s="45">
        <v>276</v>
      </c>
      <c r="B1841" s="45" t="str">
        <f>Source!E676</f>
        <v>127,2</v>
      </c>
      <c r="C1841" s="45" t="str">
        <f>Source!G676</f>
        <v>Раковины Santek Бореаль 60 с смесителем  Bravat Fit F 1233188 CPс нижней камерой смешивания, кронштейнами, сифоном  для раковины Alkaplast A41 Flexi латунным и выпуском  прим.</v>
      </c>
      <c r="D1841" s="45" t="str">
        <f>Source!F676</f>
        <v>18.2.01.05-0189</v>
      </c>
      <c r="E1841" s="30" t="str">
        <f>Source!H676</f>
        <v>компл.</v>
      </c>
      <c r="F1841" s="12">
        <f>Source!I676</f>
        <v>4</v>
      </c>
      <c r="G1841" s="22">
        <f>Source!AB676</f>
        <v>357</v>
      </c>
      <c r="H1841" s="22">
        <f>Source!O676</f>
        <v>9367.68</v>
      </c>
      <c r="T1841">
        <f>Source!O676+Source!X676+Source!Y676</f>
        <v>9367.68</v>
      </c>
      <c r="U1841">
        <f>Source!P676</f>
        <v>9367.68</v>
      </c>
      <c r="V1841">
        <f>Source!S676</f>
        <v>0</v>
      </c>
      <c r="W1841">
        <f>Source!Q676</f>
        <v>0</v>
      </c>
      <c r="X1841">
        <f>Source!R676</f>
        <v>0</v>
      </c>
      <c r="Y1841">
        <f>Source!U676</f>
        <v>0</v>
      </c>
      <c r="Z1841">
        <f>Source!V676</f>
        <v>0</v>
      </c>
      <c r="AA1841">
        <f>Source!X676</f>
        <v>0</v>
      </c>
      <c r="AB1841">
        <f>Source!Y676</f>
        <v>0</v>
      </c>
    </row>
    <row r="1842" spans="1:28" ht="14.25" x14ac:dyDescent="0.2">
      <c r="C1842" s="23" t="s">
        <v>1980</v>
      </c>
      <c r="D1842" s="23">
        <f>Source!BC676</f>
        <v>6.56</v>
      </c>
      <c r="F1842" s="12"/>
      <c r="G1842" s="12"/>
      <c r="H1842" s="12"/>
    </row>
    <row r="1843" spans="1:28" ht="28.5" x14ac:dyDescent="0.2">
      <c r="A1843" s="45">
        <v>277</v>
      </c>
      <c r="B1843" s="45" t="str">
        <f>Source!E677</f>
        <v>127,3</v>
      </c>
      <c r="C1843" s="45" t="str">
        <f>Source!G677</f>
        <v>Подводка гибкая армированная резиновая 1000 мм</v>
      </c>
      <c r="D1843" s="45" t="str">
        <f>Source!F677</f>
        <v>18.2.06.08-0016</v>
      </c>
      <c r="E1843" s="30" t="str">
        <f>Source!H677</f>
        <v>10 шт.</v>
      </c>
      <c r="F1843" s="12">
        <f>Source!I677</f>
        <v>0.4</v>
      </c>
      <c r="G1843" s="22">
        <f>Source!AB677</f>
        <v>160.19999999999999</v>
      </c>
      <c r="H1843" s="22">
        <f>Source!O677</f>
        <v>420.36</v>
      </c>
      <c r="T1843">
        <f>Source!O677+Source!X677+Source!Y677</f>
        <v>420.36</v>
      </c>
      <c r="U1843">
        <f>Source!P677</f>
        <v>420.36</v>
      </c>
      <c r="V1843">
        <f>Source!S677</f>
        <v>0</v>
      </c>
      <c r="W1843">
        <f>Source!Q677</f>
        <v>0</v>
      </c>
      <c r="X1843">
        <f>Source!R677</f>
        <v>0</v>
      </c>
      <c r="Y1843">
        <f>Source!U677</f>
        <v>0</v>
      </c>
      <c r="Z1843">
        <f>Source!V677</f>
        <v>0</v>
      </c>
      <c r="AA1843">
        <f>Source!X677</f>
        <v>0</v>
      </c>
      <c r="AB1843">
        <f>Source!Y677</f>
        <v>0</v>
      </c>
    </row>
    <row r="1844" spans="1:28" ht="14.25" x14ac:dyDescent="0.2">
      <c r="C1844" s="23" t="s">
        <v>1980</v>
      </c>
      <c r="D1844" s="23">
        <f>Source!BC677</f>
        <v>6.56</v>
      </c>
      <c r="F1844" s="12"/>
      <c r="G1844" s="12"/>
      <c r="H1844" s="12"/>
    </row>
    <row r="1845" spans="1:28" ht="28.5" x14ac:dyDescent="0.2">
      <c r="A1845" s="45">
        <v>278</v>
      </c>
      <c r="B1845" s="45" t="str">
        <f>Source!E678</f>
        <v>128</v>
      </c>
      <c r="C1845" s="45" t="str">
        <f>Source!G678</f>
        <v>Установка смесителей (без стоимости материалов)</v>
      </c>
      <c r="D1845" s="45" t="str">
        <f>Source!F678</f>
        <v>17-01-002-03</v>
      </c>
      <c r="E1845" s="30" t="str">
        <f>Source!H678</f>
        <v>10 ШТ</v>
      </c>
      <c r="F1845" s="12">
        <f>Source!I678</f>
        <v>0.4</v>
      </c>
      <c r="G1845" s="22">
        <f>Source!AB678</f>
        <v>88.42</v>
      </c>
      <c r="H1845" s="22">
        <f>Source!O678</f>
        <v>232.01</v>
      </c>
      <c r="T1845">
        <f>Source!O678+Source!X678+Source!Y678</f>
        <v>609.96</v>
      </c>
      <c r="U1845">
        <f>Source!P678</f>
        <v>28.81</v>
      </c>
      <c r="V1845">
        <f>Source!S678</f>
        <v>203.2</v>
      </c>
      <c r="W1845">
        <f>Source!Q678</f>
        <v>0</v>
      </c>
      <c r="X1845">
        <f>Source!R678</f>
        <v>0</v>
      </c>
      <c r="Y1845">
        <f>Source!U678</f>
        <v>3.2199999999999998</v>
      </c>
      <c r="Z1845">
        <f>Source!V678</f>
        <v>0</v>
      </c>
      <c r="AA1845">
        <f>Source!X678</f>
        <v>233.68</v>
      </c>
      <c r="AB1845">
        <f>Source!Y678</f>
        <v>144.27000000000001</v>
      </c>
    </row>
    <row r="1846" spans="1:28" ht="14.25" x14ac:dyDescent="0.2">
      <c r="C1846" s="23" t="str">
        <f>"Объем: "&amp;Source!I678&amp;"=4/"&amp;"10"</f>
        <v>Объем: 0,4=4/10</v>
      </c>
      <c r="F1846" s="12"/>
      <c r="G1846" s="12"/>
      <c r="H1846" s="12"/>
    </row>
    <row r="1847" spans="1:28" x14ac:dyDescent="0.2">
      <c r="C1847" s="23" t="s">
        <v>1978</v>
      </c>
      <c r="D1847" s="23">
        <f>Source!BA678</f>
        <v>6.56</v>
      </c>
    </row>
    <row r="1848" spans="1:28" x14ac:dyDescent="0.2">
      <c r="C1848" s="23" t="s">
        <v>1979</v>
      </c>
      <c r="D1848" s="23">
        <f>Source!BB678</f>
        <v>6.56</v>
      </c>
    </row>
    <row r="1849" spans="1:28" x14ac:dyDescent="0.2">
      <c r="C1849" s="23" t="s">
        <v>1980</v>
      </c>
      <c r="D1849" s="23">
        <f>Source!BC678</f>
        <v>6.56</v>
      </c>
    </row>
    <row r="1850" spans="1:28" x14ac:dyDescent="0.2">
      <c r="C1850" s="23" t="s">
        <v>1981</v>
      </c>
      <c r="D1850" s="23">
        <f>Source!BS678</f>
        <v>6.56</v>
      </c>
    </row>
    <row r="1851" spans="1:28" x14ac:dyDescent="0.2">
      <c r="C1851" s="23" t="s">
        <v>1988</v>
      </c>
      <c r="D1851" s="82" t="s">
        <v>187</v>
      </c>
      <c r="E1851" s="82"/>
      <c r="F1851" s="82"/>
      <c r="G1851" s="82"/>
      <c r="H1851" s="82"/>
    </row>
    <row r="1852" spans="1:28" x14ac:dyDescent="0.2">
      <c r="C1852" s="23" t="s">
        <v>1989</v>
      </c>
      <c r="D1852" s="82" t="s">
        <v>187</v>
      </c>
      <c r="E1852" s="82"/>
      <c r="F1852" s="82"/>
      <c r="G1852" s="82"/>
      <c r="H1852" s="82"/>
    </row>
    <row r="1853" spans="1:28" x14ac:dyDescent="0.2">
      <c r="C1853" s="23" t="s">
        <v>1990</v>
      </c>
      <c r="D1853" s="82" t="s">
        <v>188</v>
      </c>
      <c r="E1853" s="82"/>
      <c r="F1853" s="82"/>
      <c r="G1853" s="82"/>
      <c r="H1853" s="82"/>
    </row>
    <row r="1854" spans="1:28" x14ac:dyDescent="0.2">
      <c r="C1854" s="23" t="s">
        <v>1991</v>
      </c>
      <c r="D1854" s="82" t="s">
        <v>188</v>
      </c>
      <c r="E1854" s="82"/>
      <c r="F1854" s="82"/>
      <c r="G1854" s="82"/>
      <c r="H1854" s="82"/>
    </row>
    <row r="1855" spans="1:28" x14ac:dyDescent="0.2">
      <c r="C1855" s="23" t="s">
        <v>1992</v>
      </c>
      <c r="D1855" s="82" t="s">
        <v>187</v>
      </c>
      <c r="E1855" s="82"/>
      <c r="F1855" s="82"/>
      <c r="G1855" s="82"/>
      <c r="H1855" s="82"/>
    </row>
    <row r="1856" spans="1:28" x14ac:dyDescent="0.2">
      <c r="C1856" s="9" t="s">
        <v>1982</v>
      </c>
      <c r="D1856" s="33"/>
      <c r="E1856" s="33"/>
      <c r="F1856" s="33">
        <f>Source!BZ678</f>
        <v>128</v>
      </c>
      <c r="G1856" s="57">
        <f>(Source!AF678+Source!AE678)*Source!FX678/100</f>
        <v>89.210880000000003</v>
      </c>
      <c r="H1856" s="57">
        <f>Source!X678</f>
        <v>233.68</v>
      </c>
    </row>
    <row r="1857" spans="1:28" x14ac:dyDescent="0.2">
      <c r="C1857" s="9" t="s">
        <v>1983</v>
      </c>
      <c r="D1857" s="33"/>
      <c r="E1857" s="33"/>
      <c r="F1857" s="33"/>
      <c r="G1857" s="33" t="str">
        <f>CONCATENATE(Source!DL678,Source!FT678, "=", Source!FX678, "%")</f>
        <v>*0,9=115,2%</v>
      </c>
      <c r="H1857" s="33" t="str">
        <f>CONCATENATE(Source!AT678)</f>
        <v>115</v>
      </c>
    </row>
    <row r="1858" spans="1:28" x14ac:dyDescent="0.2">
      <c r="C1858" s="9" t="s">
        <v>1984</v>
      </c>
      <c r="D1858" s="33"/>
      <c r="E1858" s="33"/>
      <c r="F1858" s="33">
        <f>Source!CA678</f>
        <v>83</v>
      </c>
      <c r="G1858" s="57">
        <f>(Source!AF678+Source!AE678)*Source!FY678/100</f>
        <v>54.633919999999996</v>
      </c>
      <c r="H1858" s="57">
        <f>Source!Y678</f>
        <v>144.27000000000001</v>
      </c>
    </row>
    <row r="1859" spans="1:28" x14ac:dyDescent="0.2">
      <c r="C1859" s="9" t="s">
        <v>1985</v>
      </c>
      <c r="D1859" s="33"/>
      <c r="E1859" s="33"/>
      <c r="F1859" s="33"/>
      <c r="G1859" s="33" t="str">
        <f>CONCATENATE(Source!DM678,Source!FU678, "=", Source!FY678, "%")</f>
        <v>*0,85=70,55%</v>
      </c>
      <c r="H1859" s="33" t="str">
        <f>CONCATENATE(Source!AU678)</f>
        <v>71</v>
      </c>
    </row>
    <row r="1860" spans="1:28" x14ac:dyDescent="0.2">
      <c r="C1860" s="9" t="s">
        <v>1986</v>
      </c>
      <c r="D1860" s="33"/>
      <c r="E1860" s="33"/>
      <c r="F1860" s="33"/>
      <c r="G1860" s="57">
        <f>((Source!AF678+Source!AE678)*Source!FX678/100)+((Source!AF678+Source!AE678)*Source!FY678/100)+Source!AB678</f>
        <v>232.26479999999998</v>
      </c>
      <c r="H1860" s="57">
        <f>Source!O678+Source!X678+Source!Y678</f>
        <v>609.96</v>
      </c>
    </row>
    <row r="1861" spans="1:28" ht="57" x14ac:dyDescent="0.2">
      <c r="A1861" s="45">
        <v>279</v>
      </c>
      <c r="B1861" s="45" t="str">
        <f>Source!E679</f>
        <v>129</v>
      </c>
      <c r="C1861" s="45" t="str">
        <f>Source!G679</f>
        <v>Гидравлическое испытание трубопроводов систем отопления, водопровода и горячего водоснабжения диаметром до 50 мм</v>
      </c>
      <c r="D1861" s="45" t="str">
        <f>Source!F679</f>
        <v>16-07-005-01</v>
      </c>
      <c r="E1861" s="30" t="str">
        <f>Source!H679</f>
        <v>100 м</v>
      </c>
      <c r="F1861" s="12">
        <f>Source!I679</f>
        <v>0.68600000000000005</v>
      </c>
      <c r="G1861" s="22">
        <f>Source!AB679</f>
        <v>150.97</v>
      </c>
      <c r="H1861" s="22">
        <f>Source!O679</f>
        <v>679.4</v>
      </c>
      <c r="T1861">
        <f>Source!O679+Source!X679+Source!Y679</f>
        <v>1325.01</v>
      </c>
      <c r="U1861">
        <f>Source!P679</f>
        <v>19.309999999999999</v>
      </c>
      <c r="V1861">
        <f>Source!S679</f>
        <v>347.1</v>
      </c>
      <c r="W1861">
        <f>Source!Q679</f>
        <v>312.99</v>
      </c>
      <c r="X1861">
        <f>Source!R679</f>
        <v>0</v>
      </c>
      <c r="Y1861">
        <f>Source!U679</f>
        <v>4.5452473499999995</v>
      </c>
      <c r="Z1861">
        <f>Source!V679</f>
        <v>0</v>
      </c>
      <c r="AA1861">
        <f>Source!X679</f>
        <v>399.17</v>
      </c>
      <c r="AB1861">
        <f>Source!Y679</f>
        <v>246.44</v>
      </c>
    </row>
    <row r="1862" spans="1:28" ht="14.25" x14ac:dyDescent="0.2">
      <c r="C1862" s="23" t="str">
        <f>"Объем: "&amp;Source!I679&amp;"=68,6/"&amp;"100"</f>
        <v>Объем: 0,686=68,6/100</v>
      </c>
      <c r="F1862" s="12"/>
      <c r="G1862" s="12"/>
      <c r="H1862" s="12"/>
    </row>
    <row r="1863" spans="1:28" x14ac:dyDescent="0.2">
      <c r="C1863" s="23" t="s">
        <v>1978</v>
      </c>
      <c r="D1863" s="23">
        <f>Source!BA679</f>
        <v>6.56</v>
      </c>
    </row>
    <row r="1864" spans="1:28" x14ac:dyDescent="0.2">
      <c r="C1864" s="23" t="s">
        <v>1979</v>
      </c>
      <c r="D1864" s="23">
        <f>Source!BB679</f>
        <v>6.56</v>
      </c>
    </row>
    <row r="1865" spans="1:28" x14ac:dyDescent="0.2">
      <c r="C1865" s="23" t="s">
        <v>1980</v>
      </c>
      <c r="D1865" s="23">
        <f>Source!BC679</f>
        <v>6.56</v>
      </c>
    </row>
    <row r="1866" spans="1:28" x14ac:dyDescent="0.2">
      <c r="C1866" s="23" t="s">
        <v>1981</v>
      </c>
      <c r="D1866" s="23">
        <f>Source!BS679</f>
        <v>6.56</v>
      </c>
    </row>
    <row r="1867" spans="1:28" x14ac:dyDescent="0.2">
      <c r="C1867" s="23" t="s">
        <v>1988</v>
      </c>
      <c r="D1867" s="82" t="s">
        <v>1148</v>
      </c>
      <c r="E1867" s="82"/>
      <c r="F1867" s="82"/>
      <c r="G1867" s="82"/>
      <c r="H1867" s="82"/>
    </row>
    <row r="1868" spans="1:28" x14ac:dyDescent="0.2">
      <c r="C1868" s="23" t="s">
        <v>1989</v>
      </c>
      <c r="D1868" s="82" t="s">
        <v>1148</v>
      </c>
      <c r="E1868" s="82"/>
      <c r="F1868" s="82"/>
      <c r="G1868" s="82"/>
      <c r="H1868" s="82"/>
    </row>
    <row r="1869" spans="1:28" x14ac:dyDescent="0.2">
      <c r="C1869" s="23" t="s">
        <v>1990</v>
      </c>
      <c r="D1869" s="82" t="s">
        <v>1149</v>
      </c>
      <c r="E1869" s="82"/>
      <c r="F1869" s="82"/>
      <c r="G1869" s="82"/>
      <c r="H1869" s="82"/>
    </row>
    <row r="1870" spans="1:28" x14ac:dyDescent="0.2">
      <c r="C1870" s="23" t="s">
        <v>1991</v>
      </c>
      <c r="D1870" s="82" t="s">
        <v>1149</v>
      </c>
      <c r="E1870" s="82"/>
      <c r="F1870" s="82"/>
      <c r="G1870" s="82"/>
      <c r="H1870" s="82"/>
    </row>
    <row r="1871" spans="1:28" x14ac:dyDescent="0.2">
      <c r="C1871" s="23" t="s">
        <v>1992</v>
      </c>
      <c r="D1871" s="82" t="s">
        <v>1148</v>
      </c>
      <c r="E1871" s="82"/>
      <c r="F1871" s="82"/>
      <c r="G1871" s="82"/>
      <c r="H1871" s="82"/>
    </row>
    <row r="1872" spans="1:28" x14ac:dyDescent="0.2">
      <c r="C1872" s="9" t="s">
        <v>1982</v>
      </c>
      <c r="D1872" s="33"/>
      <c r="E1872" s="33"/>
      <c r="F1872" s="33">
        <f>Source!BZ679</f>
        <v>128</v>
      </c>
      <c r="G1872" s="57">
        <f>(Source!AF679+Source!AE679)*Source!FX679/100</f>
        <v>88.853760000000008</v>
      </c>
      <c r="H1872" s="57">
        <f>Source!X679</f>
        <v>399.17</v>
      </c>
    </row>
    <row r="1873" spans="1:33" x14ac:dyDescent="0.2">
      <c r="C1873" s="9" t="s">
        <v>1983</v>
      </c>
      <c r="D1873" s="33"/>
      <c r="E1873" s="33"/>
      <c r="F1873" s="33"/>
      <c r="G1873" s="33" t="str">
        <f>CONCATENATE(Source!DL679,Source!FT679, "=", Source!FX679, "%")</f>
        <v>*0,9=115,2%</v>
      </c>
      <c r="H1873" s="33" t="str">
        <f>CONCATENATE(Source!AT679)</f>
        <v>115</v>
      </c>
    </row>
    <row r="1874" spans="1:33" x14ac:dyDescent="0.2">
      <c r="C1874" s="9" t="s">
        <v>1984</v>
      </c>
      <c r="D1874" s="33"/>
      <c r="E1874" s="33"/>
      <c r="F1874" s="33">
        <f>Source!CA679</f>
        <v>83</v>
      </c>
      <c r="G1874" s="57">
        <f>(Source!AF679+Source!AE679)*Source!FY679/100</f>
        <v>54.415214999999996</v>
      </c>
      <c r="H1874" s="57">
        <f>Source!Y679</f>
        <v>246.44</v>
      </c>
    </row>
    <row r="1875" spans="1:33" x14ac:dyDescent="0.2">
      <c r="C1875" s="9" t="s">
        <v>1985</v>
      </c>
      <c r="D1875" s="33"/>
      <c r="E1875" s="33"/>
      <c r="F1875" s="33"/>
      <c r="G1875" s="33" t="str">
        <f>CONCATENATE(Source!DM679,Source!FU679, "=", Source!FY679, "%")</f>
        <v>*0,85=70,55%</v>
      </c>
      <c r="H1875" s="33" t="str">
        <f>CONCATENATE(Source!AU679)</f>
        <v>71</v>
      </c>
    </row>
    <row r="1876" spans="1:33" x14ac:dyDescent="0.2">
      <c r="C1876" s="9" t="s">
        <v>1986</v>
      </c>
      <c r="D1876" s="33"/>
      <c r="E1876" s="33"/>
      <c r="F1876" s="33"/>
      <c r="G1876" s="57">
        <f>((Source!AF679+Source!AE679)*Source!FX679/100)+((Source!AF679+Source!AE679)*Source!FY679/100)+Source!AB679</f>
        <v>294.23897499999998</v>
      </c>
      <c r="H1876" s="57">
        <f>Source!O679+Source!X679+Source!Y679</f>
        <v>1325.01</v>
      </c>
    </row>
    <row r="1878" spans="1:33" ht="15" x14ac:dyDescent="0.25">
      <c r="A1878" s="58"/>
      <c r="B1878" s="58"/>
      <c r="C1878" s="66" t="str">
        <f>CONCATENATE("Итого по разделу: ",IF(Source!G681&lt;&gt;"Новый раздел", Source!G681, ""))</f>
        <v>Итого по разделу: 7 Система горячего и холодного водоснабжения</v>
      </c>
      <c r="D1878" s="66"/>
      <c r="E1878" s="66"/>
      <c r="F1878" s="66"/>
      <c r="G1878" s="58"/>
      <c r="H1878" s="59">
        <f>IF(SUM(T1781:T1877)=0, "-", SUM(T1781:T1877))</f>
        <v>62873.95</v>
      </c>
      <c r="AG1878" s="50" t="str">
        <f>CONCATENATE("Итого по разделу: ",IF(Source!G681&lt;&gt;"Новый раздел", Source!G681, ""))</f>
        <v>Итого по разделу: 7 Система горячего и холодного водоснабжения</v>
      </c>
    </row>
    <row r="1879" spans="1:33" ht="15" x14ac:dyDescent="0.25">
      <c r="A1879" s="58"/>
      <c r="B1879" s="58"/>
      <c r="C1879" s="58"/>
      <c r="D1879" s="58"/>
      <c r="E1879" s="58"/>
      <c r="F1879" s="58"/>
      <c r="G1879" s="58"/>
      <c r="H1879" s="58"/>
    </row>
    <row r="1882" spans="1:33" ht="16.5" x14ac:dyDescent="0.25">
      <c r="A1882" s="68" t="str">
        <f>CONCATENATE("Раздел: ",IF(Source!G710&lt;&gt;"Новый раздел", Source!G710, ""))</f>
        <v>Раздел: 8 Канализация</v>
      </c>
      <c r="B1882" s="68"/>
      <c r="C1882" s="68"/>
      <c r="D1882" s="68"/>
      <c r="E1882" s="68"/>
      <c r="F1882" s="68"/>
      <c r="G1882" s="68"/>
      <c r="H1882" s="68"/>
    </row>
    <row r="1883" spans="1:33" ht="42.75" x14ac:dyDescent="0.2">
      <c r="A1883" s="45">
        <v>280</v>
      </c>
      <c r="B1883" s="45" t="str">
        <f>Source!E714</f>
        <v>130</v>
      </c>
      <c r="C1883" s="45" t="str">
        <f>Source!G714</f>
        <v>Разборка трубопроводов из чугунных канализационных труб диаметром 100 мм</v>
      </c>
      <c r="D1883" s="45" t="str">
        <f>Source!F714</f>
        <v>65-2-2</v>
      </c>
      <c r="E1883" s="30" t="str">
        <f>Source!H714</f>
        <v>100 м</v>
      </c>
      <c r="F1883" s="12">
        <f>Source!I714</f>
        <v>0.34</v>
      </c>
      <c r="G1883" s="22">
        <f>Source!AB714</f>
        <v>731.64</v>
      </c>
      <c r="H1883" s="22">
        <f>Source!O714</f>
        <v>1631.85</v>
      </c>
      <c r="T1883">
        <f>Source!O714+Source!X714+Source!Y714</f>
        <v>3639.65</v>
      </c>
      <c r="U1883">
        <f>Source!P714</f>
        <v>0</v>
      </c>
      <c r="V1883">
        <f>Source!S714</f>
        <v>1609.55</v>
      </c>
      <c r="W1883">
        <f>Source!Q714</f>
        <v>22.3</v>
      </c>
      <c r="X1883">
        <f>Source!R714</f>
        <v>9.64</v>
      </c>
      <c r="Y1883">
        <f>Source!U714</f>
        <v>29.002000000000002</v>
      </c>
      <c r="Z1883">
        <f>Source!V714</f>
        <v>0.10880000000000001</v>
      </c>
      <c r="AA1883">
        <f>Source!X714</f>
        <v>1198.2</v>
      </c>
      <c r="AB1883">
        <f>Source!Y714</f>
        <v>809.6</v>
      </c>
    </row>
    <row r="1884" spans="1:33" ht="14.25" x14ac:dyDescent="0.2">
      <c r="C1884" s="23" t="str">
        <f>"Объем: "&amp;Source!I714&amp;"=34/"&amp;"100"</f>
        <v>Объем: 0,34=34/100</v>
      </c>
      <c r="F1884" s="12"/>
      <c r="G1884" s="12"/>
      <c r="H1884" s="12"/>
    </row>
    <row r="1885" spans="1:33" x14ac:dyDescent="0.2">
      <c r="C1885" s="23" t="s">
        <v>1978</v>
      </c>
      <c r="D1885" s="23">
        <f>Source!BA714</f>
        <v>6.56</v>
      </c>
    </row>
    <row r="1886" spans="1:33" x14ac:dyDescent="0.2">
      <c r="C1886" s="23" t="s">
        <v>1979</v>
      </c>
      <c r="D1886" s="23">
        <f>Source!BB714</f>
        <v>6.56</v>
      </c>
    </row>
    <row r="1887" spans="1:33" x14ac:dyDescent="0.2">
      <c r="C1887" s="23" t="s">
        <v>1980</v>
      </c>
      <c r="D1887" s="23">
        <f>Source!BC714</f>
        <v>6.56</v>
      </c>
    </row>
    <row r="1888" spans="1:33" x14ac:dyDescent="0.2">
      <c r="C1888" s="23" t="s">
        <v>1981</v>
      </c>
      <c r="D1888" s="23">
        <f>Source!BS714</f>
        <v>6.56</v>
      </c>
    </row>
    <row r="1889" spans="1:28" x14ac:dyDescent="0.2">
      <c r="C1889" s="9" t="s">
        <v>1982</v>
      </c>
      <c r="D1889" s="33"/>
      <c r="E1889" s="33"/>
      <c r="F1889" s="33">
        <f>Source!BZ714</f>
        <v>74</v>
      </c>
      <c r="G1889" s="57">
        <f>(Source!AF714+Source!AE714)*Source!FX714/100</f>
        <v>537.21040000000005</v>
      </c>
      <c r="H1889" s="57">
        <f>Source!X714</f>
        <v>1198.2</v>
      </c>
    </row>
    <row r="1890" spans="1:28" x14ac:dyDescent="0.2">
      <c r="C1890" s="9" t="s">
        <v>1984</v>
      </c>
      <c r="D1890" s="33"/>
      <c r="E1890" s="33"/>
      <c r="F1890" s="33">
        <f>Source!CA714</f>
        <v>50</v>
      </c>
      <c r="G1890" s="57">
        <f>(Source!AF714+Source!AE714)*Source!FY714/100</f>
        <v>362.98</v>
      </c>
      <c r="H1890" s="57">
        <f>Source!Y714</f>
        <v>809.6</v>
      </c>
    </row>
    <row r="1891" spans="1:28" x14ac:dyDescent="0.2">
      <c r="C1891" s="9" t="s">
        <v>1986</v>
      </c>
      <c r="D1891" s="33"/>
      <c r="E1891" s="33"/>
      <c r="F1891" s="33"/>
      <c r="G1891" s="57">
        <f>((Source!AF714+Source!AE714)*Source!FX714/100)+((Source!AF714+Source!AE714)*Source!FY714/100)+Source!AB714</f>
        <v>1631.8304000000001</v>
      </c>
      <c r="H1891" s="57">
        <f>Source!O714+Source!X714+Source!Y714</f>
        <v>3639.65</v>
      </c>
    </row>
    <row r="1892" spans="1:28" ht="28.5" x14ac:dyDescent="0.2">
      <c r="A1892" s="45">
        <v>281</v>
      </c>
      <c r="B1892" s="45" t="str">
        <f>Source!E715</f>
        <v>131</v>
      </c>
      <c r="C1892" s="45" t="str">
        <f>Source!G715</f>
        <v>Демонтаж: Установка трапов диаметром 100 мм</v>
      </c>
      <c r="D1892" s="45" t="str">
        <f>Source!F715</f>
        <v>17-01-001-23</v>
      </c>
      <c r="E1892" s="30" t="str">
        <f>Source!H715</f>
        <v>10 компл</v>
      </c>
      <c r="F1892" s="12">
        <f>Source!I715</f>
        <v>0.2</v>
      </c>
      <c r="G1892" s="22">
        <f>Source!AB715</f>
        <v>39.99</v>
      </c>
      <c r="H1892" s="22">
        <f>Source!O715</f>
        <v>52.47</v>
      </c>
      <c r="T1892">
        <f>Source!O715+Source!X715+Source!Y715</f>
        <v>138.29</v>
      </c>
      <c r="U1892">
        <f>Source!P715</f>
        <v>0</v>
      </c>
      <c r="V1892">
        <f>Source!S715</f>
        <v>44.28</v>
      </c>
      <c r="W1892">
        <f>Source!Q715</f>
        <v>8.19</v>
      </c>
      <c r="X1892">
        <f>Source!R715</f>
        <v>1.86</v>
      </c>
      <c r="Y1892">
        <f>Source!U715</f>
        <v>0.7016</v>
      </c>
      <c r="Z1892">
        <f>Source!V715</f>
        <v>2.3199999999999998E-2</v>
      </c>
      <c r="AA1892">
        <f>Source!X715</f>
        <v>53.06</v>
      </c>
      <c r="AB1892">
        <f>Source!Y715</f>
        <v>32.76</v>
      </c>
    </row>
    <row r="1893" spans="1:28" ht="14.25" x14ac:dyDescent="0.2">
      <c r="C1893" s="23" t="str">
        <f>"Объем: "&amp;Source!I715&amp;"=2/"&amp;"10"</f>
        <v>Объем: 0,2=2/10</v>
      </c>
      <c r="F1893" s="12"/>
      <c r="G1893" s="12"/>
      <c r="H1893" s="12"/>
    </row>
    <row r="1894" spans="1:28" x14ac:dyDescent="0.2">
      <c r="C1894" s="23" t="s">
        <v>1978</v>
      </c>
      <c r="D1894" s="23">
        <f>Source!BA715</f>
        <v>6.56</v>
      </c>
    </row>
    <row r="1895" spans="1:28" x14ac:dyDescent="0.2">
      <c r="C1895" s="23" t="s">
        <v>1979</v>
      </c>
      <c r="D1895" s="23">
        <f>Source!BB715</f>
        <v>6.56</v>
      </c>
    </row>
    <row r="1896" spans="1:28" x14ac:dyDescent="0.2">
      <c r="C1896" s="23" t="s">
        <v>1980</v>
      </c>
      <c r="D1896" s="23">
        <f>Source!BC715</f>
        <v>6.56</v>
      </c>
    </row>
    <row r="1897" spans="1:28" x14ac:dyDescent="0.2">
      <c r="C1897" s="23" t="s">
        <v>1981</v>
      </c>
      <c r="D1897" s="23">
        <f>Source!BS715</f>
        <v>6.56</v>
      </c>
    </row>
    <row r="1898" spans="1:28" x14ac:dyDescent="0.2">
      <c r="C1898" s="23" t="s">
        <v>1987</v>
      </c>
      <c r="D1898" s="82" t="s">
        <v>48</v>
      </c>
      <c r="E1898" s="82"/>
      <c r="F1898" s="82"/>
      <c r="G1898" s="82"/>
      <c r="H1898" s="82"/>
    </row>
    <row r="1899" spans="1:28" x14ac:dyDescent="0.2">
      <c r="C1899" s="23" t="s">
        <v>1988</v>
      </c>
      <c r="D1899" s="82" t="s">
        <v>59</v>
      </c>
      <c r="E1899" s="82"/>
      <c r="F1899" s="82"/>
      <c r="G1899" s="82"/>
      <c r="H1899" s="82"/>
    </row>
    <row r="1900" spans="1:28" x14ac:dyDescent="0.2">
      <c r="C1900" s="23" t="s">
        <v>1989</v>
      </c>
      <c r="D1900" s="82" t="s">
        <v>59</v>
      </c>
      <c r="E1900" s="82"/>
      <c r="F1900" s="82"/>
      <c r="G1900" s="82"/>
      <c r="H1900" s="82"/>
    </row>
    <row r="1901" spans="1:28" x14ac:dyDescent="0.2">
      <c r="C1901" s="23" t="s">
        <v>1990</v>
      </c>
      <c r="D1901" s="82" t="s">
        <v>59</v>
      </c>
      <c r="E1901" s="82"/>
      <c r="F1901" s="82"/>
      <c r="G1901" s="82"/>
      <c r="H1901" s="82"/>
    </row>
    <row r="1902" spans="1:28" x14ac:dyDescent="0.2">
      <c r="C1902" s="23" t="s">
        <v>1991</v>
      </c>
      <c r="D1902" s="82" t="s">
        <v>59</v>
      </c>
      <c r="E1902" s="82"/>
      <c r="F1902" s="82"/>
      <c r="G1902" s="82"/>
      <c r="H1902" s="82"/>
    </row>
    <row r="1903" spans="1:28" x14ac:dyDescent="0.2">
      <c r="C1903" s="23" t="s">
        <v>1992</v>
      </c>
      <c r="D1903" s="82" t="s">
        <v>59</v>
      </c>
      <c r="E1903" s="82"/>
      <c r="F1903" s="82"/>
      <c r="G1903" s="82"/>
      <c r="H1903" s="82"/>
    </row>
    <row r="1904" spans="1:28" x14ac:dyDescent="0.2">
      <c r="C1904" s="9" t="s">
        <v>1982</v>
      </c>
      <c r="D1904" s="33"/>
      <c r="E1904" s="33"/>
      <c r="F1904" s="33">
        <f>Source!BZ715</f>
        <v>128</v>
      </c>
      <c r="G1904" s="57">
        <f>(Source!AF715+Source!AE715)*Source!FX715/100</f>
        <v>40.515840000000004</v>
      </c>
      <c r="H1904" s="57">
        <f>Source!X715</f>
        <v>53.06</v>
      </c>
    </row>
    <row r="1905" spans="1:28" x14ac:dyDescent="0.2">
      <c r="C1905" s="9" t="s">
        <v>1983</v>
      </c>
      <c r="D1905" s="33"/>
      <c r="E1905" s="33"/>
      <c r="F1905" s="33"/>
      <c r="G1905" s="33" t="str">
        <f>CONCATENATE(Source!DL715,Source!FT715, "=", Source!FX715, "%")</f>
        <v>*0,9=115,2%</v>
      </c>
      <c r="H1905" s="33" t="str">
        <f>CONCATENATE(Source!AT715)</f>
        <v>115</v>
      </c>
    </row>
    <row r="1906" spans="1:28" x14ac:dyDescent="0.2">
      <c r="C1906" s="9" t="s">
        <v>1984</v>
      </c>
      <c r="D1906" s="33"/>
      <c r="E1906" s="33"/>
      <c r="F1906" s="33">
        <f>Source!CA715</f>
        <v>83</v>
      </c>
      <c r="G1906" s="57">
        <f>(Source!AF715+Source!AE715)*Source!FY715/100</f>
        <v>24.812435000000001</v>
      </c>
      <c r="H1906" s="57">
        <f>Source!Y715</f>
        <v>32.76</v>
      </c>
    </row>
    <row r="1907" spans="1:28" x14ac:dyDescent="0.2">
      <c r="C1907" s="9" t="s">
        <v>1985</v>
      </c>
      <c r="D1907" s="33"/>
      <c r="E1907" s="33"/>
      <c r="F1907" s="33"/>
      <c r="G1907" s="33" t="str">
        <f>CONCATENATE(Source!DM715,Source!FU715, "=", Source!FY715, "%")</f>
        <v>*0,85=70,55%</v>
      </c>
      <c r="H1907" s="33" t="str">
        <f>CONCATENATE(Source!AU715)</f>
        <v>71</v>
      </c>
    </row>
    <row r="1908" spans="1:28" x14ac:dyDescent="0.2">
      <c r="C1908" s="9" t="s">
        <v>1986</v>
      </c>
      <c r="D1908" s="33"/>
      <c r="E1908" s="33"/>
      <c r="F1908" s="33"/>
      <c r="G1908" s="57">
        <f>((Source!AF715+Source!AE715)*Source!FX715/100)+((Source!AF715+Source!AE715)*Source!FY715/100)+Source!AB715</f>
        <v>105.318275</v>
      </c>
      <c r="H1908" s="57">
        <f>Source!O715+Source!X715+Source!Y715</f>
        <v>138.29</v>
      </c>
    </row>
    <row r="1909" spans="1:28" ht="14.25" x14ac:dyDescent="0.2">
      <c r="A1909" s="45">
        <v>282</v>
      </c>
      <c r="B1909" s="45" t="str">
        <f>Source!E716</f>
        <v>132</v>
      </c>
      <c r="C1909" s="45" t="str">
        <f>Source!G716</f>
        <v>Демонтаж унитазов и писсуаров</v>
      </c>
      <c r="D1909" s="45" t="str">
        <f>Source!F716</f>
        <v>65-4-2</v>
      </c>
      <c r="E1909" s="30" t="str">
        <f>Source!H716</f>
        <v>100 ШТ</v>
      </c>
      <c r="F1909" s="12">
        <f>Source!I716</f>
        <v>0.04</v>
      </c>
      <c r="G1909" s="22">
        <f>Source!AB716</f>
        <v>553.63</v>
      </c>
      <c r="H1909" s="22">
        <f>Source!O716</f>
        <v>145.27000000000001</v>
      </c>
      <c r="T1909">
        <f>Source!O716+Source!X716+Source!Y716</f>
        <v>323.73</v>
      </c>
      <c r="U1909">
        <f>Source!P716</f>
        <v>0</v>
      </c>
      <c r="V1909">
        <f>Source!S716</f>
        <v>142.88999999999999</v>
      </c>
      <c r="W1909">
        <f>Source!Q716</f>
        <v>2.38</v>
      </c>
      <c r="X1909">
        <f>Source!R716</f>
        <v>1.03</v>
      </c>
      <c r="Y1909">
        <f>Source!U716</f>
        <v>2.5536000000000003</v>
      </c>
      <c r="Z1909">
        <f>Source!V716</f>
        <v>1.1599999999999999E-2</v>
      </c>
      <c r="AA1909">
        <f>Source!X716</f>
        <v>106.5</v>
      </c>
      <c r="AB1909">
        <f>Source!Y716</f>
        <v>71.959999999999994</v>
      </c>
    </row>
    <row r="1910" spans="1:28" ht="14.25" x14ac:dyDescent="0.2">
      <c r="C1910" s="23" t="str">
        <f>"Объем: "&amp;Source!I716&amp;"=4/"&amp;"100"</f>
        <v>Объем: 0,04=4/100</v>
      </c>
      <c r="F1910" s="12"/>
      <c r="G1910" s="12"/>
      <c r="H1910" s="12"/>
    </row>
    <row r="1911" spans="1:28" x14ac:dyDescent="0.2">
      <c r="C1911" s="23" t="s">
        <v>1978</v>
      </c>
      <c r="D1911" s="23">
        <f>Source!BA716</f>
        <v>6.56</v>
      </c>
    </row>
    <row r="1912" spans="1:28" x14ac:dyDescent="0.2">
      <c r="C1912" s="23" t="s">
        <v>1979</v>
      </c>
      <c r="D1912" s="23">
        <f>Source!BB716</f>
        <v>6.56</v>
      </c>
    </row>
    <row r="1913" spans="1:28" x14ac:dyDescent="0.2">
      <c r="C1913" s="23" t="s">
        <v>1980</v>
      </c>
      <c r="D1913" s="23">
        <f>Source!BC716</f>
        <v>6.56</v>
      </c>
    </row>
    <row r="1914" spans="1:28" x14ac:dyDescent="0.2">
      <c r="C1914" s="23" t="s">
        <v>1981</v>
      </c>
      <c r="D1914" s="23">
        <f>Source!BS716</f>
        <v>6.56</v>
      </c>
    </row>
    <row r="1915" spans="1:28" x14ac:dyDescent="0.2">
      <c r="C1915" s="9" t="s">
        <v>1982</v>
      </c>
      <c r="D1915" s="33"/>
      <c r="E1915" s="33"/>
      <c r="F1915" s="33">
        <f>Source!BZ716</f>
        <v>74</v>
      </c>
      <c r="G1915" s="57">
        <f>(Source!AF716+Source!AE716)*Source!FX716/100</f>
        <v>405.87519999999989</v>
      </c>
      <c r="H1915" s="57">
        <f>Source!X716</f>
        <v>106.5</v>
      </c>
    </row>
    <row r="1916" spans="1:28" x14ac:dyDescent="0.2">
      <c r="C1916" s="9" t="s">
        <v>1984</v>
      </c>
      <c r="D1916" s="33"/>
      <c r="E1916" s="33"/>
      <c r="F1916" s="33">
        <f>Source!CA716</f>
        <v>50</v>
      </c>
      <c r="G1916" s="57">
        <f>(Source!AF716+Source!AE716)*Source!FY716/100</f>
        <v>274.23999999999995</v>
      </c>
      <c r="H1916" s="57">
        <f>Source!Y716</f>
        <v>71.959999999999994</v>
      </c>
    </row>
    <row r="1917" spans="1:28" x14ac:dyDescent="0.2">
      <c r="C1917" s="9" t="s">
        <v>1986</v>
      </c>
      <c r="D1917" s="33"/>
      <c r="E1917" s="33"/>
      <c r="F1917" s="33"/>
      <c r="G1917" s="57">
        <f>((Source!AF716+Source!AE716)*Source!FX716/100)+((Source!AF716+Source!AE716)*Source!FY716/100)+Source!AB716</f>
        <v>1233.7451999999998</v>
      </c>
      <c r="H1917" s="57">
        <f>Source!O716+Source!X716+Source!Y716</f>
        <v>323.73</v>
      </c>
    </row>
    <row r="1918" spans="1:28" ht="28.5" x14ac:dyDescent="0.2">
      <c r="A1918" s="45">
        <v>283</v>
      </c>
      <c r="B1918" s="45" t="str">
        <f>Source!E717</f>
        <v>133</v>
      </c>
      <c r="C1918" s="45" t="str">
        <f>Source!G717</f>
        <v>Установка унитазов с бачком непосредственно присоединенным</v>
      </c>
      <c r="D1918" s="45" t="str">
        <f>Source!F717</f>
        <v>17-01-003-01</v>
      </c>
      <c r="E1918" s="30" t="str">
        <f>Source!H717</f>
        <v>10 компл</v>
      </c>
      <c r="F1918" s="12">
        <f>Source!I717</f>
        <v>0.6</v>
      </c>
      <c r="G1918" s="22">
        <f>Source!AB717</f>
        <v>505.69</v>
      </c>
      <c r="H1918" s="22">
        <f>Source!O717</f>
        <v>1990.39</v>
      </c>
      <c r="T1918">
        <f>Source!O717+Source!X717+Source!Y717</f>
        <v>4044.12</v>
      </c>
      <c r="U1918">
        <f>Source!P717</f>
        <v>754.41</v>
      </c>
      <c r="V1918">
        <f>Source!S717</f>
        <v>1060.67</v>
      </c>
      <c r="W1918">
        <f>Source!Q717</f>
        <v>175.31</v>
      </c>
      <c r="X1918">
        <f>Source!R717</f>
        <v>43.49</v>
      </c>
      <c r="Y1918">
        <f>Source!U717</f>
        <v>17.0016</v>
      </c>
      <c r="Z1918">
        <f>Source!V717</f>
        <v>0.53249999999999997</v>
      </c>
      <c r="AA1918">
        <f>Source!X717</f>
        <v>1269.78</v>
      </c>
      <c r="AB1918">
        <f>Source!Y717</f>
        <v>783.95</v>
      </c>
    </row>
    <row r="1919" spans="1:28" ht="14.25" x14ac:dyDescent="0.2">
      <c r="C1919" s="23" t="str">
        <f>"Объем: "&amp;Source!I717&amp;"=6/"&amp;"10"</f>
        <v>Объем: 0,6=6/10</v>
      </c>
      <c r="F1919" s="12"/>
      <c r="G1919" s="12"/>
      <c r="H1919" s="12"/>
    </row>
    <row r="1920" spans="1:28" x14ac:dyDescent="0.2">
      <c r="C1920" s="23" t="s">
        <v>1978</v>
      </c>
      <c r="D1920" s="23">
        <f>Source!BA717</f>
        <v>6.56</v>
      </c>
    </row>
    <row r="1921" spans="1:28" x14ac:dyDescent="0.2">
      <c r="C1921" s="23" t="s">
        <v>1979</v>
      </c>
      <c r="D1921" s="23">
        <f>Source!BB717</f>
        <v>6.56</v>
      </c>
    </row>
    <row r="1922" spans="1:28" x14ac:dyDescent="0.2">
      <c r="C1922" s="23" t="s">
        <v>1980</v>
      </c>
      <c r="D1922" s="23">
        <f>Source!BC717</f>
        <v>6.56</v>
      </c>
    </row>
    <row r="1923" spans="1:28" x14ac:dyDescent="0.2">
      <c r="C1923" s="23" t="s">
        <v>1981</v>
      </c>
      <c r="D1923" s="23">
        <f>Source!BS717</f>
        <v>6.56</v>
      </c>
    </row>
    <row r="1924" spans="1:28" x14ac:dyDescent="0.2">
      <c r="C1924" s="23" t="s">
        <v>1988</v>
      </c>
      <c r="D1924" s="82" t="s">
        <v>187</v>
      </c>
      <c r="E1924" s="82"/>
      <c r="F1924" s="82"/>
      <c r="G1924" s="82"/>
      <c r="H1924" s="82"/>
    </row>
    <row r="1925" spans="1:28" x14ac:dyDescent="0.2">
      <c r="C1925" s="23" t="s">
        <v>1989</v>
      </c>
      <c r="D1925" s="82" t="s">
        <v>187</v>
      </c>
      <c r="E1925" s="82"/>
      <c r="F1925" s="82"/>
      <c r="G1925" s="82"/>
      <c r="H1925" s="82"/>
    </row>
    <row r="1926" spans="1:28" x14ac:dyDescent="0.2">
      <c r="C1926" s="23" t="s">
        <v>1990</v>
      </c>
      <c r="D1926" s="82" t="s">
        <v>188</v>
      </c>
      <c r="E1926" s="82"/>
      <c r="F1926" s="82"/>
      <c r="G1926" s="82"/>
      <c r="H1926" s="82"/>
    </row>
    <row r="1927" spans="1:28" x14ac:dyDescent="0.2">
      <c r="C1927" s="23" t="s">
        <v>1991</v>
      </c>
      <c r="D1927" s="82" t="s">
        <v>188</v>
      </c>
      <c r="E1927" s="82"/>
      <c r="F1927" s="82"/>
      <c r="G1927" s="82"/>
      <c r="H1927" s="82"/>
    </row>
    <row r="1928" spans="1:28" x14ac:dyDescent="0.2">
      <c r="C1928" s="23" t="s">
        <v>1992</v>
      </c>
      <c r="D1928" s="82" t="s">
        <v>187</v>
      </c>
      <c r="E1928" s="82"/>
      <c r="F1928" s="82"/>
      <c r="G1928" s="82"/>
      <c r="H1928" s="82"/>
    </row>
    <row r="1929" spans="1:28" x14ac:dyDescent="0.2">
      <c r="C1929" s="9" t="s">
        <v>1982</v>
      </c>
      <c r="D1929" s="33"/>
      <c r="E1929" s="33"/>
      <c r="F1929" s="33">
        <f>Source!BZ717</f>
        <v>128</v>
      </c>
      <c r="G1929" s="57">
        <f>(Source!AF717+Source!AE717)*Source!FX717/100</f>
        <v>323.17056000000002</v>
      </c>
      <c r="H1929" s="57">
        <f>Source!X717</f>
        <v>1269.78</v>
      </c>
    </row>
    <row r="1930" spans="1:28" x14ac:dyDescent="0.2">
      <c r="C1930" s="9" t="s">
        <v>1983</v>
      </c>
      <c r="D1930" s="33"/>
      <c r="E1930" s="33"/>
      <c r="F1930" s="33"/>
      <c r="G1930" s="33" t="str">
        <f>CONCATENATE(Source!DL717,Source!FT717, "=", Source!FX717, "%")</f>
        <v>*0,9=115,2%</v>
      </c>
      <c r="H1930" s="33" t="str">
        <f>CONCATENATE(Source!AT717)</f>
        <v>115</v>
      </c>
    </row>
    <row r="1931" spans="1:28" x14ac:dyDescent="0.2">
      <c r="C1931" s="9" t="s">
        <v>1984</v>
      </c>
      <c r="D1931" s="33"/>
      <c r="E1931" s="33"/>
      <c r="F1931" s="33">
        <f>Source!CA717</f>
        <v>83</v>
      </c>
      <c r="G1931" s="57">
        <f>(Source!AF717+Source!AE717)*Source!FY717/100</f>
        <v>197.913915</v>
      </c>
      <c r="H1931" s="57">
        <f>Source!Y717</f>
        <v>783.95</v>
      </c>
    </row>
    <row r="1932" spans="1:28" x14ac:dyDescent="0.2">
      <c r="C1932" s="9" t="s">
        <v>1985</v>
      </c>
      <c r="D1932" s="33"/>
      <c r="E1932" s="33"/>
      <c r="F1932" s="33"/>
      <c r="G1932" s="33" t="str">
        <f>CONCATENATE(Source!DM717,Source!FU717, "=", Source!FY717, "%")</f>
        <v>*0,85=70,55%</v>
      </c>
      <c r="H1932" s="33" t="str">
        <f>CONCATENATE(Source!AU717)</f>
        <v>71</v>
      </c>
    </row>
    <row r="1933" spans="1:28" x14ac:dyDescent="0.2">
      <c r="C1933" s="9" t="s">
        <v>1986</v>
      </c>
      <c r="D1933" s="33"/>
      <c r="E1933" s="33"/>
      <c r="F1933" s="33"/>
      <c r="G1933" s="57">
        <f>((Source!AF717+Source!AE717)*Source!FX717/100)+((Source!AF717+Source!AE717)*Source!FY717/100)+Source!AB717</f>
        <v>1026.7744749999999</v>
      </c>
      <c r="H1933" s="57">
        <f>Source!O717+Source!X717+Source!Y717</f>
        <v>4044.12</v>
      </c>
    </row>
    <row r="1934" spans="1:28" ht="28.5" x14ac:dyDescent="0.2">
      <c r="A1934" s="45">
        <v>284</v>
      </c>
      <c r="B1934" s="45" t="str">
        <f>Source!E718</f>
        <v>133,1</v>
      </c>
      <c r="C1934" s="45" t="str">
        <f>Source!G718</f>
        <v>Подводка гибкая армированная резиновая 1000 мм</v>
      </c>
      <c r="D1934" s="45" t="str">
        <f>Source!F718</f>
        <v>18.2.06.08-0016</v>
      </c>
      <c r="E1934" s="30" t="str">
        <f>Source!H718</f>
        <v>10 шт.</v>
      </c>
      <c r="F1934" s="12">
        <f>Source!I718</f>
        <v>0.6</v>
      </c>
      <c r="G1934" s="22">
        <f>Source!AB718</f>
        <v>160.19999999999999</v>
      </c>
      <c r="H1934" s="22">
        <f>Source!O718</f>
        <v>630.54999999999995</v>
      </c>
      <c r="T1934">
        <f>Source!O718+Source!X718+Source!Y718</f>
        <v>630.54999999999995</v>
      </c>
      <c r="U1934">
        <f>Source!P718</f>
        <v>630.54999999999995</v>
      </c>
      <c r="V1934">
        <f>Source!S718</f>
        <v>0</v>
      </c>
      <c r="W1934">
        <f>Source!Q718</f>
        <v>0</v>
      </c>
      <c r="X1934">
        <f>Source!R718</f>
        <v>0</v>
      </c>
      <c r="Y1934">
        <f>Source!U718</f>
        <v>0</v>
      </c>
      <c r="Z1934">
        <f>Source!V718</f>
        <v>0</v>
      </c>
      <c r="AA1934">
        <f>Source!X718</f>
        <v>0</v>
      </c>
      <c r="AB1934">
        <f>Source!Y718</f>
        <v>0</v>
      </c>
    </row>
    <row r="1935" spans="1:28" ht="14.25" x14ac:dyDescent="0.2">
      <c r="C1935" s="23" t="s">
        <v>1980</v>
      </c>
      <c r="D1935" s="23">
        <f>Source!BC718</f>
        <v>6.56</v>
      </c>
      <c r="F1935" s="12"/>
      <c r="G1935" s="12"/>
      <c r="H1935" s="12"/>
    </row>
    <row r="1936" spans="1:28" ht="28.5" x14ac:dyDescent="0.2">
      <c r="A1936" s="45">
        <v>285</v>
      </c>
      <c r="B1936" s="45" t="str">
        <f>Source!E719</f>
        <v>133,2</v>
      </c>
      <c r="C1936" s="45" t="str">
        <f>Source!G719</f>
        <v>Унитаз-компакт Santek Бореаль WH302143</v>
      </c>
      <c r="D1936" s="45" t="str">
        <f>Source!F719</f>
        <v>18.2.01.06-0001</v>
      </c>
      <c r="E1936" s="30" t="str">
        <f>Source!H719</f>
        <v>компл.</v>
      </c>
      <c r="F1936" s="12">
        <f>Source!I719</f>
        <v>6</v>
      </c>
      <c r="G1936" s="22">
        <f>Source!AB719</f>
        <v>318</v>
      </c>
      <c r="H1936" s="22">
        <f>Source!O719</f>
        <v>12516.48</v>
      </c>
      <c r="T1936">
        <f>Source!O719+Source!X719+Source!Y719</f>
        <v>12516.48</v>
      </c>
      <c r="U1936">
        <f>Source!P719</f>
        <v>12516.48</v>
      </c>
      <c r="V1936">
        <f>Source!S719</f>
        <v>0</v>
      </c>
      <c r="W1936">
        <f>Source!Q719</f>
        <v>0</v>
      </c>
      <c r="X1936">
        <f>Source!R719</f>
        <v>0</v>
      </c>
      <c r="Y1936">
        <f>Source!U719</f>
        <v>0</v>
      </c>
      <c r="Z1936">
        <f>Source!V719</f>
        <v>0</v>
      </c>
      <c r="AA1936">
        <f>Source!X719</f>
        <v>0</v>
      </c>
      <c r="AB1936">
        <f>Source!Y719</f>
        <v>0</v>
      </c>
    </row>
    <row r="1937" spans="1:28" ht="14.25" x14ac:dyDescent="0.2">
      <c r="C1937" s="23" t="s">
        <v>1980</v>
      </c>
      <c r="D1937" s="23">
        <f>Source!BC719</f>
        <v>6.56</v>
      </c>
      <c r="F1937" s="12"/>
      <c r="G1937" s="12"/>
      <c r="H1937" s="12"/>
    </row>
    <row r="1938" spans="1:28" ht="28.5" x14ac:dyDescent="0.2">
      <c r="A1938" s="45">
        <v>286</v>
      </c>
      <c r="B1938" s="45" t="str">
        <f>Source!E720</f>
        <v>134</v>
      </c>
      <c r="C1938" s="45" t="str">
        <f>Source!G720</f>
        <v>Установка трапов диаметром 100 мм</v>
      </c>
      <c r="D1938" s="45" t="str">
        <f>Source!F720</f>
        <v>17-01-001-23</v>
      </c>
      <c r="E1938" s="30" t="str">
        <f>Source!H720</f>
        <v>10 компл</v>
      </c>
      <c r="F1938" s="12">
        <f>Source!I720</f>
        <v>0.2</v>
      </c>
      <c r="G1938" s="22">
        <f>Source!AB720</f>
        <v>158.47</v>
      </c>
      <c r="H1938" s="22">
        <f>Source!O720</f>
        <v>207.91</v>
      </c>
      <c r="T1938">
        <f>Source!O720+Source!X720+Source!Y720</f>
        <v>455.53</v>
      </c>
      <c r="U1938">
        <f>Source!P720</f>
        <v>55</v>
      </c>
      <c r="V1938">
        <f>Source!S720</f>
        <v>127.3</v>
      </c>
      <c r="W1938">
        <f>Source!Q720</f>
        <v>25.61</v>
      </c>
      <c r="X1938">
        <f>Source!R720</f>
        <v>5.83</v>
      </c>
      <c r="Y1938">
        <f>Source!U720</f>
        <v>2.0170999999999997</v>
      </c>
      <c r="Z1938">
        <f>Source!V720</f>
        <v>7.2499999999999995E-2</v>
      </c>
      <c r="AA1938">
        <f>Source!X720</f>
        <v>153.1</v>
      </c>
      <c r="AB1938">
        <f>Source!Y720</f>
        <v>94.52</v>
      </c>
    </row>
    <row r="1939" spans="1:28" ht="14.25" x14ac:dyDescent="0.2">
      <c r="C1939" s="23" t="str">
        <f>"Объем: "&amp;Source!I720&amp;"=2/"&amp;"10"</f>
        <v>Объем: 0,2=2/10</v>
      </c>
      <c r="F1939" s="12"/>
      <c r="G1939" s="12"/>
      <c r="H1939" s="12"/>
    </row>
    <row r="1940" spans="1:28" x14ac:dyDescent="0.2">
      <c r="C1940" s="23" t="s">
        <v>1978</v>
      </c>
      <c r="D1940" s="23">
        <f>Source!BA720</f>
        <v>6.56</v>
      </c>
    </row>
    <row r="1941" spans="1:28" x14ac:dyDescent="0.2">
      <c r="C1941" s="23" t="s">
        <v>1979</v>
      </c>
      <c r="D1941" s="23">
        <f>Source!BB720</f>
        <v>6.56</v>
      </c>
    </row>
    <row r="1942" spans="1:28" x14ac:dyDescent="0.2">
      <c r="C1942" s="23" t="s">
        <v>1980</v>
      </c>
      <c r="D1942" s="23">
        <f>Source!BC720</f>
        <v>6.56</v>
      </c>
    </row>
    <row r="1943" spans="1:28" x14ac:dyDescent="0.2">
      <c r="C1943" s="23" t="s">
        <v>1981</v>
      </c>
      <c r="D1943" s="23">
        <f>Source!BS720</f>
        <v>6.56</v>
      </c>
    </row>
    <row r="1944" spans="1:28" x14ac:dyDescent="0.2">
      <c r="C1944" s="23" t="s">
        <v>1988</v>
      </c>
      <c r="D1944" s="82" t="s">
        <v>187</v>
      </c>
      <c r="E1944" s="82"/>
      <c r="F1944" s="82"/>
      <c r="G1944" s="82"/>
      <c r="H1944" s="82"/>
    </row>
    <row r="1945" spans="1:28" x14ac:dyDescent="0.2">
      <c r="C1945" s="23" t="s">
        <v>1989</v>
      </c>
      <c r="D1945" s="82" t="s">
        <v>187</v>
      </c>
      <c r="E1945" s="82"/>
      <c r="F1945" s="82"/>
      <c r="G1945" s="82"/>
      <c r="H1945" s="82"/>
    </row>
    <row r="1946" spans="1:28" x14ac:dyDescent="0.2">
      <c r="C1946" s="23" t="s">
        <v>1990</v>
      </c>
      <c r="D1946" s="82" t="s">
        <v>188</v>
      </c>
      <c r="E1946" s="82"/>
      <c r="F1946" s="82"/>
      <c r="G1946" s="82"/>
      <c r="H1946" s="82"/>
    </row>
    <row r="1947" spans="1:28" x14ac:dyDescent="0.2">
      <c r="C1947" s="23" t="s">
        <v>1991</v>
      </c>
      <c r="D1947" s="82" t="s">
        <v>188</v>
      </c>
      <c r="E1947" s="82"/>
      <c r="F1947" s="82"/>
      <c r="G1947" s="82"/>
      <c r="H1947" s="82"/>
    </row>
    <row r="1948" spans="1:28" x14ac:dyDescent="0.2">
      <c r="C1948" s="23" t="s">
        <v>1992</v>
      </c>
      <c r="D1948" s="82" t="s">
        <v>187</v>
      </c>
      <c r="E1948" s="82"/>
      <c r="F1948" s="82"/>
      <c r="G1948" s="82"/>
      <c r="H1948" s="82"/>
    </row>
    <row r="1949" spans="1:28" x14ac:dyDescent="0.2">
      <c r="C1949" s="9" t="s">
        <v>1982</v>
      </c>
      <c r="D1949" s="33"/>
      <c r="E1949" s="33"/>
      <c r="F1949" s="33">
        <f>Source!BZ720</f>
        <v>128</v>
      </c>
      <c r="G1949" s="57">
        <f>(Source!AF720+Source!AE720)*Source!FX720/100</f>
        <v>116.89344000000001</v>
      </c>
      <c r="H1949" s="57">
        <f>Source!X720</f>
        <v>153.1</v>
      </c>
    </row>
    <row r="1950" spans="1:28" x14ac:dyDescent="0.2">
      <c r="C1950" s="9" t="s">
        <v>1983</v>
      </c>
      <c r="D1950" s="33"/>
      <c r="E1950" s="33"/>
      <c r="F1950" s="33"/>
      <c r="G1950" s="33" t="str">
        <f>CONCATENATE(Source!DL720,Source!FT720, "=", Source!FX720, "%")</f>
        <v>*0,9=115,2%</v>
      </c>
      <c r="H1950" s="33" t="str">
        <f>CONCATENATE(Source!AT720)</f>
        <v>115</v>
      </c>
    </row>
    <row r="1951" spans="1:28" x14ac:dyDescent="0.2">
      <c r="C1951" s="9" t="s">
        <v>1984</v>
      </c>
      <c r="D1951" s="33"/>
      <c r="E1951" s="33"/>
      <c r="F1951" s="33">
        <f>Source!CA720</f>
        <v>83</v>
      </c>
      <c r="G1951" s="57">
        <f>(Source!AF720+Source!AE720)*Source!FY720/100</f>
        <v>71.587085000000002</v>
      </c>
      <c r="H1951" s="57">
        <f>Source!Y720</f>
        <v>94.52</v>
      </c>
    </row>
    <row r="1952" spans="1:28" x14ac:dyDescent="0.2">
      <c r="C1952" s="9" t="s">
        <v>1985</v>
      </c>
      <c r="D1952" s="33"/>
      <c r="E1952" s="33"/>
      <c r="F1952" s="33"/>
      <c r="G1952" s="33" t="str">
        <f>CONCATENATE(Source!DM720,Source!FU720, "=", Source!FY720, "%")</f>
        <v>*0,85=70,55%</v>
      </c>
      <c r="H1952" s="33" t="str">
        <f>CONCATENATE(Source!AU720)</f>
        <v>71</v>
      </c>
    </row>
    <row r="1953" spans="1:28" x14ac:dyDescent="0.2">
      <c r="C1953" s="9" t="s">
        <v>1986</v>
      </c>
      <c r="D1953" s="33"/>
      <c r="E1953" s="33"/>
      <c r="F1953" s="33"/>
      <c r="G1953" s="57">
        <f>((Source!AF720+Source!AE720)*Source!FX720/100)+((Source!AF720+Source!AE720)*Source!FY720/100)+Source!AB720</f>
        <v>346.95052499999997</v>
      </c>
      <c r="H1953" s="57">
        <f>Source!O720+Source!X720+Source!Y720</f>
        <v>455.53</v>
      </c>
    </row>
    <row r="1954" spans="1:28" ht="28.5" x14ac:dyDescent="0.2">
      <c r="A1954" s="45">
        <v>287</v>
      </c>
      <c r="B1954" s="45" t="str">
        <f>Source!E721</f>
        <v>134,1</v>
      </c>
      <c r="C1954" s="45" t="str">
        <f>Source!G721</f>
        <v>Трап канализационный ПВХ  100х100, диаметром 50 мм (прим.)</v>
      </c>
      <c r="D1954" s="45" t="str">
        <f>Source!F721</f>
        <v>18.2.06.10-0003</v>
      </c>
      <c r="E1954" s="30" t="str">
        <f>Source!H721</f>
        <v>шт.</v>
      </c>
      <c r="F1954" s="12">
        <f>Source!I721</f>
        <v>2</v>
      </c>
      <c r="G1954" s="22">
        <f>Source!AB721</f>
        <v>301.7</v>
      </c>
      <c r="H1954" s="22">
        <f>Source!O721</f>
        <v>3958.3</v>
      </c>
      <c r="T1954">
        <f>Source!O721+Source!X721+Source!Y721</f>
        <v>3958.3</v>
      </c>
      <c r="U1954">
        <f>Source!P721</f>
        <v>3958.3</v>
      </c>
      <c r="V1954">
        <f>Source!S721</f>
        <v>0</v>
      </c>
      <c r="W1954">
        <f>Source!Q721</f>
        <v>0</v>
      </c>
      <c r="X1954">
        <f>Source!R721</f>
        <v>0</v>
      </c>
      <c r="Y1954">
        <f>Source!U721</f>
        <v>0</v>
      </c>
      <c r="Z1954">
        <f>Source!V721</f>
        <v>0</v>
      </c>
      <c r="AA1954">
        <f>Source!X721</f>
        <v>0</v>
      </c>
      <c r="AB1954">
        <f>Source!Y721</f>
        <v>0</v>
      </c>
    </row>
    <row r="1955" spans="1:28" ht="14.25" x14ac:dyDescent="0.2">
      <c r="C1955" s="23" t="s">
        <v>1980</v>
      </c>
      <c r="D1955" s="23">
        <f>Source!BC721</f>
        <v>6.56</v>
      </c>
      <c r="F1955" s="12"/>
      <c r="G1955" s="12"/>
      <c r="H1955" s="12"/>
    </row>
    <row r="1956" spans="1:28" ht="42.75" x14ac:dyDescent="0.2">
      <c r="A1956" s="45">
        <v>288</v>
      </c>
      <c r="B1956" s="45" t="str">
        <f>Source!E722</f>
        <v>135</v>
      </c>
      <c r="C1956" s="45" t="str">
        <f>Source!G722</f>
        <v>Прокладка трубопроводов канализации из полиэтиленовых труб высокой плотности диаметром 110 мм</v>
      </c>
      <c r="D1956" s="45" t="str">
        <f>Source!F722</f>
        <v>16-04-001-02</v>
      </c>
      <c r="E1956" s="30" t="str">
        <f>Source!H722</f>
        <v>100 м</v>
      </c>
      <c r="F1956" s="12">
        <f>Source!I722</f>
        <v>0.39</v>
      </c>
      <c r="G1956" s="22">
        <f>Source!AB722</f>
        <v>851.33</v>
      </c>
      <c r="H1956" s="22">
        <f>Source!O722</f>
        <v>2178.04</v>
      </c>
      <c r="T1956">
        <f>Source!O722+Source!X722+Source!Y722</f>
        <v>5527.4900000000007</v>
      </c>
      <c r="U1956">
        <f>Source!P722</f>
        <v>360.53</v>
      </c>
      <c r="V1956">
        <f>Source!S722</f>
        <v>1797.86</v>
      </c>
      <c r="W1956">
        <f>Source!Q722</f>
        <v>19.649999999999999</v>
      </c>
      <c r="X1956">
        <f>Source!R722</f>
        <v>2.92</v>
      </c>
      <c r="Y1956">
        <f>Source!U722</f>
        <v>27.627599999999997</v>
      </c>
      <c r="Z1956">
        <f>Source!V722</f>
        <v>3.4125000000000003E-2</v>
      </c>
      <c r="AA1956">
        <f>Source!X722</f>
        <v>2070.9</v>
      </c>
      <c r="AB1956">
        <f>Source!Y722</f>
        <v>1278.55</v>
      </c>
    </row>
    <row r="1957" spans="1:28" ht="14.25" x14ac:dyDescent="0.2">
      <c r="C1957" s="23" t="str">
        <f>"Объем: "&amp;Source!I722&amp;"=39/"&amp;"100"</f>
        <v>Объем: 0,39=39/100</v>
      </c>
      <c r="F1957" s="12"/>
      <c r="G1957" s="12"/>
      <c r="H1957" s="12"/>
    </row>
    <row r="1958" spans="1:28" x14ac:dyDescent="0.2">
      <c r="C1958" s="23" t="s">
        <v>1978</v>
      </c>
      <c r="D1958" s="23">
        <f>Source!BA722</f>
        <v>6.56</v>
      </c>
    </row>
    <row r="1959" spans="1:28" x14ac:dyDescent="0.2">
      <c r="C1959" s="23" t="s">
        <v>1979</v>
      </c>
      <c r="D1959" s="23">
        <f>Source!BB722</f>
        <v>6.56</v>
      </c>
    </row>
    <row r="1960" spans="1:28" x14ac:dyDescent="0.2">
      <c r="C1960" s="23" t="s">
        <v>1980</v>
      </c>
      <c r="D1960" s="23">
        <f>Source!BC722</f>
        <v>6.56</v>
      </c>
    </row>
    <row r="1961" spans="1:28" x14ac:dyDescent="0.2">
      <c r="C1961" s="23" t="s">
        <v>1981</v>
      </c>
      <c r="D1961" s="23">
        <f>Source!BS722</f>
        <v>6.56</v>
      </c>
    </row>
    <row r="1962" spans="1:28" x14ac:dyDescent="0.2">
      <c r="C1962" s="23" t="s">
        <v>1988</v>
      </c>
      <c r="D1962" s="82" t="s">
        <v>187</v>
      </c>
      <c r="E1962" s="82"/>
      <c r="F1962" s="82"/>
      <c r="G1962" s="82"/>
      <c r="H1962" s="82"/>
    </row>
    <row r="1963" spans="1:28" x14ac:dyDescent="0.2">
      <c r="C1963" s="23" t="s">
        <v>1989</v>
      </c>
      <c r="D1963" s="82" t="s">
        <v>187</v>
      </c>
      <c r="E1963" s="82"/>
      <c r="F1963" s="82"/>
      <c r="G1963" s="82"/>
      <c r="H1963" s="82"/>
    </row>
    <row r="1964" spans="1:28" x14ac:dyDescent="0.2">
      <c r="C1964" s="23" t="s">
        <v>1990</v>
      </c>
      <c r="D1964" s="82" t="s">
        <v>188</v>
      </c>
      <c r="E1964" s="82"/>
      <c r="F1964" s="82"/>
      <c r="G1964" s="82"/>
      <c r="H1964" s="82"/>
    </row>
    <row r="1965" spans="1:28" x14ac:dyDescent="0.2">
      <c r="C1965" s="23" t="s">
        <v>1991</v>
      </c>
      <c r="D1965" s="82" t="s">
        <v>188</v>
      </c>
      <c r="E1965" s="82"/>
      <c r="F1965" s="82"/>
      <c r="G1965" s="82"/>
      <c r="H1965" s="82"/>
    </row>
    <row r="1966" spans="1:28" x14ac:dyDescent="0.2">
      <c r="C1966" s="23" t="s">
        <v>1992</v>
      </c>
      <c r="D1966" s="82" t="s">
        <v>187</v>
      </c>
      <c r="E1966" s="82"/>
      <c r="F1966" s="82"/>
      <c r="G1966" s="82"/>
      <c r="H1966" s="82"/>
    </row>
    <row r="1967" spans="1:28" x14ac:dyDescent="0.2">
      <c r="C1967" s="9" t="s">
        <v>1982</v>
      </c>
      <c r="D1967" s="33"/>
      <c r="E1967" s="33"/>
      <c r="F1967" s="33">
        <f>Source!BZ722</f>
        <v>128</v>
      </c>
      <c r="G1967" s="57">
        <f>(Source!AF722+Source!AE722)*Source!FX722/100</f>
        <v>810.85824000000002</v>
      </c>
      <c r="H1967" s="57">
        <f>Source!X722</f>
        <v>2070.9</v>
      </c>
    </row>
    <row r="1968" spans="1:28" x14ac:dyDescent="0.2">
      <c r="C1968" s="9" t="s">
        <v>1983</v>
      </c>
      <c r="D1968" s="33"/>
      <c r="E1968" s="33"/>
      <c r="F1968" s="33"/>
      <c r="G1968" s="33" t="str">
        <f>CONCATENATE(Source!DL722,Source!FT722, "=", Source!FX722, "%")</f>
        <v>*0,9=115,2%</v>
      </c>
      <c r="H1968" s="33" t="str">
        <f>CONCATENATE(Source!AT722)</f>
        <v>115</v>
      </c>
    </row>
    <row r="1969" spans="1:28" x14ac:dyDescent="0.2">
      <c r="C1969" s="9" t="s">
        <v>1984</v>
      </c>
      <c r="D1969" s="33"/>
      <c r="E1969" s="33"/>
      <c r="F1969" s="33">
        <f>Source!CA722</f>
        <v>83</v>
      </c>
      <c r="G1969" s="57">
        <f>(Source!AF722+Source!AE722)*Source!FY722/100</f>
        <v>496.580285</v>
      </c>
      <c r="H1969" s="57">
        <f>Source!Y722</f>
        <v>1278.55</v>
      </c>
    </row>
    <row r="1970" spans="1:28" x14ac:dyDescent="0.2">
      <c r="C1970" s="9" t="s">
        <v>1985</v>
      </c>
      <c r="D1970" s="33"/>
      <c r="E1970" s="33"/>
      <c r="F1970" s="33"/>
      <c r="G1970" s="33" t="str">
        <f>CONCATENATE(Source!DM722,Source!FU722, "=", Source!FY722, "%")</f>
        <v>*0,85=70,55%</v>
      </c>
      <c r="H1970" s="33" t="str">
        <f>CONCATENATE(Source!AU722)</f>
        <v>71</v>
      </c>
    </row>
    <row r="1971" spans="1:28" x14ac:dyDescent="0.2">
      <c r="C1971" s="9" t="s">
        <v>1986</v>
      </c>
      <c r="D1971" s="33"/>
      <c r="E1971" s="33"/>
      <c r="F1971" s="33"/>
      <c r="G1971" s="57">
        <f>((Source!AF722+Source!AE722)*Source!FX722/100)+((Source!AF722+Source!AE722)*Source!FY722/100)+Source!AB722</f>
        <v>2158.768525</v>
      </c>
      <c r="H1971" s="57">
        <f>Source!O722+Source!X722+Source!Y722</f>
        <v>5527.4900000000007</v>
      </c>
    </row>
    <row r="1972" spans="1:28" ht="57" x14ac:dyDescent="0.2">
      <c r="A1972" s="45">
        <v>289</v>
      </c>
      <c r="B1972" s="45" t="str">
        <f>Source!E723</f>
        <v>135,1</v>
      </c>
      <c r="C1972" s="45" t="str">
        <f>Source!G723</f>
        <v>Хомуты для крепления канализационных и водосточных пластмассовых трубопроводов, диаметром 100 мм</v>
      </c>
      <c r="D1972" s="45" t="str">
        <f>Source!F723</f>
        <v>24.1.02.01-0112</v>
      </c>
      <c r="E1972" s="30" t="str">
        <f>Source!H723</f>
        <v>т</v>
      </c>
      <c r="F1972" s="12">
        <f>Source!I723</f>
        <v>1.06E-3</v>
      </c>
      <c r="G1972" s="22">
        <f>Source!AB723</f>
        <v>37529.15</v>
      </c>
      <c r="H1972" s="22">
        <f>Source!O723</f>
        <v>260.95999999999998</v>
      </c>
      <c r="T1972">
        <f>Source!O723+Source!X723+Source!Y723</f>
        <v>260.95999999999998</v>
      </c>
      <c r="U1972">
        <f>Source!P723</f>
        <v>260.95999999999998</v>
      </c>
      <c r="V1972">
        <f>Source!S723</f>
        <v>0</v>
      </c>
      <c r="W1972">
        <f>Source!Q723</f>
        <v>0</v>
      </c>
      <c r="X1972">
        <f>Source!R723</f>
        <v>0</v>
      </c>
      <c r="Y1972">
        <f>Source!U723</f>
        <v>0</v>
      </c>
      <c r="Z1972">
        <f>Source!V723</f>
        <v>0</v>
      </c>
      <c r="AA1972">
        <f>Source!X723</f>
        <v>0</v>
      </c>
      <c r="AB1972">
        <f>Source!Y723</f>
        <v>0</v>
      </c>
    </row>
    <row r="1973" spans="1:28" ht="14.25" x14ac:dyDescent="0.2">
      <c r="C1973" s="23" t="s">
        <v>1980</v>
      </c>
      <c r="D1973" s="23">
        <f>Source!BC723</f>
        <v>6.56</v>
      </c>
      <c r="F1973" s="12"/>
      <c r="G1973" s="12"/>
      <c r="H1973" s="12"/>
    </row>
    <row r="1974" spans="1:28" ht="42.75" x14ac:dyDescent="0.2">
      <c r="A1974" s="45">
        <v>290</v>
      </c>
      <c r="B1974" s="45" t="str">
        <f>Source!E724</f>
        <v>135,2</v>
      </c>
      <c r="C1974" s="45" t="str">
        <f>Source!G724</f>
        <v>Трубопроводы для внутренней канализации из поливинилхлоридных труб диаметром 100 мм</v>
      </c>
      <c r="D1974" s="45" t="str">
        <f>Source!F724</f>
        <v>24.3.01.06-0012</v>
      </c>
      <c r="E1974" s="30" t="str">
        <f>Source!H724</f>
        <v>м</v>
      </c>
      <c r="F1974" s="12">
        <f>Source!I724</f>
        <v>39</v>
      </c>
      <c r="G1974" s="22">
        <f>Source!AB724</f>
        <v>104.07</v>
      </c>
      <c r="H1974" s="22">
        <f>Source!O724</f>
        <v>26625.27</v>
      </c>
      <c r="T1974">
        <f>Source!O724+Source!X724+Source!Y724</f>
        <v>26625.27</v>
      </c>
      <c r="U1974">
        <f>Source!P724</f>
        <v>26625.27</v>
      </c>
      <c r="V1974">
        <f>Source!S724</f>
        <v>0</v>
      </c>
      <c r="W1974">
        <f>Source!Q724</f>
        <v>0</v>
      </c>
      <c r="X1974">
        <f>Source!R724</f>
        <v>0</v>
      </c>
      <c r="Y1974">
        <f>Source!U724</f>
        <v>0</v>
      </c>
      <c r="Z1974">
        <f>Source!V724</f>
        <v>0</v>
      </c>
      <c r="AA1974">
        <f>Source!X724</f>
        <v>0</v>
      </c>
      <c r="AB1974">
        <f>Source!Y724</f>
        <v>0</v>
      </c>
    </row>
    <row r="1975" spans="1:28" ht="14.25" x14ac:dyDescent="0.2">
      <c r="C1975" s="23" t="s">
        <v>1980</v>
      </c>
      <c r="D1975" s="23">
        <f>Source!BC724</f>
        <v>6.56</v>
      </c>
      <c r="F1975" s="12"/>
      <c r="G1975" s="12"/>
      <c r="H1975" s="12"/>
    </row>
    <row r="1976" spans="1:28" ht="42.75" x14ac:dyDescent="0.2">
      <c r="A1976" s="45">
        <v>291</v>
      </c>
      <c r="B1976" s="45" t="str">
        <f>Source!E725</f>
        <v>136</v>
      </c>
      <c r="C1976" s="45" t="str">
        <f>Source!G725</f>
        <v>Прокладка трубопроводов канализации из полиэтиленовых труб высокой плотности диаметром 50 мм</v>
      </c>
      <c r="D1976" s="45" t="str">
        <f>Source!F725</f>
        <v>16-04-001-01</v>
      </c>
      <c r="E1976" s="30" t="str">
        <f>Source!H725</f>
        <v>100 м</v>
      </c>
      <c r="F1976" s="12">
        <f>Source!I725</f>
        <v>0.08</v>
      </c>
      <c r="G1976" s="22">
        <f>Source!AB725</f>
        <v>791.52</v>
      </c>
      <c r="H1976" s="22">
        <f>Source!O725</f>
        <v>415.39</v>
      </c>
      <c r="T1976">
        <f>Source!O725+Source!X725+Source!Y725</f>
        <v>1131.23</v>
      </c>
      <c r="U1976">
        <f>Source!P725</f>
        <v>29.06</v>
      </c>
      <c r="V1976">
        <f>Source!S725</f>
        <v>384.6</v>
      </c>
      <c r="W1976">
        <f>Source!Q725</f>
        <v>1.73</v>
      </c>
      <c r="X1976">
        <f>Source!R725</f>
        <v>0.26</v>
      </c>
      <c r="Y1976">
        <f>Source!U725</f>
        <v>5.9100799999999998</v>
      </c>
      <c r="Z1976">
        <f>Source!V725</f>
        <v>3.0000000000000001E-3</v>
      </c>
      <c r="AA1976">
        <f>Source!X725</f>
        <v>442.59</v>
      </c>
      <c r="AB1976">
        <f>Source!Y725</f>
        <v>273.25</v>
      </c>
    </row>
    <row r="1977" spans="1:28" ht="14.25" x14ac:dyDescent="0.2">
      <c r="C1977" s="23" t="str">
        <f>"Объем: "&amp;Source!I725&amp;"=8/"&amp;"100"</f>
        <v>Объем: 0,08=8/100</v>
      </c>
      <c r="F1977" s="12"/>
      <c r="G1977" s="12"/>
      <c r="H1977" s="12"/>
    </row>
    <row r="1978" spans="1:28" x14ac:dyDescent="0.2">
      <c r="C1978" s="23" t="s">
        <v>1978</v>
      </c>
      <c r="D1978" s="23">
        <f>Source!BA725</f>
        <v>6.56</v>
      </c>
    </row>
    <row r="1979" spans="1:28" x14ac:dyDescent="0.2">
      <c r="C1979" s="23" t="s">
        <v>1979</v>
      </c>
      <c r="D1979" s="23">
        <f>Source!BB725</f>
        <v>6.56</v>
      </c>
    </row>
    <row r="1980" spans="1:28" x14ac:dyDescent="0.2">
      <c r="C1980" s="23" t="s">
        <v>1980</v>
      </c>
      <c r="D1980" s="23">
        <f>Source!BC725</f>
        <v>6.56</v>
      </c>
    </row>
    <row r="1981" spans="1:28" x14ac:dyDescent="0.2">
      <c r="C1981" s="23" t="s">
        <v>1981</v>
      </c>
      <c r="D1981" s="23">
        <f>Source!BS725</f>
        <v>6.56</v>
      </c>
    </row>
    <row r="1982" spans="1:28" x14ac:dyDescent="0.2">
      <c r="C1982" s="23" t="s">
        <v>1988</v>
      </c>
      <c r="D1982" s="82" t="s">
        <v>187</v>
      </c>
      <c r="E1982" s="82"/>
      <c r="F1982" s="82"/>
      <c r="G1982" s="82"/>
      <c r="H1982" s="82"/>
    </row>
    <row r="1983" spans="1:28" x14ac:dyDescent="0.2">
      <c r="C1983" s="23" t="s">
        <v>1989</v>
      </c>
      <c r="D1983" s="82" t="s">
        <v>187</v>
      </c>
      <c r="E1983" s="82"/>
      <c r="F1983" s="82"/>
      <c r="G1983" s="82"/>
      <c r="H1983" s="82"/>
    </row>
    <row r="1984" spans="1:28" x14ac:dyDescent="0.2">
      <c r="C1984" s="23" t="s">
        <v>1990</v>
      </c>
      <c r="D1984" s="82" t="s">
        <v>188</v>
      </c>
      <c r="E1984" s="82"/>
      <c r="F1984" s="82"/>
      <c r="G1984" s="82"/>
      <c r="H1984" s="82"/>
    </row>
    <row r="1985" spans="1:28" x14ac:dyDescent="0.2">
      <c r="C1985" s="23" t="s">
        <v>1991</v>
      </c>
      <c r="D1985" s="82" t="s">
        <v>188</v>
      </c>
      <c r="E1985" s="82"/>
      <c r="F1985" s="82"/>
      <c r="G1985" s="82"/>
      <c r="H1985" s="82"/>
    </row>
    <row r="1986" spans="1:28" x14ac:dyDescent="0.2">
      <c r="C1986" s="23" t="s">
        <v>1992</v>
      </c>
      <c r="D1986" s="82" t="s">
        <v>187</v>
      </c>
      <c r="E1986" s="82"/>
      <c r="F1986" s="82"/>
      <c r="G1986" s="82"/>
      <c r="H1986" s="82"/>
    </row>
    <row r="1987" spans="1:28" x14ac:dyDescent="0.2">
      <c r="C1987" s="9" t="s">
        <v>1982</v>
      </c>
      <c r="D1987" s="33"/>
      <c r="E1987" s="33"/>
      <c r="F1987" s="33">
        <f>Source!BZ725</f>
        <v>128</v>
      </c>
      <c r="G1987" s="57">
        <f>(Source!AF725+Source!AE725)*Source!FX725/100</f>
        <v>844.81920000000002</v>
      </c>
      <c r="H1987" s="57">
        <f>Source!X725</f>
        <v>442.59</v>
      </c>
    </row>
    <row r="1988" spans="1:28" x14ac:dyDescent="0.2">
      <c r="C1988" s="9" t="s">
        <v>1983</v>
      </c>
      <c r="D1988" s="33"/>
      <c r="E1988" s="33"/>
      <c r="F1988" s="33"/>
      <c r="G1988" s="33" t="str">
        <f>CONCATENATE(Source!DL725,Source!FT725, "=", Source!FX725, "%")</f>
        <v>*0,9=115,2%</v>
      </c>
      <c r="H1988" s="33" t="str">
        <f>CONCATENATE(Source!AT725)</f>
        <v>115</v>
      </c>
    </row>
    <row r="1989" spans="1:28" x14ac:dyDescent="0.2">
      <c r="C1989" s="9" t="s">
        <v>1984</v>
      </c>
      <c r="D1989" s="33"/>
      <c r="E1989" s="33"/>
      <c r="F1989" s="33">
        <f>Source!CA725</f>
        <v>83</v>
      </c>
      <c r="G1989" s="57">
        <f>(Source!AF725+Source!AE725)*Source!FY725/100</f>
        <v>517.37842499999999</v>
      </c>
      <c r="H1989" s="57">
        <f>Source!Y725</f>
        <v>273.25</v>
      </c>
    </row>
    <row r="1990" spans="1:28" x14ac:dyDescent="0.2">
      <c r="C1990" s="9" t="s">
        <v>1985</v>
      </c>
      <c r="D1990" s="33"/>
      <c r="E1990" s="33"/>
      <c r="F1990" s="33"/>
      <c r="G1990" s="33" t="str">
        <f>CONCATENATE(Source!DM725,Source!FU725, "=", Source!FY725, "%")</f>
        <v>*0,85=70,55%</v>
      </c>
      <c r="H1990" s="33" t="str">
        <f>CONCATENATE(Source!AU725)</f>
        <v>71</v>
      </c>
    </row>
    <row r="1991" spans="1:28" x14ac:dyDescent="0.2">
      <c r="C1991" s="9" t="s">
        <v>1986</v>
      </c>
      <c r="D1991" s="33"/>
      <c r="E1991" s="33"/>
      <c r="F1991" s="33"/>
      <c r="G1991" s="57">
        <f>((Source!AF725+Source!AE725)*Source!FX725/100)+((Source!AF725+Source!AE725)*Source!FY725/100)+Source!AB725</f>
        <v>2153.7176250000002</v>
      </c>
      <c r="H1991" s="57">
        <f>Source!O725+Source!X725+Source!Y725</f>
        <v>1131.23</v>
      </c>
    </row>
    <row r="1992" spans="1:28" ht="42.75" x14ac:dyDescent="0.2">
      <c r="A1992" s="45">
        <v>292</v>
      </c>
      <c r="B1992" s="45" t="str">
        <f>Source!E726</f>
        <v>136,1</v>
      </c>
      <c r="C1992" s="45" t="str">
        <f>Source!G726</f>
        <v>Трубопроводы для внутренней канализации из поливинилхлоридных труб диаметром 50 мм</v>
      </c>
      <c r="D1992" s="45" t="str">
        <f>Source!F726</f>
        <v>24.3.01.06-0011</v>
      </c>
      <c r="E1992" s="30" t="str">
        <f>Source!H726</f>
        <v>м</v>
      </c>
      <c r="F1992" s="12">
        <f>Source!I726</f>
        <v>8</v>
      </c>
      <c r="G1992" s="22">
        <f>Source!AB726</f>
        <v>47.46</v>
      </c>
      <c r="H1992" s="22">
        <f>Source!O726</f>
        <v>2490.6999999999998</v>
      </c>
      <c r="T1992">
        <f>Source!O726+Source!X726+Source!Y726</f>
        <v>2490.6999999999998</v>
      </c>
      <c r="U1992">
        <f>Source!P726</f>
        <v>2490.6999999999998</v>
      </c>
      <c r="V1992">
        <f>Source!S726</f>
        <v>0</v>
      </c>
      <c r="W1992">
        <f>Source!Q726</f>
        <v>0</v>
      </c>
      <c r="X1992">
        <f>Source!R726</f>
        <v>0</v>
      </c>
      <c r="Y1992">
        <f>Source!U726</f>
        <v>0</v>
      </c>
      <c r="Z1992">
        <f>Source!V726</f>
        <v>0</v>
      </c>
      <c r="AA1992">
        <f>Source!X726</f>
        <v>0</v>
      </c>
      <c r="AB1992">
        <f>Source!Y726</f>
        <v>0</v>
      </c>
    </row>
    <row r="1993" spans="1:28" ht="14.25" x14ac:dyDescent="0.2">
      <c r="C1993" s="23" t="s">
        <v>1980</v>
      </c>
      <c r="D1993" s="23">
        <f>Source!BC726</f>
        <v>6.56</v>
      </c>
      <c r="F1993" s="12"/>
      <c r="G1993" s="12"/>
      <c r="H1993" s="12"/>
    </row>
    <row r="1994" spans="1:28" ht="57" x14ac:dyDescent="0.2">
      <c r="A1994" s="45">
        <v>293</v>
      </c>
      <c r="B1994" s="45" t="str">
        <f>Source!E727</f>
        <v>136,2</v>
      </c>
      <c r="C1994" s="45" t="str">
        <f>Source!G727</f>
        <v>Хомуты для крепления канализационных и водосточных пластмассовых трубопроводов, диаметром 50 мм</v>
      </c>
      <c r="D1994" s="45" t="str">
        <f>Source!F727</f>
        <v>24.1.02.01-0111</v>
      </c>
      <c r="E1994" s="30" t="str">
        <f>Source!H727</f>
        <v>т</v>
      </c>
      <c r="F1994" s="12">
        <f>Source!I727</f>
        <v>5.9999999999999995E-4</v>
      </c>
      <c r="G1994" s="22">
        <f>Source!AB727</f>
        <v>26729.37</v>
      </c>
      <c r="H1994" s="22">
        <f>Source!O727</f>
        <v>105.21</v>
      </c>
      <c r="T1994">
        <f>Source!O727+Source!X727+Source!Y727</f>
        <v>105.21</v>
      </c>
      <c r="U1994">
        <f>Source!P727</f>
        <v>105.21</v>
      </c>
      <c r="V1994">
        <f>Source!S727</f>
        <v>0</v>
      </c>
      <c r="W1994">
        <f>Source!Q727</f>
        <v>0</v>
      </c>
      <c r="X1994">
        <f>Source!R727</f>
        <v>0</v>
      </c>
      <c r="Y1994">
        <f>Source!U727</f>
        <v>0</v>
      </c>
      <c r="Z1994">
        <f>Source!V727</f>
        <v>0</v>
      </c>
      <c r="AA1994">
        <f>Source!X727</f>
        <v>0</v>
      </c>
      <c r="AB1994">
        <f>Source!Y727</f>
        <v>0</v>
      </c>
    </row>
    <row r="1995" spans="1:28" ht="14.25" x14ac:dyDescent="0.2">
      <c r="C1995" s="23" t="s">
        <v>1980</v>
      </c>
      <c r="D1995" s="23">
        <f>Source!BC727</f>
        <v>6.56</v>
      </c>
      <c r="F1995" s="12"/>
      <c r="G1995" s="12"/>
      <c r="H1995" s="12"/>
    </row>
    <row r="1996" spans="1:28" ht="57" x14ac:dyDescent="0.2">
      <c r="A1996" s="45">
        <v>294</v>
      </c>
      <c r="B1996" s="45" t="str">
        <f>Source!E728</f>
        <v>137</v>
      </c>
      <c r="C1996" s="45" t="str">
        <f>Source!G728</f>
        <v>Изоляция изделиями из вспененного каучука, вспененного полиэтилена трубопроводов наружным диметром до 160 мм трубками</v>
      </c>
      <c r="D1996" s="45" t="str">
        <f>Source!F728</f>
        <v>26-01-017-01</v>
      </c>
      <c r="E1996" s="30" t="str">
        <f>Source!H728</f>
        <v>10 м</v>
      </c>
      <c r="F1996" s="12">
        <f>Source!I728</f>
        <v>3.4</v>
      </c>
      <c r="G1996" s="22">
        <f>Source!AB728</f>
        <v>151.53</v>
      </c>
      <c r="H1996" s="22">
        <f>Source!O728</f>
        <v>3379.72</v>
      </c>
      <c r="T1996">
        <f>Source!O728+Source!X728+Source!Y728</f>
        <v>4844.75</v>
      </c>
      <c r="U1996">
        <f>Source!P728</f>
        <v>2002.45</v>
      </c>
      <c r="V1996">
        <f>Source!S728</f>
        <v>895.73</v>
      </c>
      <c r="W1996">
        <f>Source!Q728</f>
        <v>481.54</v>
      </c>
      <c r="X1996">
        <f>Source!R728</f>
        <v>80.959999999999994</v>
      </c>
      <c r="Y1996">
        <f>Source!U728</f>
        <v>13.763199999999999</v>
      </c>
      <c r="Z1996">
        <f>Source!V728</f>
        <v>1.0625</v>
      </c>
      <c r="AA1996">
        <f>Source!X728</f>
        <v>879.02</v>
      </c>
      <c r="AB1996">
        <f>Source!Y728</f>
        <v>586.01</v>
      </c>
    </row>
    <row r="1997" spans="1:28" ht="14.25" x14ac:dyDescent="0.2">
      <c r="C1997" s="23" t="str">
        <f>"Объем: "&amp;Source!I728&amp;"=34/"&amp;"10"</f>
        <v>Объем: 3,4=34/10</v>
      </c>
      <c r="F1997" s="12"/>
      <c r="G1997" s="12"/>
      <c r="H1997" s="12"/>
    </row>
    <row r="1998" spans="1:28" x14ac:dyDescent="0.2">
      <c r="C1998" s="23" t="s">
        <v>1978</v>
      </c>
      <c r="D1998" s="23">
        <f>Source!BA728</f>
        <v>6.56</v>
      </c>
    </row>
    <row r="1999" spans="1:28" x14ac:dyDescent="0.2">
      <c r="C1999" s="23" t="s">
        <v>1979</v>
      </c>
      <c r="D1999" s="23">
        <f>Source!BB728</f>
        <v>6.56</v>
      </c>
    </row>
    <row r="2000" spans="1:28" x14ac:dyDescent="0.2">
      <c r="C2000" s="23" t="s">
        <v>1980</v>
      </c>
      <c r="D2000" s="23">
        <f>Source!BC728</f>
        <v>6.56</v>
      </c>
    </row>
    <row r="2001" spans="1:28" x14ac:dyDescent="0.2">
      <c r="C2001" s="23" t="s">
        <v>1981</v>
      </c>
      <c r="D2001" s="23">
        <f>Source!BS728</f>
        <v>6.56</v>
      </c>
    </row>
    <row r="2002" spans="1:28" x14ac:dyDescent="0.2">
      <c r="C2002" s="23" t="s">
        <v>1988</v>
      </c>
      <c r="D2002" s="82" t="s">
        <v>187</v>
      </c>
      <c r="E2002" s="82"/>
      <c r="F2002" s="82"/>
      <c r="G2002" s="82"/>
      <c r="H2002" s="82"/>
    </row>
    <row r="2003" spans="1:28" x14ac:dyDescent="0.2">
      <c r="C2003" s="23" t="s">
        <v>1989</v>
      </c>
      <c r="D2003" s="82" t="s">
        <v>187</v>
      </c>
      <c r="E2003" s="82"/>
      <c r="F2003" s="82"/>
      <c r="G2003" s="82"/>
      <c r="H2003" s="82"/>
    </row>
    <row r="2004" spans="1:28" x14ac:dyDescent="0.2">
      <c r="C2004" s="23" t="s">
        <v>1990</v>
      </c>
      <c r="D2004" s="82" t="s">
        <v>188</v>
      </c>
      <c r="E2004" s="82"/>
      <c r="F2004" s="82"/>
      <c r="G2004" s="82"/>
      <c r="H2004" s="82"/>
    </row>
    <row r="2005" spans="1:28" x14ac:dyDescent="0.2">
      <c r="C2005" s="23" t="s">
        <v>1991</v>
      </c>
      <c r="D2005" s="82" t="s">
        <v>188</v>
      </c>
      <c r="E2005" s="82"/>
      <c r="F2005" s="82"/>
      <c r="G2005" s="82"/>
      <c r="H2005" s="82"/>
    </row>
    <row r="2006" spans="1:28" x14ac:dyDescent="0.2">
      <c r="C2006" s="23" t="s">
        <v>1992</v>
      </c>
      <c r="D2006" s="82" t="s">
        <v>187</v>
      </c>
      <c r="E2006" s="82"/>
      <c r="F2006" s="82"/>
      <c r="G2006" s="82"/>
      <c r="H2006" s="82"/>
    </row>
    <row r="2007" spans="1:28" x14ac:dyDescent="0.2">
      <c r="C2007" s="9" t="s">
        <v>1982</v>
      </c>
      <c r="D2007" s="33"/>
      <c r="E2007" s="33"/>
      <c r="F2007" s="33">
        <f>Source!BZ728</f>
        <v>100</v>
      </c>
      <c r="G2007" s="57">
        <f>(Source!AF728+Source!AE728)*Source!FX728/100</f>
        <v>39.411000000000001</v>
      </c>
      <c r="H2007" s="57">
        <f>Source!X728</f>
        <v>879.02</v>
      </c>
    </row>
    <row r="2008" spans="1:28" x14ac:dyDescent="0.2">
      <c r="C2008" s="9" t="s">
        <v>1983</v>
      </c>
      <c r="D2008" s="33"/>
      <c r="E2008" s="33"/>
      <c r="F2008" s="33"/>
      <c r="G2008" s="33" t="str">
        <f>CONCATENATE(Source!DL728,Source!FT728, "=", Source!FX728, "%")</f>
        <v>*0,9=90%</v>
      </c>
      <c r="H2008" s="33" t="str">
        <f>CONCATENATE(Source!AT728)</f>
        <v>90</v>
      </c>
    </row>
    <row r="2009" spans="1:28" x14ac:dyDescent="0.2">
      <c r="C2009" s="9" t="s">
        <v>1984</v>
      </c>
      <c r="D2009" s="33"/>
      <c r="E2009" s="33"/>
      <c r="F2009" s="33">
        <f>Source!CA728</f>
        <v>70</v>
      </c>
      <c r="G2009" s="57">
        <f>(Source!AF728+Source!AE728)*Source!FY728/100</f>
        <v>26.055050000000001</v>
      </c>
      <c r="H2009" s="57">
        <f>Source!Y728</f>
        <v>586.01</v>
      </c>
    </row>
    <row r="2010" spans="1:28" x14ac:dyDescent="0.2">
      <c r="C2010" s="9" t="s">
        <v>1985</v>
      </c>
      <c r="D2010" s="33"/>
      <c r="E2010" s="33"/>
      <c r="F2010" s="33"/>
      <c r="G2010" s="33" t="str">
        <f>CONCATENATE(Source!DM728,Source!FU728, "=", Source!FY728, "%")</f>
        <v>*0,85=59,5%</v>
      </c>
      <c r="H2010" s="33" t="str">
        <f>CONCATENATE(Source!AU728)</f>
        <v>60</v>
      </c>
    </row>
    <row r="2011" spans="1:28" x14ac:dyDescent="0.2">
      <c r="C2011" s="9" t="s">
        <v>1986</v>
      </c>
      <c r="D2011" s="33"/>
      <c r="E2011" s="33"/>
      <c r="F2011" s="33"/>
      <c r="G2011" s="57">
        <f>((Source!AF728+Source!AE728)*Source!FX728/100)+((Source!AF728+Source!AE728)*Source!FY728/100)+Source!AB728</f>
        <v>216.99605</v>
      </c>
      <c r="H2011" s="57">
        <f>Source!O728+Source!X728+Source!Y728</f>
        <v>4844.75</v>
      </c>
    </row>
    <row r="2012" spans="1:28" ht="42.75" x14ac:dyDescent="0.2">
      <c r="A2012" s="45">
        <v>295</v>
      </c>
      <c r="B2012" s="45" t="str">
        <f>Source!E729</f>
        <v>137,1</v>
      </c>
      <c r="C2012" s="45" t="str">
        <f>Source!G729</f>
        <v>Трубки из вспененного полиэтилена, внутренний диаметр 110 мм, толщина 9 мм</v>
      </c>
      <c r="D2012" s="45" t="str">
        <f>Source!F729</f>
        <v>12.2.07.05-0081</v>
      </c>
      <c r="E2012" s="30" t="str">
        <f>Source!H729</f>
        <v>100 м</v>
      </c>
      <c r="F2012" s="12">
        <f>Source!I729</f>
        <v>0.374</v>
      </c>
      <c r="G2012" s="22">
        <f>Source!AB729</f>
        <v>2314.91</v>
      </c>
      <c r="H2012" s="22">
        <f>Source!O729</f>
        <v>5679.49</v>
      </c>
      <c r="T2012">
        <f>Source!O729+Source!X729+Source!Y729</f>
        <v>5679.49</v>
      </c>
      <c r="U2012">
        <f>Source!P729</f>
        <v>5679.49</v>
      </c>
      <c r="V2012">
        <f>Source!S729</f>
        <v>0</v>
      </c>
      <c r="W2012">
        <f>Source!Q729</f>
        <v>0</v>
      </c>
      <c r="X2012">
        <f>Source!R729</f>
        <v>0</v>
      </c>
      <c r="Y2012">
        <f>Source!U729</f>
        <v>0</v>
      </c>
      <c r="Z2012">
        <f>Source!V729</f>
        <v>0</v>
      </c>
      <c r="AA2012">
        <f>Source!X729</f>
        <v>0</v>
      </c>
      <c r="AB2012">
        <f>Source!Y729</f>
        <v>0</v>
      </c>
    </row>
    <row r="2013" spans="1:28" ht="14.25" x14ac:dyDescent="0.2">
      <c r="C2013" s="23" t="s">
        <v>1980</v>
      </c>
      <c r="D2013" s="23">
        <f>Source!BC729</f>
        <v>6.56</v>
      </c>
      <c r="F2013" s="12"/>
      <c r="G2013" s="12"/>
      <c r="H2013" s="12"/>
    </row>
    <row r="2014" spans="1:28" ht="28.5" x14ac:dyDescent="0.2">
      <c r="A2014" s="45">
        <v>296</v>
      </c>
      <c r="B2014" s="45" t="str">
        <f>Source!E730</f>
        <v>137,2</v>
      </c>
      <c r="C2014" s="45" t="str">
        <f>Source!G730</f>
        <v>Трубки из вспененного каучука, полиэтилена</v>
      </c>
      <c r="D2014" s="45" t="str">
        <f>Source!F730</f>
        <v>12.2.07.04</v>
      </c>
      <c r="E2014" s="30" t="str">
        <f>Source!H730</f>
        <v>м</v>
      </c>
      <c r="F2014" s="12">
        <f>Source!I730</f>
        <v>37.4</v>
      </c>
      <c r="G2014" s="22">
        <f>Source!AB730</f>
        <v>0</v>
      </c>
      <c r="H2014" s="22">
        <f>Source!O730</f>
        <v>0</v>
      </c>
      <c r="T2014">
        <f>Source!O730+Source!X730+Source!Y730</f>
        <v>0</v>
      </c>
      <c r="U2014">
        <f>Source!P730</f>
        <v>0</v>
      </c>
      <c r="V2014">
        <f>Source!S730</f>
        <v>0</v>
      </c>
      <c r="W2014">
        <f>Source!Q730</f>
        <v>0</v>
      </c>
      <c r="X2014">
        <f>Source!R730</f>
        <v>0</v>
      </c>
      <c r="Y2014">
        <f>Source!U730</f>
        <v>0</v>
      </c>
      <c r="Z2014">
        <f>Source!V730</f>
        <v>0</v>
      </c>
      <c r="AA2014">
        <f>Source!X730</f>
        <v>0</v>
      </c>
      <c r="AB2014">
        <f>Source!Y730</f>
        <v>0</v>
      </c>
    </row>
    <row r="2015" spans="1:28" ht="14.25" x14ac:dyDescent="0.2">
      <c r="C2015" s="23" t="s">
        <v>1980</v>
      </c>
      <c r="D2015" s="23">
        <f>Source!BC730</f>
        <v>6.56</v>
      </c>
      <c r="F2015" s="12"/>
      <c r="G2015" s="12"/>
      <c r="H2015" s="12"/>
    </row>
    <row r="2017" spans="1:33" ht="15" x14ac:dyDescent="0.25">
      <c r="A2017" s="58"/>
      <c r="B2017" s="58"/>
      <c r="C2017" s="66" t="str">
        <f>CONCATENATE("Итого по разделу: ",IF(Source!G732&lt;&gt;"Новый раздел", Source!G732, ""))</f>
        <v>Итого по разделу: 8 Канализация</v>
      </c>
      <c r="D2017" s="66"/>
      <c r="E2017" s="66"/>
      <c r="F2017" s="66"/>
      <c r="G2017" s="58"/>
      <c r="H2017" s="59">
        <f>IF(SUM(T1882:T2016)=0, "-", SUM(T1882:T2016))</f>
        <v>72371.75</v>
      </c>
    </row>
    <row r="2018" spans="1:33" ht="15" x14ac:dyDescent="0.25">
      <c r="A2018" s="58"/>
      <c r="B2018" s="58"/>
      <c r="C2018" s="58"/>
      <c r="D2018" s="58"/>
      <c r="E2018" s="58"/>
      <c r="F2018" s="58"/>
      <c r="G2018" s="58"/>
      <c r="H2018" s="58"/>
    </row>
    <row r="2021" spans="1:33" ht="15" x14ac:dyDescent="0.25">
      <c r="A2021" s="58"/>
      <c r="B2021" s="58"/>
      <c r="C2021" s="66" t="str">
        <f>CONCATENATE("Итого по локальной смете: ",IF(Source!G761&lt;&gt;"Новая локальная смета", Source!G761, ""))</f>
        <v xml:space="preserve">Итого по локальной смете: </v>
      </c>
      <c r="D2021" s="66"/>
      <c r="E2021" s="66"/>
      <c r="F2021" s="66"/>
      <c r="G2021" s="58"/>
      <c r="H2021" s="59">
        <f>IF(SUM(T37:T2020)=0, "-", SUM(T37:T2020))</f>
        <v>3827013.3599999975</v>
      </c>
    </row>
    <row r="2022" spans="1:33" ht="15" x14ac:dyDescent="0.25">
      <c r="A2022" s="58"/>
      <c r="B2022" s="58"/>
      <c r="C2022" s="58"/>
      <c r="D2022" s="58"/>
      <c r="E2022" s="58"/>
      <c r="F2022" s="58"/>
      <c r="G2022" s="58"/>
      <c r="H2022" s="58"/>
    </row>
    <row r="2024" spans="1:33" ht="14.25" x14ac:dyDescent="0.2">
      <c r="C2024" s="81" t="str">
        <f>Source!H789</f>
        <v>Итого</v>
      </c>
      <c r="D2024" s="81"/>
      <c r="E2024" s="81"/>
      <c r="F2024" s="81"/>
      <c r="G2024" s="70">
        <f>IF(Source!F789=0, "", Source!F789)</f>
        <v>3827013.36</v>
      </c>
      <c r="H2024" s="70"/>
    </row>
    <row r="2025" spans="1:33" ht="14.25" x14ac:dyDescent="0.2">
      <c r="C2025" s="81" t="str">
        <f>Source!H790</f>
        <v>НДС 18%</v>
      </c>
      <c r="D2025" s="81"/>
      <c r="E2025" s="81"/>
      <c r="F2025" s="81"/>
      <c r="G2025" s="70">
        <f>IF(Source!F790=0, "", Source!F790)</f>
        <v>688862.4</v>
      </c>
      <c r="H2025" s="70"/>
    </row>
    <row r="2026" spans="1:33" ht="14.25" x14ac:dyDescent="0.2">
      <c r="C2026" s="81" t="str">
        <f>Source!H791</f>
        <v>Всего</v>
      </c>
      <c r="D2026" s="81"/>
      <c r="E2026" s="81"/>
      <c r="F2026" s="81"/>
      <c r="G2026" s="70">
        <f>IF(Source!F791=0, "", Source!F791)</f>
        <v>4515875.76</v>
      </c>
      <c r="H2026" s="70"/>
    </row>
    <row r="2028" spans="1:33" ht="75" x14ac:dyDescent="0.25">
      <c r="A2028" s="58"/>
      <c r="B2028" s="58"/>
      <c r="C2028" s="66" t="str">
        <f>CONCATENATE("Итого по смете: ",IF(Source!G793&lt;&gt;"Новый объект", Source!G793, ""))</f>
        <v>Итого по смете: 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  <c r="D2028" s="66"/>
      <c r="E2028" s="66"/>
      <c r="F2028" s="66"/>
      <c r="G2028" s="58"/>
      <c r="H2028" s="59">
        <f>IF(SUM(T1:T2027)=0, "-", SUM(T1:T2027))</f>
        <v>3827013.3599999975</v>
      </c>
      <c r="AG2028" s="50" t="str">
        <f>CONCATENATE("Итого по смете: ",IF(Source!G793&lt;&gt;"Новый объект", Source!G793, ""))</f>
        <v>Итого по смете: 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</row>
    <row r="2029" spans="1:33" ht="15" x14ac:dyDescent="0.25">
      <c r="A2029" s="58"/>
      <c r="B2029" s="58"/>
      <c r="C2029" s="58"/>
      <c r="D2029" s="58"/>
      <c r="E2029" s="58"/>
      <c r="F2029" s="58"/>
      <c r="G2029" s="58"/>
      <c r="H2029" s="58"/>
    </row>
    <row r="2032" spans="1:33" ht="15" thickBot="1" x14ac:dyDescent="0.25">
      <c r="A2032" s="78" t="s">
        <v>1997</v>
      </c>
      <c r="B2032" s="78"/>
      <c r="C2032" s="60" t="str">
        <f>IF(Source!AC12&lt;&gt;"", Source!AC12," ")</f>
        <v xml:space="preserve"> </v>
      </c>
      <c r="D2032" s="12"/>
      <c r="E2032" s="61"/>
      <c r="F2032" s="12"/>
      <c r="G2032" s="79" t="str">
        <f>IF(Source!AB12&lt;&gt;"", Source!AB12," ")</f>
        <v xml:space="preserve"> </v>
      </c>
      <c r="H2032" s="79"/>
      <c r="I2032" s="12"/>
      <c r="J2032" s="12"/>
      <c r="K2032" s="12"/>
      <c r="L2032" s="12"/>
    </row>
    <row r="2033" spans="1:12" ht="14.25" x14ac:dyDescent="0.2">
      <c r="A2033" s="12"/>
      <c r="B2033" s="12"/>
      <c r="C2033" s="62" t="s">
        <v>1998</v>
      </c>
      <c r="D2033" s="12"/>
      <c r="E2033" s="62" t="s">
        <v>1999</v>
      </c>
      <c r="F2033" s="12"/>
      <c r="G2033" s="80" t="s">
        <v>2000</v>
      </c>
      <c r="H2033" s="80"/>
      <c r="I2033" s="12"/>
      <c r="J2033" s="12"/>
      <c r="K2033" s="12"/>
      <c r="L2033" s="12"/>
    </row>
    <row r="2034" spans="1:12" ht="14.25" x14ac:dyDescent="0.2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12"/>
    </row>
    <row r="2035" spans="1:12" ht="14.25" x14ac:dyDescent="0.2">
      <c r="A2035" s="12"/>
      <c r="B2035" s="12"/>
      <c r="C2035" s="13" t="s">
        <v>2001</v>
      </c>
      <c r="D2035" s="12"/>
      <c r="E2035" s="12"/>
      <c r="F2035" s="12"/>
      <c r="G2035" s="12"/>
      <c r="H2035" s="12"/>
      <c r="I2035" s="12"/>
      <c r="J2035" s="12"/>
      <c r="K2035" s="12"/>
      <c r="L2035" s="12"/>
    </row>
    <row r="2036" spans="1:12" ht="14.25" x14ac:dyDescent="0.2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12"/>
    </row>
    <row r="2037" spans="1:12" ht="15" thickBot="1" x14ac:dyDescent="0.25">
      <c r="A2037" s="78" t="s">
        <v>2002</v>
      </c>
      <c r="B2037" s="78"/>
      <c r="C2037" s="60" t="str">
        <f>IF(Source!AG12&lt;&gt;"", Source!AG12," ")</f>
        <v xml:space="preserve"> </v>
      </c>
      <c r="D2037" s="12"/>
      <c r="E2037" s="61"/>
      <c r="F2037" s="12"/>
      <c r="G2037" s="79" t="str">
        <f>IF(Source!AF12&lt;&gt;"", Source!AF12," ")</f>
        <v xml:space="preserve"> </v>
      </c>
      <c r="H2037" s="79"/>
      <c r="I2037" s="12"/>
      <c r="J2037" s="12"/>
      <c r="K2037" s="12"/>
      <c r="L2037" s="12"/>
    </row>
    <row r="2038" spans="1:12" ht="14.25" x14ac:dyDescent="0.2">
      <c r="A2038" s="12"/>
      <c r="B2038" s="12"/>
      <c r="C2038" s="62" t="s">
        <v>1998</v>
      </c>
      <c r="D2038" s="12"/>
      <c r="E2038" s="62" t="s">
        <v>1999</v>
      </c>
      <c r="F2038" s="12"/>
      <c r="G2038" s="80" t="s">
        <v>2000</v>
      </c>
      <c r="H2038" s="80"/>
      <c r="I2038" s="12"/>
      <c r="J2038" s="12"/>
      <c r="K2038" s="12"/>
      <c r="L2038" s="12"/>
    </row>
    <row r="2039" spans="1:12" ht="14.25" x14ac:dyDescent="0.2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12"/>
    </row>
    <row r="2040" spans="1:12" ht="14.25" x14ac:dyDescent="0.2">
      <c r="A2040" s="12"/>
      <c r="B2040" s="12"/>
      <c r="C2040" s="13" t="s">
        <v>2001</v>
      </c>
      <c r="D2040" s="12"/>
      <c r="E2040" s="12"/>
      <c r="F2040" s="12"/>
      <c r="G2040" s="12"/>
      <c r="H2040" s="12"/>
      <c r="I2040" s="12"/>
      <c r="J2040" s="12"/>
      <c r="K2040" s="12"/>
      <c r="L2040" s="12"/>
    </row>
  </sheetData>
  <mergeCells count="364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A41:H41"/>
    <mergeCell ref="D90:H90"/>
    <mergeCell ref="D91:H91"/>
    <mergeCell ref="D92:H92"/>
    <mergeCell ref="F31:G31"/>
    <mergeCell ref="A33:B33"/>
    <mergeCell ref="C33:C34"/>
    <mergeCell ref="D33:D34"/>
    <mergeCell ref="E33:E34"/>
    <mergeCell ref="F33:H33"/>
    <mergeCell ref="D109:H109"/>
    <mergeCell ref="D110:H110"/>
    <mergeCell ref="D111:H111"/>
    <mergeCell ref="D136:H136"/>
    <mergeCell ref="D137:H137"/>
    <mergeCell ref="D138:H138"/>
    <mergeCell ref="D93:H93"/>
    <mergeCell ref="D94:H94"/>
    <mergeCell ref="D95:H95"/>
    <mergeCell ref="D106:H106"/>
    <mergeCell ref="D107:H107"/>
    <mergeCell ref="D108:H108"/>
    <mergeCell ref="D200:H200"/>
    <mergeCell ref="D201:H201"/>
    <mergeCell ref="D202:H202"/>
    <mergeCell ref="C218:F218"/>
    <mergeCell ref="A222:H222"/>
    <mergeCell ref="D229:H229"/>
    <mergeCell ref="D139:H139"/>
    <mergeCell ref="D140:H140"/>
    <mergeCell ref="D141:H141"/>
    <mergeCell ref="D197:H197"/>
    <mergeCell ref="D198:H198"/>
    <mergeCell ref="D199:H199"/>
    <mergeCell ref="D251:H251"/>
    <mergeCell ref="D252:H252"/>
    <mergeCell ref="D253:H253"/>
    <mergeCell ref="D269:H269"/>
    <mergeCell ref="D270:H270"/>
    <mergeCell ref="D271:H271"/>
    <mergeCell ref="D230:H230"/>
    <mergeCell ref="D231:H231"/>
    <mergeCell ref="D232:H232"/>
    <mergeCell ref="D233:H233"/>
    <mergeCell ref="D249:H249"/>
    <mergeCell ref="D250:H250"/>
    <mergeCell ref="D289:H289"/>
    <mergeCell ref="D303:H303"/>
    <mergeCell ref="D304:H304"/>
    <mergeCell ref="D305:H305"/>
    <mergeCell ref="D306:H306"/>
    <mergeCell ref="D307:H307"/>
    <mergeCell ref="D272:H272"/>
    <mergeCell ref="D273:H273"/>
    <mergeCell ref="D285:H285"/>
    <mergeCell ref="D286:H286"/>
    <mergeCell ref="D287:H287"/>
    <mergeCell ref="D288:H288"/>
    <mergeCell ref="D339:H339"/>
    <mergeCell ref="D340:H340"/>
    <mergeCell ref="D341:H341"/>
    <mergeCell ref="D342:H342"/>
    <mergeCell ref="D359:H359"/>
    <mergeCell ref="D360:H360"/>
    <mergeCell ref="D319:H319"/>
    <mergeCell ref="D320:H320"/>
    <mergeCell ref="D321:H321"/>
    <mergeCell ref="D322:H322"/>
    <mergeCell ref="D323:H323"/>
    <mergeCell ref="D338:H338"/>
    <mergeCell ref="D380:H380"/>
    <mergeCell ref="D381:H381"/>
    <mergeCell ref="D401:H401"/>
    <mergeCell ref="D402:H402"/>
    <mergeCell ref="D403:H403"/>
    <mergeCell ref="D404:H404"/>
    <mergeCell ref="D361:H361"/>
    <mergeCell ref="D362:H362"/>
    <mergeCell ref="D363:H363"/>
    <mergeCell ref="D377:H377"/>
    <mergeCell ref="D378:H378"/>
    <mergeCell ref="D379:H379"/>
    <mergeCell ref="D577:H577"/>
    <mergeCell ref="D578:H578"/>
    <mergeCell ref="D579:H579"/>
    <mergeCell ref="D580:H580"/>
    <mergeCell ref="D581:H581"/>
    <mergeCell ref="D597:H597"/>
    <mergeCell ref="D405:H405"/>
    <mergeCell ref="D561:H561"/>
    <mergeCell ref="D562:H562"/>
    <mergeCell ref="D563:H563"/>
    <mergeCell ref="D564:H564"/>
    <mergeCell ref="D565:H565"/>
    <mergeCell ref="D626:H626"/>
    <mergeCell ref="D627:H627"/>
    <mergeCell ref="D628:H628"/>
    <mergeCell ref="D644:H644"/>
    <mergeCell ref="D645:H645"/>
    <mergeCell ref="D646:H646"/>
    <mergeCell ref="D598:H598"/>
    <mergeCell ref="D599:H599"/>
    <mergeCell ref="D600:H600"/>
    <mergeCell ref="D601:H601"/>
    <mergeCell ref="D624:H624"/>
    <mergeCell ref="D625:H625"/>
    <mergeCell ref="D668:H668"/>
    <mergeCell ref="D669:H669"/>
    <mergeCell ref="D685:H685"/>
    <mergeCell ref="D686:H686"/>
    <mergeCell ref="D687:H687"/>
    <mergeCell ref="D688:H688"/>
    <mergeCell ref="D647:H647"/>
    <mergeCell ref="D648:H648"/>
    <mergeCell ref="D664:H664"/>
    <mergeCell ref="D665:H665"/>
    <mergeCell ref="D666:H666"/>
    <mergeCell ref="D667:H667"/>
    <mergeCell ref="D706:H706"/>
    <mergeCell ref="D737:H737"/>
    <mergeCell ref="D738:H738"/>
    <mergeCell ref="D739:H739"/>
    <mergeCell ref="D740:H740"/>
    <mergeCell ref="D741:H741"/>
    <mergeCell ref="D689:H689"/>
    <mergeCell ref="D701:H701"/>
    <mergeCell ref="D702:H702"/>
    <mergeCell ref="D703:H703"/>
    <mergeCell ref="D704:H704"/>
    <mergeCell ref="D705:H705"/>
    <mergeCell ref="D774:H774"/>
    <mergeCell ref="D775:H775"/>
    <mergeCell ref="D776:H776"/>
    <mergeCell ref="D777:H777"/>
    <mergeCell ref="D789:H789"/>
    <mergeCell ref="D790:H790"/>
    <mergeCell ref="D753:H753"/>
    <mergeCell ref="D754:H754"/>
    <mergeCell ref="D755:H755"/>
    <mergeCell ref="D756:H756"/>
    <mergeCell ref="D757:H757"/>
    <mergeCell ref="D773:H773"/>
    <mergeCell ref="D816:H816"/>
    <mergeCell ref="D817:H817"/>
    <mergeCell ref="D833:H833"/>
    <mergeCell ref="D834:H834"/>
    <mergeCell ref="D835:H835"/>
    <mergeCell ref="D836:H836"/>
    <mergeCell ref="D791:H791"/>
    <mergeCell ref="D792:H792"/>
    <mergeCell ref="D793:H793"/>
    <mergeCell ref="D813:H813"/>
    <mergeCell ref="D814:H814"/>
    <mergeCell ref="D815:H815"/>
    <mergeCell ref="D873:H873"/>
    <mergeCell ref="D874:H874"/>
    <mergeCell ref="D875:H875"/>
    <mergeCell ref="D876:H876"/>
    <mergeCell ref="D877:H877"/>
    <mergeCell ref="D895:H895"/>
    <mergeCell ref="D837:H837"/>
    <mergeCell ref="D853:H853"/>
    <mergeCell ref="D854:H854"/>
    <mergeCell ref="D855:H855"/>
    <mergeCell ref="D856:H856"/>
    <mergeCell ref="D857:H857"/>
    <mergeCell ref="D913:H913"/>
    <mergeCell ref="D914:H914"/>
    <mergeCell ref="D915:H915"/>
    <mergeCell ref="D933:H933"/>
    <mergeCell ref="D934:H934"/>
    <mergeCell ref="D961:H961"/>
    <mergeCell ref="D896:H896"/>
    <mergeCell ref="D897:H897"/>
    <mergeCell ref="D898:H898"/>
    <mergeCell ref="D899:H899"/>
    <mergeCell ref="D911:H911"/>
    <mergeCell ref="D912:H912"/>
    <mergeCell ref="D979:H979"/>
    <mergeCell ref="D980:H980"/>
    <mergeCell ref="D981:H981"/>
    <mergeCell ref="D995:H995"/>
    <mergeCell ref="D996:H996"/>
    <mergeCell ref="D997:H997"/>
    <mergeCell ref="D962:H962"/>
    <mergeCell ref="D963:H963"/>
    <mergeCell ref="D964:H964"/>
    <mergeCell ref="D965:H965"/>
    <mergeCell ref="D977:H977"/>
    <mergeCell ref="D978:H978"/>
    <mergeCell ref="D1016:H1016"/>
    <mergeCell ref="C1039:F1039"/>
    <mergeCell ref="C1043:F1043"/>
    <mergeCell ref="A1047:H1047"/>
    <mergeCell ref="A1049:H1049"/>
    <mergeCell ref="D1083:H1083"/>
    <mergeCell ref="D998:H998"/>
    <mergeCell ref="D999:H999"/>
    <mergeCell ref="D1012:H1012"/>
    <mergeCell ref="D1013:H1013"/>
    <mergeCell ref="D1014:H1014"/>
    <mergeCell ref="D1015:H1015"/>
    <mergeCell ref="D1098:H1098"/>
    <mergeCell ref="D1099:H1099"/>
    <mergeCell ref="D1100:H1100"/>
    <mergeCell ref="D1101:H1101"/>
    <mergeCell ref="D1102:H1102"/>
    <mergeCell ref="C1107:F1107"/>
    <mergeCell ref="D1084:H1084"/>
    <mergeCell ref="D1085:H1085"/>
    <mergeCell ref="D1086:H1086"/>
    <mergeCell ref="D1087:H1087"/>
    <mergeCell ref="D1088:H1088"/>
    <mergeCell ref="D1097:H1097"/>
    <mergeCell ref="D1498:H1498"/>
    <mergeCell ref="D1499:H1499"/>
    <mergeCell ref="D1505:H1505"/>
    <mergeCell ref="D1506:H1506"/>
    <mergeCell ref="D1513:H1513"/>
    <mergeCell ref="D1514:H1514"/>
    <mergeCell ref="A1111:H1111"/>
    <mergeCell ref="C1285:F1285"/>
    <mergeCell ref="A1289:H1289"/>
    <mergeCell ref="C1487:F1487"/>
    <mergeCell ref="C1491:F1491"/>
    <mergeCell ref="A1495:H1495"/>
    <mergeCell ref="C1631:F1631"/>
    <mergeCell ref="A1635:H1635"/>
    <mergeCell ref="D1651:H1651"/>
    <mergeCell ref="D1661:H1661"/>
    <mergeCell ref="D1662:H1662"/>
    <mergeCell ref="D1663:H1663"/>
    <mergeCell ref="D1520:H1520"/>
    <mergeCell ref="D1521:H1521"/>
    <mergeCell ref="C1526:F1526"/>
    <mergeCell ref="A1530:H1530"/>
    <mergeCell ref="C1572:F1572"/>
    <mergeCell ref="A1576:H1576"/>
    <mergeCell ref="D1689:H1689"/>
    <mergeCell ref="D1718:H1718"/>
    <mergeCell ref="D1719:H1719"/>
    <mergeCell ref="D1720:H1720"/>
    <mergeCell ref="D1721:H1721"/>
    <mergeCell ref="D1722:H1722"/>
    <mergeCell ref="D1664:H1664"/>
    <mergeCell ref="D1665:H1665"/>
    <mergeCell ref="D1685:H1685"/>
    <mergeCell ref="D1686:H1686"/>
    <mergeCell ref="D1687:H1687"/>
    <mergeCell ref="D1688:H1688"/>
    <mergeCell ref="D1767:H1767"/>
    <mergeCell ref="D1768:H1768"/>
    <mergeCell ref="D1769:H1769"/>
    <mergeCell ref="D1770:H1770"/>
    <mergeCell ref="C1777:F1777"/>
    <mergeCell ref="A1781:H1781"/>
    <mergeCell ref="D1746:H1746"/>
    <mergeCell ref="D1747:H1747"/>
    <mergeCell ref="D1748:H1748"/>
    <mergeCell ref="D1749:H1749"/>
    <mergeCell ref="D1750:H1750"/>
    <mergeCell ref="D1766:H1766"/>
    <mergeCell ref="D1829:H1829"/>
    <mergeCell ref="D1830:H1830"/>
    <mergeCell ref="D1831:H1831"/>
    <mergeCell ref="D1832:H1832"/>
    <mergeCell ref="D1833:H1833"/>
    <mergeCell ref="D1851:H1851"/>
    <mergeCell ref="D1788:H1788"/>
    <mergeCell ref="D1807:H1807"/>
    <mergeCell ref="D1808:H1808"/>
    <mergeCell ref="D1809:H1809"/>
    <mergeCell ref="D1810:H1810"/>
    <mergeCell ref="D1811:H1811"/>
    <mergeCell ref="D1869:H1869"/>
    <mergeCell ref="D1870:H1870"/>
    <mergeCell ref="D1871:H1871"/>
    <mergeCell ref="C1878:F1878"/>
    <mergeCell ref="A1882:H1882"/>
    <mergeCell ref="D1898:H1898"/>
    <mergeCell ref="D1852:H1852"/>
    <mergeCell ref="D1853:H1853"/>
    <mergeCell ref="D1854:H1854"/>
    <mergeCell ref="D1855:H1855"/>
    <mergeCell ref="D1867:H1867"/>
    <mergeCell ref="D1868:H1868"/>
    <mergeCell ref="D1925:H1925"/>
    <mergeCell ref="D1926:H1926"/>
    <mergeCell ref="D1927:H1927"/>
    <mergeCell ref="D1928:H1928"/>
    <mergeCell ref="D1944:H1944"/>
    <mergeCell ref="D1945:H1945"/>
    <mergeCell ref="D1899:H1899"/>
    <mergeCell ref="D1900:H1900"/>
    <mergeCell ref="D1901:H1901"/>
    <mergeCell ref="D1902:H1902"/>
    <mergeCell ref="D1903:H1903"/>
    <mergeCell ref="D1924:H1924"/>
    <mergeCell ref="D1965:H1965"/>
    <mergeCell ref="D1966:H1966"/>
    <mergeCell ref="D1982:H1982"/>
    <mergeCell ref="D1983:H1983"/>
    <mergeCell ref="D1984:H1984"/>
    <mergeCell ref="D1985:H1985"/>
    <mergeCell ref="D1946:H1946"/>
    <mergeCell ref="D1947:H1947"/>
    <mergeCell ref="D1948:H1948"/>
    <mergeCell ref="D1962:H1962"/>
    <mergeCell ref="D1963:H1963"/>
    <mergeCell ref="D1964:H1964"/>
    <mergeCell ref="C2017:F2017"/>
    <mergeCell ref="C2021:F2021"/>
    <mergeCell ref="C2024:F2024"/>
    <mergeCell ref="G2024:H2024"/>
    <mergeCell ref="C2025:F2025"/>
    <mergeCell ref="G2025:H2025"/>
    <mergeCell ref="D1986:H1986"/>
    <mergeCell ref="D2002:H2002"/>
    <mergeCell ref="D2003:H2003"/>
    <mergeCell ref="D2004:H2004"/>
    <mergeCell ref="D2005:H2005"/>
    <mergeCell ref="D2006:H2006"/>
    <mergeCell ref="A2037:B2037"/>
    <mergeCell ref="G2037:H2037"/>
    <mergeCell ref="G2038:H2038"/>
    <mergeCell ref="C2026:F2026"/>
    <mergeCell ref="G2026:H2026"/>
    <mergeCell ref="C2028:F2028"/>
    <mergeCell ref="A2032:B2032"/>
    <mergeCell ref="G2032:H2032"/>
    <mergeCell ref="G2033:H2033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856"/>
  <sheetViews>
    <sheetView topLeftCell="A370" workbookViewId="0">
      <selection activeCell="G414" sqref="G414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851</v>
      </c>
      <c r="C12" s="1">
        <v>0</v>
      </c>
      <c r="D12" s="1">
        <f>ROW(A793)</f>
        <v>793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B793</f>
        <v>851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  <c r="H18" s="2"/>
      <c r="I18" s="2"/>
      <c r="J18" s="2"/>
      <c r="K18" s="2"/>
      <c r="L18" s="2"/>
      <c r="M18" s="2"/>
      <c r="N18" s="2"/>
      <c r="O18" s="2">
        <f t="shared" ref="O18:AT18" si="1">O793</f>
        <v>3422285.86</v>
      </c>
      <c r="P18" s="2">
        <f t="shared" si="1"/>
        <v>3122490.5</v>
      </c>
      <c r="Q18" s="2">
        <f t="shared" si="1"/>
        <v>39693.620000000003</v>
      </c>
      <c r="R18" s="2">
        <f t="shared" si="1"/>
        <v>7261.57</v>
      </c>
      <c r="S18" s="2">
        <f t="shared" si="1"/>
        <v>260101.74</v>
      </c>
      <c r="T18" s="2">
        <f t="shared" si="1"/>
        <v>0</v>
      </c>
      <c r="U18" s="2">
        <f t="shared" si="1"/>
        <v>3961.4573397999998</v>
      </c>
      <c r="V18" s="2">
        <f t="shared" si="1"/>
        <v>92.493072749999982</v>
      </c>
      <c r="W18" s="2">
        <f t="shared" si="1"/>
        <v>0</v>
      </c>
      <c r="X18" s="2">
        <f t="shared" si="1"/>
        <v>242673.83</v>
      </c>
      <c r="Y18" s="2">
        <f t="shared" si="1"/>
        <v>149339.60999999999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3827013.36</v>
      </c>
      <c r="AS18" s="2">
        <f t="shared" si="1"/>
        <v>2911229.38</v>
      </c>
      <c r="AT18" s="2">
        <f t="shared" si="1"/>
        <v>860158.46</v>
      </c>
      <c r="AU18" s="2">
        <f t="shared" ref="AU18:BZ18" si="2">AU793</f>
        <v>55625.52</v>
      </c>
      <c r="AV18" s="2">
        <f t="shared" si="2"/>
        <v>3122490.5</v>
      </c>
      <c r="AW18" s="2">
        <f t="shared" si="2"/>
        <v>3122490.5</v>
      </c>
      <c r="AX18" s="2">
        <f t="shared" si="2"/>
        <v>0</v>
      </c>
      <c r="AY18" s="2">
        <f t="shared" si="2"/>
        <v>3122490.5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CA793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DG793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EM793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FS793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ROW(A761)</f>
        <v>761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B761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O761</f>
        <v>3422285.86</v>
      </c>
      <c r="P22" s="2">
        <f t="shared" si="8"/>
        <v>3122490.5</v>
      </c>
      <c r="Q22" s="2">
        <f t="shared" si="8"/>
        <v>39693.620000000003</v>
      </c>
      <c r="R22" s="2">
        <f t="shared" si="8"/>
        <v>7261.57</v>
      </c>
      <c r="S22" s="2">
        <f t="shared" si="8"/>
        <v>260101.74</v>
      </c>
      <c r="T22" s="2">
        <f t="shared" si="8"/>
        <v>0</v>
      </c>
      <c r="U22" s="2">
        <f t="shared" si="8"/>
        <v>3961.4573397999998</v>
      </c>
      <c r="V22" s="2">
        <f t="shared" si="8"/>
        <v>92.493072749999982</v>
      </c>
      <c r="W22" s="2">
        <f t="shared" si="8"/>
        <v>0</v>
      </c>
      <c r="X22" s="2">
        <f t="shared" si="8"/>
        <v>242673.83</v>
      </c>
      <c r="Y22" s="2">
        <f t="shared" si="8"/>
        <v>149339.60999999999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3827013.36</v>
      </c>
      <c r="AS22" s="2">
        <f t="shared" si="8"/>
        <v>2911229.38</v>
      </c>
      <c r="AT22" s="2">
        <f t="shared" si="8"/>
        <v>860158.46</v>
      </c>
      <c r="AU22" s="2">
        <f t="shared" ref="AU22:BZ22" si="9">AU761</f>
        <v>55625.52</v>
      </c>
      <c r="AV22" s="2">
        <f t="shared" si="9"/>
        <v>3122490.5</v>
      </c>
      <c r="AW22" s="2">
        <f t="shared" si="9"/>
        <v>3122490.5</v>
      </c>
      <c r="AX22" s="2">
        <f t="shared" si="9"/>
        <v>0</v>
      </c>
      <c r="AY22" s="2">
        <f t="shared" si="9"/>
        <v>3122490.5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CA761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DG761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EM761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FS761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ROW(A247)</f>
        <v>247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B247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O247</f>
        <v>2226640.5299999998</v>
      </c>
      <c r="P26" s="2">
        <f t="shared" si="15"/>
        <v>2065439.3</v>
      </c>
      <c r="Q26" s="2">
        <f t="shared" si="15"/>
        <v>18866.34</v>
      </c>
      <c r="R26" s="2">
        <f t="shared" si="15"/>
        <v>4618.8599999999997</v>
      </c>
      <c r="S26" s="2">
        <f t="shared" si="15"/>
        <v>142334.89000000001</v>
      </c>
      <c r="T26" s="2">
        <f t="shared" si="15"/>
        <v>0</v>
      </c>
      <c r="U26" s="2">
        <f t="shared" si="15"/>
        <v>2477.42078765</v>
      </c>
      <c r="V26" s="2">
        <f t="shared" si="15"/>
        <v>60.188656499999993</v>
      </c>
      <c r="W26" s="2">
        <f t="shared" si="15"/>
        <v>0</v>
      </c>
      <c r="X26" s="2">
        <f t="shared" si="15"/>
        <v>137586.32</v>
      </c>
      <c r="Y26" s="2">
        <f t="shared" si="15"/>
        <v>79165.039999999994</v>
      </c>
      <c r="Z26" s="2">
        <f t="shared" si="15"/>
        <v>0</v>
      </c>
      <c r="AA26" s="2">
        <f t="shared" si="15"/>
        <v>0</v>
      </c>
      <c r="AB26" s="2">
        <f t="shared" si="15"/>
        <v>0</v>
      </c>
      <c r="AC26" s="2">
        <f t="shared" si="15"/>
        <v>0</v>
      </c>
      <c r="AD26" s="2">
        <f t="shared" si="15"/>
        <v>0</v>
      </c>
      <c r="AE26" s="2">
        <f t="shared" si="15"/>
        <v>0</v>
      </c>
      <c r="AF26" s="2">
        <f t="shared" si="15"/>
        <v>0</v>
      </c>
      <c r="AG26" s="2">
        <f t="shared" si="15"/>
        <v>0</v>
      </c>
      <c r="AH26" s="2">
        <f t="shared" si="15"/>
        <v>0</v>
      </c>
      <c r="AI26" s="2">
        <f t="shared" si="15"/>
        <v>0</v>
      </c>
      <c r="AJ26" s="2">
        <f t="shared" si="15"/>
        <v>0</v>
      </c>
      <c r="AK26" s="2">
        <f t="shared" si="15"/>
        <v>0</v>
      </c>
      <c r="AL26" s="2">
        <f t="shared" si="15"/>
        <v>0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2456105.9500000002</v>
      </c>
      <c r="AS26" s="2">
        <f t="shared" si="15"/>
        <v>2455770.31</v>
      </c>
      <c r="AT26" s="2">
        <f t="shared" si="15"/>
        <v>335.64</v>
      </c>
      <c r="AU26" s="2">
        <f t="shared" ref="AU26:BZ26" si="16">AU247</f>
        <v>0</v>
      </c>
      <c r="AV26" s="2">
        <f t="shared" si="16"/>
        <v>2065439.3</v>
      </c>
      <c r="AW26" s="2">
        <f t="shared" si="16"/>
        <v>2065439.3</v>
      </c>
      <c r="AX26" s="2">
        <f t="shared" si="16"/>
        <v>0</v>
      </c>
      <c r="AY26" s="2">
        <f t="shared" si="16"/>
        <v>2065439.3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CA247</f>
        <v>0</v>
      </c>
      <c r="CB26" s="2">
        <f t="shared" si="17"/>
        <v>0</v>
      </c>
      <c r="CC26" s="2">
        <f t="shared" si="17"/>
        <v>0</v>
      </c>
      <c r="CD26" s="2">
        <f t="shared" si="17"/>
        <v>0</v>
      </c>
      <c r="CE26" s="2">
        <f t="shared" si="17"/>
        <v>0</v>
      </c>
      <c r="CF26" s="2">
        <f t="shared" si="17"/>
        <v>0</v>
      </c>
      <c r="CG26" s="2">
        <f t="shared" si="17"/>
        <v>0</v>
      </c>
      <c r="CH26" s="2">
        <f t="shared" si="17"/>
        <v>0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DG247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EM247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FS247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 s="1">
        <v>5</v>
      </c>
      <c r="B28" s="1">
        <v>1</v>
      </c>
      <c r="C28" s="1"/>
      <c r="D28" s="1">
        <f>ROW(A51)</f>
        <v>51</v>
      </c>
      <c r="E28" s="1"/>
      <c r="F28" s="1" t="s">
        <v>15</v>
      </c>
      <c r="G28" s="1" t="s">
        <v>16</v>
      </c>
      <c r="H28" s="1" t="s">
        <v>6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6</v>
      </c>
      <c r="V28" s="1">
        <v>0</v>
      </c>
      <c r="W28" s="1"/>
      <c r="X28" s="1"/>
      <c r="Y28" s="1"/>
      <c r="Z28" s="1"/>
      <c r="AA28" s="1"/>
      <c r="AB28" s="1" t="s">
        <v>6</v>
      </c>
      <c r="AC28" s="1" t="s">
        <v>6</v>
      </c>
      <c r="AD28" s="1" t="s">
        <v>6</v>
      </c>
      <c r="AE28" s="1" t="s">
        <v>6</v>
      </c>
      <c r="AF28" s="1" t="s">
        <v>6</v>
      </c>
      <c r="AG28" s="1" t="s">
        <v>6</v>
      </c>
      <c r="AH28" s="1"/>
      <c r="AI28" s="1"/>
      <c r="AJ28" s="1"/>
      <c r="AK28" s="1"/>
      <c r="AL28" s="1"/>
      <c r="AM28" s="1"/>
      <c r="AN28" s="1"/>
      <c r="AO28" s="1"/>
      <c r="AP28" s="1" t="s">
        <v>6</v>
      </c>
      <c r="AQ28" s="1" t="s">
        <v>6</v>
      </c>
      <c r="AR28" s="1" t="s">
        <v>6</v>
      </c>
      <c r="AS28" s="1"/>
      <c r="AT28" s="1"/>
      <c r="AU28" s="1"/>
      <c r="AV28" s="1"/>
      <c r="AW28" s="1"/>
      <c r="AX28" s="1"/>
      <c r="AY28" s="1"/>
      <c r="AZ28" s="1" t="s">
        <v>6</v>
      </c>
      <c r="BA28" s="1"/>
      <c r="BB28" s="1" t="s">
        <v>6</v>
      </c>
      <c r="BC28" s="1" t="s">
        <v>6</v>
      </c>
      <c r="BD28" s="1" t="s">
        <v>6</v>
      </c>
      <c r="BE28" s="1" t="s">
        <v>6</v>
      </c>
      <c r="BF28" s="1" t="s">
        <v>6</v>
      </c>
      <c r="BG28" s="1" t="s">
        <v>6</v>
      </c>
      <c r="BH28" s="1" t="s">
        <v>6</v>
      </c>
      <c r="BI28" s="1" t="s">
        <v>6</v>
      </c>
      <c r="BJ28" s="1" t="s">
        <v>6</v>
      </c>
      <c r="BK28" s="1" t="s">
        <v>6</v>
      </c>
      <c r="BL28" s="1" t="s">
        <v>6</v>
      </c>
      <c r="BM28" s="1" t="s">
        <v>6</v>
      </c>
      <c r="BN28" s="1" t="s">
        <v>6</v>
      </c>
      <c r="BO28" s="1" t="s">
        <v>6</v>
      </c>
      <c r="BP28" s="1" t="s">
        <v>6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45" x14ac:dyDescent="0.2">
      <c r="A30" s="2">
        <v>52</v>
      </c>
      <c r="B30" s="2">
        <f t="shared" ref="B30:G30" si="21">B51</f>
        <v>1</v>
      </c>
      <c r="C30" s="2">
        <f t="shared" si="21"/>
        <v>5</v>
      </c>
      <c r="D30" s="2">
        <f t="shared" si="21"/>
        <v>28</v>
      </c>
      <c r="E30" s="2">
        <f t="shared" si="21"/>
        <v>0</v>
      </c>
      <c r="F30" s="2" t="str">
        <f t="shared" si="21"/>
        <v>Новый подраздел</v>
      </c>
      <c r="G30" s="2" t="str">
        <f t="shared" si="21"/>
        <v>1 Демонтаж</v>
      </c>
      <c r="H30" s="2"/>
      <c r="I30" s="2"/>
      <c r="J30" s="2"/>
      <c r="K30" s="2"/>
      <c r="L30" s="2"/>
      <c r="M30" s="2"/>
      <c r="N30" s="2"/>
      <c r="O30" s="2">
        <f t="shared" ref="O30:AT30" si="22">O51</f>
        <v>18181.349999999999</v>
      </c>
      <c r="P30" s="2">
        <f t="shared" si="22"/>
        <v>1623.35</v>
      </c>
      <c r="Q30" s="2">
        <f t="shared" si="22"/>
        <v>1766.67</v>
      </c>
      <c r="R30" s="2">
        <f t="shared" si="22"/>
        <v>469.24</v>
      </c>
      <c r="S30" s="2">
        <f t="shared" si="22"/>
        <v>14791.33</v>
      </c>
      <c r="T30" s="2">
        <f t="shared" si="22"/>
        <v>0</v>
      </c>
      <c r="U30" s="2">
        <f t="shared" si="22"/>
        <v>279.49097920000003</v>
      </c>
      <c r="V30" s="2">
        <f t="shared" si="22"/>
        <v>5.3155979999999996</v>
      </c>
      <c r="W30" s="2">
        <f t="shared" si="22"/>
        <v>0</v>
      </c>
      <c r="X30" s="2">
        <f t="shared" si="22"/>
        <v>13384.49</v>
      </c>
      <c r="Y30" s="2">
        <f t="shared" si="22"/>
        <v>9241.48</v>
      </c>
      <c r="Z30" s="2">
        <f t="shared" si="22"/>
        <v>0</v>
      </c>
      <c r="AA30" s="2">
        <f t="shared" si="22"/>
        <v>0</v>
      </c>
      <c r="AB30" s="2">
        <f t="shared" si="22"/>
        <v>18181.349999999999</v>
      </c>
      <c r="AC30" s="2">
        <f t="shared" si="22"/>
        <v>1623.35</v>
      </c>
      <c r="AD30" s="2">
        <f t="shared" si="22"/>
        <v>1766.67</v>
      </c>
      <c r="AE30" s="2">
        <f t="shared" si="22"/>
        <v>469.24</v>
      </c>
      <c r="AF30" s="2">
        <f t="shared" si="22"/>
        <v>14791.33</v>
      </c>
      <c r="AG30" s="2">
        <f t="shared" si="22"/>
        <v>0</v>
      </c>
      <c r="AH30" s="2">
        <f t="shared" si="22"/>
        <v>279.49097920000003</v>
      </c>
      <c r="AI30" s="2">
        <f t="shared" si="22"/>
        <v>5.3155979999999996</v>
      </c>
      <c r="AJ30" s="2">
        <f t="shared" si="22"/>
        <v>0</v>
      </c>
      <c r="AK30" s="2">
        <f t="shared" si="22"/>
        <v>13384.49</v>
      </c>
      <c r="AL30" s="2">
        <f t="shared" si="22"/>
        <v>9241.48</v>
      </c>
      <c r="AM30" s="2">
        <f t="shared" si="22"/>
        <v>0</v>
      </c>
      <c r="AN30" s="2">
        <f t="shared" si="22"/>
        <v>0</v>
      </c>
      <c r="AO30" s="2">
        <f t="shared" si="22"/>
        <v>0</v>
      </c>
      <c r="AP30" s="2">
        <f t="shared" si="22"/>
        <v>0</v>
      </c>
      <c r="AQ30" s="2">
        <f t="shared" si="22"/>
        <v>0</v>
      </c>
      <c r="AR30" s="2">
        <f t="shared" si="22"/>
        <v>40807.32</v>
      </c>
      <c r="AS30" s="2">
        <f t="shared" si="22"/>
        <v>40471.68</v>
      </c>
      <c r="AT30" s="2">
        <f t="shared" si="22"/>
        <v>335.64</v>
      </c>
      <c r="AU30" s="2">
        <f t="shared" ref="AU30:BZ30" si="23">AU51</f>
        <v>0</v>
      </c>
      <c r="AV30" s="2">
        <f t="shared" si="23"/>
        <v>1623.35</v>
      </c>
      <c r="AW30" s="2">
        <f t="shared" si="23"/>
        <v>1623.35</v>
      </c>
      <c r="AX30" s="2">
        <f t="shared" si="23"/>
        <v>0</v>
      </c>
      <c r="AY30" s="2">
        <f t="shared" si="23"/>
        <v>1623.35</v>
      </c>
      <c r="AZ30" s="2">
        <f t="shared" si="23"/>
        <v>0</v>
      </c>
      <c r="BA30" s="2">
        <f t="shared" si="23"/>
        <v>0</v>
      </c>
      <c r="BB30" s="2">
        <f t="shared" si="23"/>
        <v>0</v>
      </c>
      <c r="BC30" s="2">
        <f t="shared" si="23"/>
        <v>0</v>
      </c>
      <c r="BD30" s="2">
        <f t="shared" si="23"/>
        <v>0</v>
      </c>
      <c r="BE30" s="2">
        <f t="shared" si="23"/>
        <v>0</v>
      </c>
      <c r="BF30" s="2">
        <f t="shared" si="23"/>
        <v>0</v>
      </c>
      <c r="BG30" s="2">
        <f t="shared" si="23"/>
        <v>0</v>
      </c>
      <c r="BH30" s="2">
        <f t="shared" si="23"/>
        <v>0</v>
      </c>
      <c r="BI30" s="2">
        <f t="shared" si="23"/>
        <v>0</v>
      </c>
      <c r="BJ30" s="2">
        <f t="shared" si="23"/>
        <v>0</v>
      </c>
      <c r="BK30" s="2">
        <f t="shared" si="23"/>
        <v>0</v>
      </c>
      <c r="BL30" s="2">
        <f t="shared" si="23"/>
        <v>0</v>
      </c>
      <c r="BM30" s="2">
        <f t="shared" si="23"/>
        <v>0</v>
      </c>
      <c r="BN30" s="2">
        <f t="shared" si="23"/>
        <v>0</v>
      </c>
      <c r="BO30" s="2">
        <f t="shared" si="23"/>
        <v>0</v>
      </c>
      <c r="BP30" s="2">
        <f t="shared" si="23"/>
        <v>0</v>
      </c>
      <c r="BQ30" s="2">
        <f t="shared" si="23"/>
        <v>0</v>
      </c>
      <c r="BR30" s="2">
        <f t="shared" si="23"/>
        <v>0</v>
      </c>
      <c r="BS30" s="2">
        <f t="shared" si="23"/>
        <v>0</v>
      </c>
      <c r="BT30" s="2">
        <f t="shared" si="23"/>
        <v>0</v>
      </c>
      <c r="BU30" s="2">
        <f t="shared" si="23"/>
        <v>0</v>
      </c>
      <c r="BV30" s="2">
        <f t="shared" si="23"/>
        <v>0</v>
      </c>
      <c r="BW30" s="2">
        <f t="shared" si="23"/>
        <v>0</v>
      </c>
      <c r="BX30" s="2">
        <f t="shared" si="23"/>
        <v>0</v>
      </c>
      <c r="BY30" s="2">
        <f t="shared" si="23"/>
        <v>0</v>
      </c>
      <c r="BZ30" s="2">
        <f t="shared" si="23"/>
        <v>0</v>
      </c>
      <c r="CA30" s="2">
        <f t="shared" ref="CA30:DF30" si="24">CA51</f>
        <v>40807.32</v>
      </c>
      <c r="CB30" s="2">
        <f t="shared" si="24"/>
        <v>40471.68</v>
      </c>
      <c r="CC30" s="2">
        <f t="shared" si="24"/>
        <v>335.64</v>
      </c>
      <c r="CD30" s="2">
        <f t="shared" si="24"/>
        <v>0</v>
      </c>
      <c r="CE30" s="2">
        <f t="shared" si="24"/>
        <v>1623.35</v>
      </c>
      <c r="CF30" s="2">
        <f t="shared" si="24"/>
        <v>1623.35</v>
      </c>
      <c r="CG30" s="2">
        <f t="shared" si="24"/>
        <v>0</v>
      </c>
      <c r="CH30" s="2">
        <f t="shared" si="24"/>
        <v>1623.35</v>
      </c>
      <c r="CI30" s="2">
        <f t="shared" si="24"/>
        <v>0</v>
      </c>
      <c r="CJ30" s="2">
        <f t="shared" si="24"/>
        <v>0</v>
      </c>
      <c r="CK30" s="2">
        <f t="shared" si="24"/>
        <v>0</v>
      </c>
      <c r="CL30" s="2">
        <f t="shared" si="24"/>
        <v>0</v>
      </c>
      <c r="CM30" s="2">
        <f t="shared" si="24"/>
        <v>0</v>
      </c>
      <c r="CN30" s="2">
        <f t="shared" si="24"/>
        <v>0</v>
      </c>
      <c r="CO30" s="2">
        <f t="shared" si="24"/>
        <v>0</v>
      </c>
      <c r="CP30" s="2">
        <f t="shared" si="24"/>
        <v>0</v>
      </c>
      <c r="CQ30" s="2">
        <f t="shared" si="24"/>
        <v>0</v>
      </c>
      <c r="CR30" s="2">
        <f t="shared" si="24"/>
        <v>0</v>
      </c>
      <c r="CS30" s="2">
        <f t="shared" si="24"/>
        <v>0</v>
      </c>
      <c r="CT30" s="2">
        <f t="shared" si="24"/>
        <v>0</v>
      </c>
      <c r="CU30" s="2">
        <f t="shared" si="24"/>
        <v>0</v>
      </c>
      <c r="CV30" s="2">
        <f t="shared" si="24"/>
        <v>0</v>
      </c>
      <c r="CW30" s="2">
        <f t="shared" si="24"/>
        <v>0</v>
      </c>
      <c r="CX30" s="2">
        <f t="shared" si="24"/>
        <v>0</v>
      </c>
      <c r="CY30" s="2">
        <f t="shared" si="24"/>
        <v>0</v>
      </c>
      <c r="CZ30" s="2">
        <f t="shared" si="24"/>
        <v>0</v>
      </c>
      <c r="DA30" s="2">
        <f t="shared" si="24"/>
        <v>0</v>
      </c>
      <c r="DB30" s="2">
        <f t="shared" si="24"/>
        <v>0</v>
      </c>
      <c r="DC30" s="2">
        <f t="shared" si="24"/>
        <v>0</v>
      </c>
      <c r="DD30" s="2">
        <f t="shared" si="24"/>
        <v>0</v>
      </c>
      <c r="DE30" s="2">
        <f t="shared" si="24"/>
        <v>0</v>
      </c>
      <c r="DF30" s="2">
        <f t="shared" si="24"/>
        <v>0</v>
      </c>
      <c r="DG30" s="3">
        <f t="shared" ref="DG30:EL30" si="25">DG51</f>
        <v>0</v>
      </c>
      <c r="DH30" s="3">
        <f t="shared" si="25"/>
        <v>0</v>
      </c>
      <c r="DI30" s="3">
        <f t="shared" si="25"/>
        <v>0</v>
      </c>
      <c r="DJ30" s="3">
        <f t="shared" si="25"/>
        <v>0</v>
      </c>
      <c r="DK30" s="3">
        <f t="shared" si="25"/>
        <v>0</v>
      </c>
      <c r="DL30" s="3">
        <f t="shared" si="25"/>
        <v>0</v>
      </c>
      <c r="DM30" s="3">
        <f t="shared" si="25"/>
        <v>0</v>
      </c>
      <c r="DN30" s="3">
        <f t="shared" si="25"/>
        <v>0</v>
      </c>
      <c r="DO30" s="3">
        <f t="shared" si="25"/>
        <v>0</v>
      </c>
      <c r="DP30" s="3">
        <f t="shared" si="25"/>
        <v>0</v>
      </c>
      <c r="DQ30" s="3">
        <f t="shared" si="25"/>
        <v>0</v>
      </c>
      <c r="DR30" s="3">
        <f t="shared" si="25"/>
        <v>0</v>
      </c>
      <c r="DS30" s="3">
        <f t="shared" si="25"/>
        <v>0</v>
      </c>
      <c r="DT30" s="3">
        <f t="shared" si="25"/>
        <v>0</v>
      </c>
      <c r="DU30" s="3">
        <f t="shared" si="25"/>
        <v>0</v>
      </c>
      <c r="DV30" s="3">
        <f t="shared" si="25"/>
        <v>0</v>
      </c>
      <c r="DW30" s="3">
        <f t="shared" si="25"/>
        <v>0</v>
      </c>
      <c r="DX30" s="3">
        <f t="shared" si="25"/>
        <v>0</v>
      </c>
      <c r="DY30" s="3">
        <f t="shared" si="25"/>
        <v>0</v>
      </c>
      <c r="DZ30" s="3">
        <f t="shared" si="25"/>
        <v>0</v>
      </c>
      <c r="EA30" s="3">
        <f t="shared" si="25"/>
        <v>0</v>
      </c>
      <c r="EB30" s="3">
        <f t="shared" si="25"/>
        <v>0</v>
      </c>
      <c r="EC30" s="3">
        <f t="shared" si="25"/>
        <v>0</v>
      </c>
      <c r="ED30" s="3">
        <f t="shared" si="25"/>
        <v>0</v>
      </c>
      <c r="EE30" s="3">
        <f t="shared" si="25"/>
        <v>0</v>
      </c>
      <c r="EF30" s="3">
        <f t="shared" si="25"/>
        <v>0</v>
      </c>
      <c r="EG30" s="3">
        <f t="shared" si="25"/>
        <v>0</v>
      </c>
      <c r="EH30" s="3">
        <f t="shared" si="25"/>
        <v>0</v>
      </c>
      <c r="EI30" s="3">
        <f t="shared" si="25"/>
        <v>0</v>
      </c>
      <c r="EJ30" s="3">
        <f t="shared" si="25"/>
        <v>0</v>
      </c>
      <c r="EK30" s="3">
        <f t="shared" si="25"/>
        <v>0</v>
      </c>
      <c r="EL30" s="3">
        <f t="shared" si="25"/>
        <v>0</v>
      </c>
      <c r="EM30" s="3">
        <f t="shared" ref="EM30:FR30" si="26">EM51</f>
        <v>0</v>
      </c>
      <c r="EN30" s="3">
        <f t="shared" si="26"/>
        <v>0</v>
      </c>
      <c r="EO30" s="3">
        <f t="shared" si="26"/>
        <v>0</v>
      </c>
      <c r="EP30" s="3">
        <f t="shared" si="26"/>
        <v>0</v>
      </c>
      <c r="EQ30" s="3">
        <f t="shared" si="26"/>
        <v>0</v>
      </c>
      <c r="ER30" s="3">
        <f t="shared" si="26"/>
        <v>0</v>
      </c>
      <c r="ES30" s="3">
        <f t="shared" si="26"/>
        <v>0</v>
      </c>
      <c r="ET30" s="3">
        <f t="shared" si="26"/>
        <v>0</v>
      </c>
      <c r="EU30" s="3">
        <f t="shared" si="26"/>
        <v>0</v>
      </c>
      <c r="EV30" s="3">
        <f t="shared" si="26"/>
        <v>0</v>
      </c>
      <c r="EW30" s="3">
        <f t="shared" si="26"/>
        <v>0</v>
      </c>
      <c r="EX30" s="3">
        <f t="shared" si="26"/>
        <v>0</v>
      </c>
      <c r="EY30" s="3">
        <f t="shared" si="26"/>
        <v>0</v>
      </c>
      <c r="EZ30" s="3">
        <f t="shared" si="26"/>
        <v>0</v>
      </c>
      <c r="FA30" s="3">
        <f t="shared" si="26"/>
        <v>0</v>
      </c>
      <c r="FB30" s="3">
        <f t="shared" si="26"/>
        <v>0</v>
      </c>
      <c r="FC30" s="3">
        <f t="shared" si="26"/>
        <v>0</v>
      </c>
      <c r="FD30" s="3">
        <f t="shared" si="26"/>
        <v>0</v>
      </c>
      <c r="FE30" s="3">
        <f t="shared" si="26"/>
        <v>0</v>
      </c>
      <c r="FF30" s="3">
        <f t="shared" si="26"/>
        <v>0</v>
      </c>
      <c r="FG30" s="3">
        <f t="shared" si="26"/>
        <v>0</v>
      </c>
      <c r="FH30" s="3">
        <f t="shared" si="26"/>
        <v>0</v>
      </c>
      <c r="FI30" s="3">
        <f t="shared" si="26"/>
        <v>0</v>
      </c>
      <c r="FJ30" s="3">
        <f t="shared" si="26"/>
        <v>0</v>
      </c>
      <c r="FK30" s="3">
        <f t="shared" si="26"/>
        <v>0</v>
      </c>
      <c r="FL30" s="3">
        <f t="shared" si="26"/>
        <v>0</v>
      </c>
      <c r="FM30" s="3">
        <f t="shared" si="26"/>
        <v>0</v>
      </c>
      <c r="FN30" s="3">
        <f t="shared" si="26"/>
        <v>0</v>
      </c>
      <c r="FO30" s="3">
        <f t="shared" si="26"/>
        <v>0</v>
      </c>
      <c r="FP30" s="3">
        <f t="shared" si="26"/>
        <v>0</v>
      </c>
      <c r="FQ30" s="3">
        <f t="shared" si="26"/>
        <v>0</v>
      </c>
      <c r="FR30" s="3">
        <f t="shared" si="26"/>
        <v>0</v>
      </c>
      <c r="FS30" s="3">
        <f t="shared" ref="FS30:GX30" si="27">FS51</f>
        <v>0</v>
      </c>
      <c r="FT30" s="3">
        <f t="shared" si="27"/>
        <v>0</v>
      </c>
      <c r="FU30" s="3">
        <f t="shared" si="27"/>
        <v>0</v>
      </c>
      <c r="FV30" s="3">
        <f t="shared" si="27"/>
        <v>0</v>
      </c>
      <c r="FW30" s="3">
        <f t="shared" si="27"/>
        <v>0</v>
      </c>
      <c r="FX30" s="3">
        <f t="shared" si="27"/>
        <v>0</v>
      </c>
      <c r="FY30" s="3">
        <f t="shared" si="27"/>
        <v>0</v>
      </c>
      <c r="FZ30" s="3">
        <f t="shared" si="27"/>
        <v>0</v>
      </c>
      <c r="GA30" s="3">
        <f t="shared" si="27"/>
        <v>0</v>
      </c>
      <c r="GB30" s="3">
        <f t="shared" si="27"/>
        <v>0</v>
      </c>
      <c r="GC30" s="3">
        <f t="shared" si="27"/>
        <v>0</v>
      </c>
      <c r="GD30" s="3">
        <f t="shared" si="27"/>
        <v>0</v>
      </c>
      <c r="GE30" s="3">
        <f t="shared" si="27"/>
        <v>0</v>
      </c>
      <c r="GF30" s="3">
        <f t="shared" si="27"/>
        <v>0</v>
      </c>
      <c r="GG30" s="3">
        <f t="shared" si="27"/>
        <v>0</v>
      </c>
      <c r="GH30" s="3">
        <f t="shared" si="27"/>
        <v>0</v>
      </c>
      <c r="GI30" s="3">
        <f t="shared" si="27"/>
        <v>0</v>
      </c>
      <c r="GJ30" s="3">
        <f t="shared" si="27"/>
        <v>0</v>
      </c>
      <c r="GK30" s="3">
        <f t="shared" si="27"/>
        <v>0</v>
      </c>
      <c r="GL30" s="3">
        <f t="shared" si="27"/>
        <v>0</v>
      </c>
      <c r="GM30" s="3">
        <f t="shared" si="27"/>
        <v>0</v>
      </c>
      <c r="GN30" s="3">
        <f t="shared" si="27"/>
        <v>0</v>
      </c>
      <c r="GO30" s="3">
        <f t="shared" si="27"/>
        <v>0</v>
      </c>
      <c r="GP30" s="3">
        <f t="shared" si="27"/>
        <v>0</v>
      </c>
      <c r="GQ30" s="3">
        <f t="shared" si="27"/>
        <v>0</v>
      </c>
      <c r="GR30" s="3">
        <f t="shared" si="27"/>
        <v>0</v>
      </c>
      <c r="GS30" s="3">
        <f t="shared" si="27"/>
        <v>0</v>
      </c>
      <c r="GT30" s="3">
        <f t="shared" si="27"/>
        <v>0</v>
      </c>
      <c r="GU30" s="3">
        <f t="shared" si="27"/>
        <v>0</v>
      </c>
      <c r="GV30" s="3">
        <f t="shared" si="27"/>
        <v>0</v>
      </c>
      <c r="GW30" s="3">
        <f t="shared" si="27"/>
        <v>0</v>
      </c>
      <c r="GX30" s="3">
        <f t="shared" si="27"/>
        <v>0</v>
      </c>
    </row>
    <row r="32" spans="1:245" x14ac:dyDescent="0.2">
      <c r="A32">
        <v>17</v>
      </c>
      <c r="B32">
        <v>1</v>
      </c>
      <c r="E32" t="s">
        <v>17</v>
      </c>
      <c r="F32" t="s">
        <v>18</v>
      </c>
      <c r="G32" t="s">
        <v>19</v>
      </c>
      <c r="H32" t="s">
        <v>20</v>
      </c>
      <c r="I32">
        <f>ROUND(37.35/100,9)</f>
        <v>0.3735</v>
      </c>
      <c r="J32">
        <v>0</v>
      </c>
      <c r="O32">
        <f t="shared" ref="O32:O49" si="28">ROUND(CP32,2)</f>
        <v>4330.0200000000004</v>
      </c>
      <c r="P32">
        <f t="shared" ref="P32:P49" si="29">ROUND(CQ32*I32,2)</f>
        <v>0</v>
      </c>
      <c r="Q32">
        <f t="shared" ref="Q32:Q49" si="30">ROUND(CR32*I32,2)</f>
        <v>592.82000000000005</v>
      </c>
      <c r="R32">
        <f t="shared" ref="R32:R49" si="31">ROUND(CS32*I32,2)</f>
        <v>256.02</v>
      </c>
      <c r="S32">
        <f t="shared" ref="S32:S49" si="32">ROUND(CT32*I32,2)</f>
        <v>3737.2</v>
      </c>
      <c r="T32">
        <f t="shared" ref="T32:T49" si="33">ROUND(CU32*I32,2)</f>
        <v>0</v>
      </c>
      <c r="U32">
        <f t="shared" ref="U32:U49" si="34">CV32*I32</f>
        <v>70.419690000000003</v>
      </c>
      <c r="V32">
        <f t="shared" ref="V32:V49" si="35">CW32*I32</f>
        <v>2.8908900000000002</v>
      </c>
      <c r="W32">
        <f t="shared" ref="W32:W49" si="36">ROUND(CX32*I32,2)</f>
        <v>0</v>
      </c>
      <c r="X32">
        <f t="shared" ref="X32:X49" si="37">ROUND(CY32,2)</f>
        <v>3953.29</v>
      </c>
      <c r="Y32">
        <f t="shared" ref="Y32:Y49" si="38">ROUND(CZ32,2)</f>
        <v>2395.9299999999998</v>
      </c>
      <c r="AA32">
        <v>16742901</v>
      </c>
      <c r="AB32">
        <f t="shared" ref="AB32:AB49" si="39">ROUND((AC32+AD32+AF32),2)</f>
        <v>1767.24</v>
      </c>
      <c r="AC32">
        <f>ROUND((ES32),2)</f>
        <v>0</v>
      </c>
      <c r="AD32">
        <f>ROUND((((ET32)-(EU32))+AE32),2)</f>
        <v>241.95</v>
      </c>
      <c r="AE32">
        <f t="shared" ref="AE32:AF35" si="40">ROUND((EU32),2)</f>
        <v>104.49</v>
      </c>
      <c r="AF32">
        <f t="shared" si="40"/>
        <v>1525.29</v>
      </c>
      <c r="AG32">
        <f t="shared" ref="AG32:AG49" si="41">ROUND((AP32),2)</f>
        <v>0</v>
      </c>
      <c r="AH32">
        <f t="shared" ref="AH32:AI35" si="42">(EW32)</f>
        <v>188.54</v>
      </c>
      <c r="AI32">
        <f t="shared" si="42"/>
        <v>7.74</v>
      </c>
      <c r="AJ32">
        <f t="shared" ref="AJ32:AJ49" si="43">ROUND((AS32),2)</f>
        <v>0</v>
      </c>
      <c r="AK32">
        <v>1767.24</v>
      </c>
      <c r="AL32">
        <v>0</v>
      </c>
      <c r="AM32">
        <v>241.95</v>
      </c>
      <c r="AN32">
        <v>104.49</v>
      </c>
      <c r="AO32">
        <v>1525.29</v>
      </c>
      <c r="AP32">
        <v>0</v>
      </c>
      <c r="AQ32">
        <v>188.54</v>
      </c>
      <c r="AR32">
        <v>7.74</v>
      </c>
      <c r="AS32">
        <v>0</v>
      </c>
      <c r="AT32">
        <v>99</v>
      </c>
      <c r="AU32">
        <v>60</v>
      </c>
      <c r="AV32">
        <v>1</v>
      </c>
      <c r="AW32">
        <v>1</v>
      </c>
      <c r="AZ32">
        <v>6.56</v>
      </c>
      <c r="BA32">
        <v>6.56</v>
      </c>
      <c r="BB32">
        <v>6.56</v>
      </c>
      <c r="BC32">
        <v>6.56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21</v>
      </c>
      <c r="BM32">
        <v>46001</v>
      </c>
      <c r="BN32">
        <v>0</v>
      </c>
      <c r="BO32" t="s">
        <v>6</v>
      </c>
      <c r="BP32">
        <v>0</v>
      </c>
      <c r="BQ32">
        <v>2</v>
      </c>
      <c r="BR32">
        <v>0</v>
      </c>
      <c r="BS32">
        <v>6.56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110</v>
      </c>
      <c r="CA32">
        <v>70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ref="CP32:CP49" si="44">(P32+Q32+S32)</f>
        <v>4330.0199999999995</v>
      </c>
      <c r="CQ32">
        <f t="shared" ref="CQ32:CQ49" si="45">AC32*BC32</f>
        <v>0</v>
      </c>
      <c r="CR32">
        <f t="shared" ref="CR32:CR49" si="46">AD32*BB32</f>
        <v>1587.1919999999998</v>
      </c>
      <c r="CS32">
        <f t="shared" ref="CS32:CS49" si="47">AE32*BS32</f>
        <v>685.45439999999996</v>
      </c>
      <c r="CT32">
        <f t="shared" ref="CT32:CT49" si="48">AF32*BA32</f>
        <v>10005.902399999999</v>
      </c>
      <c r="CU32">
        <f t="shared" ref="CU32:CU49" si="49">AG32</f>
        <v>0</v>
      </c>
      <c r="CV32">
        <f t="shared" ref="CV32:CV49" si="50">AH32</f>
        <v>188.54</v>
      </c>
      <c r="CW32">
        <f t="shared" ref="CW32:CW49" si="51">AI32</f>
        <v>7.74</v>
      </c>
      <c r="CX32">
        <f t="shared" ref="CX32:CX49" si="52">AJ32</f>
        <v>0</v>
      </c>
      <c r="CY32">
        <f t="shared" ref="CY32:CY49" si="53">(((S32+R32)*AT32)/100)</f>
        <v>3953.2877999999996</v>
      </c>
      <c r="CZ32">
        <f t="shared" ref="CZ32:CZ49" si="54">(((S32+R32)*AU32)/100)</f>
        <v>2395.9319999999998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20</v>
      </c>
      <c r="DW32" t="s">
        <v>20</v>
      </c>
      <c r="DX32">
        <v>100</v>
      </c>
      <c r="EE32">
        <v>16510555</v>
      </c>
      <c r="EF32">
        <v>2</v>
      </c>
      <c r="EG32" t="s">
        <v>22</v>
      </c>
      <c r="EH32">
        <v>0</v>
      </c>
      <c r="EI32" t="s">
        <v>6</v>
      </c>
      <c r="EJ32">
        <v>1</v>
      </c>
      <c r="EK32">
        <v>46001</v>
      </c>
      <c r="EL32" t="s">
        <v>23</v>
      </c>
      <c r="EM32" t="s">
        <v>24</v>
      </c>
      <c r="EO32" t="s">
        <v>6</v>
      </c>
      <c r="EQ32">
        <v>131072</v>
      </c>
      <c r="ER32">
        <v>1767.24</v>
      </c>
      <c r="ES32">
        <v>0</v>
      </c>
      <c r="ET32">
        <v>241.95</v>
      </c>
      <c r="EU32">
        <v>104.49</v>
      </c>
      <c r="EV32">
        <v>1525.29</v>
      </c>
      <c r="EW32">
        <v>188.54</v>
      </c>
      <c r="EX32">
        <v>7.74</v>
      </c>
      <c r="EY32">
        <v>0</v>
      </c>
      <c r="FQ32">
        <v>0</v>
      </c>
      <c r="FR32">
        <f t="shared" ref="FR32:FR49" si="55">ROUND(IF(AND(BH32=3,BI32=3),P32,0),2)</f>
        <v>0</v>
      </c>
      <c r="FS32">
        <v>0</v>
      </c>
      <c r="FT32" t="s">
        <v>25</v>
      </c>
      <c r="FU32" t="s">
        <v>26</v>
      </c>
      <c r="FX32">
        <v>99</v>
      </c>
      <c r="FY32">
        <v>59.5</v>
      </c>
      <c r="GA32" t="s">
        <v>6</v>
      </c>
      <c r="GD32">
        <v>0</v>
      </c>
      <c r="GF32">
        <v>1630687704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ref="GL32:GL49" si="56">ROUND(IF(AND(BH32=3,BI32=3,FS32&lt;&gt;0),P32,0),2)</f>
        <v>0</v>
      </c>
      <c r="GM32">
        <f t="shared" ref="GM32:GM49" si="57">ROUND(O32+X32+Y32+GK32,2)+GX32</f>
        <v>10679.24</v>
      </c>
      <c r="GN32">
        <f t="shared" ref="GN32:GN49" si="58">IF(OR(BI32=0,BI32=1),ROUND(O32+X32+Y32+GK32,2),0)</f>
        <v>10679.24</v>
      </c>
      <c r="GO32">
        <f t="shared" ref="GO32:GO49" si="59">IF(BI32=2,ROUND(O32+X32+Y32+GK32,2),0)</f>
        <v>0</v>
      </c>
      <c r="GP32">
        <f t="shared" ref="GP32:GP49" si="60">IF(BI32=4,ROUND(O32+X32+Y32+GK32,2)+GX32,0)</f>
        <v>0</v>
      </c>
      <c r="GR32">
        <v>0</v>
      </c>
      <c r="GS32">
        <v>3</v>
      </c>
      <c r="GT32">
        <v>0</v>
      </c>
      <c r="GU32" t="s">
        <v>6</v>
      </c>
      <c r="GV32">
        <f t="shared" ref="GV32:GV49" si="61">ROUND(GT32,2)</f>
        <v>0</v>
      </c>
      <c r="GW32">
        <v>1</v>
      </c>
      <c r="GX32">
        <f t="shared" ref="GX32:GX49" si="62">ROUND(GV32*GW32*I32,2)</f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E33" t="s">
        <v>27</v>
      </c>
      <c r="F33" t="s">
        <v>28</v>
      </c>
      <c r="G33" t="s">
        <v>29</v>
      </c>
      <c r="H33" t="s">
        <v>20</v>
      </c>
      <c r="I33">
        <f>ROUND(1.62/100,9)</f>
        <v>1.6199999999999999E-2</v>
      </c>
      <c r="J33">
        <v>0</v>
      </c>
      <c r="O33">
        <f t="shared" si="28"/>
        <v>174.24</v>
      </c>
      <c r="P33">
        <f t="shared" si="29"/>
        <v>0</v>
      </c>
      <c r="Q33">
        <f t="shared" si="30"/>
        <v>25.71</v>
      </c>
      <c r="R33">
        <f t="shared" si="31"/>
        <v>11.1</v>
      </c>
      <c r="S33">
        <f t="shared" si="32"/>
        <v>148.53</v>
      </c>
      <c r="T33">
        <f t="shared" si="33"/>
        <v>0</v>
      </c>
      <c r="U33">
        <f t="shared" si="34"/>
        <v>2.7987119999999996</v>
      </c>
      <c r="V33">
        <f t="shared" si="35"/>
        <v>0.125388</v>
      </c>
      <c r="W33">
        <f t="shared" si="36"/>
        <v>0</v>
      </c>
      <c r="X33">
        <f t="shared" si="37"/>
        <v>158.03</v>
      </c>
      <c r="Y33">
        <f t="shared" si="38"/>
        <v>95.78</v>
      </c>
      <c r="AA33">
        <v>16742901</v>
      </c>
      <c r="AB33">
        <f t="shared" si="39"/>
        <v>1639.58</v>
      </c>
      <c r="AC33">
        <f>ROUND((ES33),2)</f>
        <v>0</v>
      </c>
      <c r="AD33">
        <f>ROUND((((ET33)-(EU33))+AE33),2)</f>
        <v>241.95</v>
      </c>
      <c r="AE33">
        <f t="shared" si="40"/>
        <v>104.49</v>
      </c>
      <c r="AF33">
        <f t="shared" si="40"/>
        <v>1397.63</v>
      </c>
      <c r="AG33">
        <f t="shared" si="41"/>
        <v>0</v>
      </c>
      <c r="AH33">
        <f t="shared" si="42"/>
        <v>172.76</v>
      </c>
      <c r="AI33">
        <f t="shared" si="42"/>
        <v>7.74</v>
      </c>
      <c r="AJ33">
        <f t="shared" si="43"/>
        <v>0</v>
      </c>
      <c r="AK33">
        <v>1639.58</v>
      </c>
      <c r="AL33">
        <v>0</v>
      </c>
      <c r="AM33">
        <v>241.95</v>
      </c>
      <c r="AN33">
        <v>104.49</v>
      </c>
      <c r="AO33">
        <v>1397.63</v>
      </c>
      <c r="AP33">
        <v>0</v>
      </c>
      <c r="AQ33">
        <v>172.76</v>
      </c>
      <c r="AR33">
        <v>7.74</v>
      </c>
      <c r="AS33">
        <v>0</v>
      </c>
      <c r="AT33">
        <v>99</v>
      </c>
      <c r="AU33">
        <v>60</v>
      </c>
      <c r="AV33">
        <v>1</v>
      </c>
      <c r="AW33">
        <v>1</v>
      </c>
      <c r="AZ33">
        <v>6.56</v>
      </c>
      <c r="BA33">
        <v>6.56</v>
      </c>
      <c r="BB33">
        <v>6.56</v>
      </c>
      <c r="BC33">
        <v>6.56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30</v>
      </c>
      <c r="BM33">
        <v>46001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6.56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110</v>
      </c>
      <c r="CA33">
        <v>70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44"/>
        <v>174.24</v>
      </c>
      <c r="CQ33">
        <f t="shared" si="45"/>
        <v>0</v>
      </c>
      <c r="CR33">
        <f t="shared" si="46"/>
        <v>1587.1919999999998</v>
      </c>
      <c r="CS33">
        <f t="shared" si="47"/>
        <v>685.45439999999996</v>
      </c>
      <c r="CT33">
        <f t="shared" si="48"/>
        <v>9168.4528000000009</v>
      </c>
      <c r="CU33">
        <f t="shared" si="49"/>
        <v>0</v>
      </c>
      <c r="CV33">
        <f t="shared" si="50"/>
        <v>172.76</v>
      </c>
      <c r="CW33">
        <f t="shared" si="51"/>
        <v>7.74</v>
      </c>
      <c r="CX33">
        <f t="shared" si="52"/>
        <v>0</v>
      </c>
      <c r="CY33">
        <f t="shared" si="53"/>
        <v>158.03369999999998</v>
      </c>
      <c r="CZ33">
        <f t="shared" si="54"/>
        <v>95.777999999999992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20</v>
      </c>
      <c r="DW33" t="s">
        <v>20</v>
      </c>
      <c r="DX33">
        <v>100</v>
      </c>
      <c r="EE33">
        <v>16510555</v>
      </c>
      <c r="EF33">
        <v>2</v>
      </c>
      <c r="EG33" t="s">
        <v>22</v>
      </c>
      <c r="EH33">
        <v>0</v>
      </c>
      <c r="EI33" t="s">
        <v>6</v>
      </c>
      <c r="EJ33">
        <v>1</v>
      </c>
      <c r="EK33">
        <v>46001</v>
      </c>
      <c r="EL33" t="s">
        <v>23</v>
      </c>
      <c r="EM33" t="s">
        <v>24</v>
      </c>
      <c r="EO33" t="s">
        <v>6</v>
      </c>
      <c r="EQ33">
        <v>131072</v>
      </c>
      <c r="ER33">
        <v>1639.58</v>
      </c>
      <c r="ES33">
        <v>0</v>
      </c>
      <c r="ET33">
        <v>241.95</v>
      </c>
      <c r="EU33">
        <v>104.49</v>
      </c>
      <c r="EV33">
        <v>1397.63</v>
      </c>
      <c r="EW33">
        <v>172.76</v>
      </c>
      <c r="EX33">
        <v>7.74</v>
      </c>
      <c r="EY33">
        <v>0</v>
      </c>
      <c r="FQ33">
        <v>0</v>
      </c>
      <c r="FR33">
        <f t="shared" si="55"/>
        <v>0</v>
      </c>
      <c r="FS33">
        <v>0</v>
      </c>
      <c r="FT33" t="s">
        <v>25</v>
      </c>
      <c r="FU33" t="s">
        <v>26</v>
      </c>
      <c r="FX33">
        <v>99</v>
      </c>
      <c r="FY33">
        <v>59.5</v>
      </c>
      <c r="GA33" t="s">
        <v>6</v>
      </c>
      <c r="GD33">
        <v>0</v>
      </c>
      <c r="GF33">
        <v>426805715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56"/>
        <v>0</v>
      </c>
      <c r="GM33">
        <f t="shared" si="57"/>
        <v>428.05</v>
      </c>
      <c r="GN33">
        <f t="shared" si="58"/>
        <v>428.05</v>
      </c>
      <c r="GO33">
        <f t="shared" si="59"/>
        <v>0</v>
      </c>
      <c r="GP33">
        <f t="shared" si="60"/>
        <v>0</v>
      </c>
      <c r="GR33">
        <v>0</v>
      </c>
      <c r="GS33">
        <v>3</v>
      </c>
      <c r="GT33">
        <v>0</v>
      </c>
      <c r="GU33" t="s">
        <v>6</v>
      </c>
      <c r="GV33">
        <f t="shared" si="61"/>
        <v>0</v>
      </c>
      <c r="GW33">
        <v>1</v>
      </c>
      <c r="GX33">
        <f t="shared" si="62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E34" t="s">
        <v>31</v>
      </c>
      <c r="F34" t="s">
        <v>32</v>
      </c>
      <c r="G34" t="s">
        <v>33</v>
      </c>
      <c r="H34" t="s">
        <v>34</v>
      </c>
      <c r="I34">
        <f>ROUND(16.22/100,9)</f>
        <v>0.16220000000000001</v>
      </c>
      <c r="J34">
        <v>0</v>
      </c>
      <c r="O34">
        <f t="shared" si="28"/>
        <v>75.73</v>
      </c>
      <c r="P34">
        <f t="shared" si="29"/>
        <v>0</v>
      </c>
      <c r="Q34">
        <f t="shared" si="30"/>
        <v>0.21</v>
      </c>
      <c r="R34">
        <f t="shared" si="31"/>
        <v>0</v>
      </c>
      <c r="S34">
        <f t="shared" si="32"/>
        <v>75.52</v>
      </c>
      <c r="T34">
        <f t="shared" si="33"/>
        <v>0</v>
      </c>
      <c r="U34">
        <f t="shared" si="34"/>
        <v>1.4760200000000001</v>
      </c>
      <c r="V34">
        <f t="shared" si="35"/>
        <v>0</v>
      </c>
      <c r="W34">
        <f t="shared" si="36"/>
        <v>0</v>
      </c>
      <c r="X34">
        <f t="shared" si="37"/>
        <v>62.68</v>
      </c>
      <c r="Y34">
        <f t="shared" si="38"/>
        <v>49.09</v>
      </c>
      <c r="AA34">
        <v>16742901</v>
      </c>
      <c r="AB34">
        <f t="shared" si="39"/>
        <v>71.180000000000007</v>
      </c>
      <c r="AC34">
        <f>ROUND((ES34),2)</f>
        <v>0</v>
      </c>
      <c r="AD34">
        <f>ROUND((((ET34)-(EU34))+AE34),2)</f>
        <v>0.2</v>
      </c>
      <c r="AE34">
        <f t="shared" si="40"/>
        <v>0</v>
      </c>
      <c r="AF34">
        <f t="shared" si="40"/>
        <v>70.98</v>
      </c>
      <c r="AG34">
        <f t="shared" si="41"/>
        <v>0</v>
      </c>
      <c r="AH34">
        <f t="shared" si="42"/>
        <v>9.1</v>
      </c>
      <c r="AI34">
        <f t="shared" si="42"/>
        <v>0</v>
      </c>
      <c r="AJ34">
        <f t="shared" si="43"/>
        <v>0</v>
      </c>
      <c r="AK34">
        <v>71.180000000000007</v>
      </c>
      <c r="AL34">
        <v>0</v>
      </c>
      <c r="AM34">
        <v>0.2</v>
      </c>
      <c r="AN34">
        <v>0</v>
      </c>
      <c r="AO34">
        <v>70.98</v>
      </c>
      <c r="AP34">
        <v>0</v>
      </c>
      <c r="AQ34">
        <v>9.1</v>
      </c>
      <c r="AR34">
        <v>0</v>
      </c>
      <c r="AS34">
        <v>0</v>
      </c>
      <c r="AT34">
        <v>83</v>
      </c>
      <c r="AU34">
        <v>65</v>
      </c>
      <c r="AV34">
        <v>1</v>
      </c>
      <c r="AW34">
        <v>1</v>
      </c>
      <c r="AZ34">
        <v>6.56</v>
      </c>
      <c r="BA34">
        <v>6.56</v>
      </c>
      <c r="BB34">
        <v>6.56</v>
      </c>
      <c r="BC34">
        <v>6.56</v>
      </c>
      <c r="BD34" t="s">
        <v>6</v>
      </c>
      <c r="BE34" t="s">
        <v>6</v>
      </c>
      <c r="BF34" t="s">
        <v>6</v>
      </c>
      <c r="BG34" t="s">
        <v>6</v>
      </c>
      <c r="BH34">
        <v>0</v>
      </c>
      <c r="BI34">
        <v>1</v>
      </c>
      <c r="BJ34" t="s">
        <v>35</v>
      </c>
      <c r="BM34">
        <v>58001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6.56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83</v>
      </c>
      <c r="CA34">
        <v>65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44"/>
        <v>75.72999999999999</v>
      </c>
      <c r="CQ34">
        <f t="shared" si="45"/>
        <v>0</v>
      </c>
      <c r="CR34">
        <f t="shared" si="46"/>
        <v>1.3120000000000001</v>
      </c>
      <c r="CS34">
        <f t="shared" si="47"/>
        <v>0</v>
      </c>
      <c r="CT34">
        <f t="shared" si="48"/>
        <v>465.62880000000001</v>
      </c>
      <c r="CU34">
        <f t="shared" si="49"/>
        <v>0</v>
      </c>
      <c r="CV34">
        <f t="shared" si="50"/>
        <v>9.1</v>
      </c>
      <c r="CW34">
        <f t="shared" si="51"/>
        <v>0</v>
      </c>
      <c r="CX34">
        <f t="shared" si="52"/>
        <v>0</v>
      </c>
      <c r="CY34">
        <f t="shared" si="53"/>
        <v>62.681599999999996</v>
      </c>
      <c r="CZ34">
        <f t="shared" si="54"/>
        <v>49.088000000000001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34</v>
      </c>
      <c r="DW34" t="s">
        <v>34</v>
      </c>
      <c r="DX34">
        <v>100</v>
      </c>
      <c r="EE34">
        <v>16510567</v>
      </c>
      <c r="EF34">
        <v>6</v>
      </c>
      <c r="EG34" t="s">
        <v>36</v>
      </c>
      <c r="EH34">
        <v>0</v>
      </c>
      <c r="EI34" t="s">
        <v>6</v>
      </c>
      <c r="EJ34">
        <v>1</v>
      </c>
      <c r="EK34">
        <v>58001</v>
      </c>
      <c r="EL34" t="s">
        <v>37</v>
      </c>
      <c r="EM34" t="s">
        <v>38</v>
      </c>
      <c r="EO34" t="s">
        <v>6</v>
      </c>
      <c r="EQ34">
        <v>131072</v>
      </c>
      <c r="ER34">
        <v>71.180000000000007</v>
      </c>
      <c r="ES34">
        <v>0</v>
      </c>
      <c r="ET34">
        <v>0.2</v>
      </c>
      <c r="EU34">
        <v>0</v>
      </c>
      <c r="EV34">
        <v>70.98</v>
      </c>
      <c r="EW34">
        <v>9.1</v>
      </c>
      <c r="EX34">
        <v>0</v>
      </c>
      <c r="EY34">
        <v>0</v>
      </c>
      <c r="FQ34">
        <v>0</v>
      </c>
      <c r="FR34">
        <f t="shared" si="55"/>
        <v>0</v>
      </c>
      <c r="FS34">
        <v>0</v>
      </c>
      <c r="FX34">
        <v>83</v>
      </c>
      <c r="FY34">
        <v>65</v>
      </c>
      <c r="GA34" t="s">
        <v>6</v>
      </c>
      <c r="GD34">
        <v>0</v>
      </c>
      <c r="GF34">
        <v>-902764851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56"/>
        <v>0</v>
      </c>
      <c r="GM34">
        <f t="shared" si="57"/>
        <v>187.5</v>
      </c>
      <c r="GN34">
        <f t="shared" si="58"/>
        <v>187.5</v>
      </c>
      <c r="GO34">
        <f t="shared" si="59"/>
        <v>0</v>
      </c>
      <c r="GP34">
        <f t="shared" si="60"/>
        <v>0</v>
      </c>
      <c r="GR34">
        <v>0</v>
      </c>
      <c r="GS34">
        <v>3</v>
      </c>
      <c r="GT34">
        <v>0</v>
      </c>
      <c r="GU34" t="s">
        <v>6</v>
      </c>
      <c r="GV34">
        <f t="shared" si="61"/>
        <v>0</v>
      </c>
      <c r="GW34">
        <v>1</v>
      </c>
      <c r="GX34">
        <f t="shared" si="62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E35" t="s">
        <v>39</v>
      </c>
      <c r="F35" t="s">
        <v>40</v>
      </c>
      <c r="G35" t="s">
        <v>41</v>
      </c>
      <c r="H35" t="s">
        <v>20</v>
      </c>
      <c r="I35">
        <f>ROUND(15/100,9)</f>
        <v>0.15</v>
      </c>
      <c r="J35">
        <v>0</v>
      </c>
      <c r="O35">
        <f t="shared" si="28"/>
        <v>1065.26</v>
      </c>
      <c r="P35">
        <f t="shared" si="29"/>
        <v>0</v>
      </c>
      <c r="Q35">
        <f t="shared" si="30"/>
        <v>238.08</v>
      </c>
      <c r="R35">
        <f t="shared" si="31"/>
        <v>102.82</v>
      </c>
      <c r="S35">
        <f t="shared" si="32"/>
        <v>827.18</v>
      </c>
      <c r="T35">
        <f t="shared" si="33"/>
        <v>0</v>
      </c>
      <c r="U35">
        <f t="shared" si="34"/>
        <v>15.586499999999999</v>
      </c>
      <c r="V35">
        <f t="shared" si="35"/>
        <v>1.161</v>
      </c>
      <c r="W35">
        <f t="shared" si="36"/>
        <v>0</v>
      </c>
      <c r="X35">
        <f t="shared" si="37"/>
        <v>920.7</v>
      </c>
      <c r="Y35">
        <f t="shared" si="38"/>
        <v>558</v>
      </c>
      <c r="AA35">
        <v>16742901</v>
      </c>
      <c r="AB35">
        <f t="shared" si="39"/>
        <v>1082.58</v>
      </c>
      <c r="AC35">
        <f>ROUND((ES35),2)</f>
        <v>0</v>
      </c>
      <c r="AD35">
        <f>ROUND((((ET35)-(EU35))+AE35),2)</f>
        <v>241.95</v>
      </c>
      <c r="AE35">
        <f t="shared" si="40"/>
        <v>104.49</v>
      </c>
      <c r="AF35">
        <f t="shared" si="40"/>
        <v>840.63</v>
      </c>
      <c r="AG35">
        <f t="shared" si="41"/>
        <v>0</v>
      </c>
      <c r="AH35">
        <f t="shared" si="42"/>
        <v>103.91</v>
      </c>
      <c r="AI35">
        <f t="shared" si="42"/>
        <v>7.74</v>
      </c>
      <c r="AJ35">
        <f t="shared" si="43"/>
        <v>0</v>
      </c>
      <c r="AK35">
        <v>1082.58</v>
      </c>
      <c r="AL35">
        <v>0</v>
      </c>
      <c r="AM35">
        <v>241.95</v>
      </c>
      <c r="AN35">
        <v>104.49</v>
      </c>
      <c r="AO35">
        <v>840.63</v>
      </c>
      <c r="AP35">
        <v>0</v>
      </c>
      <c r="AQ35">
        <v>103.91</v>
      </c>
      <c r="AR35">
        <v>7.74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6.56</v>
      </c>
      <c r="BA35">
        <v>6.56</v>
      </c>
      <c r="BB35">
        <v>6.56</v>
      </c>
      <c r="BC35">
        <v>6.56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42</v>
      </c>
      <c r="BM35">
        <v>46001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6.56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110</v>
      </c>
      <c r="CA35">
        <v>70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4"/>
        <v>1065.26</v>
      </c>
      <c r="CQ35">
        <f t="shared" si="45"/>
        <v>0</v>
      </c>
      <c r="CR35">
        <f t="shared" si="46"/>
        <v>1587.1919999999998</v>
      </c>
      <c r="CS35">
        <f t="shared" si="47"/>
        <v>685.45439999999996</v>
      </c>
      <c r="CT35">
        <f t="shared" si="48"/>
        <v>5514.5328</v>
      </c>
      <c r="CU35">
        <f t="shared" si="49"/>
        <v>0</v>
      </c>
      <c r="CV35">
        <f t="shared" si="50"/>
        <v>103.91</v>
      </c>
      <c r="CW35">
        <f t="shared" si="51"/>
        <v>7.74</v>
      </c>
      <c r="CX35">
        <f t="shared" si="52"/>
        <v>0</v>
      </c>
      <c r="CY35">
        <f t="shared" si="53"/>
        <v>920.7</v>
      </c>
      <c r="CZ35">
        <f t="shared" si="54"/>
        <v>558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20</v>
      </c>
      <c r="DW35" t="s">
        <v>20</v>
      </c>
      <c r="DX35">
        <v>100</v>
      </c>
      <c r="EE35">
        <v>16510555</v>
      </c>
      <c r="EF35">
        <v>2</v>
      </c>
      <c r="EG35" t="s">
        <v>22</v>
      </c>
      <c r="EH35">
        <v>0</v>
      </c>
      <c r="EI35" t="s">
        <v>6</v>
      </c>
      <c r="EJ35">
        <v>1</v>
      </c>
      <c r="EK35">
        <v>46001</v>
      </c>
      <c r="EL35" t="s">
        <v>23</v>
      </c>
      <c r="EM35" t="s">
        <v>24</v>
      </c>
      <c r="EO35" t="s">
        <v>6</v>
      </c>
      <c r="EQ35">
        <v>131072</v>
      </c>
      <c r="ER35">
        <v>1082.58</v>
      </c>
      <c r="ES35">
        <v>0</v>
      </c>
      <c r="ET35">
        <v>241.95</v>
      </c>
      <c r="EU35">
        <v>104.49</v>
      </c>
      <c r="EV35">
        <v>840.63</v>
      </c>
      <c r="EW35">
        <v>103.91</v>
      </c>
      <c r="EX35">
        <v>7.74</v>
      </c>
      <c r="EY35">
        <v>0</v>
      </c>
      <c r="FQ35">
        <v>0</v>
      </c>
      <c r="FR35">
        <f t="shared" si="55"/>
        <v>0</v>
      </c>
      <c r="FS35">
        <v>0</v>
      </c>
      <c r="FT35" t="s">
        <v>25</v>
      </c>
      <c r="FU35" t="s">
        <v>26</v>
      </c>
      <c r="FX35">
        <v>99</v>
      </c>
      <c r="FY35">
        <v>59.5</v>
      </c>
      <c r="GA35" t="s">
        <v>6</v>
      </c>
      <c r="GD35">
        <v>0</v>
      </c>
      <c r="GF35">
        <v>309229644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56"/>
        <v>0</v>
      </c>
      <c r="GM35">
        <f t="shared" si="57"/>
        <v>2543.96</v>
      </c>
      <c r="GN35">
        <f t="shared" si="58"/>
        <v>2543.96</v>
      </c>
      <c r="GO35">
        <f t="shared" si="59"/>
        <v>0</v>
      </c>
      <c r="GP35">
        <f t="shared" si="60"/>
        <v>0</v>
      </c>
      <c r="GR35">
        <v>0</v>
      </c>
      <c r="GS35">
        <v>3</v>
      </c>
      <c r="GT35">
        <v>0</v>
      </c>
      <c r="GU35" t="s">
        <v>6</v>
      </c>
      <c r="GV35">
        <f t="shared" si="61"/>
        <v>0</v>
      </c>
      <c r="GW35">
        <v>1</v>
      </c>
      <c r="GX35">
        <f t="shared" si="62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C36">
        <f>ROW(SmtRes!A2)</f>
        <v>2</v>
      </c>
      <c r="D36">
        <f>ROW(EtalonRes!A2)</f>
        <v>2</v>
      </c>
      <c r="E36" t="s">
        <v>43</v>
      </c>
      <c r="F36" t="s">
        <v>44</v>
      </c>
      <c r="G36" t="s">
        <v>45</v>
      </c>
      <c r="H36" t="s">
        <v>20</v>
      </c>
      <c r="I36">
        <f>ROUND(17.64/100,9)</f>
        <v>0.1764</v>
      </c>
      <c r="J36">
        <v>0</v>
      </c>
      <c r="O36">
        <f t="shared" si="28"/>
        <v>272.91000000000003</v>
      </c>
      <c r="P36">
        <f t="shared" si="29"/>
        <v>0</v>
      </c>
      <c r="Q36">
        <f t="shared" si="30"/>
        <v>0</v>
      </c>
      <c r="R36">
        <f t="shared" si="31"/>
        <v>0</v>
      </c>
      <c r="S36">
        <f t="shared" si="32"/>
        <v>272.91000000000003</v>
      </c>
      <c r="T36">
        <f t="shared" si="33"/>
        <v>0</v>
      </c>
      <c r="U36">
        <f t="shared" si="34"/>
        <v>4.8771072000000002</v>
      </c>
      <c r="V36">
        <f t="shared" si="35"/>
        <v>0</v>
      </c>
      <c r="W36">
        <f t="shared" si="36"/>
        <v>0</v>
      </c>
      <c r="X36">
        <f t="shared" si="37"/>
        <v>289.27999999999997</v>
      </c>
      <c r="Y36">
        <f t="shared" si="38"/>
        <v>147.37</v>
      </c>
      <c r="AA36">
        <v>16742901</v>
      </c>
      <c r="AB36">
        <f t="shared" si="39"/>
        <v>235.84</v>
      </c>
      <c r="AC36">
        <f>ROUND(((ES36*0)),2)</f>
        <v>0</v>
      </c>
      <c r="AD36">
        <f>ROUND(((((ET36*0.8))-((EU36*0.8)))+AE36),2)</f>
        <v>0</v>
      </c>
      <c r="AE36">
        <f>ROUND(((EU36*0.8)),2)</f>
        <v>0</v>
      </c>
      <c r="AF36">
        <f>ROUND(((EV36*0.8)),2)</f>
        <v>235.84</v>
      </c>
      <c r="AG36">
        <f t="shared" si="41"/>
        <v>0</v>
      </c>
      <c r="AH36">
        <f>((EW36*0.8))</f>
        <v>27.648000000000003</v>
      </c>
      <c r="AI36">
        <f>((EX36*0.8))</f>
        <v>0</v>
      </c>
      <c r="AJ36">
        <f t="shared" si="43"/>
        <v>0</v>
      </c>
      <c r="AK36">
        <v>70425.8</v>
      </c>
      <c r="AL36">
        <v>70131</v>
      </c>
      <c r="AM36">
        <v>0</v>
      </c>
      <c r="AN36">
        <v>0</v>
      </c>
      <c r="AO36">
        <v>294.8</v>
      </c>
      <c r="AP36">
        <v>0</v>
      </c>
      <c r="AQ36">
        <v>34.56</v>
      </c>
      <c r="AR36">
        <v>0</v>
      </c>
      <c r="AS36">
        <v>0</v>
      </c>
      <c r="AT36">
        <v>106</v>
      </c>
      <c r="AU36">
        <v>54</v>
      </c>
      <c r="AV36">
        <v>1</v>
      </c>
      <c r="AW36">
        <v>1</v>
      </c>
      <c r="AZ36">
        <v>6.56</v>
      </c>
      <c r="BA36">
        <v>6.56</v>
      </c>
      <c r="BB36">
        <v>6.56</v>
      </c>
      <c r="BC36">
        <v>6.56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46</v>
      </c>
      <c r="BM36">
        <v>10001</v>
      </c>
      <c r="BN36">
        <v>0</v>
      </c>
      <c r="BO36" t="s">
        <v>6</v>
      </c>
      <c r="BP36">
        <v>0</v>
      </c>
      <c r="BQ36">
        <v>2</v>
      </c>
      <c r="BR36">
        <v>0</v>
      </c>
      <c r="BS36">
        <v>6.56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118</v>
      </c>
      <c r="CA36">
        <v>63</v>
      </c>
      <c r="CF36">
        <v>0</v>
      </c>
      <c r="CG36">
        <v>0</v>
      </c>
      <c r="CM36">
        <v>0</v>
      </c>
      <c r="CN36" t="s">
        <v>47</v>
      </c>
      <c r="CO36">
        <v>0</v>
      </c>
      <c r="CP36">
        <f t="shared" si="44"/>
        <v>272.91000000000003</v>
      </c>
      <c r="CQ36">
        <f t="shared" si="45"/>
        <v>0</v>
      </c>
      <c r="CR36">
        <f t="shared" si="46"/>
        <v>0</v>
      </c>
      <c r="CS36">
        <f t="shared" si="47"/>
        <v>0</v>
      </c>
      <c r="CT36">
        <f t="shared" si="48"/>
        <v>1547.1104</v>
      </c>
      <c r="CU36">
        <f t="shared" si="49"/>
        <v>0</v>
      </c>
      <c r="CV36">
        <f t="shared" si="50"/>
        <v>27.648000000000003</v>
      </c>
      <c r="CW36">
        <f t="shared" si="51"/>
        <v>0</v>
      </c>
      <c r="CX36">
        <f t="shared" si="52"/>
        <v>0</v>
      </c>
      <c r="CY36">
        <f t="shared" si="53"/>
        <v>289.28460000000001</v>
      </c>
      <c r="CZ36">
        <f t="shared" si="54"/>
        <v>147.37140000000002</v>
      </c>
      <c r="DC36" t="s">
        <v>6</v>
      </c>
      <c r="DD36" t="s">
        <v>48</v>
      </c>
      <c r="DE36" t="s">
        <v>49</v>
      </c>
      <c r="DF36" t="s">
        <v>49</v>
      </c>
      <c r="DG36" t="s">
        <v>49</v>
      </c>
      <c r="DH36" t="s">
        <v>6</v>
      </c>
      <c r="DI36" t="s">
        <v>49</v>
      </c>
      <c r="DJ36" t="s">
        <v>49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1005</v>
      </c>
      <c r="DV36" t="s">
        <v>20</v>
      </c>
      <c r="DW36" t="s">
        <v>20</v>
      </c>
      <c r="DX36">
        <v>100</v>
      </c>
      <c r="EE36">
        <v>16510487</v>
      </c>
      <c r="EF36">
        <v>2</v>
      </c>
      <c r="EG36" t="s">
        <v>22</v>
      </c>
      <c r="EH36">
        <v>0</v>
      </c>
      <c r="EI36" t="s">
        <v>6</v>
      </c>
      <c r="EJ36">
        <v>1</v>
      </c>
      <c r="EK36">
        <v>10001</v>
      </c>
      <c r="EL36" t="s">
        <v>50</v>
      </c>
      <c r="EM36" t="s">
        <v>51</v>
      </c>
      <c r="EO36" t="s">
        <v>52</v>
      </c>
      <c r="EQ36">
        <v>131072</v>
      </c>
      <c r="ER36">
        <v>70425.8</v>
      </c>
      <c r="ES36">
        <v>70131</v>
      </c>
      <c r="ET36">
        <v>0</v>
      </c>
      <c r="EU36">
        <v>0</v>
      </c>
      <c r="EV36">
        <v>294.8</v>
      </c>
      <c r="EW36">
        <v>34.56</v>
      </c>
      <c r="EX36">
        <v>0</v>
      </c>
      <c r="EY36">
        <v>0</v>
      </c>
      <c r="FQ36">
        <v>0</v>
      </c>
      <c r="FR36">
        <f t="shared" si="55"/>
        <v>0</v>
      </c>
      <c r="FS36">
        <v>0</v>
      </c>
      <c r="FT36" t="s">
        <v>25</v>
      </c>
      <c r="FU36" t="s">
        <v>26</v>
      </c>
      <c r="FX36">
        <v>106.2</v>
      </c>
      <c r="FY36">
        <v>53.55</v>
      </c>
      <c r="GA36" t="s">
        <v>6</v>
      </c>
      <c r="GD36">
        <v>0</v>
      </c>
      <c r="GF36">
        <v>-1683812342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56"/>
        <v>0</v>
      </c>
      <c r="GM36">
        <f t="shared" si="57"/>
        <v>709.56</v>
      </c>
      <c r="GN36">
        <f t="shared" si="58"/>
        <v>709.56</v>
      </c>
      <c r="GO36">
        <f t="shared" si="59"/>
        <v>0</v>
      </c>
      <c r="GP36">
        <f t="shared" si="60"/>
        <v>0</v>
      </c>
      <c r="GR36">
        <v>0</v>
      </c>
      <c r="GS36">
        <v>3</v>
      </c>
      <c r="GT36">
        <v>0</v>
      </c>
      <c r="GU36" t="s">
        <v>6</v>
      </c>
      <c r="GV36">
        <f t="shared" si="61"/>
        <v>0</v>
      </c>
      <c r="GW36">
        <v>1</v>
      </c>
      <c r="GX36">
        <f t="shared" si="62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ROW(SmtRes!A10)</f>
        <v>10</v>
      </c>
      <c r="D37">
        <f>ROW(EtalonRes!A12)</f>
        <v>12</v>
      </c>
      <c r="E37" t="s">
        <v>53</v>
      </c>
      <c r="F37" t="s">
        <v>54</v>
      </c>
      <c r="G37" t="s">
        <v>55</v>
      </c>
      <c r="H37" t="s">
        <v>56</v>
      </c>
      <c r="I37">
        <v>9</v>
      </c>
      <c r="J37">
        <v>0</v>
      </c>
      <c r="O37">
        <f t="shared" si="28"/>
        <v>527.22</v>
      </c>
      <c r="P37">
        <f t="shared" si="29"/>
        <v>0</v>
      </c>
      <c r="Q37">
        <f t="shared" si="30"/>
        <v>80.290000000000006</v>
      </c>
      <c r="R37">
        <f t="shared" si="31"/>
        <v>8.86</v>
      </c>
      <c r="S37">
        <f t="shared" si="32"/>
        <v>446.93</v>
      </c>
      <c r="T37">
        <f t="shared" si="33"/>
        <v>0</v>
      </c>
      <c r="U37">
        <f t="shared" si="34"/>
        <v>7.5960000000000001</v>
      </c>
      <c r="V37">
        <f t="shared" si="35"/>
        <v>0.108</v>
      </c>
      <c r="W37">
        <f t="shared" si="36"/>
        <v>0</v>
      </c>
      <c r="X37">
        <f t="shared" si="37"/>
        <v>524.16</v>
      </c>
      <c r="Y37">
        <f t="shared" si="38"/>
        <v>323.61</v>
      </c>
      <c r="AA37">
        <v>16742901</v>
      </c>
      <c r="AB37">
        <f t="shared" si="39"/>
        <v>8.93</v>
      </c>
      <c r="AC37">
        <f>ROUND(((ES37*0)),2)</f>
        <v>0</v>
      </c>
      <c r="AD37">
        <f>ROUND(((((ET37*0.4))-((EU37*0.4)))+AE37),2)</f>
        <v>1.36</v>
      </c>
      <c r="AE37">
        <f>ROUND(((EU37*0.4)),2)</f>
        <v>0.15</v>
      </c>
      <c r="AF37">
        <f>ROUND(((EV37*0.4)),2)</f>
        <v>7.57</v>
      </c>
      <c r="AG37">
        <f t="shared" si="41"/>
        <v>0</v>
      </c>
      <c r="AH37">
        <f>((EW37*0.4))</f>
        <v>0.84399999999999997</v>
      </c>
      <c r="AI37">
        <f>((EX37*0.4))</f>
        <v>1.2E-2</v>
      </c>
      <c r="AJ37">
        <f t="shared" si="43"/>
        <v>0</v>
      </c>
      <c r="AK37">
        <v>33.58</v>
      </c>
      <c r="AL37">
        <v>11.25</v>
      </c>
      <c r="AM37">
        <v>3.4</v>
      </c>
      <c r="AN37">
        <v>0.37</v>
      </c>
      <c r="AO37">
        <v>18.93</v>
      </c>
      <c r="AP37">
        <v>0</v>
      </c>
      <c r="AQ37">
        <v>2.11</v>
      </c>
      <c r="AR37">
        <v>0.03</v>
      </c>
      <c r="AS37">
        <v>0</v>
      </c>
      <c r="AT37">
        <v>115</v>
      </c>
      <c r="AU37">
        <v>71</v>
      </c>
      <c r="AV37">
        <v>1</v>
      </c>
      <c r="AW37">
        <v>1</v>
      </c>
      <c r="AZ37">
        <v>6.56</v>
      </c>
      <c r="BA37">
        <v>6.56</v>
      </c>
      <c r="BB37">
        <v>6.56</v>
      </c>
      <c r="BC37">
        <v>6.56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57</v>
      </c>
      <c r="BM37">
        <v>20001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6.56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128</v>
      </c>
      <c r="CA37">
        <v>83</v>
      </c>
      <c r="CF37">
        <v>0</v>
      </c>
      <c r="CG37">
        <v>0</v>
      </c>
      <c r="CM37">
        <v>0</v>
      </c>
      <c r="CN37" t="s">
        <v>58</v>
      </c>
      <c r="CO37">
        <v>0</v>
      </c>
      <c r="CP37">
        <f t="shared" si="44"/>
        <v>527.22</v>
      </c>
      <c r="CQ37">
        <f t="shared" si="45"/>
        <v>0</v>
      </c>
      <c r="CR37">
        <f t="shared" si="46"/>
        <v>8.9215999999999998</v>
      </c>
      <c r="CS37">
        <f t="shared" si="47"/>
        <v>0.98399999999999987</v>
      </c>
      <c r="CT37">
        <f t="shared" si="48"/>
        <v>49.659199999999998</v>
      </c>
      <c r="CU37">
        <f t="shared" si="49"/>
        <v>0</v>
      </c>
      <c r="CV37">
        <f t="shared" si="50"/>
        <v>0.84399999999999997</v>
      </c>
      <c r="CW37">
        <f t="shared" si="51"/>
        <v>1.2E-2</v>
      </c>
      <c r="CX37">
        <f t="shared" si="52"/>
        <v>0</v>
      </c>
      <c r="CY37">
        <f t="shared" si="53"/>
        <v>524.1585</v>
      </c>
      <c r="CZ37">
        <f t="shared" si="54"/>
        <v>323.61090000000002</v>
      </c>
      <c r="DC37" t="s">
        <v>6</v>
      </c>
      <c r="DD37" t="s">
        <v>48</v>
      </c>
      <c r="DE37" t="s">
        <v>59</v>
      </c>
      <c r="DF37" t="s">
        <v>59</v>
      </c>
      <c r="DG37" t="s">
        <v>59</v>
      </c>
      <c r="DH37" t="s">
        <v>6</v>
      </c>
      <c r="DI37" t="s">
        <v>59</v>
      </c>
      <c r="DJ37" t="s">
        <v>59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56</v>
      </c>
      <c r="DW37" t="s">
        <v>56</v>
      </c>
      <c r="DX37">
        <v>1</v>
      </c>
      <c r="EE37">
        <v>16510518</v>
      </c>
      <c r="EF37">
        <v>2</v>
      </c>
      <c r="EG37" t="s">
        <v>22</v>
      </c>
      <c r="EH37">
        <v>0</v>
      </c>
      <c r="EI37" t="s">
        <v>6</v>
      </c>
      <c r="EJ37">
        <v>1</v>
      </c>
      <c r="EK37">
        <v>20001</v>
      </c>
      <c r="EL37" t="s">
        <v>60</v>
      </c>
      <c r="EM37" t="s">
        <v>61</v>
      </c>
      <c r="EO37" t="s">
        <v>62</v>
      </c>
      <c r="EQ37">
        <v>131072</v>
      </c>
      <c r="ER37">
        <v>33.58</v>
      </c>
      <c r="ES37">
        <v>11.25</v>
      </c>
      <c r="ET37">
        <v>3.4</v>
      </c>
      <c r="EU37">
        <v>0.37</v>
      </c>
      <c r="EV37">
        <v>18.93</v>
      </c>
      <c r="EW37">
        <v>2.11</v>
      </c>
      <c r="EX37">
        <v>0.03</v>
      </c>
      <c r="EY37">
        <v>0</v>
      </c>
      <c r="FQ37">
        <v>0</v>
      </c>
      <c r="FR37">
        <f t="shared" si="55"/>
        <v>0</v>
      </c>
      <c r="FS37">
        <v>0</v>
      </c>
      <c r="FT37" t="s">
        <v>25</v>
      </c>
      <c r="FU37" t="s">
        <v>26</v>
      </c>
      <c r="FX37">
        <v>115.2</v>
      </c>
      <c r="FY37">
        <v>70.55</v>
      </c>
      <c r="GA37" t="s">
        <v>6</v>
      </c>
      <c r="GD37">
        <v>0</v>
      </c>
      <c r="GF37">
        <v>1630170678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56"/>
        <v>0</v>
      </c>
      <c r="GM37">
        <f t="shared" si="57"/>
        <v>1374.99</v>
      </c>
      <c r="GN37">
        <f t="shared" si="58"/>
        <v>1374.99</v>
      </c>
      <c r="GO37">
        <f t="shared" si="59"/>
        <v>0</v>
      </c>
      <c r="GP37">
        <f t="shared" si="60"/>
        <v>0</v>
      </c>
      <c r="GR37">
        <v>0</v>
      </c>
      <c r="GS37">
        <v>3</v>
      </c>
      <c r="GT37">
        <v>0</v>
      </c>
      <c r="GU37" t="s">
        <v>6</v>
      </c>
      <c r="GV37">
        <f t="shared" si="61"/>
        <v>0</v>
      </c>
      <c r="GW37">
        <v>1</v>
      </c>
      <c r="GX37">
        <f t="shared" si="62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ROW(SmtRes!A17)</f>
        <v>17</v>
      </c>
      <c r="D38">
        <f>ROW(EtalonRes!A19)</f>
        <v>19</v>
      </c>
      <c r="E38" t="s">
        <v>63</v>
      </c>
      <c r="F38" t="s">
        <v>64</v>
      </c>
      <c r="G38" t="s">
        <v>65</v>
      </c>
      <c r="H38" t="s">
        <v>66</v>
      </c>
      <c r="I38">
        <f>ROUND(13/100,9)</f>
        <v>0.13</v>
      </c>
      <c r="J38">
        <v>0</v>
      </c>
      <c r="O38">
        <f t="shared" si="28"/>
        <v>367.43</v>
      </c>
      <c r="P38">
        <f t="shared" si="29"/>
        <v>31.17</v>
      </c>
      <c r="Q38">
        <f t="shared" si="30"/>
        <v>0.26</v>
      </c>
      <c r="R38">
        <f t="shared" si="31"/>
        <v>0.12</v>
      </c>
      <c r="S38">
        <f t="shared" si="32"/>
        <v>336</v>
      </c>
      <c r="T38">
        <f t="shared" si="33"/>
        <v>0</v>
      </c>
      <c r="U38">
        <f t="shared" si="34"/>
        <v>6.0046999999999997</v>
      </c>
      <c r="V38">
        <f t="shared" si="35"/>
        <v>1.3000000000000002E-3</v>
      </c>
      <c r="W38">
        <f t="shared" si="36"/>
        <v>0</v>
      </c>
      <c r="X38">
        <f t="shared" si="37"/>
        <v>346.2</v>
      </c>
      <c r="Y38">
        <f t="shared" si="38"/>
        <v>201.67</v>
      </c>
      <c r="AA38">
        <v>16742901</v>
      </c>
      <c r="AB38">
        <f t="shared" si="39"/>
        <v>430.86</v>
      </c>
      <c r="AC38">
        <f>ROUND((ES38),2)</f>
        <v>36.549999999999997</v>
      </c>
      <c r="AD38">
        <f>ROUND((((ET38)-(EU38))+AE38),2)</f>
        <v>0.31</v>
      </c>
      <c r="AE38">
        <f t="shared" ref="AE38:AF40" si="63">ROUND((EU38),2)</f>
        <v>0.14000000000000001</v>
      </c>
      <c r="AF38">
        <f t="shared" si="63"/>
        <v>394</v>
      </c>
      <c r="AG38">
        <f t="shared" si="41"/>
        <v>0</v>
      </c>
      <c r="AH38">
        <f t="shared" ref="AH38:AI40" si="64">(EW38)</f>
        <v>46.19</v>
      </c>
      <c r="AI38">
        <f t="shared" si="64"/>
        <v>0.01</v>
      </c>
      <c r="AJ38">
        <f t="shared" si="43"/>
        <v>0</v>
      </c>
      <c r="AK38">
        <v>430.86</v>
      </c>
      <c r="AL38">
        <v>36.549999999999997</v>
      </c>
      <c r="AM38">
        <v>0.31</v>
      </c>
      <c r="AN38">
        <v>0.14000000000000001</v>
      </c>
      <c r="AO38">
        <v>394</v>
      </c>
      <c r="AP38">
        <v>0</v>
      </c>
      <c r="AQ38">
        <v>46.19</v>
      </c>
      <c r="AR38">
        <v>0.01</v>
      </c>
      <c r="AS38">
        <v>0</v>
      </c>
      <c r="AT38">
        <v>103</v>
      </c>
      <c r="AU38">
        <v>60</v>
      </c>
      <c r="AV38">
        <v>1</v>
      </c>
      <c r="AW38">
        <v>1</v>
      </c>
      <c r="AZ38">
        <v>6.56</v>
      </c>
      <c r="BA38">
        <v>6.56</v>
      </c>
      <c r="BB38">
        <v>6.56</v>
      </c>
      <c r="BC38">
        <v>6.56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67</v>
      </c>
      <c r="BM38">
        <v>65010</v>
      </c>
      <c r="BN38">
        <v>0</v>
      </c>
      <c r="BO38" t="s">
        <v>6</v>
      </c>
      <c r="BP38">
        <v>0</v>
      </c>
      <c r="BQ38">
        <v>6</v>
      </c>
      <c r="BR38">
        <v>0</v>
      </c>
      <c r="BS38">
        <v>6.56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103</v>
      </c>
      <c r="CA38">
        <v>60</v>
      </c>
      <c r="CF38">
        <v>0</v>
      </c>
      <c r="CG38">
        <v>0</v>
      </c>
      <c r="CM38">
        <v>0</v>
      </c>
      <c r="CN38" t="s">
        <v>6</v>
      </c>
      <c r="CO38">
        <v>0</v>
      </c>
      <c r="CP38">
        <f t="shared" si="44"/>
        <v>367.43</v>
      </c>
      <c r="CQ38">
        <f t="shared" si="45"/>
        <v>239.76799999999997</v>
      </c>
      <c r="CR38">
        <f t="shared" si="46"/>
        <v>2.0335999999999999</v>
      </c>
      <c r="CS38">
        <f t="shared" si="47"/>
        <v>0.91839999999999999</v>
      </c>
      <c r="CT38">
        <f t="shared" si="48"/>
        <v>2584.64</v>
      </c>
      <c r="CU38">
        <f t="shared" si="49"/>
        <v>0</v>
      </c>
      <c r="CV38">
        <f t="shared" si="50"/>
        <v>46.19</v>
      </c>
      <c r="CW38">
        <f t="shared" si="51"/>
        <v>0.01</v>
      </c>
      <c r="CX38">
        <f t="shared" si="52"/>
        <v>0</v>
      </c>
      <c r="CY38">
        <f t="shared" si="53"/>
        <v>346.20359999999999</v>
      </c>
      <c r="CZ38">
        <f t="shared" si="54"/>
        <v>201.672</v>
      </c>
      <c r="DC38" t="s">
        <v>6</v>
      </c>
      <c r="DD38" t="s">
        <v>6</v>
      </c>
      <c r="DE38" t="s">
        <v>6</v>
      </c>
      <c r="DF38" t="s">
        <v>6</v>
      </c>
      <c r="DG38" t="s">
        <v>6</v>
      </c>
      <c r="DH38" t="s">
        <v>6</v>
      </c>
      <c r="DI38" t="s">
        <v>6</v>
      </c>
      <c r="DJ38" t="s">
        <v>6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66</v>
      </c>
      <c r="DW38" t="s">
        <v>66</v>
      </c>
      <c r="DX38">
        <v>1</v>
      </c>
      <c r="EE38">
        <v>16510589</v>
      </c>
      <c r="EF38">
        <v>6</v>
      </c>
      <c r="EG38" t="s">
        <v>36</v>
      </c>
      <c r="EH38">
        <v>0</v>
      </c>
      <c r="EI38" t="s">
        <v>6</v>
      </c>
      <c r="EJ38">
        <v>1</v>
      </c>
      <c r="EK38">
        <v>65010</v>
      </c>
      <c r="EL38" t="s">
        <v>68</v>
      </c>
      <c r="EM38" t="s">
        <v>69</v>
      </c>
      <c r="EO38" t="s">
        <v>6</v>
      </c>
      <c r="EQ38">
        <v>131072</v>
      </c>
      <c r="ER38">
        <v>430.86</v>
      </c>
      <c r="ES38">
        <v>36.549999999999997</v>
      </c>
      <c r="ET38">
        <v>0.31</v>
      </c>
      <c r="EU38">
        <v>0.14000000000000001</v>
      </c>
      <c r="EV38">
        <v>394</v>
      </c>
      <c r="EW38">
        <v>46.19</v>
      </c>
      <c r="EX38">
        <v>0.01</v>
      </c>
      <c r="EY38">
        <v>0</v>
      </c>
      <c r="FQ38">
        <v>0</v>
      </c>
      <c r="FR38">
        <f t="shared" si="55"/>
        <v>0</v>
      </c>
      <c r="FS38">
        <v>0</v>
      </c>
      <c r="FX38">
        <v>103</v>
      </c>
      <c r="FY38">
        <v>60</v>
      </c>
      <c r="GA38" t="s">
        <v>6</v>
      </c>
      <c r="GD38">
        <v>0</v>
      </c>
      <c r="GF38">
        <v>1556017287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56"/>
        <v>0</v>
      </c>
      <c r="GM38">
        <f t="shared" si="57"/>
        <v>915.3</v>
      </c>
      <c r="GN38">
        <f t="shared" si="58"/>
        <v>915.3</v>
      </c>
      <c r="GO38">
        <f t="shared" si="59"/>
        <v>0</v>
      </c>
      <c r="GP38">
        <f t="shared" si="60"/>
        <v>0</v>
      </c>
      <c r="GR38">
        <v>0</v>
      </c>
      <c r="GS38">
        <v>3</v>
      </c>
      <c r="GT38">
        <v>0</v>
      </c>
      <c r="GU38" t="s">
        <v>6</v>
      </c>
      <c r="GV38">
        <f t="shared" si="61"/>
        <v>0</v>
      </c>
      <c r="GW38">
        <v>1</v>
      </c>
      <c r="GX38">
        <f t="shared" si="62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16</v>
      </c>
      <c r="E39" t="s">
        <v>70</v>
      </c>
      <c r="F39" t="s">
        <v>71</v>
      </c>
      <c r="G39" t="s">
        <v>72</v>
      </c>
      <c r="H39" t="s">
        <v>73</v>
      </c>
      <c r="I39">
        <f>I38*J39</f>
        <v>13</v>
      </c>
      <c r="J39">
        <v>100</v>
      </c>
      <c r="O39">
        <f t="shared" si="28"/>
        <v>1592.18</v>
      </c>
      <c r="P39">
        <f t="shared" si="29"/>
        <v>1592.18</v>
      </c>
      <c r="Q39">
        <f t="shared" si="30"/>
        <v>0</v>
      </c>
      <c r="R39">
        <f t="shared" si="31"/>
        <v>0</v>
      </c>
      <c r="S39">
        <f t="shared" si="32"/>
        <v>0</v>
      </c>
      <c r="T39">
        <f t="shared" si="33"/>
        <v>0</v>
      </c>
      <c r="U39">
        <f t="shared" si="34"/>
        <v>0</v>
      </c>
      <c r="V39">
        <f t="shared" si="35"/>
        <v>0</v>
      </c>
      <c r="W39">
        <f t="shared" si="36"/>
        <v>0</v>
      </c>
      <c r="X39">
        <f t="shared" si="37"/>
        <v>0</v>
      </c>
      <c r="Y39">
        <f t="shared" si="38"/>
        <v>0</v>
      </c>
      <c r="AA39">
        <v>16742901</v>
      </c>
      <c r="AB39">
        <f t="shared" si="39"/>
        <v>18.670000000000002</v>
      </c>
      <c r="AC39">
        <f>ROUND((ES39),2)</f>
        <v>18.670000000000002</v>
      </c>
      <c r="AD39">
        <f>ROUND((((ET39)-(EU39))+AE39),2)</f>
        <v>0</v>
      </c>
      <c r="AE39">
        <f t="shared" si="63"/>
        <v>0</v>
      </c>
      <c r="AF39">
        <f t="shared" si="63"/>
        <v>0</v>
      </c>
      <c r="AG39">
        <f t="shared" si="41"/>
        <v>0</v>
      </c>
      <c r="AH39">
        <f t="shared" si="64"/>
        <v>0</v>
      </c>
      <c r="AI39">
        <f t="shared" si="64"/>
        <v>0</v>
      </c>
      <c r="AJ39">
        <f t="shared" si="43"/>
        <v>0</v>
      </c>
      <c r="AK39">
        <v>18.670000000000002</v>
      </c>
      <c r="AL39">
        <v>18.670000000000002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103</v>
      </c>
      <c r="AU39">
        <v>60</v>
      </c>
      <c r="AV39">
        <v>1</v>
      </c>
      <c r="AW39">
        <v>1</v>
      </c>
      <c r="AZ39">
        <v>6.56</v>
      </c>
      <c r="BA39">
        <v>1</v>
      </c>
      <c r="BB39">
        <v>1</v>
      </c>
      <c r="BC39">
        <v>6.56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74</v>
      </c>
      <c r="BM39">
        <v>65010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103</v>
      </c>
      <c r="CA39">
        <v>60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44"/>
        <v>1592.18</v>
      </c>
      <c r="CQ39">
        <f t="shared" si="45"/>
        <v>122.4752</v>
      </c>
      <c r="CR39">
        <f t="shared" si="46"/>
        <v>0</v>
      </c>
      <c r="CS39">
        <f t="shared" si="47"/>
        <v>0</v>
      </c>
      <c r="CT39">
        <f t="shared" si="48"/>
        <v>0</v>
      </c>
      <c r="CU39">
        <f t="shared" si="49"/>
        <v>0</v>
      </c>
      <c r="CV39">
        <f t="shared" si="50"/>
        <v>0</v>
      </c>
      <c r="CW39">
        <f t="shared" si="51"/>
        <v>0</v>
      </c>
      <c r="CX39">
        <f t="shared" si="52"/>
        <v>0</v>
      </c>
      <c r="CY39">
        <f t="shared" si="53"/>
        <v>0</v>
      </c>
      <c r="CZ39">
        <f t="shared" si="54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73</v>
      </c>
      <c r="DW39" t="s">
        <v>73</v>
      </c>
      <c r="DX39">
        <v>1</v>
      </c>
      <c r="EE39">
        <v>16510589</v>
      </c>
      <c r="EF39">
        <v>6</v>
      </c>
      <c r="EG39" t="s">
        <v>36</v>
      </c>
      <c r="EH39">
        <v>0</v>
      </c>
      <c r="EI39" t="s">
        <v>6</v>
      </c>
      <c r="EJ39">
        <v>1</v>
      </c>
      <c r="EK39">
        <v>65010</v>
      </c>
      <c r="EL39" t="s">
        <v>68</v>
      </c>
      <c r="EM39" t="s">
        <v>69</v>
      </c>
      <c r="EO39" t="s">
        <v>6</v>
      </c>
      <c r="EQ39">
        <v>0</v>
      </c>
      <c r="ER39">
        <v>18.670000000000002</v>
      </c>
      <c r="ES39">
        <v>18.670000000000002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55"/>
        <v>0</v>
      </c>
      <c r="FS39">
        <v>0</v>
      </c>
      <c r="FX39">
        <v>103</v>
      </c>
      <c r="FY39">
        <v>60</v>
      </c>
      <c r="GA39" t="s">
        <v>6</v>
      </c>
      <c r="GD39">
        <v>0</v>
      </c>
      <c r="GF39">
        <v>1245683594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56"/>
        <v>0</v>
      </c>
      <c r="GM39">
        <f t="shared" si="57"/>
        <v>1592.18</v>
      </c>
      <c r="GN39">
        <f t="shared" si="58"/>
        <v>1592.18</v>
      </c>
      <c r="GO39">
        <f t="shared" si="59"/>
        <v>0</v>
      </c>
      <c r="GP39">
        <f t="shared" si="60"/>
        <v>0</v>
      </c>
      <c r="GR39">
        <v>0</v>
      </c>
      <c r="GS39">
        <v>3</v>
      </c>
      <c r="GT39">
        <v>0</v>
      </c>
      <c r="GU39" t="s">
        <v>6</v>
      </c>
      <c r="GV39">
        <f t="shared" si="61"/>
        <v>0</v>
      </c>
      <c r="GW39">
        <v>1</v>
      </c>
      <c r="GX39">
        <f t="shared" si="62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17</v>
      </c>
      <c r="E40" t="s">
        <v>75</v>
      </c>
      <c r="F40" t="s">
        <v>76</v>
      </c>
      <c r="G40" t="s">
        <v>77</v>
      </c>
      <c r="H40" t="s">
        <v>73</v>
      </c>
      <c r="I40">
        <f>I38*J40</f>
        <v>13</v>
      </c>
      <c r="J40">
        <v>100</v>
      </c>
      <c r="O40">
        <f t="shared" si="28"/>
        <v>0</v>
      </c>
      <c r="P40">
        <f t="shared" si="29"/>
        <v>0</v>
      </c>
      <c r="Q40">
        <f t="shared" si="30"/>
        <v>0</v>
      </c>
      <c r="R40">
        <f t="shared" si="31"/>
        <v>0</v>
      </c>
      <c r="S40">
        <f t="shared" si="32"/>
        <v>0</v>
      </c>
      <c r="T40">
        <f t="shared" si="33"/>
        <v>0</v>
      </c>
      <c r="U40">
        <f t="shared" si="34"/>
        <v>0</v>
      </c>
      <c r="V40">
        <f t="shared" si="35"/>
        <v>0</v>
      </c>
      <c r="W40">
        <f t="shared" si="36"/>
        <v>0</v>
      </c>
      <c r="X40">
        <f t="shared" si="37"/>
        <v>0</v>
      </c>
      <c r="Y40">
        <f t="shared" si="38"/>
        <v>0</v>
      </c>
      <c r="AA40">
        <v>16742901</v>
      </c>
      <c r="AB40">
        <f t="shared" si="39"/>
        <v>0</v>
      </c>
      <c r="AC40">
        <f>ROUND((ES40),2)</f>
        <v>0</v>
      </c>
      <c r="AD40">
        <f>ROUND((((ET40)-(EU40))+AE40),2)</f>
        <v>0</v>
      </c>
      <c r="AE40">
        <f t="shared" si="63"/>
        <v>0</v>
      </c>
      <c r="AF40">
        <f t="shared" si="63"/>
        <v>0</v>
      </c>
      <c r="AG40">
        <f t="shared" si="41"/>
        <v>0</v>
      </c>
      <c r="AH40">
        <f t="shared" si="64"/>
        <v>0</v>
      </c>
      <c r="AI40">
        <f t="shared" si="64"/>
        <v>0</v>
      </c>
      <c r="AJ40">
        <f t="shared" si="43"/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103</v>
      </c>
      <c r="AU40">
        <v>60</v>
      </c>
      <c r="AV40">
        <v>1</v>
      </c>
      <c r="AW40">
        <v>1</v>
      </c>
      <c r="AZ40">
        <v>6.56</v>
      </c>
      <c r="BA40">
        <v>1</v>
      </c>
      <c r="BB40">
        <v>1</v>
      </c>
      <c r="BC40">
        <v>6.56</v>
      </c>
      <c r="BD40" t="s">
        <v>6</v>
      </c>
      <c r="BE40" t="s">
        <v>6</v>
      </c>
      <c r="BF40" t="s">
        <v>6</v>
      </c>
      <c r="BG40" t="s">
        <v>6</v>
      </c>
      <c r="BH40">
        <v>3</v>
      </c>
      <c r="BI40">
        <v>1</v>
      </c>
      <c r="BJ40" t="s">
        <v>6</v>
      </c>
      <c r="BM40">
        <v>65010</v>
      </c>
      <c r="BN40">
        <v>0</v>
      </c>
      <c r="BO40" t="s">
        <v>6</v>
      </c>
      <c r="BP40">
        <v>0</v>
      </c>
      <c r="BQ40">
        <v>6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103</v>
      </c>
      <c r="CA40">
        <v>60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44"/>
        <v>0</v>
      </c>
      <c r="CQ40">
        <f t="shared" si="45"/>
        <v>0</v>
      </c>
      <c r="CR40">
        <f t="shared" si="46"/>
        <v>0</v>
      </c>
      <c r="CS40">
        <f t="shared" si="47"/>
        <v>0</v>
      </c>
      <c r="CT40">
        <f t="shared" si="48"/>
        <v>0</v>
      </c>
      <c r="CU40">
        <f t="shared" si="49"/>
        <v>0</v>
      </c>
      <c r="CV40">
        <f t="shared" si="50"/>
        <v>0</v>
      </c>
      <c r="CW40">
        <f t="shared" si="51"/>
        <v>0</v>
      </c>
      <c r="CX40">
        <f t="shared" si="52"/>
        <v>0</v>
      </c>
      <c r="CY40">
        <f t="shared" si="53"/>
        <v>0</v>
      </c>
      <c r="CZ40">
        <f t="shared" si="54"/>
        <v>0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73</v>
      </c>
      <c r="DW40" t="s">
        <v>73</v>
      </c>
      <c r="DX40">
        <v>1</v>
      </c>
      <c r="EE40">
        <v>16510589</v>
      </c>
      <c r="EF40">
        <v>6</v>
      </c>
      <c r="EG40" t="s">
        <v>36</v>
      </c>
      <c r="EH40">
        <v>0</v>
      </c>
      <c r="EI40" t="s">
        <v>6</v>
      </c>
      <c r="EJ40">
        <v>1</v>
      </c>
      <c r="EK40">
        <v>65010</v>
      </c>
      <c r="EL40" t="s">
        <v>68</v>
      </c>
      <c r="EM40" t="s">
        <v>69</v>
      </c>
      <c r="EO40" t="s">
        <v>6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55"/>
        <v>0</v>
      </c>
      <c r="FS40">
        <v>0</v>
      </c>
      <c r="FX40">
        <v>103</v>
      </c>
      <c r="FY40">
        <v>60</v>
      </c>
      <c r="GA40" t="s">
        <v>6</v>
      </c>
      <c r="GD40">
        <v>0</v>
      </c>
      <c r="GF40">
        <v>-698526538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56"/>
        <v>0</v>
      </c>
      <c r="GM40">
        <f t="shared" si="57"/>
        <v>0</v>
      </c>
      <c r="GN40">
        <f t="shared" si="58"/>
        <v>0</v>
      </c>
      <c r="GO40">
        <f t="shared" si="59"/>
        <v>0</v>
      </c>
      <c r="GP40">
        <f t="shared" si="60"/>
        <v>0</v>
      </c>
      <c r="GR40">
        <v>0</v>
      </c>
      <c r="GS40">
        <v>3</v>
      </c>
      <c r="GT40">
        <v>0</v>
      </c>
      <c r="GU40" t="s">
        <v>6</v>
      </c>
      <c r="GV40">
        <f t="shared" si="61"/>
        <v>0</v>
      </c>
      <c r="GW40">
        <v>1</v>
      </c>
      <c r="GX40">
        <f t="shared" si="62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ROW(SmtRes!A26)</f>
        <v>26</v>
      </c>
      <c r="D41">
        <f>ROW(EtalonRes!A28)</f>
        <v>28</v>
      </c>
      <c r="E41" t="s">
        <v>78</v>
      </c>
      <c r="F41" t="s">
        <v>79</v>
      </c>
      <c r="G41" t="s">
        <v>80</v>
      </c>
      <c r="H41" t="s">
        <v>34</v>
      </c>
      <c r="I41">
        <f>ROUND(32/100,9)</f>
        <v>0.32</v>
      </c>
      <c r="J41">
        <v>0</v>
      </c>
      <c r="O41">
        <f t="shared" si="28"/>
        <v>150.87</v>
      </c>
      <c r="P41">
        <f t="shared" si="29"/>
        <v>0</v>
      </c>
      <c r="Q41">
        <f t="shared" si="30"/>
        <v>38.39</v>
      </c>
      <c r="R41">
        <f t="shared" si="31"/>
        <v>3</v>
      </c>
      <c r="S41">
        <f t="shared" si="32"/>
        <v>112.48</v>
      </c>
      <c r="T41">
        <f t="shared" si="33"/>
        <v>0</v>
      </c>
      <c r="U41">
        <f t="shared" si="34"/>
        <v>1.8240000000000001</v>
      </c>
      <c r="V41">
        <f t="shared" si="35"/>
        <v>3.6479999999999999E-2</v>
      </c>
      <c r="W41">
        <f t="shared" si="36"/>
        <v>0</v>
      </c>
      <c r="X41">
        <f t="shared" si="37"/>
        <v>109.71</v>
      </c>
      <c r="Y41">
        <f t="shared" si="38"/>
        <v>75.06</v>
      </c>
      <c r="AA41">
        <v>16742901</v>
      </c>
      <c r="AB41">
        <f t="shared" si="39"/>
        <v>71.87</v>
      </c>
      <c r="AC41">
        <f>ROUND(((ES41*0)),2)</f>
        <v>0</v>
      </c>
      <c r="AD41">
        <f>ROUND(((((ET41*0.3))-((EU41*0.3)))+AE41),2)</f>
        <v>18.29</v>
      </c>
      <c r="AE41">
        <f>ROUND(((EU41*0.3)),2)</f>
        <v>1.43</v>
      </c>
      <c r="AF41">
        <f>ROUND(((EV41*0.3)),2)</f>
        <v>53.58</v>
      </c>
      <c r="AG41">
        <f t="shared" si="41"/>
        <v>0</v>
      </c>
      <c r="AH41">
        <f>((EW41*0.3))</f>
        <v>5.7</v>
      </c>
      <c r="AI41">
        <f>((EX41*0.3))</f>
        <v>0.11399999999999999</v>
      </c>
      <c r="AJ41">
        <f t="shared" si="43"/>
        <v>0</v>
      </c>
      <c r="AK41">
        <v>748.97</v>
      </c>
      <c r="AL41">
        <v>509.39</v>
      </c>
      <c r="AM41">
        <v>60.98</v>
      </c>
      <c r="AN41">
        <v>4.7699999999999996</v>
      </c>
      <c r="AO41">
        <v>178.6</v>
      </c>
      <c r="AP41">
        <v>0</v>
      </c>
      <c r="AQ41">
        <v>19</v>
      </c>
      <c r="AR41">
        <v>0.38</v>
      </c>
      <c r="AS41">
        <v>0</v>
      </c>
      <c r="AT41">
        <v>95</v>
      </c>
      <c r="AU41">
        <v>65</v>
      </c>
      <c r="AV41">
        <v>1</v>
      </c>
      <c r="AW41">
        <v>1</v>
      </c>
      <c r="AZ41">
        <v>6.56</v>
      </c>
      <c r="BA41">
        <v>6.56</v>
      </c>
      <c r="BB41">
        <v>6.56</v>
      </c>
      <c r="BC41">
        <v>6.56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2</v>
      </c>
      <c r="BJ41" t="s">
        <v>81</v>
      </c>
      <c r="BM41">
        <v>108001</v>
      </c>
      <c r="BN41">
        <v>0</v>
      </c>
      <c r="BO41" t="s">
        <v>6</v>
      </c>
      <c r="BP41">
        <v>0</v>
      </c>
      <c r="BQ41">
        <v>3</v>
      </c>
      <c r="BR41">
        <v>0</v>
      </c>
      <c r="BS41">
        <v>6.56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95</v>
      </c>
      <c r="CA41">
        <v>65</v>
      </c>
      <c r="CF41">
        <v>0</v>
      </c>
      <c r="CG41">
        <v>0</v>
      </c>
      <c r="CM41">
        <v>0</v>
      </c>
      <c r="CN41" t="s">
        <v>1901</v>
      </c>
      <c r="CO41">
        <v>0</v>
      </c>
      <c r="CP41">
        <f t="shared" si="44"/>
        <v>150.87</v>
      </c>
      <c r="CQ41">
        <f t="shared" si="45"/>
        <v>0</v>
      </c>
      <c r="CR41">
        <f t="shared" si="46"/>
        <v>119.98239999999998</v>
      </c>
      <c r="CS41">
        <f t="shared" si="47"/>
        <v>9.3807999999999989</v>
      </c>
      <c r="CT41">
        <f t="shared" si="48"/>
        <v>351.48479999999995</v>
      </c>
      <c r="CU41">
        <f t="shared" si="49"/>
        <v>0</v>
      </c>
      <c r="CV41">
        <f t="shared" si="50"/>
        <v>5.7</v>
      </c>
      <c r="CW41">
        <f t="shared" si="51"/>
        <v>0.11399999999999999</v>
      </c>
      <c r="CX41">
        <f t="shared" si="52"/>
        <v>0</v>
      </c>
      <c r="CY41">
        <f t="shared" si="53"/>
        <v>109.706</v>
      </c>
      <c r="CZ41">
        <f t="shared" si="54"/>
        <v>75.061999999999998</v>
      </c>
      <c r="DC41" t="s">
        <v>6</v>
      </c>
      <c r="DD41" t="s">
        <v>48</v>
      </c>
      <c r="DE41" t="s">
        <v>82</v>
      </c>
      <c r="DF41" t="s">
        <v>82</v>
      </c>
      <c r="DG41" t="s">
        <v>82</v>
      </c>
      <c r="DH41" t="s">
        <v>6</v>
      </c>
      <c r="DI41" t="s">
        <v>82</v>
      </c>
      <c r="DJ41" t="s">
        <v>82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34</v>
      </c>
      <c r="DW41" t="s">
        <v>34</v>
      </c>
      <c r="DX41">
        <v>100</v>
      </c>
      <c r="EE41">
        <v>16510370</v>
      </c>
      <c r="EF41">
        <v>3</v>
      </c>
      <c r="EG41" t="s">
        <v>83</v>
      </c>
      <c r="EH41">
        <v>0</v>
      </c>
      <c r="EI41" t="s">
        <v>6</v>
      </c>
      <c r="EJ41">
        <v>2</v>
      </c>
      <c r="EK41">
        <v>108001</v>
      </c>
      <c r="EL41" t="s">
        <v>84</v>
      </c>
      <c r="EM41" t="s">
        <v>85</v>
      </c>
      <c r="EO41" t="s">
        <v>86</v>
      </c>
      <c r="EQ41">
        <v>131072</v>
      </c>
      <c r="ER41">
        <v>748.97</v>
      </c>
      <c r="ES41">
        <v>509.39</v>
      </c>
      <c r="ET41">
        <v>60.98</v>
      </c>
      <c r="EU41">
        <v>4.7699999999999996</v>
      </c>
      <c r="EV41">
        <v>178.6</v>
      </c>
      <c r="EW41">
        <v>19</v>
      </c>
      <c r="EX41">
        <v>0.38</v>
      </c>
      <c r="EY41">
        <v>0</v>
      </c>
      <c r="FQ41">
        <v>0</v>
      </c>
      <c r="FR41">
        <f t="shared" si="55"/>
        <v>0</v>
      </c>
      <c r="FS41">
        <v>0</v>
      </c>
      <c r="FX41">
        <v>95</v>
      </c>
      <c r="FY41">
        <v>65</v>
      </c>
      <c r="GA41" t="s">
        <v>6</v>
      </c>
      <c r="GD41">
        <v>0</v>
      </c>
      <c r="GF41">
        <v>775133025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56"/>
        <v>0</v>
      </c>
      <c r="GM41">
        <f t="shared" si="57"/>
        <v>335.64</v>
      </c>
      <c r="GN41">
        <f t="shared" si="58"/>
        <v>0</v>
      </c>
      <c r="GO41">
        <f t="shared" si="59"/>
        <v>335.64</v>
      </c>
      <c r="GP41">
        <f t="shared" si="60"/>
        <v>0</v>
      </c>
      <c r="GR41">
        <v>0</v>
      </c>
      <c r="GS41">
        <v>3</v>
      </c>
      <c r="GT41">
        <v>0</v>
      </c>
      <c r="GU41" t="s">
        <v>6</v>
      </c>
      <c r="GV41">
        <f t="shared" si="61"/>
        <v>0</v>
      </c>
      <c r="GW41">
        <v>1</v>
      </c>
      <c r="GX41">
        <f t="shared" si="62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ROW(SmtRes!A27)</f>
        <v>27</v>
      </c>
      <c r="D42">
        <f>ROW(EtalonRes!A30)</f>
        <v>30</v>
      </c>
      <c r="E42" t="s">
        <v>87</v>
      </c>
      <c r="F42" t="s">
        <v>88</v>
      </c>
      <c r="G42" t="s">
        <v>89</v>
      </c>
      <c r="H42" t="s">
        <v>34</v>
      </c>
      <c r="I42">
        <f>ROUND(110.3/100,9)</f>
        <v>1.103</v>
      </c>
      <c r="J42">
        <v>0</v>
      </c>
      <c r="O42">
        <f t="shared" si="28"/>
        <v>212.8</v>
      </c>
      <c r="P42">
        <f t="shared" si="29"/>
        <v>0</v>
      </c>
      <c r="Q42">
        <f t="shared" si="30"/>
        <v>0</v>
      </c>
      <c r="R42">
        <f t="shared" si="31"/>
        <v>0</v>
      </c>
      <c r="S42">
        <f t="shared" si="32"/>
        <v>212.8</v>
      </c>
      <c r="T42">
        <f t="shared" si="33"/>
        <v>0</v>
      </c>
      <c r="U42">
        <f t="shared" si="34"/>
        <v>4.1583100000000002</v>
      </c>
      <c r="V42">
        <f t="shared" si="35"/>
        <v>0</v>
      </c>
      <c r="W42">
        <f t="shared" si="36"/>
        <v>0</v>
      </c>
      <c r="X42">
        <f t="shared" si="37"/>
        <v>170.24</v>
      </c>
      <c r="Y42">
        <f t="shared" si="38"/>
        <v>144.69999999999999</v>
      </c>
      <c r="AA42">
        <v>16742901</v>
      </c>
      <c r="AB42">
        <f t="shared" si="39"/>
        <v>29.41</v>
      </c>
      <c r="AC42">
        <f t="shared" ref="AC42:AC47" si="65">ROUND((ES42),2)</f>
        <v>0</v>
      </c>
      <c r="AD42">
        <f t="shared" ref="AD42:AD47" si="66">ROUND((((ET42)-(EU42))+AE42),2)</f>
        <v>0</v>
      </c>
      <c r="AE42">
        <f t="shared" ref="AE42:AF47" si="67">ROUND((EU42),2)</f>
        <v>0</v>
      </c>
      <c r="AF42">
        <f t="shared" si="67"/>
        <v>29.41</v>
      </c>
      <c r="AG42">
        <f t="shared" si="41"/>
        <v>0</v>
      </c>
      <c r="AH42">
        <f t="shared" ref="AH42:AI47" si="68">(EW42)</f>
        <v>3.77</v>
      </c>
      <c r="AI42">
        <f t="shared" si="68"/>
        <v>0</v>
      </c>
      <c r="AJ42">
        <f t="shared" si="43"/>
        <v>0</v>
      </c>
      <c r="AK42">
        <v>29.41</v>
      </c>
      <c r="AL42">
        <v>0</v>
      </c>
      <c r="AM42">
        <v>0</v>
      </c>
      <c r="AN42">
        <v>0</v>
      </c>
      <c r="AO42">
        <v>29.41</v>
      </c>
      <c r="AP42">
        <v>0</v>
      </c>
      <c r="AQ42">
        <v>3.77</v>
      </c>
      <c r="AR42">
        <v>0</v>
      </c>
      <c r="AS42">
        <v>0</v>
      </c>
      <c r="AT42">
        <v>80</v>
      </c>
      <c r="AU42">
        <v>68</v>
      </c>
      <c r="AV42">
        <v>1</v>
      </c>
      <c r="AW42">
        <v>1</v>
      </c>
      <c r="AZ42">
        <v>6.56</v>
      </c>
      <c r="BA42">
        <v>6.56</v>
      </c>
      <c r="BB42">
        <v>6.56</v>
      </c>
      <c r="BC42">
        <v>6.56</v>
      </c>
      <c r="BD42" t="s">
        <v>6</v>
      </c>
      <c r="BE42" t="s">
        <v>6</v>
      </c>
      <c r="BF42" t="s">
        <v>6</v>
      </c>
      <c r="BG42" t="s">
        <v>6</v>
      </c>
      <c r="BH42">
        <v>0</v>
      </c>
      <c r="BI42">
        <v>1</v>
      </c>
      <c r="BJ42" t="s">
        <v>90</v>
      </c>
      <c r="BM42">
        <v>57001</v>
      </c>
      <c r="BN42">
        <v>0</v>
      </c>
      <c r="BO42" t="s">
        <v>6</v>
      </c>
      <c r="BP42">
        <v>0</v>
      </c>
      <c r="BQ42">
        <v>6</v>
      </c>
      <c r="BR42">
        <v>0</v>
      </c>
      <c r="BS42">
        <v>6.56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80</v>
      </c>
      <c r="CA42">
        <v>68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44"/>
        <v>212.8</v>
      </c>
      <c r="CQ42">
        <f t="shared" si="45"/>
        <v>0</v>
      </c>
      <c r="CR42">
        <f t="shared" si="46"/>
        <v>0</v>
      </c>
      <c r="CS42">
        <f t="shared" si="47"/>
        <v>0</v>
      </c>
      <c r="CT42">
        <f t="shared" si="48"/>
        <v>192.92959999999999</v>
      </c>
      <c r="CU42">
        <f t="shared" si="49"/>
        <v>0</v>
      </c>
      <c r="CV42">
        <f t="shared" si="50"/>
        <v>3.77</v>
      </c>
      <c r="CW42">
        <f t="shared" si="51"/>
        <v>0</v>
      </c>
      <c r="CX42">
        <f t="shared" si="52"/>
        <v>0</v>
      </c>
      <c r="CY42">
        <f t="shared" si="53"/>
        <v>170.24</v>
      </c>
      <c r="CZ42">
        <f t="shared" si="54"/>
        <v>144.70400000000001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1003</v>
      </c>
      <c r="DV42" t="s">
        <v>34</v>
      </c>
      <c r="DW42" t="s">
        <v>34</v>
      </c>
      <c r="DX42">
        <v>100</v>
      </c>
      <c r="EE42">
        <v>16510566</v>
      </c>
      <c r="EF42">
        <v>6</v>
      </c>
      <c r="EG42" t="s">
        <v>36</v>
      </c>
      <c r="EH42">
        <v>0</v>
      </c>
      <c r="EI42" t="s">
        <v>6</v>
      </c>
      <c r="EJ42">
        <v>1</v>
      </c>
      <c r="EK42">
        <v>57001</v>
      </c>
      <c r="EL42" t="s">
        <v>91</v>
      </c>
      <c r="EM42" t="s">
        <v>92</v>
      </c>
      <c r="EO42" t="s">
        <v>6</v>
      </c>
      <c r="EQ42">
        <v>131072</v>
      </c>
      <c r="ER42">
        <v>29.41</v>
      </c>
      <c r="ES42">
        <v>0</v>
      </c>
      <c r="ET42">
        <v>0</v>
      </c>
      <c r="EU42">
        <v>0</v>
      </c>
      <c r="EV42">
        <v>29.41</v>
      </c>
      <c r="EW42">
        <v>3.77</v>
      </c>
      <c r="EX42">
        <v>0</v>
      </c>
      <c r="EY42">
        <v>0</v>
      </c>
      <c r="FQ42">
        <v>0</v>
      </c>
      <c r="FR42">
        <f t="shared" si="55"/>
        <v>0</v>
      </c>
      <c r="FS42">
        <v>0</v>
      </c>
      <c r="FX42">
        <v>80</v>
      </c>
      <c r="FY42">
        <v>68</v>
      </c>
      <c r="GA42" t="s">
        <v>6</v>
      </c>
      <c r="GD42">
        <v>0</v>
      </c>
      <c r="GF42">
        <v>-1389370821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56"/>
        <v>0</v>
      </c>
      <c r="GM42">
        <f t="shared" si="57"/>
        <v>527.74</v>
      </c>
      <c r="GN42">
        <f t="shared" si="58"/>
        <v>527.74</v>
      </c>
      <c r="GO42">
        <f t="shared" si="59"/>
        <v>0</v>
      </c>
      <c r="GP42">
        <f t="shared" si="60"/>
        <v>0</v>
      </c>
      <c r="GR42">
        <v>0</v>
      </c>
      <c r="GS42">
        <v>3</v>
      </c>
      <c r="GT42">
        <v>0</v>
      </c>
      <c r="GU42" t="s">
        <v>6</v>
      </c>
      <c r="GV42">
        <f t="shared" si="61"/>
        <v>0</v>
      </c>
      <c r="GW42">
        <v>1</v>
      </c>
      <c r="GX42">
        <f t="shared" si="62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ROW(SmtRes!A31)</f>
        <v>31</v>
      </c>
      <c r="D43">
        <f>ROW(EtalonRes!A34)</f>
        <v>34</v>
      </c>
      <c r="E43" t="s">
        <v>93</v>
      </c>
      <c r="F43" t="s">
        <v>94</v>
      </c>
      <c r="G43" t="s">
        <v>95</v>
      </c>
      <c r="H43" t="s">
        <v>20</v>
      </c>
      <c r="I43">
        <f>ROUND(200.8/100,9)</f>
        <v>2.008</v>
      </c>
      <c r="J43">
        <v>0</v>
      </c>
      <c r="O43">
        <f t="shared" si="28"/>
        <v>1223.72</v>
      </c>
      <c r="P43">
        <f t="shared" si="29"/>
        <v>0</v>
      </c>
      <c r="Q43">
        <f t="shared" si="30"/>
        <v>53.48</v>
      </c>
      <c r="R43">
        <f t="shared" si="31"/>
        <v>23.18</v>
      </c>
      <c r="S43">
        <f t="shared" si="32"/>
        <v>1170.24</v>
      </c>
      <c r="T43">
        <f t="shared" si="33"/>
        <v>0</v>
      </c>
      <c r="U43">
        <f t="shared" si="34"/>
        <v>22.871120000000001</v>
      </c>
      <c r="V43">
        <f t="shared" si="35"/>
        <v>0.26103999999999999</v>
      </c>
      <c r="W43">
        <f t="shared" si="36"/>
        <v>0</v>
      </c>
      <c r="X43">
        <f t="shared" si="37"/>
        <v>954.74</v>
      </c>
      <c r="Y43">
        <f t="shared" si="38"/>
        <v>811.53</v>
      </c>
      <c r="AA43">
        <v>16742901</v>
      </c>
      <c r="AB43">
        <f t="shared" si="39"/>
        <v>92.9</v>
      </c>
      <c r="AC43">
        <f t="shared" si="65"/>
        <v>0</v>
      </c>
      <c r="AD43">
        <f t="shared" si="66"/>
        <v>4.0599999999999996</v>
      </c>
      <c r="AE43">
        <f t="shared" si="67"/>
        <v>1.76</v>
      </c>
      <c r="AF43">
        <f t="shared" si="67"/>
        <v>88.84</v>
      </c>
      <c r="AG43">
        <f t="shared" si="41"/>
        <v>0</v>
      </c>
      <c r="AH43">
        <f t="shared" si="68"/>
        <v>11.39</v>
      </c>
      <c r="AI43">
        <f t="shared" si="68"/>
        <v>0.13</v>
      </c>
      <c r="AJ43">
        <f t="shared" si="43"/>
        <v>0</v>
      </c>
      <c r="AK43">
        <v>92.9</v>
      </c>
      <c r="AL43">
        <v>0</v>
      </c>
      <c r="AM43">
        <v>4.0599999999999996</v>
      </c>
      <c r="AN43">
        <v>1.76</v>
      </c>
      <c r="AO43">
        <v>88.84</v>
      </c>
      <c r="AP43">
        <v>0</v>
      </c>
      <c r="AQ43">
        <v>11.39</v>
      </c>
      <c r="AR43">
        <v>0.13</v>
      </c>
      <c r="AS43">
        <v>0</v>
      </c>
      <c r="AT43">
        <v>80</v>
      </c>
      <c r="AU43">
        <v>68</v>
      </c>
      <c r="AV43">
        <v>1</v>
      </c>
      <c r="AW43">
        <v>1</v>
      </c>
      <c r="AZ43">
        <v>6.56</v>
      </c>
      <c r="BA43">
        <v>6.56</v>
      </c>
      <c r="BB43">
        <v>6.56</v>
      </c>
      <c r="BC43">
        <v>6.56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96</v>
      </c>
      <c r="BM43">
        <v>57001</v>
      </c>
      <c r="BN43">
        <v>0</v>
      </c>
      <c r="BO43" t="s">
        <v>6</v>
      </c>
      <c r="BP43">
        <v>0</v>
      </c>
      <c r="BQ43">
        <v>6</v>
      </c>
      <c r="BR43">
        <v>0</v>
      </c>
      <c r="BS43">
        <v>6.56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80</v>
      </c>
      <c r="CA43">
        <v>68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44"/>
        <v>1223.72</v>
      </c>
      <c r="CQ43">
        <f t="shared" si="45"/>
        <v>0</v>
      </c>
      <c r="CR43">
        <f t="shared" si="46"/>
        <v>26.633599999999994</v>
      </c>
      <c r="CS43">
        <f t="shared" si="47"/>
        <v>11.545599999999999</v>
      </c>
      <c r="CT43">
        <f t="shared" si="48"/>
        <v>582.79039999999998</v>
      </c>
      <c r="CU43">
        <f t="shared" si="49"/>
        <v>0</v>
      </c>
      <c r="CV43">
        <f t="shared" si="50"/>
        <v>11.39</v>
      </c>
      <c r="CW43">
        <f t="shared" si="51"/>
        <v>0.13</v>
      </c>
      <c r="CX43">
        <f t="shared" si="52"/>
        <v>0</v>
      </c>
      <c r="CY43">
        <f t="shared" si="53"/>
        <v>954.7360000000001</v>
      </c>
      <c r="CZ43">
        <f t="shared" si="54"/>
        <v>811.52559999999994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20</v>
      </c>
      <c r="DW43" t="s">
        <v>20</v>
      </c>
      <c r="DX43">
        <v>100</v>
      </c>
      <c r="EE43">
        <v>16510566</v>
      </c>
      <c r="EF43">
        <v>6</v>
      </c>
      <c r="EG43" t="s">
        <v>36</v>
      </c>
      <c r="EH43">
        <v>0</v>
      </c>
      <c r="EI43" t="s">
        <v>6</v>
      </c>
      <c r="EJ43">
        <v>1</v>
      </c>
      <c r="EK43">
        <v>57001</v>
      </c>
      <c r="EL43" t="s">
        <v>91</v>
      </c>
      <c r="EM43" t="s">
        <v>92</v>
      </c>
      <c r="EO43" t="s">
        <v>6</v>
      </c>
      <c r="EQ43">
        <v>131072</v>
      </c>
      <c r="ER43">
        <v>92.9</v>
      </c>
      <c r="ES43">
        <v>0</v>
      </c>
      <c r="ET43">
        <v>4.0599999999999996</v>
      </c>
      <c r="EU43">
        <v>1.76</v>
      </c>
      <c r="EV43">
        <v>88.84</v>
      </c>
      <c r="EW43">
        <v>11.39</v>
      </c>
      <c r="EX43">
        <v>0.13</v>
      </c>
      <c r="EY43">
        <v>0</v>
      </c>
      <c r="FQ43">
        <v>0</v>
      </c>
      <c r="FR43">
        <f t="shared" si="55"/>
        <v>0</v>
      </c>
      <c r="FS43">
        <v>0</v>
      </c>
      <c r="FX43">
        <v>80</v>
      </c>
      <c r="FY43">
        <v>68</v>
      </c>
      <c r="GA43" t="s">
        <v>6</v>
      </c>
      <c r="GD43">
        <v>0</v>
      </c>
      <c r="GF43">
        <v>537707280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56"/>
        <v>0</v>
      </c>
      <c r="GM43">
        <f t="shared" si="57"/>
        <v>2989.99</v>
      </c>
      <c r="GN43">
        <f t="shared" si="58"/>
        <v>2989.99</v>
      </c>
      <c r="GO43">
        <f t="shared" si="59"/>
        <v>0</v>
      </c>
      <c r="GP43">
        <f t="shared" si="60"/>
        <v>0</v>
      </c>
      <c r="GR43">
        <v>0</v>
      </c>
      <c r="GS43">
        <v>3</v>
      </c>
      <c r="GT43">
        <v>0</v>
      </c>
      <c r="GU43" t="s">
        <v>6</v>
      </c>
      <c r="GV43">
        <f t="shared" si="61"/>
        <v>0</v>
      </c>
      <c r="GW43">
        <v>1</v>
      </c>
      <c r="GX43">
        <f t="shared" si="62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31</v>
      </c>
      <c r="E44" t="s">
        <v>97</v>
      </c>
      <c r="F44" t="s">
        <v>98</v>
      </c>
      <c r="G44" t="s">
        <v>99</v>
      </c>
      <c r="H44" t="s">
        <v>100</v>
      </c>
      <c r="I44">
        <f>I43*J44</f>
        <v>0.94376000000000004</v>
      </c>
      <c r="J44">
        <v>0.47000000000000003</v>
      </c>
      <c r="O44">
        <f t="shared" si="28"/>
        <v>0</v>
      </c>
      <c r="P44">
        <f t="shared" si="29"/>
        <v>0</v>
      </c>
      <c r="Q44">
        <f t="shared" si="30"/>
        <v>0</v>
      </c>
      <c r="R44">
        <f t="shared" si="31"/>
        <v>0</v>
      </c>
      <c r="S44">
        <f t="shared" si="32"/>
        <v>0</v>
      </c>
      <c r="T44">
        <f t="shared" si="33"/>
        <v>0</v>
      </c>
      <c r="U44">
        <f t="shared" si="34"/>
        <v>0</v>
      </c>
      <c r="V44">
        <f t="shared" si="35"/>
        <v>0</v>
      </c>
      <c r="W44">
        <f t="shared" si="36"/>
        <v>0</v>
      </c>
      <c r="X44">
        <f t="shared" si="37"/>
        <v>0</v>
      </c>
      <c r="Y44">
        <f t="shared" si="38"/>
        <v>0</v>
      </c>
      <c r="AA44">
        <v>16742901</v>
      </c>
      <c r="AB44">
        <f t="shared" si="39"/>
        <v>0</v>
      </c>
      <c r="AC44">
        <f t="shared" si="65"/>
        <v>0</v>
      </c>
      <c r="AD44">
        <f t="shared" si="66"/>
        <v>0</v>
      </c>
      <c r="AE44">
        <f t="shared" si="67"/>
        <v>0</v>
      </c>
      <c r="AF44">
        <f t="shared" si="67"/>
        <v>0</v>
      </c>
      <c r="AG44">
        <f t="shared" si="41"/>
        <v>0</v>
      </c>
      <c r="AH44">
        <f t="shared" si="68"/>
        <v>0</v>
      </c>
      <c r="AI44">
        <f t="shared" si="68"/>
        <v>0</v>
      </c>
      <c r="AJ44">
        <f t="shared" si="43"/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</v>
      </c>
      <c r="AU44">
        <v>68</v>
      </c>
      <c r="AV44">
        <v>1</v>
      </c>
      <c r="AW44">
        <v>1</v>
      </c>
      <c r="AZ44">
        <v>6.56</v>
      </c>
      <c r="BA44">
        <v>1</v>
      </c>
      <c r="BB44">
        <v>1</v>
      </c>
      <c r="BC44">
        <v>6.56</v>
      </c>
      <c r="BD44" t="s">
        <v>6</v>
      </c>
      <c r="BE44" t="s">
        <v>6</v>
      </c>
      <c r="BF44" t="s">
        <v>6</v>
      </c>
      <c r="BG44" t="s">
        <v>6</v>
      </c>
      <c r="BH44">
        <v>3</v>
      </c>
      <c r="BI44">
        <v>1</v>
      </c>
      <c r="BJ44" t="s">
        <v>6</v>
      </c>
      <c r="BM44">
        <v>57001</v>
      </c>
      <c r="BN44">
        <v>0</v>
      </c>
      <c r="BO44" t="s">
        <v>6</v>
      </c>
      <c r="BP44">
        <v>0</v>
      </c>
      <c r="BQ44">
        <v>6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80</v>
      </c>
      <c r="CA44">
        <v>68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44"/>
        <v>0</v>
      </c>
      <c r="CQ44">
        <f t="shared" si="45"/>
        <v>0</v>
      </c>
      <c r="CR44">
        <f t="shared" si="46"/>
        <v>0</v>
      </c>
      <c r="CS44">
        <f t="shared" si="47"/>
        <v>0</v>
      </c>
      <c r="CT44">
        <f t="shared" si="48"/>
        <v>0</v>
      </c>
      <c r="CU44">
        <f t="shared" si="49"/>
        <v>0</v>
      </c>
      <c r="CV44">
        <f t="shared" si="50"/>
        <v>0</v>
      </c>
      <c r="CW44">
        <f t="shared" si="51"/>
        <v>0</v>
      </c>
      <c r="CX44">
        <f t="shared" si="52"/>
        <v>0</v>
      </c>
      <c r="CY44">
        <f t="shared" si="53"/>
        <v>0</v>
      </c>
      <c r="CZ44">
        <f t="shared" si="54"/>
        <v>0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1009</v>
      </c>
      <c r="DV44" t="s">
        <v>100</v>
      </c>
      <c r="DW44" t="s">
        <v>100</v>
      </c>
      <c r="DX44">
        <v>1000</v>
      </c>
      <c r="EE44">
        <v>16510566</v>
      </c>
      <c r="EF44">
        <v>6</v>
      </c>
      <c r="EG44" t="s">
        <v>36</v>
      </c>
      <c r="EH44">
        <v>0</v>
      </c>
      <c r="EI44" t="s">
        <v>6</v>
      </c>
      <c r="EJ44">
        <v>1</v>
      </c>
      <c r="EK44">
        <v>57001</v>
      </c>
      <c r="EL44" t="s">
        <v>91</v>
      </c>
      <c r="EM44" t="s">
        <v>92</v>
      </c>
      <c r="EO44" t="s">
        <v>6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55"/>
        <v>0</v>
      </c>
      <c r="FS44">
        <v>0</v>
      </c>
      <c r="FX44">
        <v>80</v>
      </c>
      <c r="FY44">
        <v>68</v>
      </c>
      <c r="GA44" t="s">
        <v>6</v>
      </c>
      <c r="GD44">
        <v>0</v>
      </c>
      <c r="GF44">
        <v>-179832266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56"/>
        <v>0</v>
      </c>
      <c r="GM44">
        <f t="shared" si="57"/>
        <v>0</v>
      </c>
      <c r="GN44">
        <f t="shared" si="58"/>
        <v>0</v>
      </c>
      <c r="GO44">
        <f t="shared" si="59"/>
        <v>0</v>
      </c>
      <c r="GP44">
        <f t="shared" si="60"/>
        <v>0</v>
      </c>
      <c r="GR44">
        <v>0</v>
      </c>
      <c r="GS44">
        <v>3</v>
      </c>
      <c r="GT44">
        <v>0</v>
      </c>
      <c r="GU44" t="s">
        <v>6</v>
      </c>
      <c r="GV44">
        <f t="shared" si="61"/>
        <v>0</v>
      </c>
      <c r="GW44">
        <v>1</v>
      </c>
      <c r="GX44">
        <f t="shared" si="62"/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ROW(SmtRes!A32)</f>
        <v>32</v>
      </c>
      <c r="D45">
        <f>ROW(EtalonRes!A36)</f>
        <v>36</v>
      </c>
      <c r="E45" t="s">
        <v>101</v>
      </c>
      <c r="F45" t="s">
        <v>102</v>
      </c>
      <c r="G45" t="s">
        <v>103</v>
      </c>
      <c r="H45" t="s">
        <v>20</v>
      </c>
      <c r="I45">
        <f>ROUND(200.8/100,9)</f>
        <v>2.008</v>
      </c>
      <c r="J45">
        <v>0</v>
      </c>
      <c r="O45">
        <f t="shared" si="28"/>
        <v>1791.85</v>
      </c>
      <c r="P45">
        <f t="shared" si="29"/>
        <v>0</v>
      </c>
      <c r="Q45">
        <f t="shared" si="30"/>
        <v>0</v>
      </c>
      <c r="R45">
        <f t="shared" si="31"/>
        <v>0</v>
      </c>
      <c r="S45">
        <f t="shared" si="32"/>
        <v>1791.85</v>
      </c>
      <c r="T45">
        <f t="shared" si="33"/>
        <v>0</v>
      </c>
      <c r="U45">
        <f t="shared" si="34"/>
        <v>35.01952</v>
      </c>
      <c r="V45">
        <f t="shared" si="35"/>
        <v>0</v>
      </c>
      <c r="W45">
        <f t="shared" si="36"/>
        <v>0</v>
      </c>
      <c r="X45">
        <f t="shared" si="37"/>
        <v>1433.48</v>
      </c>
      <c r="Y45">
        <f t="shared" si="38"/>
        <v>1218.46</v>
      </c>
      <c r="AA45">
        <v>16742901</v>
      </c>
      <c r="AB45">
        <f t="shared" si="39"/>
        <v>136.03</v>
      </c>
      <c r="AC45">
        <f t="shared" si="65"/>
        <v>0</v>
      </c>
      <c r="AD45">
        <f t="shared" si="66"/>
        <v>0</v>
      </c>
      <c r="AE45">
        <f t="shared" si="67"/>
        <v>0</v>
      </c>
      <c r="AF45">
        <f t="shared" si="67"/>
        <v>136.03</v>
      </c>
      <c r="AG45">
        <f t="shared" si="41"/>
        <v>0</v>
      </c>
      <c r="AH45">
        <f t="shared" si="68"/>
        <v>17.440000000000001</v>
      </c>
      <c r="AI45">
        <f t="shared" si="68"/>
        <v>0</v>
      </c>
      <c r="AJ45">
        <f t="shared" si="43"/>
        <v>0</v>
      </c>
      <c r="AK45">
        <v>136.03</v>
      </c>
      <c r="AL45">
        <v>0</v>
      </c>
      <c r="AM45">
        <v>0</v>
      </c>
      <c r="AN45">
        <v>0</v>
      </c>
      <c r="AO45">
        <v>136.03</v>
      </c>
      <c r="AP45">
        <v>0</v>
      </c>
      <c r="AQ45">
        <v>17.440000000000001</v>
      </c>
      <c r="AR45">
        <v>0</v>
      </c>
      <c r="AS45">
        <v>0</v>
      </c>
      <c r="AT45">
        <v>80</v>
      </c>
      <c r="AU45">
        <v>68</v>
      </c>
      <c r="AV45">
        <v>1</v>
      </c>
      <c r="AW45">
        <v>1</v>
      </c>
      <c r="AZ45">
        <v>6.56</v>
      </c>
      <c r="BA45">
        <v>6.56</v>
      </c>
      <c r="BB45">
        <v>6.56</v>
      </c>
      <c r="BC45">
        <v>6.56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104</v>
      </c>
      <c r="BM45">
        <v>57001</v>
      </c>
      <c r="BN45">
        <v>0</v>
      </c>
      <c r="BO45" t="s">
        <v>6</v>
      </c>
      <c r="BP45">
        <v>0</v>
      </c>
      <c r="BQ45">
        <v>6</v>
      </c>
      <c r="BR45">
        <v>0</v>
      </c>
      <c r="BS45">
        <v>6.56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80</v>
      </c>
      <c r="CA45">
        <v>68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44"/>
        <v>1791.85</v>
      </c>
      <c r="CQ45">
        <f t="shared" si="45"/>
        <v>0</v>
      </c>
      <c r="CR45">
        <f t="shared" si="46"/>
        <v>0</v>
      </c>
      <c r="CS45">
        <f t="shared" si="47"/>
        <v>0</v>
      </c>
      <c r="CT45">
        <f t="shared" si="48"/>
        <v>892.35679999999991</v>
      </c>
      <c r="CU45">
        <f t="shared" si="49"/>
        <v>0</v>
      </c>
      <c r="CV45">
        <f t="shared" si="50"/>
        <v>17.440000000000001</v>
      </c>
      <c r="CW45">
        <f t="shared" si="51"/>
        <v>0</v>
      </c>
      <c r="CX45">
        <f t="shared" si="52"/>
        <v>0</v>
      </c>
      <c r="CY45">
        <f t="shared" si="53"/>
        <v>1433.48</v>
      </c>
      <c r="CZ45">
        <f t="shared" si="54"/>
        <v>1218.4579999999999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20</v>
      </c>
      <c r="DW45" t="s">
        <v>20</v>
      </c>
      <c r="DX45">
        <v>100</v>
      </c>
      <c r="EE45">
        <v>16510566</v>
      </c>
      <c r="EF45">
        <v>6</v>
      </c>
      <c r="EG45" t="s">
        <v>36</v>
      </c>
      <c r="EH45">
        <v>0</v>
      </c>
      <c r="EI45" t="s">
        <v>6</v>
      </c>
      <c r="EJ45">
        <v>1</v>
      </c>
      <c r="EK45">
        <v>57001</v>
      </c>
      <c r="EL45" t="s">
        <v>91</v>
      </c>
      <c r="EM45" t="s">
        <v>92</v>
      </c>
      <c r="EO45" t="s">
        <v>6</v>
      </c>
      <c r="EQ45">
        <v>131072</v>
      </c>
      <c r="ER45">
        <v>136.03</v>
      </c>
      <c r="ES45">
        <v>0</v>
      </c>
      <c r="ET45">
        <v>0</v>
      </c>
      <c r="EU45">
        <v>0</v>
      </c>
      <c r="EV45">
        <v>136.03</v>
      </c>
      <c r="EW45">
        <v>17.440000000000001</v>
      </c>
      <c r="EX45">
        <v>0</v>
      </c>
      <c r="EY45">
        <v>0</v>
      </c>
      <c r="FQ45">
        <v>0</v>
      </c>
      <c r="FR45">
        <f t="shared" si="55"/>
        <v>0</v>
      </c>
      <c r="FS45">
        <v>0</v>
      </c>
      <c r="FX45">
        <v>80</v>
      </c>
      <c r="FY45">
        <v>68</v>
      </c>
      <c r="GA45" t="s">
        <v>6</v>
      </c>
      <c r="GD45">
        <v>0</v>
      </c>
      <c r="GF45">
        <v>1625794551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56"/>
        <v>0</v>
      </c>
      <c r="GM45">
        <f t="shared" si="57"/>
        <v>4443.79</v>
      </c>
      <c r="GN45">
        <f t="shared" si="58"/>
        <v>4443.79</v>
      </c>
      <c r="GO45">
        <f t="shared" si="59"/>
        <v>0</v>
      </c>
      <c r="GP45">
        <f t="shared" si="60"/>
        <v>0</v>
      </c>
      <c r="GR45">
        <v>0</v>
      </c>
      <c r="GS45">
        <v>3</v>
      </c>
      <c r="GT45">
        <v>0</v>
      </c>
      <c r="GU45" t="s">
        <v>6</v>
      </c>
      <c r="GV45">
        <f t="shared" si="61"/>
        <v>0</v>
      </c>
      <c r="GW45">
        <v>1</v>
      </c>
      <c r="GX45">
        <f t="shared" si="62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ROW(SmtRes!A35)</f>
        <v>35</v>
      </c>
      <c r="D46">
        <f>ROW(EtalonRes!A40)</f>
        <v>40</v>
      </c>
      <c r="E46" t="s">
        <v>105</v>
      </c>
      <c r="F46" t="s">
        <v>106</v>
      </c>
      <c r="G46" t="s">
        <v>107</v>
      </c>
      <c r="H46" t="s">
        <v>20</v>
      </c>
      <c r="I46">
        <f>ROUND(21/100,9)</f>
        <v>0.21</v>
      </c>
      <c r="J46">
        <v>0</v>
      </c>
      <c r="O46">
        <f t="shared" si="28"/>
        <v>883.05</v>
      </c>
      <c r="P46">
        <f t="shared" si="29"/>
        <v>0</v>
      </c>
      <c r="Q46">
        <f t="shared" si="30"/>
        <v>62.01</v>
      </c>
      <c r="R46">
        <f t="shared" si="31"/>
        <v>26.78</v>
      </c>
      <c r="S46">
        <f t="shared" si="32"/>
        <v>821.04</v>
      </c>
      <c r="T46">
        <f t="shared" si="33"/>
        <v>0</v>
      </c>
      <c r="U46">
        <f t="shared" si="34"/>
        <v>14.672700000000001</v>
      </c>
      <c r="V46">
        <f t="shared" si="35"/>
        <v>0.3024</v>
      </c>
      <c r="W46">
        <f t="shared" si="36"/>
        <v>0</v>
      </c>
      <c r="X46">
        <f t="shared" si="37"/>
        <v>678.26</v>
      </c>
      <c r="Y46">
        <f t="shared" si="38"/>
        <v>576.52</v>
      </c>
      <c r="AA46">
        <v>16742901</v>
      </c>
      <c r="AB46">
        <f t="shared" si="39"/>
        <v>641</v>
      </c>
      <c r="AC46">
        <f t="shared" si="65"/>
        <v>0</v>
      </c>
      <c r="AD46">
        <f t="shared" si="66"/>
        <v>45.01</v>
      </c>
      <c r="AE46">
        <f t="shared" si="67"/>
        <v>19.440000000000001</v>
      </c>
      <c r="AF46">
        <f t="shared" si="67"/>
        <v>595.99</v>
      </c>
      <c r="AG46">
        <f t="shared" si="41"/>
        <v>0</v>
      </c>
      <c r="AH46">
        <f t="shared" si="68"/>
        <v>69.87</v>
      </c>
      <c r="AI46">
        <f t="shared" si="68"/>
        <v>1.44</v>
      </c>
      <c r="AJ46">
        <f t="shared" si="43"/>
        <v>0</v>
      </c>
      <c r="AK46">
        <v>641</v>
      </c>
      <c r="AL46">
        <v>0</v>
      </c>
      <c r="AM46">
        <v>45.01</v>
      </c>
      <c r="AN46">
        <v>19.440000000000001</v>
      </c>
      <c r="AO46">
        <v>595.99</v>
      </c>
      <c r="AP46">
        <v>0</v>
      </c>
      <c r="AQ46">
        <v>69.87</v>
      </c>
      <c r="AR46">
        <v>1.44</v>
      </c>
      <c r="AS46">
        <v>0</v>
      </c>
      <c r="AT46">
        <v>80</v>
      </c>
      <c r="AU46">
        <v>68</v>
      </c>
      <c r="AV46">
        <v>1</v>
      </c>
      <c r="AW46">
        <v>1</v>
      </c>
      <c r="AZ46">
        <v>6.56</v>
      </c>
      <c r="BA46">
        <v>6.56</v>
      </c>
      <c r="BB46">
        <v>6.56</v>
      </c>
      <c r="BC46">
        <v>6.56</v>
      </c>
      <c r="BD46" t="s">
        <v>6</v>
      </c>
      <c r="BE46" t="s">
        <v>6</v>
      </c>
      <c r="BF46" t="s">
        <v>6</v>
      </c>
      <c r="BG46" t="s">
        <v>6</v>
      </c>
      <c r="BH46">
        <v>0</v>
      </c>
      <c r="BI46">
        <v>1</v>
      </c>
      <c r="BJ46" t="s">
        <v>108</v>
      </c>
      <c r="BM46">
        <v>57001</v>
      </c>
      <c r="BN46">
        <v>0</v>
      </c>
      <c r="BO46" t="s">
        <v>6</v>
      </c>
      <c r="BP46">
        <v>0</v>
      </c>
      <c r="BQ46">
        <v>6</v>
      </c>
      <c r="BR46">
        <v>0</v>
      </c>
      <c r="BS46">
        <v>6.56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80</v>
      </c>
      <c r="CA46">
        <v>68</v>
      </c>
      <c r="CF46">
        <v>0</v>
      </c>
      <c r="CG46">
        <v>0</v>
      </c>
      <c r="CM46">
        <v>0</v>
      </c>
      <c r="CN46" t="s">
        <v>6</v>
      </c>
      <c r="CO46">
        <v>0</v>
      </c>
      <c r="CP46">
        <f t="shared" si="44"/>
        <v>883.05</v>
      </c>
      <c r="CQ46">
        <f t="shared" si="45"/>
        <v>0</v>
      </c>
      <c r="CR46">
        <f t="shared" si="46"/>
        <v>295.26559999999995</v>
      </c>
      <c r="CS46">
        <f t="shared" si="47"/>
        <v>127.5264</v>
      </c>
      <c r="CT46">
        <f t="shared" si="48"/>
        <v>3909.6943999999999</v>
      </c>
      <c r="CU46">
        <f t="shared" si="49"/>
        <v>0</v>
      </c>
      <c r="CV46">
        <f t="shared" si="50"/>
        <v>69.87</v>
      </c>
      <c r="CW46">
        <f t="shared" si="51"/>
        <v>1.44</v>
      </c>
      <c r="CX46">
        <f t="shared" si="52"/>
        <v>0</v>
      </c>
      <c r="CY46">
        <f t="shared" si="53"/>
        <v>678.25599999999986</v>
      </c>
      <c r="CZ46">
        <f t="shared" si="54"/>
        <v>576.5175999999999</v>
      </c>
      <c r="DC46" t="s">
        <v>6</v>
      </c>
      <c r="DD46" t="s">
        <v>6</v>
      </c>
      <c r="DE46" t="s">
        <v>6</v>
      </c>
      <c r="DF46" t="s">
        <v>6</v>
      </c>
      <c r="DG46" t="s">
        <v>6</v>
      </c>
      <c r="DH46" t="s">
        <v>6</v>
      </c>
      <c r="DI46" t="s">
        <v>6</v>
      </c>
      <c r="DJ46" t="s">
        <v>6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20</v>
      </c>
      <c r="DW46" t="s">
        <v>20</v>
      </c>
      <c r="DX46">
        <v>100</v>
      </c>
      <c r="EE46">
        <v>16510566</v>
      </c>
      <c r="EF46">
        <v>6</v>
      </c>
      <c r="EG46" t="s">
        <v>36</v>
      </c>
      <c r="EH46">
        <v>0</v>
      </c>
      <c r="EI46" t="s">
        <v>6</v>
      </c>
      <c r="EJ46">
        <v>1</v>
      </c>
      <c r="EK46">
        <v>57001</v>
      </c>
      <c r="EL46" t="s">
        <v>91</v>
      </c>
      <c r="EM46" t="s">
        <v>92</v>
      </c>
      <c r="EO46" t="s">
        <v>6</v>
      </c>
      <c r="EQ46">
        <v>131072</v>
      </c>
      <c r="ER46">
        <v>641</v>
      </c>
      <c r="ES46">
        <v>0</v>
      </c>
      <c r="ET46">
        <v>45.01</v>
      </c>
      <c r="EU46">
        <v>19.440000000000001</v>
      </c>
      <c r="EV46">
        <v>595.99</v>
      </c>
      <c r="EW46">
        <v>69.87</v>
      </c>
      <c r="EX46">
        <v>1.44</v>
      </c>
      <c r="EY46">
        <v>0</v>
      </c>
      <c r="FQ46">
        <v>0</v>
      </c>
      <c r="FR46">
        <f t="shared" si="55"/>
        <v>0</v>
      </c>
      <c r="FS46">
        <v>0</v>
      </c>
      <c r="FX46">
        <v>80</v>
      </c>
      <c r="FY46">
        <v>68</v>
      </c>
      <c r="GA46" t="s">
        <v>6</v>
      </c>
      <c r="GD46">
        <v>0</v>
      </c>
      <c r="GF46">
        <v>-698441934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56"/>
        <v>0</v>
      </c>
      <c r="GM46">
        <f t="shared" si="57"/>
        <v>2137.83</v>
      </c>
      <c r="GN46">
        <f t="shared" si="58"/>
        <v>2137.83</v>
      </c>
      <c r="GO46">
        <f t="shared" si="59"/>
        <v>0</v>
      </c>
      <c r="GP46">
        <f t="shared" si="60"/>
        <v>0</v>
      </c>
      <c r="GR46">
        <v>0</v>
      </c>
      <c r="GS46">
        <v>3</v>
      </c>
      <c r="GT46">
        <v>0</v>
      </c>
      <c r="GU46" t="s">
        <v>6</v>
      </c>
      <c r="GV46">
        <f t="shared" si="61"/>
        <v>0</v>
      </c>
      <c r="GW46">
        <v>1</v>
      </c>
      <c r="GX46">
        <f t="shared" si="62"/>
        <v>0</v>
      </c>
      <c r="HA46">
        <v>0</v>
      </c>
      <c r="HB46">
        <v>0</v>
      </c>
      <c r="IK46">
        <v>0</v>
      </c>
    </row>
    <row r="47" spans="1:245" x14ac:dyDescent="0.2">
      <c r="A47">
        <v>17</v>
      </c>
      <c r="B47">
        <v>1</v>
      </c>
      <c r="C47">
        <f>ROW(SmtRes!A40)</f>
        <v>40</v>
      </c>
      <c r="D47">
        <f>ROW(EtalonRes!A45)</f>
        <v>45</v>
      </c>
      <c r="E47" t="s">
        <v>109</v>
      </c>
      <c r="F47" t="s">
        <v>110</v>
      </c>
      <c r="G47" t="s">
        <v>111</v>
      </c>
      <c r="H47" t="s">
        <v>20</v>
      </c>
      <c r="I47">
        <f>ROUND(97.8/100,9)</f>
        <v>0.97799999999999998</v>
      </c>
      <c r="J47">
        <v>0</v>
      </c>
      <c r="O47">
        <f t="shared" si="28"/>
        <v>4195.8500000000004</v>
      </c>
      <c r="P47">
        <f t="shared" si="29"/>
        <v>0</v>
      </c>
      <c r="Q47">
        <f t="shared" si="30"/>
        <v>444.35</v>
      </c>
      <c r="R47">
        <f t="shared" si="31"/>
        <v>30.35</v>
      </c>
      <c r="S47">
        <f t="shared" si="32"/>
        <v>3751.5</v>
      </c>
      <c r="T47">
        <f t="shared" si="33"/>
        <v>0</v>
      </c>
      <c r="U47">
        <f t="shared" si="34"/>
        <v>72.665399999999991</v>
      </c>
      <c r="V47">
        <f t="shared" si="35"/>
        <v>0.34229999999999999</v>
      </c>
      <c r="W47">
        <f t="shared" si="36"/>
        <v>0</v>
      </c>
      <c r="X47">
        <f t="shared" si="37"/>
        <v>2912.02</v>
      </c>
      <c r="Y47">
        <f t="shared" si="38"/>
        <v>1890.93</v>
      </c>
      <c r="AA47">
        <v>16742901</v>
      </c>
      <c r="AB47">
        <f t="shared" si="39"/>
        <v>654</v>
      </c>
      <c r="AC47">
        <f t="shared" si="65"/>
        <v>0</v>
      </c>
      <c r="AD47">
        <f t="shared" si="66"/>
        <v>69.260000000000005</v>
      </c>
      <c r="AE47">
        <f t="shared" si="67"/>
        <v>4.7300000000000004</v>
      </c>
      <c r="AF47">
        <f t="shared" si="67"/>
        <v>584.74</v>
      </c>
      <c r="AG47">
        <f t="shared" si="41"/>
        <v>0</v>
      </c>
      <c r="AH47">
        <f t="shared" si="68"/>
        <v>74.3</v>
      </c>
      <c r="AI47">
        <f t="shared" si="68"/>
        <v>0.35</v>
      </c>
      <c r="AJ47">
        <f t="shared" si="43"/>
        <v>0</v>
      </c>
      <c r="AK47">
        <v>654</v>
      </c>
      <c r="AL47">
        <v>0</v>
      </c>
      <c r="AM47">
        <v>69.260000000000005</v>
      </c>
      <c r="AN47">
        <v>4.7300000000000004</v>
      </c>
      <c r="AO47">
        <v>584.74</v>
      </c>
      <c r="AP47">
        <v>0</v>
      </c>
      <c r="AQ47">
        <v>74.3</v>
      </c>
      <c r="AR47">
        <v>0.35</v>
      </c>
      <c r="AS47">
        <v>0</v>
      </c>
      <c r="AT47">
        <v>77</v>
      </c>
      <c r="AU47">
        <v>50</v>
      </c>
      <c r="AV47">
        <v>1</v>
      </c>
      <c r="AW47">
        <v>1</v>
      </c>
      <c r="AZ47">
        <v>6.56</v>
      </c>
      <c r="BA47">
        <v>6.56</v>
      </c>
      <c r="BB47">
        <v>6.56</v>
      </c>
      <c r="BC47">
        <v>6.56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112</v>
      </c>
      <c r="BM47">
        <v>63001</v>
      </c>
      <c r="BN47">
        <v>0</v>
      </c>
      <c r="BO47" t="s">
        <v>6</v>
      </c>
      <c r="BP47">
        <v>0</v>
      </c>
      <c r="BQ47">
        <v>6</v>
      </c>
      <c r="BR47">
        <v>0</v>
      </c>
      <c r="BS47">
        <v>6.56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77</v>
      </c>
      <c r="CA47">
        <v>50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44"/>
        <v>4195.8500000000004</v>
      </c>
      <c r="CQ47">
        <f t="shared" si="45"/>
        <v>0</v>
      </c>
      <c r="CR47">
        <f t="shared" si="46"/>
        <v>454.34559999999999</v>
      </c>
      <c r="CS47">
        <f t="shared" si="47"/>
        <v>31.0288</v>
      </c>
      <c r="CT47">
        <f t="shared" si="48"/>
        <v>3835.8943999999997</v>
      </c>
      <c r="CU47">
        <f t="shared" si="49"/>
        <v>0</v>
      </c>
      <c r="CV47">
        <f t="shared" si="50"/>
        <v>74.3</v>
      </c>
      <c r="CW47">
        <f t="shared" si="51"/>
        <v>0.35</v>
      </c>
      <c r="CX47">
        <f t="shared" si="52"/>
        <v>0</v>
      </c>
      <c r="CY47">
        <f t="shared" si="53"/>
        <v>2912.0245</v>
      </c>
      <c r="CZ47">
        <f t="shared" si="54"/>
        <v>1890.925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20</v>
      </c>
      <c r="DW47" t="s">
        <v>20</v>
      </c>
      <c r="DX47">
        <v>100</v>
      </c>
      <c r="EE47">
        <v>16510572</v>
      </c>
      <c r="EF47">
        <v>6</v>
      </c>
      <c r="EG47" t="s">
        <v>36</v>
      </c>
      <c r="EH47">
        <v>0</v>
      </c>
      <c r="EI47" t="s">
        <v>6</v>
      </c>
      <c r="EJ47">
        <v>1</v>
      </c>
      <c r="EK47">
        <v>63001</v>
      </c>
      <c r="EL47" t="s">
        <v>113</v>
      </c>
      <c r="EM47" t="s">
        <v>114</v>
      </c>
      <c r="EO47" t="s">
        <v>6</v>
      </c>
      <c r="EQ47">
        <v>131072</v>
      </c>
      <c r="ER47">
        <v>654</v>
      </c>
      <c r="ES47">
        <v>0</v>
      </c>
      <c r="ET47">
        <v>69.260000000000005</v>
      </c>
      <c r="EU47">
        <v>4.7300000000000004</v>
      </c>
      <c r="EV47">
        <v>584.74</v>
      </c>
      <c r="EW47">
        <v>74.3</v>
      </c>
      <c r="EX47">
        <v>0.35</v>
      </c>
      <c r="EY47">
        <v>0</v>
      </c>
      <c r="FQ47">
        <v>0</v>
      </c>
      <c r="FR47">
        <f t="shared" si="55"/>
        <v>0</v>
      </c>
      <c r="FS47">
        <v>0</v>
      </c>
      <c r="FX47">
        <v>77</v>
      </c>
      <c r="FY47">
        <v>50</v>
      </c>
      <c r="GA47" t="s">
        <v>6</v>
      </c>
      <c r="GD47">
        <v>0</v>
      </c>
      <c r="GF47">
        <v>1410032296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56"/>
        <v>0</v>
      </c>
      <c r="GM47">
        <f t="shared" si="57"/>
        <v>8998.7999999999993</v>
      </c>
      <c r="GN47">
        <f t="shared" si="58"/>
        <v>8998.7999999999993</v>
      </c>
      <c r="GO47">
        <f t="shared" si="59"/>
        <v>0</v>
      </c>
      <c r="GP47">
        <f t="shared" si="60"/>
        <v>0</v>
      </c>
      <c r="GR47">
        <v>0</v>
      </c>
      <c r="GS47">
        <v>3</v>
      </c>
      <c r="GT47">
        <v>0</v>
      </c>
      <c r="GU47" t="s">
        <v>6</v>
      </c>
      <c r="GV47">
        <f t="shared" si="61"/>
        <v>0</v>
      </c>
      <c r="GW47">
        <v>1</v>
      </c>
      <c r="GX47">
        <f t="shared" si="62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ROW(SmtRes!A58)</f>
        <v>58</v>
      </c>
      <c r="D48">
        <f>ROW(EtalonRes!A64)</f>
        <v>64</v>
      </c>
      <c r="E48" t="s">
        <v>115</v>
      </c>
      <c r="F48" t="s">
        <v>116</v>
      </c>
      <c r="G48" t="s">
        <v>117</v>
      </c>
      <c r="H48" t="s">
        <v>100</v>
      </c>
      <c r="I48">
        <v>0.4</v>
      </c>
      <c r="J48">
        <v>0</v>
      </c>
      <c r="O48">
        <f t="shared" si="28"/>
        <v>1026.8499999999999</v>
      </c>
      <c r="P48">
        <f t="shared" si="29"/>
        <v>0</v>
      </c>
      <c r="Q48">
        <f t="shared" si="30"/>
        <v>231.07</v>
      </c>
      <c r="R48">
        <f t="shared" si="31"/>
        <v>7.01</v>
      </c>
      <c r="S48">
        <f t="shared" si="32"/>
        <v>795.78</v>
      </c>
      <c r="T48">
        <f t="shared" si="33"/>
        <v>0</v>
      </c>
      <c r="U48">
        <f t="shared" si="34"/>
        <v>14.2212</v>
      </c>
      <c r="V48">
        <f t="shared" si="35"/>
        <v>8.6800000000000002E-2</v>
      </c>
      <c r="W48">
        <f t="shared" si="36"/>
        <v>0</v>
      </c>
      <c r="X48">
        <f t="shared" si="37"/>
        <v>650.26</v>
      </c>
      <c r="Y48">
        <f t="shared" si="38"/>
        <v>578.01</v>
      </c>
      <c r="AA48">
        <v>16742901</v>
      </c>
      <c r="AB48">
        <f t="shared" si="39"/>
        <v>391.33</v>
      </c>
      <c r="AC48">
        <f>ROUND(((ES48*0)),2)</f>
        <v>0</v>
      </c>
      <c r="AD48">
        <f>ROUND(((((ET48*0.7))-((EU48*0.7)))+AE48),2)</f>
        <v>88.06</v>
      </c>
      <c r="AE48">
        <f>ROUND(((EU48*0.7)),2)</f>
        <v>2.67</v>
      </c>
      <c r="AF48">
        <f>ROUND(((EV48*0.7)),2)</f>
        <v>303.27</v>
      </c>
      <c r="AG48">
        <f t="shared" si="41"/>
        <v>0</v>
      </c>
      <c r="AH48">
        <f>((EW48*0.7))</f>
        <v>35.552999999999997</v>
      </c>
      <c r="AI48">
        <f>((EX48*0.7))</f>
        <v>0.217</v>
      </c>
      <c r="AJ48">
        <f t="shared" si="43"/>
        <v>0</v>
      </c>
      <c r="AK48">
        <v>641</v>
      </c>
      <c r="AL48">
        <v>81.96</v>
      </c>
      <c r="AM48">
        <v>125.8</v>
      </c>
      <c r="AN48">
        <v>3.82</v>
      </c>
      <c r="AO48">
        <v>433.24</v>
      </c>
      <c r="AP48">
        <v>0</v>
      </c>
      <c r="AQ48">
        <v>50.79</v>
      </c>
      <c r="AR48">
        <v>0.31</v>
      </c>
      <c r="AS48">
        <v>0</v>
      </c>
      <c r="AT48">
        <v>81</v>
      </c>
      <c r="AU48">
        <v>72</v>
      </c>
      <c r="AV48">
        <v>1</v>
      </c>
      <c r="AW48">
        <v>1</v>
      </c>
      <c r="AZ48">
        <v>6.56</v>
      </c>
      <c r="BA48">
        <v>6.56</v>
      </c>
      <c r="BB48">
        <v>6.56</v>
      </c>
      <c r="BC48">
        <v>6.56</v>
      </c>
      <c r="BD48" t="s">
        <v>6</v>
      </c>
      <c r="BE48" t="s">
        <v>6</v>
      </c>
      <c r="BF48" t="s">
        <v>6</v>
      </c>
      <c r="BG48" t="s">
        <v>6</v>
      </c>
      <c r="BH48">
        <v>0</v>
      </c>
      <c r="BI48">
        <v>1</v>
      </c>
      <c r="BJ48" t="s">
        <v>118</v>
      </c>
      <c r="BM48">
        <v>9001</v>
      </c>
      <c r="BN48">
        <v>0</v>
      </c>
      <c r="BO48" t="s">
        <v>6</v>
      </c>
      <c r="BP48">
        <v>0</v>
      </c>
      <c r="BQ48">
        <v>2</v>
      </c>
      <c r="BR48">
        <v>0</v>
      </c>
      <c r="BS48">
        <v>6.56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90</v>
      </c>
      <c r="CA48">
        <v>85</v>
      </c>
      <c r="CF48">
        <v>0</v>
      </c>
      <c r="CG48">
        <v>0</v>
      </c>
      <c r="CM48">
        <v>0</v>
      </c>
      <c r="CN48" t="s">
        <v>119</v>
      </c>
      <c r="CO48">
        <v>0</v>
      </c>
      <c r="CP48">
        <f t="shared" si="44"/>
        <v>1026.8499999999999</v>
      </c>
      <c r="CQ48">
        <f t="shared" si="45"/>
        <v>0</v>
      </c>
      <c r="CR48">
        <f t="shared" si="46"/>
        <v>577.67359999999996</v>
      </c>
      <c r="CS48">
        <f t="shared" si="47"/>
        <v>17.5152</v>
      </c>
      <c r="CT48">
        <f t="shared" si="48"/>
        <v>1989.4511999999997</v>
      </c>
      <c r="CU48">
        <f t="shared" si="49"/>
        <v>0</v>
      </c>
      <c r="CV48">
        <f t="shared" si="50"/>
        <v>35.552999999999997</v>
      </c>
      <c r="CW48">
        <f t="shared" si="51"/>
        <v>0.217</v>
      </c>
      <c r="CX48">
        <f t="shared" si="52"/>
        <v>0</v>
      </c>
      <c r="CY48">
        <f t="shared" si="53"/>
        <v>650.25990000000002</v>
      </c>
      <c r="CZ48">
        <f t="shared" si="54"/>
        <v>578.00879999999995</v>
      </c>
      <c r="DC48" t="s">
        <v>6</v>
      </c>
      <c r="DD48" t="s">
        <v>48</v>
      </c>
      <c r="DE48" t="s">
        <v>120</v>
      </c>
      <c r="DF48" t="s">
        <v>120</v>
      </c>
      <c r="DG48" t="s">
        <v>120</v>
      </c>
      <c r="DH48" t="s">
        <v>6</v>
      </c>
      <c r="DI48" t="s">
        <v>120</v>
      </c>
      <c r="DJ48" t="s">
        <v>120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1009</v>
      </c>
      <c r="DV48" t="s">
        <v>100</v>
      </c>
      <c r="DW48" t="s">
        <v>100</v>
      </c>
      <c r="DX48">
        <v>1000</v>
      </c>
      <c r="EE48">
        <v>16510486</v>
      </c>
      <c r="EF48">
        <v>2</v>
      </c>
      <c r="EG48" t="s">
        <v>22</v>
      </c>
      <c r="EH48">
        <v>0</v>
      </c>
      <c r="EI48" t="s">
        <v>6</v>
      </c>
      <c r="EJ48">
        <v>1</v>
      </c>
      <c r="EK48">
        <v>9001</v>
      </c>
      <c r="EL48" t="s">
        <v>121</v>
      </c>
      <c r="EM48" t="s">
        <v>122</v>
      </c>
      <c r="EO48" t="s">
        <v>123</v>
      </c>
      <c r="EQ48">
        <v>0</v>
      </c>
      <c r="ER48">
        <v>641</v>
      </c>
      <c r="ES48">
        <v>81.96</v>
      </c>
      <c r="ET48">
        <v>125.8</v>
      </c>
      <c r="EU48">
        <v>3.82</v>
      </c>
      <c r="EV48">
        <v>433.24</v>
      </c>
      <c r="EW48">
        <v>50.79</v>
      </c>
      <c r="EX48">
        <v>0.31</v>
      </c>
      <c r="EY48">
        <v>0</v>
      </c>
      <c r="FQ48">
        <v>0</v>
      </c>
      <c r="FR48">
        <f t="shared" si="55"/>
        <v>0</v>
      </c>
      <c r="FS48">
        <v>0</v>
      </c>
      <c r="FT48" t="s">
        <v>25</v>
      </c>
      <c r="FU48" t="s">
        <v>26</v>
      </c>
      <c r="FX48">
        <v>81</v>
      </c>
      <c r="FY48">
        <v>72.25</v>
      </c>
      <c r="GA48" t="s">
        <v>6</v>
      </c>
      <c r="GD48">
        <v>0</v>
      </c>
      <c r="GF48">
        <v>590566923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56"/>
        <v>0</v>
      </c>
      <c r="GM48">
        <f t="shared" si="57"/>
        <v>2255.12</v>
      </c>
      <c r="GN48">
        <f t="shared" si="58"/>
        <v>2255.12</v>
      </c>
      <c r="GO48">
        <f t="shared" si="59"/>
        <v>0</v>
      </c>
      <c r="GP48">
        <f t="shared" si="60"/>
        <v>0</v>
      </c>
      <c r="GR48">
        <v>0</v>
      </c>
      <c r="GS48">
        <v>3</v>
      </c>
      <c r="GT48">
        <v>0</v>
      </c>
      <c r="GU48" t="s">
        <v>6</v>
      </c>
      <c r="GV48">
        <f t="shared" si="61"/>
        <v>0</v>
      </c>
      <c r="GW48">
        <v>1</v>
      </c>
      <c r="GX48">
        <f t="shared" si="62"/>
        <v>0</v>
      </c>
      <c r="HA48">
        <v>0</v>
      </c>
      <c r="HB48">
        <v>0</v>
      </c>
      <c r="IK48">
        <v>0</v>
      </c>
    </row>
    <row r="49" spans="1:245" x14ac:dyDescent="0.2">
      <c r="A49">
        <v>17</v>
      </c>
      <c r="B49">
        <v>1</v>
      </c>
      <c r="C49">
        <f>ROW(SmtRes!A59)</f>
        <v>59</v>
      </c>
      <c r="D49">
        <f>ROW(EtalonRes!A66)</f>
        <v>66</v>
      </c>
      <c r="E49" t="s">
        <v>124</v>
      </c>
      <c r="F49" t="s">
        <v>125</v>
      </c>
      <c r="G49" t="s">
        <v>126</v>
      </c>
      <c r="H49" t="s">
        <v>34</v>
      </c>
      <c r="I49">
        <f>ROUND(40/100,9)</f>
        <v>0.4</v>
      </c>
      <c r="J49">
        <v>0</v>
      </c>
      <c r="O49">
        <f t="shared" si="28"/>
        <v>291.37</v>
      </c>
      <c r="P49">
        <f t="shared" si="29"/>
        <v>0</v>
      </c>
      <c r="Q49">
        <f t="shared" si="30"/>
        <v>0</v>
      </c>
      <c r="R49">
        <f t="shared" si="31"/>
        <v>0</v>
      </c>
      <c r="S49">
        <f t="shared" si="32"/>
        <v>291.37</v>
      </c>
      <c r="T49">
        <f t="shared" si="33"/>
        <v>0</v>
      </c>
      <c r="U49">
        <f t="shared" si="34"/>
        <v>5.3000000000000007</v>
      </c>
      <c r="V49">
        <f t="shared" si="35"/>
        <v>0</v>
      </c>
      <c r="W49">
        <f t="shared" si="36"/>
        <v>0</v>
      </c>
      <c r="X49">
        <f t="shared" si="37"/>
        <v>221.44</v>
      </c>
      <c r="Y49">
        <f t="shared" si="38"/>
        <v>174.82</v>
      </c>
      <c r="AA49">
        <v>16742901</v>
      </c>
      <c r="AB49">
        <f t="shared" si="39"/>
        <v>111.04</v>
      </c>
      <c r="AC49">
        <f>ROUND((ES49),2)</f>
        <v>0</v>
      </c>
      <c r="AD49">
        <f>ROUND((((ET49)-(EU49))+AE49),2)</f>
        <v>0</v>
      </c>
      <c r="AE49">
        <f>ROUND((EU49),2)</f>
        <v>0</v>
      </c>
      <c r="AF49">
        <f>ROUND((EV49),2)</f>
        <v>111.04</v>
      </c>
      <c r="AG49">
        <f t="shared" si="41"/>
        <v>0</v>
      </c>
      <c r="AH49">
        <f>(EW49)</f>
        <v>13.25</v>
      </c>
      <c r="AI49">
        <f>(EX49)</f>
        <v>0</v>
      </c>
      <c r="AJ49">
        <f t="shared" si="43"/>
        <v>0</v>
      </c>
      <c r="AK49">
        <v>111.04</v>
      </c>
      <c r="AL49">
        <v>0</v>
      </c>
      <c r="AM49">
        <v>0</v>
      </c>
      <c r="AN49">
        <v>0</v>
      </c>
      <c r="AO49">
        <v>111.04</v>
      </c>
      <c r="AP49">
        <v>0</v>
      </c>
      <c r="AQ49">
        <v>13.25</v>
      </c>
      <c r="AR49">
        <v>0</v>
      </c>
      <c r="AS49">
        <v>0</v>
      </c>
      <c r="AT49">
        <v>76</v>
      </c>
      <c r="AU49">
        <v>60</v>
      </c>
      <c r="AV49">
        <v>1</v>
      </c>
      <c r="AW49">
        <v>1</v>
      </c>
      <c r="AZ49">
        <v>6.56</v>
      </c>
      <c r="BA49">
        <v>6.56</v>
      </c>
      <c r="BB49">
        <v>6.56</v>
      </c>
      <c r="BC49">
        <v>6.56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127</v>
      </c>
      <c r="BM49">
        <v>59001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6.56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76</v>
      </c>
      <c r="CA49">
        <v>60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44"/>
        <v>291.37</v>
      </c>
      <c r="CQ49">
        <f t="shared" si="45"/>
        <v>0</v>
      </c>
      <c r="CR49">
        <f t="shared" si="46"/>
        <v>0</v>
      </c>
      <c r="CS49">
        <f t="shared" si="47"/>
        <v>0</v>
      </c>
      <c r="CT49">
        <f t="shared" si="48"/>
        <v>728.42240000000004</v>
      </c>
      <c r="CU49">
        <f t="shared" si="49"/>
        <v>0</v>
      </c>
      <c r="CV49">
        <f t="shared" si="50"/>
        <v>13.25</v>
      </c>
      <c r="CW49">
        <f t="shared" si="51"/>
        <v>0</v>
      </c>
      <c r="CX49">
        <f t="shared" si="52"/>
        <v>0</v>
      </c>
      <c r="CY49">
        <f t="shared" si="53"/>
        <v>221.44119999999998</v>
      </c>
      <c r="CZ49">
        <f t="shared" si="54"/>
        <v>174.822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34</v>
      </c>
      <c r="DW49" t="s">
        <v>34</v>
      </c>
      <c r="DX49">
        <v>100</v>
      </c>
      <c r="EE49">
        <v>16510568</v>
      </c>
      <c r="EF49">
        <v>6</v>
      </c>
      <c r="EG49" t="s">
        <v>36</v>
      </c>
      <c r="EH49">
        <v>0</v>
      </c>
      <c r="EI49" t="s">
        <v>6</v>
      </c>
      <c r="EJ49">
        <v>1</v>
      </c>
      <c r="EK49">
        <v>59001</v>
      </c>
      <c r="EL49" t="s">
        <v>128</v>
      </c>
      <c r="EM49" t="s">
        <v>129</v>
      </c>
      <c r="EO49" t="s">
        <v>6</v>
      </c>
      <c r="EQ49">
        <v>131072</v>
      </c>
      <c r="ER49">
        <v>111.04</v>
      </c>
      <c r="ES49">
        <v>0</v>
      </c>
      <c r="ET49">
        <v>0</v>
      </c>
      <c r="EU49">
        <v>0</v>
      </c>
      <c r="EV49">
        <v>111.04</v>
      </c>
      <c r="EW49">
        <v>13.25</v>
      </c>
      <c r="EX49">
        <v>0</v>
      </c>
      <c r="EY49">
        <v>0</v>
      </c>
      <c r="FQ49">
        <v>0</v>
      </c>
      <c r="FR49">
        <f t="shared" si="55"/>
        <v>0</v>
      </c>
      <c r="FS49">
        <v>0</v>
      </c>
      <c r="FX49">
        <v>76</v>
      </c>
      <c r="FY49">
        <v>60</v>
      </c>
      <c r="GA49" t="s">
        <v>6</v>
      </c>
      <c r="GD49">
        <v>0</v>
      </c>
      <c r="GF49">
        <v>-374470494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56"/>
        <v>0</v>
      </c>
      <c r="GM49">
        <f t="shared" si="57"/>
        <v>687.63</v>
      </c>
      <c r="GN49">
        <f t="shared" si="58"/>
        <v>687.63</v>
      </c>
      <c r="GO49">
        <f t="shared" si="59"/>
        <v>0</v>
      </c>
      <c r="GP49">
        <f t="shared" si="60"/>
        <v>0</v>
      </c>
      <c r="GR49">
        <v>0</v>
      </c>
      <c r="GS49">
        <v>3</v>
      </c>
      <c r="GT49">
        <v>0</v>
      </c>
      <c r="GU49" t="s">
        <v>6</v>
      </c>
      <c r="GV49">
        <f t="shared" si="61"/>
        <v>0</v>
      </c>
      <c r="GW49">
        <v>1</v>
      </c>
      <c r="GX49">
        <f t="shared" si="62"/>
        <v>0</v>
      </c>
      <c r="HA49">
        <v>0</v>
      </c>
      <c r="HB49">
        <v>0</v>
      </c>
      <c r="IK49">
        <v>0</v>
      </c>
    </row>
    <row r="51" spans="1:245" x14ac:dyDescent="0.2">
      <c r="A51" s="2">
        <v>51</v>
      </c>
      <c r="B51" s="2">
        <f>B28</f>
        <v>1</v>
      </c>
      <c r="C51" s="2">
        <f>A28</f>
        <v>5</v>
      </c>
      <c r="D51" s="2">
        <f>ROW(A28)</f>
        <v>28</v>
      </c>
      <c r="E51" s="2"/>
      <c r="F51" s="2" t="str">
        <f>IF(F28&lt;&gt;"",F28,"")</f>
        <v>Новый подраздел</v>
      </c>
      <c r="G51" s="2" t="str">
        <f>IF(G28&lt;&gt;"",G28,"")</f>
        <v>1 Демонтаж</v>
      </c>
      <c r="H51" s="2">
        <v>0</v>
      </c>
      <c r="I51" s="2"/>
      <c r="J51" s="2"/>
      <c r="K51" s="2"/>
      <c r="L51" s="2"/>
      <c r="M51" s="2"/>
      <c r="N51" s="2"/>
      <c r="O51" s="2">
        <f t="shared" ref="O51:T51" si="69">ROUND(AB51,2)</f>
        <v>18181.349999999999</v>
      </c>
      <c r="P51" s="2">
        <f t="shared" si="69"/>
        <v>1623.35</v>
      </c>
      <c r="Q51" s="2">
        <f t="shared" si="69"/>
        <v>1766.67</v>
      </c>
      <c r="R51" s="2">
        <f t="shared" si="69"/>
        <v>469.24</v>
      </c>
      <c r="S51" s="2">
        <f t="shared" si="69"/>
        <v>14791.33</v>
      </c>
      <c r="T51" s="2">
        <f t="shared" si="69"/>
        <v>0</v>
      </c>
      <c r="U51" s="2">
        <f>AH51</f>
        <v>279.49097920000003</v>
      </c>
      <c r="V51" s="2">
        <f>AI51</f>
        <v>5.3155979999999996</v>
      </c>
      <c r="W51" s="2">
        <f>ROUND(AJ51,2)</f>
        <v>0</v>
      </c>
      <c r="X51" s="2">
        <f>ROUND(AK51,2)</f>
        <v>13384.49</v>
      </c>
      <c r="Y51" s="2">
        <f>ROUND(AL51,2)</f>
        <v>9241.48</v>
      </c>
      <c r="Z51" s="2"/>
      <c r="AA51" s="2"/>
      <c r="AB51" s="2">
        <f>ROUND(SUMIF(AA32:AA49,"=16742901",O32:O49),2)</f>
        <v>18181.349999999999</v>
      </c>
      <c r="AC51" s="2">
        <f>ROUND(SUMIF(AA32:AA49,"=16742901",P32:P49),2)</f>
        <v>1623.35</v>
      </c>
      <c r="AD51" s="2">
        <f>ROUND(SUMIF(AA32:AA49,"=16742901",Q32:Q49),2)</f>
        <v>1766.67</v>
      </c>
      <c r="AE51" s="2">
        <f>ROUND(SUMIF(AA32:AA49,"=16742901",R32:R49),2)</f>
        <v>469.24</v>
      </c>
      <c r="AF51" s="2">
        <f>ROUND(SUMIF(AA32:AA49,"=16742901",S32:S49),2)</f>
        <v>14791.33</v>
      </c>
      <c r="AG51" s="2">
        <f>ROUND(SUMIF(AA32:AA49,"=16742901",T32:T49),2)</f>
        <v>0</v>
      </c>
      <c r="AH51" s="2">
        <f>SUMIF(AA32:AA49,"=16742901",U32:U49)</f>
        <v>279.49097920000003</v>
      </c>
      <c r="AI51" s="2">
        <f>SUMIF(AA32:AA49,"=16742901",V32:V49)</f>
        <v>5.3155979999999996</v>
      </c>
      <c r="AJ51" s="2">
        <f>ROUND(SUMIF(AA32:AA49,"=16742901",W32:W49),2)</f>
        <v>0</v>
      </c>
      <c r="AK51" s="2">
        <f>ROUND(SUMIF(AA32:AA49,"=16742901",X32:X49),2)</f>
        <v>13384.49</v>
      </c>
      <c r="AL51" s="2">
        <f>ROUND(SUMIF(AA32:AA49,"=16742901",Y32:Y49),2)</f>
        <v>9241.48</v>
      </c>
      <c r="AM51" s="2"/>
      <c r="AN51" s="2"/>
      <c r="AO51" s="2">
        <f t="shared" ref="AO51:BC51" si="70">ROUND(BX51,2)</f>
        <v>0</v>
      </c>
      <c r="AP51" s="2">
        <f t="shared" si="70"/>
        <v>0</v>
      </c>
      <c r="AQ51" s="2">
        <f t="shared" si="70"/>
        <v>0</v>
      </c>
      <c r="AR51" s="2">
        <f t="shared" si="70"/>
        <v>40807.32</v>
      </c>
      <c r="AS51" s="2">
        <f t="shared" si="70"/>
        <v>40471.68</v>
      </c>
      <c r="AT51" s="2">
        <f t="shared" si="70"/>
        <v>335.64</v>
      </c>
      <c r="AU51" s="2">
        <f t="shared" si="70"/>
        <v>0</v>
      </c>
      <c r="AV51" s="2">
        <f t="shared" si="70"/>
        <v>1623.35</v>
      </c>
      <c r="AW51" s="2">
        <f t="shared" si="70"/>
        <v>1623.35</v>
      </c>
      <c r="AX51" s="2">
        <f t="shared" si="70"/>
        <v>0</v>
      </c>
      <c r="AY51" s="2">
        <f t="shared" si="70"/>
        <v>1623.35</v>
      </c>
      <c r="AZ51" s="2">
        <f t="shared" si="70"/>
        <v>0</v>
      </c>
      <c r="BA51" s="2">
        <f t="shared" si="70"/>
        <v>0</v>
      </c>
      <c r="BB51" s="2">
        <f t="shared" si="70"/>
        <v>0</v>
      </c>
      <c r="BC51" s="2">
        <f t="shared" si="70"/>
        <v>0</v>
      </c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>
        <f>ROUND(SUMIF(AA32:AA49,"=16742901",FQ32:FQ49),2)</f>
        <v>0</v>
      </c>
      <c r="BY51" s="2">
        <f>ROUND(SUMIF(AA32:AA49,"=16742901",FR32:FR49),2)</f>
        <v>0</v>
      </c>
      <c r="BZ51" s="2">
        <f>ROUND(SUMIF(AA32:AA49,"=16742901",GL32:GL49),2)</f>
        <v>0</v>
      </c>
      <c r="CA51" s="2">
        <f>ROUND(SUMIF(AA32:AA49,"=16742901",GM32:GM49),2)</f>
        <v>40807.32</v>
      </c>
      <c r="CB51" s="2">
        <f>ROUND(SUMIF(AA32:AA49,"=16742901",GN32:GN49),2)</f>
        <v>40471.68</v>
      </c>
      <c r="CC51" s="2">
        <f>ROUND(SUMIF(AA32:AA49,"=16742901",GO32:GO49),2)</f>
        <v>335.64</v>
      </c>
      <c r="CD51" s="2">
        <f>ROUND(SUMIF(AA32:AA49,"=16742901",GP32:GP49),2)</f>
        <v>0</v>
      </c>
      <c r="CE51" s="2">
        <f>AC51-BX51</f>
        <v>1623.35</v>
      </c>
      <c r="CF51" s="2">
        <f>AC51-BY51</f>
        <v>1623.35</v>
      </c>
      <c r="CG51" s="2">
        <f>BX51-BZ51</f>
        <v>0</v>
      </c>
      <c r="CH51" s="2">
        <f>AC51-BX51-BY51+BZ51</f>
        <v>1623.35</v>
      </c>
      <c r="CI51" s="2">
        <f>BY51-BZ51</f>
        <v>0</v>
      </c>
      <c r="CJ51" s="2">
        <f>ROUND(SUMIF(AA32:AA49,"=16742901",GX32:GX49),2)</f>
        <v>0</v>
      </c>
      <c r="CK51" s="2">
        <f>ROUND(SUMIF(AA32:AA49,"=16742901",GY32:GY49),2)</f>
        <v>0</v>
      </c>
      <c r="CL51" s="2">
        <f>ROUND(SUMIF(AA32:AA49,"=16742901",GZ32:GZ49),2)</f>
        <v>0</v>
      </c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>
        <v>0</v>
      </c>
    </row>
    <row r="53" spans="1:245" x14ac:dyDescent="0.2">
      <c r="A53" s="4">
        <v>50</v>
      </c>
      <c r="B53" s="4">
        <v>0</v>
      </c>
      <c r="C53" s="4">
        <v>0</v>
      </c>
      <c r="D53" s="4">
        <v>1</v>
      </c>
      <c r="E53" s="4">
        <v>201</v>
      </c>
      <c r="F53" s="4">
        <f>ROUND(Source!O51,O53)</f>
        <v>18181.349999999999</v>
      </c>
      <c r="G53" s="4" t="s">
        <v>130</v>
      </c>
      <c r="H53" s="4" t="s">
        <v>131</v>
      </c>
      <c r="I53" s="4"/>
      <c r="J53" s="4"/>
      <c r="K53" s="4">
        <v>201</v>
      </c>
      <c r="L53" s="4">
        <v>1</v>
      </c>
      <c r="M53" s="4">
        <v>3</v>
      </c>
      <c r="N53" s="4" t="s">
        <v>6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45" x14ac:dyDescent="0.2">
      <c r="A54" s="4">
        <v>50</v>
      </c>
      <c r="B54" s="4">
        <v>0</v>
      </c>
      <c r="C54" s="4">
        <v>0</v>
      </c>
      <c r="D54" s="4">
        <v>1</v>
      </c>
      <c r="E54" s="4">
        <v>202</v>
      </c>
      <c r="F54" s="4">
        <f>ROUND(Source!P51,O54)</f>
        <v>1623.35</v>
      </c>
      <c r="G54" s="4" t="s">
        <v>132</v>
      </c>
      <c r="H54" s="4" t="s">
        <v>133</v>
      </c>
      <c r="I54" s="4"/>
      <c r="J54" s="4"/>
      <c r="K54" s="4">
        <v>202</v>
      </c>
      <c r="L54" s="4">
        <v>2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45" x14ac:dyDescent="0.2">
      <c r="A55" s="4">
        <v>50</v>
      </c>
      <c r="B55" s="4">
        <v>0</v>
      </c>
      <c r="C55" s="4">
        <v>0</v>
      </c>
      <c r="D55" s="4">
        <v>1</v>
      </c>
      <c r="E55" s="4">
        <v>222</v>
      </c>
      <c r="F55" s="4">
        <f>ROUND(Source!AO51,O55)</f>
        <v>0</v>
      </c>
      <c r="G55" s="4" t="s">
        <v>134</v>
      </c>
      <c r="H55" s="4" t="s">
        <v>135</v>
      </c>
      <c r="I55" s="4"/>
      <c r="J55" s="4"/>
      <c r="K55" s="4">
        <v>222</v>
      </c>
      <c r="L55" s="4">
        <v>3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45" x14ac:dyDescent="0.2">
      <c r="A56" s="4">
        <v>50</v>
      </c>
      <c r="B56" s="4">
        <v>0</v>
      </c>
      <c r="C56" s="4">
        <v>0</v>
      </c>
      <c r="D56" s="4">
        <v>1</v>
      </c>
      <c r="E56" s="4">
        <v>225</v>
      </c>
      <c r="F56" s="4">
        <f>ROUND(Source!AV51,O56)</f>
        <v>1623.35</v>
      </c>
      <c r="G56" s="4" t="s">
        <v>136</v>
      </c>
      <c r="H56" s="4" t="s">
        <v>137</v>
      </c>
      <c r="I56" s="4"/>
      <c r="J56" s="4"/>
      <c r="K56" s="4">
        <v>225</v>
      </c>
      <c r="L56" s="4">
        <v>4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45" x14ac:dyDescent="0.2">
      <c r="A57" s="4">
        <v>50</v>
      </c>
      <c r="B57" s="4">
        <v>0</v>
      </c>
      <c r="C57" s="4">
        <v>0</v>
      </c>
      <c r="D57" s="4">
        <v>1</v>
      </c>
      <c r="E57" s="4">
        <v>226</v>
      </c>
      <c r="F57" s="4">
        <f>ROUND(Source!AW51,O57)</f>
        <v>1623.35</v>
      </c>
      <c r="G57" s="4" t="s">
        <v>138</v>
      </c>
      <c r="H57" s="4" t="s">
        <v>139</v>
      </c>
      <c r="I57" s="4"/>
      <c r="J57" s="4"/>
      <c r="K57" s="4">
        <v>226</v>
      </c>
      <c r="L57" s="4">
        <v>5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45" x14ac:dyDescent="0.2">
      <c r="A58" s="4">
        <v>50</v>
      </c>
      <c r="B58" s="4">
        <v>0</v>
      </c>
      <c r="C58" s="4">
        <v>0</v>
      </c>
      <c r="D58" s="4">
        <v>1</v>
      </c>
      <c r="E58" s="4">
        <v>227</v>
      </c>
      <c r="F58" s="4">
        <f>ROUND(Source!AX51,O58)</f>
        <v>0</v>
      </c>
      <c r="G58" s="4" t="s">
        <v>140</v>
      </c>
      <c r="H58" s="4" t="s">
        <v>141</v>
      </c>
      <c r="I58" s="4"/>
      <c r="J58" s="4"/>
      <c r="K58" s="4">
        <v>227</v>
      </c>
      <c r="L58" s="4">
        <v>6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45" x14ac:dyDescent="0.2">
      <c r="A59" s="4">
        <v>50</v>
      </c>
      <c r="B59" s="4">
        <v>0</v>
      </c>
      <c r="C59" s="4">
        <v>0</v>
      </c>
      <c r="D59" s="4">
        <v>1</v>
      </c>
      <c r="E59" s="4">
        <v>228</v>
      </c>
      <c r="F59" s="4">
        <f>ROUND(Source!AY51,O59)</f>
        <v>1623.35</v>
      </c>
      <c r="G59" s="4" t="s">
        <v>142</v>
      </c>
      <c r="H59" s="4" t="s">
        <v>143</v>
      </c>
      <c r="I59" s="4"/>
      <c r="J59" s="4"/>
      <c r="K59" s="4">
        <v>228</v>
      </c>
      <c r="L59" s="4">
        <v>7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45" x14ac:dyDescent="0.2">
      <c r="A60" s="4">
        <v>50</v>
      </c>
      <c r="B60" s="4">
        <v>0</v>
      </c>
      <c r="C60" s="4">
        <v>0</v>
      </c>
      <c r="D60" s="4">
        <v>1</v>
      </c>
      <c r="E60" s="4">
        <v>216</v>
      </c>
      <c r="F60" s="4">
        <f>ROUND(Source!AP51,O60)</f>
        <v>0</v>
      </c>
      <c r="G60" s="4" t="s">
        <v>144</v>
      </c>
      <c r="H60" s="4" t="s">
        <v>145</v>
      </c>
      <c r="I60" s="4"/>
      <c r="J60" s="4"/>
      <c r="K60" s="4">
        <v>216</v>
      </c>
      <c r="L60" s="4">
        <v>8</v>
      </c>
      <c r="M60" s="4">
        <v>3</v>
      </c>
      <c r="N60" s="4" t="s">
        <v>6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45" x14ac:dyDescent="0.2">
      <c r="A61" s="4">
        <v>50</v>
      </c>
      <c r="B61" s="4">
        <v>0</v>
      </c>
      <c r="C61" s="4">
        <v>0</v>
      </c>
      <c r="D61" s="4">
        <v>1</v>
      </c>
      <c r="E61" s="4">
        <v>223</v>
      </c>
      <c r="F61" s="4">
        <f>ROUND(Source!AQ51,O61)</f>
        <v>0</v>
      </c>
      <c r="G61" s="4" t="s">
        <v>146</v>
      </c>
      <c r="H61" s="4" t="s">
        <v>147</v>
      </c>
      <c r="I61" s="4"/>
      <c r="J61" s="4"/>
      <c r="K61" s="4">
        <v>223</v>
      </c>
      <c r="L61" s="4">
        <v>9</v>
      </c>
      <c r="M61" s="4">
        <v>3</v>
      </c>
      <c r="N61" s="4" t="s">
        <v>6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45" x14ac:dyDescent="0.2">
      <c r="A62" s="4">
        <v>50</v>
      </c>
      <c r="B62" s="4">
        <v>0</v>
      </c>
      <c r="C62" s="4">
        <v>0</v>
      </c>
      <c r="D62" s="4">
        <v>1</v>
      </c>
      <c r="E62" s="4">
        <v>229</v>
      </c>
      <c r="F62" s="4">
        <f>ROUND(Source!AZ51,O62)</f>
        <v>0</v>
      </c>
      <c r="G62" s="4" t="s">
        <v>148</v>
      </c>
      <c r="H62" s="4" t="s">
        <v>149</v>
      </c>
      <c r="I62" s="4"/>
      <c r="J62" s="4"/>
      <c r="K62" s="4">
        <v>229</v>
      </c>
      <c r="L62" s="4">
        <v>10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45" x14ac:dyDescent="0.2">
      <c r="A63" s="4">
        <v>50</v>
      </c>
      <c r="B63" s="4">
        <v>0</v>
      </c>
      <c r="C63" s="4">
        <v>0</v>
      </c>
      <c r="D63" s="4">
        <v>1</v>
      </c>
      <c r="E63" s="4">
        <v>203</v>
      </c>
      <c r="F63" s="4">
        <f>ROUND(Source!Q51,O63)</f>
        <v>1766.67</v>
      </c>
      <c r="G63" s="4" t="s">
        <v>150</v>
      </c>
      <c r="H63" s="4" t="s">
        <v>151</v>
      </c>
      <c r="I63" s="4"/>
      <c r="J63" s="4"/>
      <c r="K63" s="4">
        <v>203</v>
      </c>
      <c r="L63" s="4">
        <v>11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45" x14ac:dyDescent="0.2">
      <c r="A64" s="4">
        <v>50</v>
      </c>
      <c r="B64" s="4">
        <v>0</v>
      </c>
      <c r="C64" s="4">
        <v>0</v>
      </c>
      <c r="D64" s="4">
        <v>1</v>
      </c>
      <c r="E64" s="4">
        <v>231</v>
      </c>
      <c r="F64" s="4">
        <f>ROUND(Source!BB51,O64)</f>
        <v>0</v>
      </c>
      <c r="G64" s="4" t="s">
        <v>152</v>
      </c>
      <c r="H64" s="4" t="s">
        <v>153</v>
      </c>
      <c r="I64" s="4"/>
      <c r="J64" s="4"/>
      <c r="K64" s="4">
        <v>231</v>
      </c>
      <c r="L64" s="4">
        <v>12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88" x14ac:dyDescent="0.2">
      <c r="A65" s="4">
        <v>50</v>
      </c>
      <c r="B65" s="4">
        <v>0</v>
      </c>
      <c r="C65" s="4">
        <v>0</v>
      </c>
      <c r="D65" s="4">
        <v>1</v>
      </c>
      <c r="E65" s="4">
        <v>204</v>
      </c>
      <c r="F65" s="4">
        <f>ROUND(Source!R51,O65)</f>
        <v>469.24</v>
      </c>
      <c r="G65" s="4" t="s">
        <v>154</v>
      </c>
      <c r="H65" s="4" t="s">
        <v>155</v>
      </c>
      <c r="I65" s="4"/>
      <c r="J65" s="4"/>
      <c r="K65" s="4">
        <v>204</v>
      </c>
      <c r="L65" s="4">
        <v>13</v>
      </c>
      <c r="M65" s="4">
        <v>3</v>
      </c>
      <c r="N65" s="4" t="s">
        <v>6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88" x14ac:dyDescent="0.2">
      <c r="A66" s="4">
        <v>50</v>
      </c>
      <c r="B66" s="4">
        <v>0</v>
      </c>
      <c r="C66" s="4">
        <v>0</v>
      </c>
      <c r="D66" s="4">
        <v>1</v>
      </c>
      <c r="E66" s="4">
        <v>205</v>
      </c>
      <c r="F66" s="4">
        <f>ROUND(Source!S51,O66)</f>
        <v>14791.33</v>
      </c>
      <c r="G66" s="4" t="s">
        <v>156</v>
      </c>
      <c r="H66" s="4" t="s">
        <v>157</v>
      </c>
      <c r="I66" s="4"/>
      <c r="J66" s="4"/>
      <c r="K66" s="4">
        <v>205</v>
      </c>
      <c r="L66" s="4">
        <v>14</v>
      </c>
      <c r="M66" s="4">
        <v>3</v>
      </c>
      <c r="N66" s="4" t="s">
        <v>6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88" x14ac:dyDescent="0.2">
      <c r="A67" s="4">
        <v>50</v>
      </c>
      <c r="B67" s="4">
        <v>0</v>
      </c>
      <c r="C67" s="4">
        <v>0</v>
      </c>
      <c r="D67" s="4">
        <v>1</v>
      </c>
      <c r="E67" s="4">
        <v>232</v>
      </c>
      <c r="F67" s="4">
        <f>ROUND(Source!BC51,O67)</f>
        <v>0</v>
      </c>
      <c r="G67" s="4" t="s">
        <v>158</v>
      </c>
      <c r="H67" s="4" t="s">
        <v>159</v>
      </c>
      <c r="I67" s="4"/>
      <c r="J67" s="4"/>
      <c r="K67" s="4">
        <v>232</v>
      </c>
      <c r="L67" s="4">
        <v>15</v>
      </c>
      <c r="M67" s="4">
        <v>3</v>
      </c>
      <c r="N67" s="4" t="s">
        <v>6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88" x14ac:dyDescent="0.2">
      <c r="A68" s="4">
        <v>50</v>
      </c>
      <c r="B68" s="4">
        <v>0</v>
      </c>
      <c r="C68" s="4">
        <v>0</v>
      </c>
      <c r="D68" s="4">
        <v>1</v>
      </c>
      <c r="E68" s="4">
        <v>214</v>
      </c>
      <c r="F68" s="4">
        <f>ROUND(Source!AS51,O68)</f>
        <v>40471.68</v>
      </c>
      <c r="G68" s="4" t="s">
        <v>160</v>
      </c>
      <c r="H68" s="4" t="s">
        <v>161</v>
      </c>
      <c r="I68" s="4"/>
      <c r="J68" s="4"/>
      <c r="K68" s="4">
        <v>214</v>
      </c>
      <c r="L68" s="4">
        <v>16</v>
      </c>
      <c r="M68" s="4">
        <v>3</v>
      </c>
      <c r="N68" s="4" t="s">
        <v>6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88" x14ac:dyDescent="0.2">
      <c r="A69" s="4">
        <v>50</v>
      </c>
      <c r="B69" s="4">
        <v>0</v>
      </c>
      <c r="C69" s="4">
        <v>0</v>
      </c>
      <c r="D69" s="4">
        <v>1</v>
      </c>
      <c r="E69" s="4">
        <v>215</v>
      </c>
      <c r="F69" s="4">
        <f>ROUND(Source!AT51,O69)</f>
        <v>335.64</v>
      </c>
      <c r="G69" s="4" t="s">
        <v>162</v>
      </c>
      <c r="H69" s="4" t="s">
        <v>163</v>
      </c>
      <c r="I69" s="4"/>
      <c r="J69" s="4"/>
      <c r="K69" s="4">
        <v>215</v>
      </c>
      <c r="L69" s="4">
        <v>17</v>
      </c>
      <c r="M69" s="4">
        <v>3</v>
      </c>
      <c r="N69" s="4" t="s">
        <v>6</v>
      </c>
      <c r="O69" s="4">
        <v>2</v>
      </c>
      <c r="P69" s="4"/>
      <c r="Q69" s="4"/>
      <c r="R69" s="4"/>
      <c r="S69" s="4"/>
      <c r="T69" s="4"/>
      <c r="U69" s="4"/>
      <c r="V69" s="4"/>
      <c r="W69" s="4"/>
    </row>
    <row r="70" spans="1:88" x14ac:dyDescent="0.2">
      <c r="A70" s="4">
        <v>50</v>
      </c>
      <c r="B70" s="4">
        <v>0</v>
      </c>
      <c r="C70" s="4">
        <v>0</v>
      </c>
      <c r="D70" s="4">
        <v>1</v>
      </c>
      <c r="E70" s="4">
        <v>217</v>
      </c>
      <c r="F70" s="4">
        <f>ROUND(Source!AU51,O70)</f>
        <v>0</v>
      </c>
      <c r="G70" s="4" t="s">
        <v>164</v>
      </c>
      <c r="H70" s="4" t="s">
        <v>165</v>
      </c>
      <c r="I70" s="4"/>
      <c r="J70" s="4"/>
      <c r="K70" s="4">
        <v>217</v>
      </c>
      <c r="L70" s="4">
        <v>18</v>
      </c>
      <c r="M70" s="4">
        <v>3</v>
      </c>
      <c r="N70" s="4" t="s">
        <v>6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88" x14ac:dyDescent="0.2">
      <c r="A71" s="4">
        <v>50</v>
      </c>
      <c r="B71" s="4">
        <v>0</v>
      </c>
      <c r="C71" s="4">
        <v>0</v>
      </c>
      <c r="D71" s="4">
        <v>1</v>
      </c>
      <c r="E71" s="4">
        <v>230</v>
      </c>
      <c r="F71" s="4">
        <f>ROUND(Source!BA51,O71)</f>
        <v>0</v>
      </c>
      <c r="G71" s="4" t="s">
        <v>166</v>
      </c>
      <c r="H71" s="4" t="s">
        <v>167</v>
      </c>
      <c r="I71" s="4"/>
      <c r="J71" s="4"/>
      <c r="K71" s="4">
        <v>230</v>
      </c>
      <c r="L71" s="4">
        <v>19</v>
      </c>
      <c r="M71" s="4">
        <v>3</v>
      </c>
      <c r="N71" s="4" t="s">
        <v>6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88" x14ac:dyDescent="0.2">
      <c r="A72" s="4">
        <v>50</v>
      </c>
      <c r="B72" s="4">
        <v>0</v>
      </c>
      <c r="C72" s="4">
        <v>0</v>
      </c>
      <c r="D72" s="4">
        <v>1</v>
      </c>
      <c r="E72" s="4">
        <v>206</v>
      </c>
      <c r="F72" s="4">
        <f>ROUND(Source!T51,O72)</f>
        <v>0</v>
      </c>
      <c r="G72" s="4" t="s">
        <v>168</v>
      </c>
      <c r="H72" s="4" t="s">
        <v>169</v>
      </c>
      <c r="I72" s="4"/>
      <c r="J72" s="4"/>
      <c r="K72" s="4">
        <v>206</v>
      </c>
      <c r="L72" s="4">
        <v>20</v>
      </c>
      <c r="M72" s="4">
        <v>3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88" x14ac:dyDescent="0.2">
      <c r="A73" s="4">
        <v>50</v>
      </c>
      <c r="B73" s="4">
        <v>0</v>
      </c>
      <c r="C73" s="4">
        <v>0</v>
      </c>
      <c r="D73" s="4">
        <v>1</v>
      </c>
      <c r="E73" s="4">
        <v>207</v>
      </c>
      <c r="F73" s="4">
        <f>Source!U51</f>
        <v>279.49097920000003</v>
      </c>
      <c r="G73" s="4" t="s">
        <v>170</v>
      </c>
      <c r="H73" s="4" t="s">
        <v>171</v>
      </c>
      <c r="I73" s="4"/>
      <c r="J73" s="4"/>
      <c r="K73" s="4">
        <v>207</v>
      </c>
      <c r="L73" s="4">
        <v>21</v>
      </c>
      <c r="M73" s="4">
        <v>3</v>
      </c>
      <c r="N73" s="4" t="s">
        <v>6</v>
      </c>
      <c r="O73" s="4">
        <v>-1</v>
      </c>
      <c r="P73" s="4"/>
      <c r="Q73" s="4"/>
      <c r="R73" s="4"/>
      <c r="S73" s="4"/>
      <c r="T73" s="4"/>
      <c r="U73" s="4"/>
      <c r="V73" s="4"/>
      <c r="W73" s="4"/>
    </row>
    <row r="74" spans="1:88" x14ac:dyDescent="0.2">
      <c r="A74" s="4">
        <v>50</v>
      </c>
      <c r="B74" s="4">
        <v>0</v>
      </c>
      <c r="C74" s="4">
        <v>0</v>
      </c>
      <c r="D74" s="4">
        <v>1</v>
      </c>
      <c r="E74" s="4">
        <v>208</v>
      </c>
      <c r="F74" s="4">
        <f>Source!V51</f>
        <v>5.3155979999999996</v>
      </c>
      <c r="G74" s="4" t="s">
        <v>172</v>
      </c>
      <c r="H74" s="4" t="s">
        <v>173</v>
      </c>
      <c r="I74" s="4"/>
      <c r="J74" s="4"/>
      <c r="K74" s="4">
        <v>208</v>
      </c>
      <c r="L74" s="4">
        <v>22</v>
      </c>
      <c r="M74" s="4">
        <v>3</v>
      </c>
      <c r="N74" s="4" t="s">
        <v>6</v>
      </c>
      <c r="O74" s="4">
        <v>-1</v>
      </c>
      <c r="P74" s="4"/>
      <c r="Q74" s="4"/>
      <c r="R74" s="4"/>
      <c r="S74" s="4"/>
      <c r="T74" s="4"/>
      <c r="U74" s="4"/>
      <c r="V74" s="4"/>
      <c r="W74" s="4"/>
    </row>
    <row r="75" spans="1:88" x14ac:dyDescent="0.2">
      <c r="A75" s="4">
        <v>50</v>
      </c>
      <c r="B75" s="4">
        <v>0</v>
      </c>
      <c r="C75" s="4">
        <v>0</v>
      </c>
      <c r="D75" s="4">
        <v>1</v>
      </c>
      <c r="E75" s="4">
        <v>209</v>
      </c>
      <c r="F75" s="4">
        <f>ROUND(Source!W51,O75)</f>
        <v>0</v>
      </c>
      <c r="G75" s="4" t="s">
        <v>174</v>
      </c>
      <c r="H75" s="4" t="s">
        <v>175</v>
      </c>
      <c r="I75" s="4"/>
      <c r="J75" s="4"/>
      <c r="K75" s="4">
        <v>209</v>
      </c>
      <c r="L75" s="4">
        <v>23</v>
      </c>
      <c r="M75" s="4">
        <v>3</v>
      </c>
      <c r="N75" s="4" t="s">
        <v>6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88" x14ac:dyDescent="0.2">
      <c r="A76" s="4">
        <v>50</v>
      </c>
      <c r="B76" s="4">
        <v>0</v>
      </c>
      <c r="C76" s="4">
        <v>0</v>
      </c>
      <c r="D76" s="4">
        <v>1</v>
      </c>
      <c r="E76" s="4">
        <v>210</v>
      </c>
      <c r="F76" s="4">
        <f>ROUND(Source!X51,O76)</f>
        <v>13384.49</v>
      </c>
      <c r="G76" s="4" t="s">
        <v>176</v>
      </c>
      <c r="H76" s="4" t="s">
        <v>177</v>
      </c>
      <c r="I76" s="4"/>
      <c r="J76" s="4"/>
      <c r="K76" s="4">
        <v>210</v>
      </c>
      <c r="L76" s="4">
        <v>24</v>
      </c>
      <c r="M76" s="4">
        <v>3</v>
      </c>
      <c r="N76" s="4" t="s">
        <v>6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88" x14ac:dyDescent="0.2">
      <c r="A77" s="4">
        <v>50</v>
      </c>
      <c r="B77" s="4">
        <v>0</v>
      </c>
      <c r="C77" s="4">
        <v>0</v>
      </c>
      <c r="D77" s="4">
        <v>1</v>
      </c>
      <c r="E77" s="4">
        <v>211</v>
      </c>
      <c r="F77" s="4">
        <f>ROUND(Source!Y51,O77)</f>
        <v>9241.48</v>
      </c>
      <c r="G77" s="4" t="s">
        <v>178</v>
      </c>
      <c r="H77" s="4" t="s">
        <v>179</v>
      </c>
      <c r="I77" s="4"/>
      <c r="J77" s="4"/>
      <c r="K77" s="4">
        <v>211</v>
      </c>
      <c r="L77" s="4">
        <v>25</v>
      </c>
      <c r="M77" s="4">
        <v>3</v>
      </c>
      <c r="N77" s="4" t="s">
        <v>6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88" x14ac:dyDescent="0.2">
      <c r="A78" s="4">
        <v>50</v>
      </c>
      <c r="B78" s="4">
        <v>0</v>
      </c>
      <c r="C78" s="4">
        <v>0</v>
      </c>
      <c r="D78" s="4">
        <v>1</v>
      </c>
      <c r="E78" s="4">
        <v>224</v>
      </c>
      <c r="F78" s="4">
        <f>ROUND(Source!AR51,O78)</f>
        <v>40807.32</v>
      </c>
      <c r="G78" s="4" t="s">
        <v>180</v>
      </c>
      <c r="H78" s="4" t="s">
        <v>181</v>
      </c>
      <c r="I78" s="4"/>
      <c r="J78" s="4"/>
      <c r="K78" s="4">
        <v>224</v>
      </c>
      <c r="L78" s="4">
        <v>26</v>
      </c>
      <c r="M78" s="4">
        <v>3</v>
      </c>
      <c r="N78" s="4" t="s">
        <v>6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80" spans="1:88" x14ac:dyDescent="0.2">
      <c r="A80" s="1">
        <v>5</v>
      </c>
      <c r="B80" s="1">
        <v>1</v>
      </c>
      <c r="C80" s="1"/>
      <c r="D80" s="1">
        <f>ROW(A218)</f>
        <v>218</v>
      </c>
      <c r="E80" s="1"/>
      <c r="F80" s="1" t="s">
        <v>15</v>
      </c>
      <c r="G80" s="1" t="s">
        <v>182</v>
      </c>
      <c r="H80" s="1" t="s">
        <v>6</v>
      </c>
      <c r="I80" s="1">
        <v>0</v>
      </c>
      <c r="J80" s="1"/>
      <c r="K80" s="1">
        <v>0</v>
      </c>
      <c r="L80" s="1"/>
      <c r="M80" s="1"/>
      <c r="N80" s="1"/>
      <c r="O80" s="1"/>
      <c r="P80" s="1"/>
      <c r="Q80" s="1"/>
      <c r="R80" s="1"/>
      <c r="S80" s="1"/>
      <c r="T80" s="1"/>
      <c r="U80" s="1" t="s">
        <v>6</v>
      </c>
      <c r="V80" s="1">
        <v>0</v>
      </c>
      <c r="W80" s="1"/>
      <c r="X80" s="1"/>
      <c r="Y80" s="1"/>
      <c r="Z80" s="1"/>
      <c r="AA80" s="1"/>
      <c r="AB80" s="1" t="s">
        <v>6</v>
      </c>
      <c r="AC80" s="1" t="s">
        <v>6</v>
      </c>
      <c r="AD80" s="1" t="s">
        <v>6</v>
      </c>
      <c r="AE80" s="1" t="s">
        <v>6</v>
      </c>
      <c r="AF80" s="1" t="s">
        <v>6</v>
      </c>
      <c r="AG80" s="1" t="s">
        <v>6</v>
      </c>
      <c r="AH80" s="1"/>
      <c r="AI80" s="1"/>
      <c r="AJ80" s="1"/>
      <c r="AK80" s="1"/>
      <c r="AL80" s="1"/>
      <c r="AM80" s="1"/>
      <c r="AN80" s="1"/>
      <c r="AO80" s="1"/>
      <c r="AP80" s="1" t="s">
        <v>6</v>
      </c>
      <c r="AQ80" s="1" t="s">
        <v>6</v>
      </c>
      <c r="AR80" s="1" t="s">
        <v>6</v>
      </c>
      <c r="AS80" s="1"/>
      <c r="AT80" s="1"/>
      <c r="AU80" s="1"/>
      <c r="AV80" s="1"/>
      <c r="AW80" s="1"/>
      <c r="AX80" s="1"/>
      <c r="AY80" s="1"/>
      <c r="AZ80" s="1" t="s">
        <v>6</v>
      </c>
      <c r="BA80" s="1"/>
      <c r="BB80" s="1" t="s">
        <v>6</v>
      </c>
      <c r="BC80" s="1" t="s">
        <v>6</v>
      </c>
      <c r="BD80" s="1" t="s">
        <v>6</v>
      </c>
      <c r="BE80" s="1" t="s">
        <v>6</v>
      </c>
      <c r="BF80" s="1" t="s">
        <v>6</v>
      </c>
      <c r="BG80" s="1" t="s">
        <v>6</v>
      </c>
      <c r="BH80" s="1" t="s">
        <v>6</v>
      </c>
      <c r="BI80" s="1" t="s">
        <v>6</v>
      </c>
      <c r="BJ80" s="1" t="s">
        <v>6</v>
      </c>
      <c r="BK80" s="1" t="s">
        <v>6</v>
      </c>
      <c r="BL80" s="1" t="s">
        <v>6</v>
      </c>
      <c r="BM80" s="1" t="s">
        <v>6</v>
      </c>
      <c r="BN80" s="1" t="s">
        <v>6</v>
      </c>
      <c r="BO80" s="1" t="s">
        <v>6</v>
      </c>
      <c r="BP80" s="1" t="s">
        <v>6</v>
      </c>
      <c r="BQ80" s="1"/>
      <c r="BR80" s="1"/>
      <c r="BS80" s="1"/>
      <c r="BT80" s="1"/>
      <c r="BU80" s="1"/>
      <c r="BV80" s="1"/>
      <c r="BW80" s="1"/>
      <c r="BX80" s="1">
        <v>0</v>
      </c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>
        <v>0</v>
      </c>
    </row>
    <row r="82" spans="1:245" x14ac:dyDescent="0.2">
      <c r="A82" s="2">
        <v>52</v>
      </c>
      <c r="B82" s="2">
        <f t="shared" ref="B82:G82" si="71">B218</f>
        <v>1</v>
      </c>
      <c r="C82" s="2">
        <f t="shared" si="71"/>
        <v>5</v>
      </c>
      <c r="D82" s="2">
        <f t="shared" si="71"/>
        <v>80</v>
      </c>
      <c r="E82" s="2">
        <f t="shared" si="71"/>
        <v>0</v>
      </c>
      <c r="F82" s="2" t="str">
        <f t="shared" si="71"/>
        <v>Новый подраздел</v>
      </c>
      <c r="G82" s="2" t="str">
        <f t="shared" si="71"/>
        <v>2 Монтаж</v>
      </c>
      <c r="H82" s="2"/>
      <c r="I82" s="2"/>
      <c r="J82" s="2"/>
      <c r="K82" s="2"/>
      <c r="L82" s="2"/>
      <c r="M82" s="2"/>
      <c r="N82" s="2"/>
      <c r="O82" s="2">
        <f t="shared" ref="O82:AT82" si="72">O218</f>
        <v>2208459.1800000002</v>
      </c>
      <c r="P82" s="2">
        <f t="shared" si="72"/>
        <v>2063815.95</v>
      </c>
      <c r="Q82" s="2">
        <f t="shared" si="72"/>
        <v>17099.669999999998</v>
      </c>
      <c r="R82" s="2">
        <f t="shared" si="72"/>
        <v>4149.62</v>
      </c>
      <c r="S82" s="2">
        <f t="shared" si="72"/>
        <v>127543.56</v>
      </c>
      <c r="T82" s="2">
        <f t="shared" si="72"/>
        <v>0</v>
      </c>
      <c r="U82" s="2">
        <f t="shared" si="72"/>
        <v>2197.9298084500001</v>
      </c>
      <c r="V82" s="2">
        <f t="shared" si="72"/>
        <v>54.873058499999992</v>
      </c>
      <c r="W82" s="2">
        <f t="shared" si="72"/>
        <v>0</v>
      </c>
      <c r="X82" s="2">
        <f t="shared" si="72"/>
        <v>124201.83</v>
      </c>
      <c r="Y82" s="2">
        <f t="shared" si="72"/>
        <v>69923.56</v>
      </c>
      <c r="Z82" s="2">
        <f t="shared" si="72"/>
        <v>0</v>
      </c>
      <c r="AA82" s="2">
        <f t="shared" si="72"/>
        <v>0</v>
      </c>
      <c r="AB82" s="2">
        <f t="shared" si="72"/>
        <v>2208459.1800000002</v>
      </c>
      <c r="AC82" s="2">
        <f t="shared" si="72"/>
        <v>2063815.95</v>
      </c>
      <c r="AD82" s="2">
        <f t="shared" si="72"/>
        <v>17099.669999999998</v>
      </c>
      <c r="AE82" s="2">
        <f t="shared" si="72"/>
        <v>4149.62</v>
      </c>
      <c r="AF82" s="2">
        <f t="shared" si="72"/>
        <v>127543.56</v>
      </c>
      <c r="AG82" s="2">
        <f t="shared" si="72"/>
        <v>0</v>
      </c>
      <c r="AH82" s="2">
        <f t="shared" si="72"/>
        <v>2197.9298084500001</v>
      </c>
      <c r="AI82" s="2">
        <f t="shared" si="72"/>
        <v>54.873058499999992</v>
      </c>
      <c r="AJ82" s="2">
        <f t="shared" si="72"/>
        <v>0</v>
      </c>
      <c r="AK82" s="2">
        <f t="shared" si="72"/>
        <v>124201.83</v>
      </c>
      <c r="AL82" s="2">
        <f t="shared" si="72"/>
        <v>69923.56</v>
      </c>
      <c r="AM82" s="2">
        <f t="shared" si="72"/>
        <v>0</v>
      </c>
      <c r="AN82" s="2">
        <f t="shared" si="72"/>
        <v>0</v>
      </c>
      <c r="AO82" s="2">
        <f t="shared" si="72"/>
        <v>0</v>
      </c>
      <c r="AP82" s="2">
        <f t="shared" si="72"/>
        <v>0</v>
      </c>
      <c r="AQ82" s="2">
        <f t="shared" si="72"/>
        <v>0</v>
      </c>
      <c r="AR82" s="2">
        <f t="shared" si="72"/>
        <v>2415298.63</v>
      </c>
      <c r="AS82" s="2">
        <f t="shared" si="72"/>
        <v>2415298.63</v>
      </c>
      <c r="AT82" s="2">
        <f t="shared" si="72"/>
        <v>0</v>
      </c>
      <c r="AU82" s="2">
        <f t="shared" ref="AU82:BZ82" si="73">AU218</f>
        <v>0</v>
      </c>
      <c r="AV82" s="2">
        <f t="shared" si="73"/>
        <v>2063815.95</v>
      </c>
      <c r="AW82" s="2">
        <f t="shared" si="73"/>
        <v>2063815.95</v>
      </c>
      <c r="AX82" s="2">
        <f t="shared" si="73"/>
        <v>0</v>
      </c>
      <c r="AY82" s="2">
        <f t="shared" si="73"/>
        <v>2063815.95</v>
      </c>
      <c r="AZ82" s="2">
        <f t="shared" si="73"/>
        <v>0</v>
      </c>
      <c r="BA82" s="2">
        <f t="shared" si="73"/>
        <v>0</v>
      </c>
      <c r="BB82" s="2">
        <f t="shared" si="73"/>
        <v>0</v>
      </c>
      <c r="BC82" s="2">
        <f t="shared" si="73"/>
        <v>0</v>
      </c>
      <c r="BD82" s="2">
        <f t="shared" si="73"/>
        <v>0</v>
      </c>
      <c r="BE82" s="2">
        <f t="shared" si="73"/>
        <v>0</v>
      </c>
      <c r="BF82" s="2">
        <f t="shared" si="73"/>
        <v>0</v>
      </c>
      <c r="BG82" s="2">
        <f t="shared" si="73"/>
        <v>0</v>
      </c>
      <c r="BH82" s="2">
        <f t="shared" si="73"/>
        <v>0</v>
      </c>
      <c r="BI82" s="2">
        <f t="shared" si="73"/>
        <v>0</v>
      </c>
      <c r="BJ82" s="2">
        <f t="shared" si="73"/>
        <v>0</v>
      </c>
      <c r="BK82" s="2">
        <f t="shared" si="73"/>
        <v>0</v>
      </c>
      <c r="BL82" s="2">
        <f t="shared" si="73"/>
        <v>0</v>
      </c>
      <c r="BM82" s="2">
        <f t="shared" si="73"/>
        <v>0</v>
      </c>
      <c r="BN82" s="2">
        <f t="shared" si="73"/>
        <v>0</v>
      </c>
      <c r="BO82" s="2">
        <f t="shared" si="73"/>
        <v>0</v>
      </c>
      <c r="BP82" s="2">
        <f t="shared" si="73"/>
        <v>0</v>
      </c>
      <c r="BQ82" s="2">
        <f t="shared" si="73"/>
        <v>0</v>
      </c>
      <c r="BR82" s="2">
        <f t="shared" si="73"/>
        <v>0</v>
      </c>
      <c r="BS82" s="2">
        <f t="shared" si="73"/>
        <v>0</v>
      </c>
      <c r="BT82" s="2">
        <f t="shared" si="73"/>
        <v>0</v>
      </c>
      <c r="BU82" s="2">
        <f t="shared" si="73"/>
        <v>0</v>
      </c>
      <c r="BV82" s="2">
        <f t="shared" si="73"/>
        <v>0</v>
      </c>
      <c r="BW82" s="2">
        <f t="shared" si="73"/>
        <v>0</v>
      </c>
      <c r="BX82" s="2">
        <f t="shared" si="73"/>
        <v>0</v>
      </c>
      <c r="BY82" s="2">
        <f t="shared" si="73"/>
        <v>0</v>
      </c>
      <c r="BZ82" s="2">
        <f t="shared" si="73"/>
        <v>0</v>
      </c>
      <c r="CA82" s="2">
        <f t="shared" ref="CA82:DF82" si="74">CA218</f>
        <v>2415298.63</v>
      </c>
      <c r="CB82" s="2">
        <f t="shared" si="74"/>
        <v>2415298.63</v>
      </c>
      <c r="CC82" s="2">
        <f t="shared" si="74"/>
        <v>0</v>
      </c>
      <c r="CD82" s="2">
        <f t="shared" si="74"/>
        <v>0</v>
      </c>
      <c r="CE82" s="2">
        <f t="shared" si="74"/>
        <v>2063815.95</v>
      </c>
      <c r="CF82" s="2">
        <f t="shared" si="74"/>
        <v>2063815.95</v>
      </c>
      <c r="CG82" s="2">
        <f t="shared" si="74"/>
        <v>0</v>
      </c>
      <c r="CH82" s="2">
        <f t="shared" si="74"/>
        <v>2063815.95</v>
      </c>
      <c r="CI82" s="2">
        <f t="shared" si="74"/>
        <v>0</v>
      </c>
      <c r="CJ82" s="2">
        <f t="shared" si="74"/>
        <v>0</v>
      </c>
      <c r="CK82" s="2">
        <f t="shared" si="74"/>
        <v>0</v>
      </c>
      <c r="CL82" s="2">
        <f t="shared" si="74"/>
        <v>0</v>
      </c>
      <c r="CM82" s="2">
        <f t="shared" si="74"/>
        <v>0</v>
      </c>
      <c r="CN82" s="2">
        <f t="shared" si="74"/>
        <v>0</v>
      </c>
      <c r="CO82" s="2">
        <f t="shared" si="74"/>
        <v>0</v>
      </c>
      <c r="CP82" s="2">
        <f t="shared" si="74"/>
        <v>0</v>
      </c>
      <c r="CQ82" s="2">
        <f t="shared" si="74"/>
        <v>0</v>
      </c>
      <c r="CR82" s="2">
        <f t="shared" si="74"/>
        <v>0</v>
      </c>
      <c r="CS82" s="2">
        <f t="shared" si="74"/>
        <v>0</v>
      </c>
      <c r="CT82" s="2">
        <f t="shared" si="74"/>
        <v>0</v>
      </c>
      <c r="CU82" s="2">
        <f t="shared" si="74"/>
        <v>0</v>
      </c>
      <c r="CV82" s="2">
        <f t="shared" si="74"/>
        <v>0</v>
      </c>
      <c r="CW82" s="2">
        <f t="shared" si="74"/>
        <v>0</v>
      </c>
      <c r="CX82" s="2">
        <f t="shared" si="74"/>
        <v>0</v>
      </c>
      <c r="CY82" s="2">
        <f t="shared" si="74"/>
        <v>0</v>
      </c>
      <c r="CZ82" s="2">
        <f t="shared" si="74"/>
        <v>0</v>
      </c>
      <c r="DA82" s="2">
        <f t="shared" si="74"/>
        <v>0</v>
      </c>
      <c r="DB82" s="2">
        <f t="shared" si="74"/>
        <v>0</v>
      </c>
      <c r="DC82" s="2">
        <f t="shared" si="74"/>
        <v>0</v>
      </c>
      <c r="DD82" s="2">
        <f t="shared" si="74"/>
        <v>0</v>
      </c>
      <c r="DE82" s="2">
        <f t="shared" si="74"/>
        <v>0</v>
      </c>
      <c r="DF82" s="2">
        <f t="shared" si="74"/>
        <v>0</v>
      </c>
      <c r="DG82" s="3">
        <f t="shared" ref="DG82:EL82" si="75">DG218</f>
        <v>0</v>
      </c>
      <c r="DH82" s="3">
        <f t="shared" si="75"/>
        <v>0</v>
      </c>
      <c r="DI82" s="3">
        <f t="shared" si="75"/>
        <v>0</v>
      </c>
      <c r="DJ82" s="3">
        <f t="shared" si="75"/>
        <v>0</v>
      </c>
      <c r="DK82" s="3">
        <f t="shared" si="75"/>
        <v>0</v>
      </c>
      <c r="DL82" s="3">
        <f t="shared" si="75"/>
        <v>0</v>
      </c>
      <c r="DM82" s="3">
        <f t="shared" si="75"/>
        <v>0</v>
      </c>
      <c r="DN82" s="3">
        <f t="shared" si="75"/>
        <v>0</v>
      </c>
      <c r="DO82" s="3">
        <f t="shared" si="75"/>
        <v>0</v>
      </c>
      <c r="DP82" s="3">
        <f t="shared" si="75"/>
        <v>0</v>
      </c>
      <c r="DQ82" s="3">
        <f t="shared" si="75"/>
        <v>0</v>
      </c>
      <c r="DR82" s="3">
        <f t="shared" si="75"/>
        <v>0</v>
      </c>
      <c r="DS82" s="3">
        <f t="shared" si="75"/>
        <v>0</v>
      </c>
      <c r="DT82" s="3">
        <f t="shared" si="75"/>
        <v>0</v>
      </c>
      <c r="DU82" s="3">
        <f t="shared" si="75"/>
        <v>0</v>
      </c>
      <c r="DV82" s="3">
        <f t="shared" si="75"/>
        <v>0</v>
      </c>
      <c r="DW82" s="3">
        <f t="shared" si="75"/>
        <v>0</v>
      </c>
      <c r="DX82" s="3">
        <f t="shared" si="75"/>
        <v>0</v>
      </c>
      <c r="DY82" s="3">
        <f t="shared" si="75"/>
        <v>0</v>
      </c>
      <c r="DZ82" s="3">
        <f t="shared" si="75"/>
        <v>0</v>
      </c>
      <c r="EA82" s="3">
        <f t="shared" si="75"/>
        <v>0</v>
      </c>
      <c r="EB82" s="3">
        <f t="shared" si="75"/>
        <v>0</v>
      </c>
      <c r="EC82" s="3">
        <f t="shared" si="75"/>
        <v>0</v>
      </c>
      <c r="ED82" s="3">
        <f t="shared" si="75"/>
        <v>0</v>
      </c>
      <c r="EE82" s="3">
        <f t="shared" si="75"/>
        <v>0</v>
      </c>
      <c r="EF82" s="3">
        <f t="shared" si="75"/>
        <v>0</v>
      </c>
      <c r="EG82" s="3">
        <f t="shared" si="75"/>
        <v>0</v>
      </c>
      <c r="EH82" s="3">
        <f t="shared" si="75"/>
        <v>0</v>
      </c>
      <c r="EI82" s="3">
        <f t="shared" si="75"/>
        <v>0</v>
      </c>
      <c r="EJ82" s="3">
        <f t="shared" si="75"/>
        <v>0</v>
      </c>
      <c r="EK82" s="3">
        <f t="shared" si="75"/>
        <v>0</v>
      </c>
      <c r="EL82" s="3">
        <f t="shared" si="75"/>
        <v>0</v>
      </c>
      <c r="EM82" s="3">
        <f t="shared" ref="EM82:FR82" si="76">EM218</f>
        <v>0</v>
      </c>
      <c r="EN82" s="3">
        <f t="shared" si="76"/>
        <v>0</v>
      </c>
      <c r="EO82" s="3">
        <f t="shared" si="76"/>
        <v>0</v>
      </c>
      <c r="EP82" s="3">
        <f t="shared" si="76"/>
        <v>0</v>
      </c>
      <c r="EQ82" s="3">
        <f t="shared" si="76"/>
        <v>0</v>
      </c>
      <c r="ER82" s="3">
        <f t="shared" si="76"/>
        <v>0</v>
      </c>
      <c r="ES82" s="3">
        <f t="shared" si="76"/>
        <v>0</v>
      </c>
      <c r="ET82" s="3">
        <f t="shared" si="76"/>
        <v>0</v>
      </c>
      <c r="EU82" s="3">
        <f t="shared" si="76"/>
        <v>0</v>
      </c>
      <c r="EV82" s="3">
        <f t="shared" si="76"/>
        <v>0</v>
      </c>
      <c r="EW82" s="3">
        <f t="shared" si="76"/>
        <v>0</v>
      </c>
      <c r="EX82" s="3">
        <f t="shared" si="76"/>
        <v>0</v>
      </c>
      <c r="EY82" s="3">
        <f t="shared" si="76"/>
        <v>0</v>
      </c>
      <c r="EZ82" s="3">
        <f t="shared" si="76"/>
        <v>0</v>
      </c>
      <c r="FA82" s="3">
        <f t="shared" si="76"/>
        <v>0</v>
      </c>
      <c r="FB82" s="3">
        <f t="shared" si="76"/>
        <v>0</v>
      </c>
      <c r="FC82" s="3">
        <f t="shared" si="76"/>
        <v>0</v>
      </c>
      <c r="FD82" s="3">
        <f t="shared" si="76"/>
        <v>0</v>
      </c>
      <c r="FE82" s="3">
        <f t="shared" si="76"/>
        <v>0</v>
      </c>
      <c r="FF82" s="3">
        <f t="shared" si="76"/>
        <v>0</v>
      </c>
      <c r="FG82" s="3">
        <f t="shared" si="76"/>
        <v>0</v>
      </c>
      <c r="FH82" s="3">
        <f t="shared" si="76"/>
        <v>0</v>
      </c>
      <c r="FI82" s="3">
        <f t="shared" si="76"/>
        <v>0</v>
      </c>
      <c r="FJ82" s="3">
        <f t="shared" si="76"/>
        <v>0</v>
      </c>
      <c r="FK82" s="3">
        <f t="shared" si="76"/>
        <v>0</v>
      </c>
      <c r="FL82" s="3">
        <f t="shared" si="76"/>
        <v>0</v>
      </c>
      <c r="FM82" s="3">
        <f t="shared" si="76"/>
        <v>0</v>
      </c>
      <c r="FN82" s="3">
        <f t="shared" si="76"/>
        <v>0</v>
      </c>
      <c r="FO82" s="3">
        <f t="shared" si="76"/>
        <v>0</v>
      </c>
      <c r="FP82" s="3">
        <f t="shared" si="76"/>
        <v>0</v>
      </c>
      <c r="FQ82" s="3">
        <f t="shared" si="76"/>
        <v>0</v>
      </c>
      <c r="FR82" s="3">
        <f t="shared" si="76"/>
        <v>0</v>
      </c>
      <c r="FS82" s="3">
        <f t="shared" ref="FS82:GX82" si="77">FS218</f>
        <v>0</v>
      </c>
      <c r="FT82" s="3">
        <f t="shared" si="77"/>
        <v>0</v>
      </c>
      <c r="FU82" s="3">
        <f t="shared" si="77"/>
        <v>0</v>
      </c>
      <c r="FV82" s="3">
        <f t="shared" si="77"/>
        <v>0</v>
      </c>
      <c r="FW82" s="3">
        <f t="shared" si="77"/>
        <v>0</v>
      </c>
      <c r="FX82" s="3">
        <f t="shared" si="77"/>
        <v>0</v>
      </c>
      <c r="FY82" s="3">
        <f t="shared" si="77"/>
        <v>0</v>
      </c>
      <c r="FZ82" s="3">
        <f t="shared" si="77"/>
        <v>0</v>
      </c>
      <c r="GA82" s="3">
        <f t="shared" si="77"/>
        <v>0</v>
      </c>
      <c r="GB82" s="3">
        <f t="shared" si="77"/>
        <v>0</v>
      </c>
      <c r="GC82" s="3">
        <f t="shared" si="77"/>
        <v>0</v>
      </c>
      <c r="GD82" s="3">
        <f t="shared" si="77"/>
        <v>0</v>
      </c>
      <c r="GE82" s="3">
        <f t="shared" si="77"/>
        <v>0</v>
      </c>
      <c r="GF82" s="3">
        <f t="shared" si="77"/>
        <v>0</v>
      </c>
      <c r="GG82" s="3">
        <f t="shared" si="77"/>
        <v>0</v>
      </c>
      <c r="GH82" s="3">
        <f t="shared" si="77"/>
        <v>0</v>
      </c>
      <c r="GI82" s="3">
        <f t="shared" si="77"/>
        <v>0</v>
      </c>
      <c r="GJ82" s="3">
        <f t="shared" si="77"/>
        <v>0</v>
      </c>
      <c r="GK82" s="3">
        <f t="shared" si="77"/>
        <v>0</v>
      </c>
      <c r="GL82" s="3">
        <f t="shared" si="77"/>
        <v>0</v>
      </c>
      <c r="GM82" s="3">
        <f t="shared" si="77"/>
        <v>0</v>
      </c>
      <c r="GN82" s="3">
        <f t="shared" si="77"/>
        <v>0</v>
      </c>
      <c r="GO82" s="3">
        <f t="shared" si="77"/>
        <v>0</v>
      </c>
      <c r="GP82" s="3">
        <f t="shared" si="77"/>
        <v>0</v>
      </c>
      <c r="GQ82" s="3">
        <f t="shared" si="77"/>
        <v>0</v>
      </c>
      <c r="GR82" s="3">
        <f t="shared" si="77"/>
        <v>0</v>
      </c>
      <c r="GS82" s="3">
        <f t="shared" si="77"/>
        <v>0</v>
      </c>
      <c r="GT82" s="3">
        <f t="shared" si="77"/>
        <v>0</v>
      </c>
      <c r="GU82" s="3">
        <f t="shared" si="77"/>
        <v>0</v>
      </c>
      <c r="GV82" s="3">
        <f t="shared" si="77"/>
        <v>0</v>
      </c>
      <c r="GW82" s="3">
        <f t="shared" si="77"/>
        <v>0</v>
      </c>
      <c r="GX82" s="3">
        <f t="shared" si="77"/>
        <v>0</v>
      </c>
    </row>
    <row r="84" spans="1:245" x14ac:dyDescent="0.2">
      <c r="A84">
        <v>17</v>
      </c>
      <c r="B84">
        <v>1</v>
      </c>
      <c r="C84">
        <f>ROW(SmtRes!A71)</f>
        <v>71</v>
      </c>
      <c r="D84">
        <f>ROW(EtalonRes!A77)</f>
        <v>77</v>
      </c>
      <c r="E84" t="s">
        <v>183</v>
      </c>
      <c r="F84" t="s">
        <v>184</v>
      </c>
      <c r="G84" t="s">
        <v>185</v>
      </c>
      <c r="H84" t="s">
        <v>20</v>
      </c>
      <c r="I84">
        <f>ROUND(35.55/100,9)</f>
        <v>0.35549999999999998</v>
      </c>
      <c r="J84">
        <v>0</v>
      </c>
      <c r="O84">
        <f t="shared" ref="O84:O115" si="78">ROUND(CP84,2)</f>
        <v>23512.01</v>
      </c>
      <c r="P84">
        <f t="shared" ref="P84:P115" si="79">ROUND(CQ84*I84,2)</f>
        <v>19352.419999999998</v>
      </c>
      <c r="Q84">
        <f t="shared" ref="Q84:Q115" si="80">ROUND(CR84*I84,2)</f>
        <v>743.96</v>
      </c>
      <c r="R84">
        <f t="shared" ref="R84:R115" si="81">ROUND(CS84*I84,2)</f>
        <v>146.69</v>
      </c>
      <c r="S84">
        <f t="shared" ref="S84:S115" si="82">ROUND(CT84*I84,2)</f>
        <v>3415.63</v>
      </c>
      <c r="T84">
        <f t="shared" ref="T84:T115" si="83">ROUND(CU84*I84,2)</f>
        <v>0</v>
      </c>
      <c r="U84">
        <f t="shared" ref="U84:U115" si="84">CV84*I84</f>
        <v>59.573978999999987</v>
      </c>
      <c r="V84">
        <f t="shared" ref="V84:V115" si="85">CW84*I84</f>
        <v>1.8797062500000001</v>
      </c>
      <c r="W84">
        <f t="shared" ref="W84:W115" si="86">ROUND(CX84*I84,2)</f>
        <v>0</v>
      </c>
      <c r="X84">
        <f t="shared" ref="X84:X115" si="87">ROUND(CY84,2)</f>
        <v>3776.06</v>
      </c>
      <c r="Y84">
        <f t="shared" ref="Y84:Y115" si="88">ROUND(CZ84,2)</f>
        <v>1923.65</v>
      </c>
      <c r="AA84">
        <v>16742901</v>
      </c>
      <c r="AB84">
        <f t="shared" ref="AB84:AB115" si="89">ROUND((AC84+AD84+AF84),2)</f>
        <v>10081.99</v>
      </c>
      <c r="AC84">
        <f t="shared" ref="AC84:AC115" si="90">ROUND((ES84),2)</f>
        <v>8298.35</v>
      </c>
      <c r="AD84">
        <f>ROUND(((((ET84*1.25))-((EU84*1.25)))+AE84),2)</f>
        <v>319.01</v>
      </c>
      <c r="AE84">
        <f>ROUND(((EU84*1.25)),2)</f>
        <v>62.9</v>
      </c>
      <c r="AF84">
        <f>ROUND(((EV84*1.15)),2)</f>
        <v>1464.63</v>
      </c>
      <c r="AG84">
        <f t="shared" ref="AG84:AG115" si="91">ROUND((AP84),2)</f>
        <v>0</v>
      </c>
      <c r="AH84">
        <f>((EW84*1.15))</f>
        <v>167.57799999999997</v>
      </c>
      <c r="AI84">
        <f>((EX84*1.25))</f>
        <v>5.2875000000000005</v>
      </c>
      <c r="AJ84">
        <f t="shared" ref="AJ84:AJ115" si="92">ROUND((AS84),2)</f>
        <v>0</v>
      </c>
      <c r="AK84">
        <v>9827.15</v>
      </c>
      <c r="AL84">
        <v>8298.35</v>
      </c>
      <c r="AM84">
        <v>255.21</v>
      </c>
      <c r="AN84">
        <v>50.32</v>
      </c>
      <c r="AO84">
        <v>1273.5899999999999</v>
      </c>
      <c r="AP84">
        <v>0</v>
      </c>
      <c r="AQ84">
        <v>145.72</v>
      </c>
      <c r="AR84">
        <v>4.2300000000000004</v>
      </c>
      <c r="AS84">
        <v>0</v>
      </c>
      <c r="AT84">
        <v>106</v>
      </c>
      <c r="AU84">
        <v>54</v>
      </c>
      <c r="AV84">
        <v>1</v>
      </c>
      <c r="AW84">
        <v>1</v>
      </c>
      <c r="AZ84">
        <v>6.56</v>
      </c>
      <c r="BA84">
        <v>6.56</v>
      </c>
      <c r="BB84">
        <v>6.56</v>
      </c>
      <c r="BC84">
        <v>6.56</v>
      </c>
      <c r="BD84" t="s">
        <v>6</v>
      </c>
      <c r="BE84" t="s">
        <v>6</v>
      </c>
      <c r="BF84" t="s">
        <v>6</v>
      </c>
      <c r="BG84" t="s">
        <v>6</v>
      </c>
      <c r="BH84">
        <v>0</v>
      </c>
      <c r="BI84">
        <v>1</v>
      </c>
      <c r="BJ84" t="s">
        <v>186</v>
      </c>
      <c r="BM84">
        <v>10001</v>
      </c>
      <c r="BN84">
        <v>0</v>
      </c>
      <c r="BO84" t="s">
        <v>6</v>
      </c>
      <c r="BP84">
        <v>0</v>
      </c>
      <c r="BQ84">
        <v>2</v>
      </c>
      <c r="BR84">
        <v>0</v>
      </c>
      <c r="BS84">
        <v>6.56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118</v>
      </c>
      <c r="CA84">
        <v>63</v>
      </c>
      <c r="CF84">
        <v>0</v>
      </c>
      <c r="CG84">
        <v>0</v>
      </c>
      <c r="CM84">
        <v>0</v>
      </c>
      <c r="CN84" t="s">
        <v>1902</v>
      </c>
      <c r="CO84">
        <v>0</v>
      </c>
      <c r="CP84">
        <f t="shared" ref="CP84:CP115" si="93">(P84+Q84+S84)</f>
        <v>23512.01</v>
      </c>
      <c r="CQ84">
        <f t="shared" ref="CQ84:CQ115" si="94">AC84*BC84</f>
        <v>54437.175999999999</v>
      </c>
      <c r="CR84">
        <f t="shared" ref="CR84:CR115" si="95">AD84*BB84</f>
        <v>2092.7055999999998</v>
      </c>
      <c r="CS84">
        <f t="shared" ref="CS84:CS115" si="96">AE84*BS84</f>
        <v>412.62399999999997</v>
      </c>
      <c r="CT84">
        <f t="shared" ref="CT84:CT115" si="97">AF84*BA84</f>
        <v>9607.9727999999996</v>
      </c>
      <c r="CU84">
        <f t="shared" ref="CU84:CU115" si="98">AG84</f>
        <v>0</v>
      </c>
      <c r="CV84">
        <f t="shared" ref="CV84:CV115" si="99">AH84</f>
        <v>167.57799999999997</v>
      </c>
      <c r="CW84">
        <f t="shared" ref="CW84:CW115" si="100">AI84</f>
        <v>5.2875000000000005</v>
      </c>
      <c r="CX84">
        <f t="shared" ref="CX84:CX115" si="101">AJ84</f>
        <v>0</v>
      </c>
      <c r="CY84">
        <f t="shared" ref="CY84:CY115" si="102">(((S84+R84)*AT84)/100)</f>
        <v>3776.0592000000006</v>
      </c>
      <c r="CZ84">
        <f t="shared" ref="CZ84:CZ115" si="103">(((S84+R84)*AU84)/100)</f>
        <v>1923.6528000000001</v>
      </c>
      <c r="DC84" t="s">
        <v>6</v>
      </c>
      <c r="DD84" t="s">
        <v>6</v>
      </c>
      <c r="DE84" t="s">
        <v>187</v>
      </c>
      <c r="DF84" t="s">
        <v>187</v>
      </c>
      <c r="DG84" t="s">
        <v>188</v>
      </c>
      <c r="DH84" t="s">
        <v>6</v>
      </c>
      <c r="DI84" t="s">
        <v>188</v>
      </c>
      <c r="DJ84" t="s">
        <v>187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1005</v>
      </c>
      <c r="DV84" t="s">
        <v>20</v>
      </c>
      <c r="DW84" t="s">
        <v>20</v>
      </c>
      <c r="DX84">
        <v>100</v>
      </c>
      <c r="EE84">
        <v>16510487</v>
      </c>
      <c r="EF84">
        <v>2</v>
      </c>
      <c r="EG84" t="s">
        <v>22</v>
      </c>
      <c r="EH84">
        <v>0</v>
      </c>
      <c r="EI84" t="s">
        <v>6</v>
      </c>
      <c r="EJ84">
        <v>1</v>
      </c>
      <c r="EK84">
        <v>10001</v>
      </c>
      <c r="EL84" t="s">
        <v>50</v>
      </c>
      <c r="EM84" t="s">
        <v>51</v>
      </c>
      <c r="EO84" t="s">
        <v>189</v>
      </c>
      <c r="EQ84">
        <v>131072</v>
      </c>
      <c r="ER84">
        <v>9827.15</v>
      </c>
      <c r="ES84">
        <v>8298.35</v>
      </c>
      <c r="ET84">
        <v>255.21</v>
      </c>
      <c r="EU84">
        <v>50.32</v>
      </c>
      <c r="EV84">
        <v>1273.5899999999999</v>
      </c>
      <c r="EW84">
        <v>145.72</v>
      </c>
      <c r="EX84">
        <v>4.2300000000000004</v>
      </c>
      <c r="EY84">
        <v>0</v>
      </c>
      <c r="FQ84">
        <v>0</v>
      </c>
      <c r="FR84">
        <f t="shared" ref="FR84:FR115" si="104">ROUND(IF(AND(BH84=3,BI84=3),P84,0),2)</f>
        <v>0</v>
      </c>
      <c r="FS84">
        <v>0</v>
      </c>
      <c r="FT84" t="s">
        <v>25</v>
      </c>
      <c r="FU84" t="s">
        <v>26</v>
      </c>
      <c r="FX84">
        <v>106.2</v>
      </c>
      <c r="FY84">
        <v>53.55</v>
      </c>
      <c r="GA84" t="s">
        <v>6</v>
      </c>
      <c r="GD84">
        <v>0</v>
      </c>
      <c r="GF84">
        <v>1452579699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ref="GL84:GL115" si="105">ROUND(IF(AND(BH84=3,BI84=3,FS84&lt;&gt;0),P84,0),2)</f>
        <v>0</v>
      </c>
      <c r="GM84">
        <f t="shared" ref="GM84:GM115" si="106">ROUND(O84+X84+Y84+GK84,2)+GX84</f>
        <v>29211.72</v>
      </c>
      <c r="GN84">
        <f t="shared" ref="GN84:GN115" si="107">IF(OR(BI84=0,BI84=1),ROUND(O84+X84+Y84+GK84,2),0)</f>
        <v>29211.72</v>
      </c>
      <c r="GO84">
        <f t="shared" ref="GO84:GO115" si="108">IF(BI84=2,ROUND(O84+X84+Y84+GK84,2),0)</f>
        <v>0</v>
      </c>
      <c r="GP84">
        <f t="shared" ref="GP84:GP115" si="109">IF(BI84=4,ROUND(O84+X84+Y84+GK84,2)+GX84,0)</f>
        <v>0</v>
      </c>
      <c r="GR84">
        <v>0</v>
      </c>
      <c r="GS84">
        <v>3</v>
      </c>
      <c r="GT84">
        <v>0</v>
      </c>
      <c r="GU84" t="s">
        <v>6</v>
      </c>
      <c r="GV84">
        <f t="shared" ref="GV84:GV115" si="110">ROUND(GT84,2)</f>
        <v>0</v>
      </c>
      <c r="GW84">
        <v>1</v>
      </c>
      <c r="GX84">
        <f t="shared" ref="GX84:GX115" si="111">ROUND(GV84*GW84*I84,2)</f>
        <v>0</v>
      </c>
      <c r="HA84">
        <v>0</v>
      </c>
      <c r="HB84">
        <v>0</v>
      </c>
      <c r="IK84">
        <v>0</v>
      </c>
    </row>
    <row r="85" spans="1:245" x14ac:dyDescent="0.2">
      <c r="A85">
        <v>18</v>
      </c>
      <c r="B85">
        <v>1</v>
      </c>
      <c r="C85">
        <v>68</v>
      </c>
      <c r="E85" t="s">
        <v>190</v>
      </c>
      <c r="F85" t="s">
        <v>191</v>
      </c>
      <c r="G85" t="s">
        <v>192</v>
      </c>
      <c r="H85" t="s">
        <v>193</v>
      </c>
      <c r="I85">
        <f>I84*J85</f>
        <v>35.549999999999997</v>
      </c>
      <c r="J85">
        <v>100</v>
      </c>
      <c r="O85">
        <f t="shared" si="78"/>
        <v>595783.47</v>
      </c>
      <c r="P85">
        <f t="shared" si="79"/>
        <v>595783.47</v>
      </c>
      <c r="Q85">
        <f t="shared" si="80"/>
        <v>0</v>
      </c>
      <c r="R85">
        <f t="shared" si="81"/>
        <v>0</v>
      </c>
      <c r="S85">
        <f t="shared" si="82"/>
        <v>0</v>
      </c>
      <c r="T85">
        <f t="shared" si="83"/>
        <v>0</v>
      </c>
      <c r="U85">
        <f t="shared" si="84"/>
        <v>0</v>
      </c>
      <c r="V85">
        <f t="shared" si="85"/>
        <v>0</v>
      </c>
      <c r="W85">
        <f t="shared" si="86"/>
        <v>0</v>
      </c>
      <c r="X85">
        <f t="shared" si="87"/>
        <v>0</v>
      </c>
      <c r="Y85">
        <f t="shared" si="88"/>
        <v>0</v>
      </c>
      <c r="AA85">
        <v>16742901</v>
      </c>
      <c r="AB85">
        <f t="shared" si="89"/>
        <v>2554.73</v>
      </c>
      <c r="AC85">
        <f t="shared" si="90"/>
        <v>2554.73</v>
      </c>
      <c r="AD85">
        <f>ROUND((((ET85)-(EU85))+AE85),2)</f>
        <v>0</v>
      </c>
      <c r="AE85">
        <f>ROUND((EU85),2)</f>
        <v>0</v>
      </c>
      <c r="AF85">
        <f>ROUND((EV85),2)</f>
        <v>0</v>
      </c>
      <c r="AG85">
        <f t="shared" si="91"/>
        <v>0</v>
      </c>
      <c r="AH85">
        <f>(EW85)</f>
        <v>0</v>
      </c>
      <c r="AI85">
        <f>(EX85)</f>
        <v>0</v>
      </c>
      <c r="AJ85">
        <f t="shared" si="92"/>
        <v>0</v>
      </c>
      <c r="AK85">
        <v>2554.73</v>
      </c>
      <c r="AL85">
        <v>2554.73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106</v>
      </c>
      <c r="AU85">
        <v>54</v>
      </c>
      <c r="AV85">
        <v>1</v>
      </c>
      <c r="AW85">
        <v>1</v>
      </c>
      <c r="AZ85">
        <v>6.56</v>
      </c>
      <c r="BA85">
        <v>1</v>
      </c>
      <c r="BB85">
        <v>1</v>
      </c>
      <c r="BC85">
        <v>6.56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194</v>
      </c>
      <c r="BM85">
        <v>10001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118</v>
      </c>
      <c r="CA85">
        <v>63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93"/>
        <v>595783.47</v>
      </c>
      <c r="CQ85">
        <f t="shared" si="94"/>
        <v>16759.0288</v>
      </c>
      <c r="CR85">
        <f t="shared" si="95"/>
        <v>0</v>
      </c>
      <c r="CS85">
        <f t="shared" si="96"/>
        <v>0</v>
      </c>
      <c r="CT85">
        <f t="shared" si="97"/>
        <v>0</v>
      </c>
      <c r="CU85">
        <f t="shared" si="98"/>
        <v>0</v>
      </c>
      <c r="CV85">
        <f t="shared" si="99"/>
        <v>0</v>
      </c>
      <c r="CW85">
        <f t="shared" si="100"/>
        <v>0</v>
      </c>
      <c r="CX85">
        <f t="shared" si="101"/>
        <v>0</v>
      </c>
      <c r="CY85">
        <f t="shared" si="102"/>
        <v>0</v>
      </c>
      <c r="CZ85">
        <f t="shared" si="103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193</v>
      </c>
      <c r="DW85" t="s">
        <v>193</v>
      </c>
      <c r="DX85">
        <v>1</v>
      </c>
      <c r="EE85">
        <v>16510487</v>
      </c>
      <c r="EF85">
        <v>2</v>
      </c>
      <c r="EG85" t="s">
        <v>22</v>
      </c>
      <c r="EH85">
        <v>0</v>
      </c>
      <c r="EI85" t="s">
        <v>6</v>
      </c>
      <c r="EJ85">
        <v>1</v>
      </c>
      <c r="EK85">
        <v>10001</v>
      </c>
      <c r="EL85" t="s">
        <v>50</v>
      </c>
      <c r="EM85" t="s">
        <v>51</v>
      </c>
      <c r="EO85" t="s">
        <v>6</v>
      </c>
      <c r="EQ85">
        <v>0</v>
      </c>
      <c r="ER85">
        <v>2554.73</v>
      </c>
      <c r="ES85">
        <v>2554.73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104"/>
        <v>0</v>
      </c>
      <c r="FS85">
        <v>0</v>
      </c>
      <c r="FT85" t="s">
        <v>25</v>
      </c>
      <c r="FU85" t="s">
        <v>26</v>
      </c>
      <c r="FX85">
        <v>106.2</v>
      </c>
      <c r="FY85">
        <v>53.55</v>
      </c>
      <c r="GA85" t="s">
        <v>6</v>
      </c>
      <c r="GD85">
        <v>0</v>
      </c>
      <c r="GF85">
        <v>-565097724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105"/>
        <v>0</v>
      </c>
      <c r="GM85">
        <f t="shared" si="106"/>
        <v>595783.47</v>
      </c>
      <c r="GN85">
        <f t="shared" si="107"/>
        <v>595783.47</v>
      </c>
      <c r="GO85">
        <f t="shared" si="108"/>
        <v>0</v>
      </c>
      <c r="GP85">
        <f t="shared" si="109"/>
        <v>0</v>
      </c>
      <c r="GR85">
        <v>0</v>
      </c>
      <c r="GS85">
        <v>3</v>
      </c>
      <c r="GT85">
        <v>0</v>
      </c>
      <c r="GU85" t="s">
        <v>6</v>
      </c>
      <c r="GV85">
        <f t="shared" si="110"/>
        <v>0</v>
      </c>
      <c r="GW85">
        <v>1</v>
      </c>
      <c r="GX85">
        <f t="shared" si="111"/>
        <v>0</v>
      </c>
      <c r="HA85">
        <v>0</v>
      </c>
      <c r="HB85">
        <v>0</v>
      </c>
      <c r="IK85">
        <v>0</v>
      </c>
    </row>
    <row r="86" spans="1:245" x14ac:dyDescent="0.2">
      <c r="A86">
        <v>18</v>
      </c>
      <c r="B86">
        <v>1</v>
      </c>
      <c r="C86">
        <v>69</v>
      </c>
      <c r="E86" t="s">
        <v>195</v>
      </c>
      <c r="F86" t="s">
        <v>196</v>
      </c>
      <c r="G86" t="s">
        <v>197</v>
      </c>
      <c r="H86" t="s">
        <v>193</v>
      </c>
      <c r="I86">
        <f>I84*J86</f>
        <v>35.549999999999997</v>
      </c>
      <c r="J86">
        <v>100</v>
      </c>
      <c r="O86">
        <f t="shared" si="78"/>
        <v>0</v>
      </c>
      <c r="P86">
        <f t="shared" si="79"/>
        <v>0</v>
      </c>
      <c r="Q86">
        <f t="shared" si="80"/>
        <v>0</v>
      </c>
      <c r="R86">
        <f t="shared" si="81"/>
        <v>0</v>
      </c>
      <c r="S86">
        <f t="shared" si="82"/>
        <v>0</v>
      </c>
      <c r="T86">
        <f t="shared" si="83"/>
        <v>0</v>
      </c>
      <c r="U86">
        <f t="shared" si="84"/>
        <v>0</v>
      </c>
      <c r="V86">
        <f t="shared" si="85"/>
        <v>0</v>
      </c>
      <c r="W86">
        <f t="shared" si="86"/>
        <v>0</v>
      </c>
      <c r="X86">
        <f t="shared" si="87"/>
        <v>0</v>
      </c>
      <c r="Y86">
        <f t="shared" si="88"/>
        <v>0</v>
      </c>
      <c r="AA86">
        <v>16742901</v>
      </c>
      <c r="AB86">
        <f t="shared" si="89"/>
        <v>0</v>
      </c>
      <c r="AC86">
        <f t="shared" si="90"/>
        <v>0</v>
      </c>
      <c r="AD86">
        <f>ROUND((((ET86)-(EU86))+AE86),2)</f>
        <v>0</v>
      </c>
      <c r="AE86">
        <f>ROUND((EU86),2)</f>
        <v>0</v>
      </c>
      <c r="AF86">
        <f>ROUND((EV86),2)</f>
        <v>0</v>
      </c>
      <c r="AG86">
        <f t="shared" si="91"/>
        <v>0</v>
      </c>
      <c r="AH86">
        <f>(EW86)</f>
        <v>0</v>
      </c>
      <c r="AI86">
        <f>(EX86)</f>
        <v>0</v>
      </c>
      <c r="AJ86">
        <f t="shared" si="92"/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106</v>
      </c>
      <c r="AU86">
        <v>54</v>
      </c>
      <c r="AV86">
        <v>1</v>
      </c>
      <c r="AW86">
        <v>1</v>
      </c>
      <c r="AZ86">
        <v>6.56</v>
      </c>
      <c r="BA86">
        <v>1</v>
      </c>
      <c r="BB86">
        <v>1</v>
      </c>
      <c r="BC86">
        <v>6.56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1</v>
      </c>
      <c r="BJ86" t="s">
        <v>6</v>
      </c>
      <c r="BM86">
        <v>10001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118</v>
      </c>
      <c r="CA86">
        <v>63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93"/>
        <v>0</v>
      </c>
      <c r="CQ86">
        <f t="shared" si="94"/>
        <v>0</v>
      </c>
      <c r="CR86">
        <f t="shared" si="95"/>
        <v>0</v>
      </c>
      <c r="CS86">
        <f t="shared" si="96"/>
        <v>0</v>
      </c>
      <c r="CT86">
        <f t="shared" si="97"/>
        <v>0</v>
      </c>
      <c r="CU86">
        <f t="shared" si="98"/>
        <v>0</v>
      </c>
      <c r="CV86">
        <f t="shared" si="99"/>
        <v>0</v>
      </c>
      <c r="CW86">
        <f t="shared" si="100"/>
        <v>0</v>
      </c>
      <c r="CX86">
        <f t="shared" si="101"/>
        <v>0</v>
      </c>
      <c r="CY86">
        <f t="shared" si="102"/>
        <v>0</v>
      </c>
      <c r="CZ86">
        <f t="shared" si="103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193</v>
      </c>
      <c r="DW86" t="s">
        <v>193</v>
      </c>
      <c r="DX86">
        <v>1</v>
      </c>
      <c r="EE86">
        <v>16510487</v>
      </c>
      <c r="EF86">
        <v>2</v>
      </c>
      <c r="EG86" t="s">
        <v>22</v>
      </c>
      <c r="EH86">
        <v>0</v>
      </c>
      <c r="EI86" t="s">
        <v>6</v>
      </c>
      <c r="EJ86">
        <v>1</v>
      </c>
      <c r="EK86">
        <v>10001</v>
      </c>
      <c r="EL86" t="s">
        <v>50</v>
      </c>
      <c r="EM86" t="s">
        <v>51</v>
      </c>
      <c r="EO86" t="s">
        <v>6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104"/>
        <v>0</v>
      </c>
      <c r="FS86">
        <v>0</v>
      </c>
      <c r="FT86" t="s">
        <v>25</v>
      </c>
      <c r="FU86" t="s">
        <v>26</v>
      </c>
      <c r="FX86">
        <v>106.2</v>
      </c>
      <c r="FY86">
        <v>53.55</v>
      </c>
      <c r="GA86" t="s">
        <v>6</v>
      </c>
      <c r="GD86">
        <v>0</v>
      </c>
      <c r="GF86">
        <v>1219964505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105"/>
        <v>0</v>
      </c>
      <c r="GM86">
        <f t="shared" si="106"/>
        <v>0</v>
      </c>
      <c r="GN86">
        <f t="shared" si="107"/>
        <v>0</v>
      </c>
      <c r="GO86">
        <f t="shared" si="108"/>
        <v>0</v>
      </c>
      <c r="GP86">
        <f t="shared" si="109"/>
        <v>0</v>
      </c>
      <c r="GR86">
        <v>0</v>
      </c>
      <c r="GS86">
        <v>3</v>
      </c>
      <c r="GT86">
        <v>0</v>
      </c>
      <c r="GU86" t="s">
        <v>6</v>
      </c>
      <c r="GV86">
        <f t="shared" si="110"/>
        <v>0</v>
      </c>
      <c r="GW86">
        <v>1</v>
      </c>
      <c r="GX86">
        <f t="shared" si="111"/>
        <v>0</v>
      </c>
      <c r="HA86">
        <v>0</v>
      </c>
      <c r="HB86">
        <v>0</v>
      </c>
      <c r="IK86">
        <v>0</v>
      </c>
    </row>
    <row r="87" spans="1:245" x14ac:dyDescent="0.2">
      <c r="A87">
        <v>17</v>
      </c>
      <c r="B87">
        <v>1</v>
      </c>
      <c r="C87">
        <f>ROW(SmtRes!A83)</f>
        <v>83</v>
      </c>
      <c r="D87">
        <f>ROW(EtalonRes!A88)</f>
        <v>88</v>
      </c>
      <c r="E87" t="s">
        <v>198</v>
      </c>
      <c r="F87" t="s">
        <v>199</v>
      </c>
      <c r="G87" t="s">
        <v>200</v>
      </c>
      <c r="H87" t="s">
        <v>20</v>
      </c>
      <c r="I87">
        <f>ROUND(1.8/100,9)</f>
        <v>1.7999999999999999E-2</v>
      </c>
      <c r="J87">
        <v>0</v>
      </c>
      <c r="O87">
        <f t="shared" si="78"/>
        <v>1902.54</v>
      </c>
      <c r="P87">
        <f t="shared" si="79"/>
        <v>1603.35</v>
      </c>
      <c r="Q87">
        <f t="shared" si="80"/>
        <v>42.74</v>
      </c>
      <c r="R87">
        <f t="shared" si="81"/>
        <v>9.6199999999999992</v>
      </c>
      <c r="S87">
        <f t="shared" si="82"/>
        <v>256.45</v>
      </c>
      <c r="T87">
        <f t="shared" si="83"/>
        <v>0</v>
      </c>
      <c r="U87">
        <f t="shared" si="84"/>
        <v>4.4728559999999993</v>
      </c>
      <c r="V87">
        <f t="shared" si="85"/>
        <v>0.11992499999999999</v>
      </c>
      <c r="W87">
        <f t="shared" si="86"/>
        <v>0</v>
      </c>
      <c r="X87">
        <f t="shared" si="87"/>
        <v>282.02999999999997</v>
      </c>
      <c r="Y87">
        <f t="shared" si="88"/>
        <v>143.68</v>
      </c>
      <c r="AA87">
        <v>16742901</v>
      </c>
      <c r="AB87">
        <f t="shared" si="89"/>
        <v>16112.34</v>
      </c>
      <c r="AC87">
        <f t="shared" si="90"/>
        <v>13578.52</v>
      </c>
      <c r="AD87">
        <f>ROUND(((((ET87*1.25))-((EU87*1.25)))+AE87),2)</f>
        <v>362</v>
      </c>
      <c r="AE87">
        <f>ROUND(((EU87*1.25)),2)</f>
        <v>81.459999999999994</v>
      </c>
      <c r="AF87">
        <f>ROUND(((EV87*1.15)),2)</f>
        <v>2171.8200000000002</v>
      </c>
      <c r="AG87">
        <f t="shared" si="91"/>
        <v>0</v>
      </c>
      <c r="AH87">
        <f>((EW87*1.15))</f>
        <v>248.49199999999999</v>
      </c>
      <c r="AI87">
        <f>((EX87*1.25))</f>
        <v>6.6624999999999996</v>
      </c>
      <c r="AJ87">
        <f t="shared" si="92"/>
        <v>0</v>
      </c>
      <c r="AK87">
        <v>15756.66</v>
      </c>
      <c r="AL87">
        <v>13578.52</v>
      </c>
      <c r="AM87">
        <v>289.60000000000002</v>
      </c>
      <c r="AN87">
        <v>65.17</v>
      </c>
      <c r="AO87">
        <v>1888.54</v>
      </c>
      <c r="AP87">
        <v>0</v>
      </c>
      <c r="AQ87">
        <v>216.08</v>
      </c>
      <c r="AR87">
        <v>5.33</v>
      </c>
      <c r="AS87">
        <v>0</v>
      </c>
      <c r="AT87">
        <v>106</v>
      </c>
      <c r="AU87">
        <v>54</v>
      </c>
      <c r="AV87">
        <v>1</v>
      </c>
      <c r="AW87">
        <v>1</v>
      </c>
      <c r="AZ87">
        <v>6.56</v>
      </c>
      <c r="BA87">
        <v>6.56</v>
      </c>
      <c r="BB87">
        <v>6.56</v>
      </c>
      <c r="BC87">
        <v>6.56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201</v>
      </c>
      <c r="BM87">
        <v>10001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6.56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118</v>
      </c>
      <c r="CA87">
        <v>63</v>
      </c>
      <c r="CF87">
        <v>0</v>
      </c>
      <c r="CG87">
        <v>0</v>
      </c>
      <c r="CM87">
        <v>0</v>
      </c>
      <c r="CN87" t="s">
        <v>1902</v>
      </c>
      <c r="CO87">
        <v>0</v>
      </c>
      <c r="CP87">
        <f t="shared" si="93"/>
        <v>1902.54</v>
      </c>
      <c r="CQ87">
        <f t="shared" si="94"/>
        <v>89075.091199999995</v>
      </c>
      <c r="CR87">
        <f t="shared" si="95"/>
        <v>2374.7199999999998</v>
      </c>
      <c r="CS87">
        <f t="shared" si="96"/>
        <v>534.37759999999992</v>
      </c>
      <c r="CT87">
        <f t="shared" si="97"/>
        <v>14247.1392</v>
      </c>
      <c r="CU87">
        <f t="shared" si="98"/>
        <v>0</v>
      </c>
      <c r="CV87">
        <f t="shared" si="99"/>
        <v>248.49199999999999</v>
      </c>
      <c r="CW87">
        <f t="shared" si="100"/>
        <v>6.6624999999999996</v>
      </c>
      <c r="CX87">
        <f t="shared" si="101"/>
        <v>0</v>
      </c>
      <c r="CY87">
        <f t="shared" si="102"/>
        <v>282.0342</v>
      </c>
      <c r="CZ87">
        <f t="shared" si="103"/>
        <v>143.67779999999999</v>
      </c>
      <c r="DC87" t="s">
        <v>6</v>
      </c>
      <c r="DD87" t="s">
        <v>6</v>
      </c>
      <c r="DE87" t="s">
        <v>187</v>
      </c>
      <c r="DF87" t="s">
        <v>187</v>
      </c>
      <c r="DG87" t="s">
        <v>188</v>
      </c>
      <c r="DH87" t="s">
        <v>6</v>
      </c>
      <c r="DI87" t="s">
        <v>188</v>
      </c>
      <c r="DJ87" t="s">
        <v>187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1005</v>
      </c>
      <c r="DV87" t="s">
        <v>20</v>
      </c>
      <c r="DW87" t="s">
        <v>20</v>
      </c>
      <c r="DX87">
        <v>100</v>
      </c>
      <c r="EE87">
        <v>16510487</v>
      </c>
      <c r="EF87">
        <v>2</v>
      </c>
      <c r="EG87" t="s">
        <v>22</v>
      </c>
      <c r="EH87">
        <v>0</v>
      </c>
      <c r="EI87" t="s">
        <v>6</v>
      </c>
      <c r="EJ87">
        <v>1</v>
      </c>
      <c r="EK87">
        <v>10001</v>
      </c>
      <c r="EL87" t="s">
        <v>50</v>
      </c>
      <c r="EM87" t="s">
        <v>51</v>
      </c>
      <c r="EO87" t="s">
        <v>189</v>
      </c>
      <c r="EQ87">
        <v>131072</v>
      </c>
      <c r="ER87">
        <v>15756.66</v>
      </c>
      <c r="ES87">
        <v>13578.52</v>
      </c>
      <c r="ET87">
        <v>289.60000000000002</v>
      </c>
      <c r="EU87">
        <v>65.17</v>
      </c>
      <c r="EV87">
        <v>1888.54</v>
      </c>
      <c r="EW87">
        <v>216.08</v>
      </c>
      <c r="EX87">
        <v>5.33</v>
      </c>
      <c r="EY87">
        <v>0</v>
      </c>
      <c r="FQ87">
        <v>0</v>
      </c>
      <c r="FR87">
        <f t="shared" si="104"/>
        <v>0</v>
      </c>
      <c r="FS87">
        <v>0</v>
      </c>
      <c r="FT87" t="s">
        <v>25</v>
      </c>
      <c r="FU87" t="s">
        <v>26</v>
      </c>
      <c r="FX87">
        <v>106.2</v>
      </c>
      <c r="FY87">
        <v>53.55</v>
      </c>
      <c r="GA87" t="s">
        <v>6</v>
      </c>
      <c r="GD87">
        <v>0</v>
      </c>
      <c r="GF87">
        <v>189790648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105"/>
        <v>0</v>
      </c>
      <c r="GM87">
        <f t="shared" si="106"/>
        <v>2328.25</v>
      </c>
      <c r="GN87">
        <f t="shared" si="107"/>
        <v>2328.25</v>
      </c>
      <c r="GO87">
        <f t="shared" si="108"/>
        <v>0</v>
      </c>
      <c r="GP87">
        <f t="shared" si="109"/>
        <v>0</v>
      </c>
      <c r="GR87">
        <v>0</v>
      </c>
      <c r="GS87">
        <v>3</v>
      </c>
      <c r="GT87">
        <v>0</v>
      </c>
      <c r="GU87" t="s">
        <v>6</v>
      </c>
      <c r="GV87">
        <f t="shared" si="110"/>
        <v>0</v>
      </c>
      <c r="GW87">
        <v>1</v>
      </c>
      <c r="GX87">
        <f t="shared" si="111"/>
        <v>0</v>
      </c>
      <c r="HA87">
        <v>0</v>
      </c>
      <c r="HB87">
        <v>0</v>
      </c>
      <c r="IK87">
        <v>0</v>
      </c>
    </row>
    <row r="88" spans="1:245" x14ac:dyDescent="0.2">
      <c r="A88">
        <v>18</v>
      </c>
      <c r="B88">
        <v>1</v>
      </c>
      <c r="C88">
        <v>80</v>
      </c>
      <c r="E88" t="s">
        <v>202</v>
      </c>
      <c r="F88" t="s">
        <v>203</v>
      </c>
      <c r="G88" t="s">
        <v>204</v>
      </c>
      <c r="H88" t="s">
        <v>193</v>
      </c>
      <c r="I88">
        <f>I87*J88</f>
        <v>1.8</v>
      </c>
      <c r="J88">
        <v>100.00000000000001</v>
      </c>
      <c r="O88">
        <f t="shared" si="78"/>
        <v>54102.6</v>
      </c>
      <c r="P88">
        <f t="shared" si="79"/>
        <v>54102.6</v>
      </c>
      <c r="Q88">
        <f t="shared" si="80"/>
        <v>0</v>
      </c>
      <c r="R88">
        <f t="shared" si="81"/>
        <v>0</v>
      </c>
      <c r="S88">
        <f t="shared" si="82"/>
        <v>0</v>
      </c>
      <c r="T88">
        <f t="shared" si="83"/>
        <v>0</v>
      </c>
      <c r="U88">
        <f t="shared" si="84"/>
        <v>0</v>
      </c>
      <c r="V88">
        <f t="shared" si="85"/>
        <v>0</v>
      </c>
      <c r="W88">
        <f t="shared" si="86"/>
        <v>0</v>
      </c>
      <c r="X88">
        <f t="shared" si="87"/>
        <v>0</v>
      </c>
      <c r="Y88">
        <f t="shared" si="88"/>
        <v>0</v>
      </c>
      <c r="AA88">
        <v>16742901</v>
      </c>
      <c r="AB88">
        <f t="shared" si="89"/>
        <v>4581.8599999999997</v>
      </c>
      <c r="AC88">
        <f t="shared" si="90"/>
        <v>4581.8599999999997</v>
      </c>
      <c r="AD88">
        <f>ROUND((((ET88)-(EU88))+AE88),2)</f>
        <v>0</v>
      </c>
      <c r="AE88">
        <f>ROUND((EU88),2)</f>
        <v>0</v>
      </c>
      <c r="AF88">
        <f>ROUND((EV88),2)</f>
        <v>0</v>
      </c>
      <c r="AG88">
        <f t="shared" si="91"/>
        <v>0</v>
      </c>
      <c r="AH88">
        <f>(EW88)</f>
        <v>0</v>
      </c>
      <c r="AI88">
        <f>(EX88)</f>
        <v>0</v>
      </c>
      <c r="AJ88">
        <f t="shared" si="92"/>
        <v>0</v>
      </c>
      <c r="AK88">
        <v>4581.8599999999997</v>
      </c>
      <c r="AL88">
        <v>4581.8599999999997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106</v>
      </c>
      <c r="AU88">
        <v>54</v>
      </c>
      <c r="AV88">
        <v>1</v>
      </c>
      <c r="AW88">
        <v>1</v>
      </c>
      <c r="AZ88">
        <v>6.56</v>
      </c>
      <c r="BA88">
        <v>1</v>
      </c>
      <c r="BB88">
        <v>1</v>
      </c>
      <c r="BC88">
        <v>6.56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205</v>
      </c>
      <c r="BM88">
        <v>10001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118</v>
      </c>
      <c r="CA88">
        <v>63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93"/>
        <v>54102.6</v>
      </c>
      <c r="CQ88">
        <f t="shared" si="94"/>
        <v>30057.001599999996</v>
      </c>
      <c r="CR88">
        <f t="shared" si="95"/>
        <v>0</v>
      </c>
      <c r="CS88">
        <f t="shared" si="96"/>
        <v>0</v>
      </c>
      <c r="CT88">
        <f t="shared" si="97"/>
        <v>0</v>
      </c>
      <c r="CU88">
        <f t="shared" si="98"/>
        <v>0</v>
      </c>
      <c r="CV88">
        <f t="shared" si="99"/>
        <v>0</v>
      </c>
      <c r="CW88">
        <f t="shared" si="100"/>
        <v>0</v>
      </c>
      <c r="CX88">
        <f t="shared" si="101"/>
        <v>0</v>
      </c>
      <c r="CY88">
        <f t="shared" si="102"/>
        <v>0</v>
      </c>
      <c r="CZ88">
        <f t="shared" si="103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193</v>
      </c>
      <c r="DW88" t="s">
        <v>193</v>
      </c>
      <c r="DX88">
        <v>1</v>
      </c>
      <c r="EE88">
        <v>16510487</v>
      </c>
      <c r="EF88">
        <v>2</v>
      </c>
      <c r="EG88" t="s">
        <v>22</v>
      </c>
      <c r="EH88">
        <v>0</v>
      </c>
      <c r="EI88" t="s">
        <v>6</v>
      </c>
      <c r="EJ88">
        <v>1</v>
      </c>
      <c r="EK88">
        <v>10001</v>
      </c>
      <c r="EL88" t="s">
        <v>50</v>
      </c>
      <c r="EM88" t="s">
        <v>51</v>
      </c>
      <c r="EO88" t="s">
        <v>6</v>
      </c>
      <c r="EQ88">
        <v>0</v>
      </c>
      <c r="ER88">
        <v>4581.8599999999997</v>
      </c>
      <c r="ES88">
        <v>4581.8599999999997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104"/>
        <v>0</v>
      </c>
      <c r="FS88">
        <v>0</v>
      </c>
      <c r="FT88" t="s">
        <v>25</v>
      </c>
      <c r="FU88" t="s">
        <v>26</v>
      </c>
      <c r="FX88">
        <v>106.2</v>
      </c>
      <c r="FY88">
        <v>53.55</v>
      </c>
      <c r="GA88" t="s">
        <v>6</v>
      </c>
      <c r="GD88">
        <v>0</v>
      </c>
      <c r="GF88">
        <v>-409793117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105"/>
        <v>0</v>
      </c>
      <c r="GM88">
        <f t="shared" si="106"/>
        <v>54102.6</v>
      </c>
      <c r="GN88">
        <f t="shared" si="107"/>
        <v>54102.6</v>
      </c>
      <c r="GO88">
        <f t="shared" si="108"/>
        <v>0</v>
      </c>
      <c r="GP88">
        <f t="shared" si="109"/>
        <v>0</v>
      </c>
      <c r="GR88">
        <v>0</v>
      </c>
      <c r="GS88">
        <v>3</v>
      </c>
      <c r="GT88">
        <v>0</v>
      </c>
      <c r="GU88" t="s">
        <v>6</v>
      </c>
      <c r="GV88">
        <f t="shared" si="110"/>
        <v>0</v>
      </c>
      <c r="GW88">
        <v>1</v>
      </c>
      <c r="GX88">
        <f t="shared" si="111"/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81</v>
      </c>
      <c r="E89" t="s">
        <v>206</v>
      </c>
      <c r="F89" t="s">
        <v>196</v>
      </c>
      <c r="G89" t="s">
        <v>197</v>
      </c>
      <c r="H89" t="s">
        <v>193</v>
      </c>
      <c r="I89">
        <f>I87*J89</f>
        <v>1.8</v>
      </c>
      <c r="J89">
        <v>100.00000000000001</v>
      </c>
      <c r="O89">
        <f t="shared" si="78"/>
        <v>0</v>
      </c>
      <c r="P89">
        <f t="shared" si="79"/>
        <v>0</v>
      </c>
      <c r="Q89">
        <f t="shared" si="80"/>
        <v>0</v>
      </c>
      <c r="R89">
        <f t="shared" si="81"/>
        <v>0</v>
      </c>
      <c r="S89">
        <f t="shared" si="82"/>
        <v>0</v>
      </c>
      <c r="T89">
        <f t="shared" si="83"/>
        <v>0</v>
      </c>
      <c r="U89">
        <f t="shared" si="84"/>
        <v>0</v>
      </c>
      <c r="V89">
        <f t="shared" si="85"/>
        <v>0</v>
      </c>
      <c r="W89">
        <f t="shared" si="86"/>
        <v>0</v>
      </c>
      <c r="X89">
        <f t="shared" si="87"/>
        <v>0</v>
      </c>
      <c r="Y89">
        <f t="shared" si="88"/>
        <v>0</v>
      </c>
      <c r="AA89">
        <v>16742901</v>
      </c>
      <c r="AB89">
        <f t="shared" si="89"/>
        <v>0</v>
      </c>
      <c r="AC89">
        <f t="shared" si="90"/>
        <v>0</v>
      </c>
      <c r="AD89">
        <f>ROUND((((ET89)-(EU89))+AE89),2)</f>
        <v>0</v>
      </c>
      <c r="AE89">
        <f>ROUND((EU89),2)</f>
        <v>0</v>
      </c>
      <c r="AF89">
        <f>ROUND((EV89),2)</f>
        <v>0</v>
      </c>
      <c r="AG89">
        <f t="shared" si="91"/>
        <v>0</v>
      </c>
      <c r="AH89">
        <f>(EW89)</f>
        <v>0</v>
      </c>
      <c r="AI89">
        <f>(EX89)</f>
        <v>0</v>
      </c>
      <c r="AJ89">
        <f t="shared" si="92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106</v>
      </c>
      <c r="AU89">
        <v>54</v>
      </c>
      <c r="AV89">
        <v>1</v>
      </c>
      <c r="AW89">
        <v>1</v>
      </c>
      <c r="AZ89">
        <v>6.56</v>
      </c>
      <c r="BA89">
        <v>1</v>
      </c>
      <c r="BB89">
        <v>1</v>
      </c>
      <c r="BC89">
        <v>6.56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6</v>
      </c>
      <c r="BM89">
        <v>10001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118</v>
      </c>
      <c r="CA89">
        <v>63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93"/>
        <v>0</v>
      </c>
      <c r="CQ89">
        <f t="shared" si="94"/>
        <v>0</v>
      </c>
      <c r="CR89">
        <f t="shared" si="95"/>
        <v>0</v>
      </c>
      <c r="CS89">
        <f t="shared" si="96"/>
        <v>0</v>
      </c>
      <c r="CT89">
        <f t="shared" si="97"/>
        <v>0</v>
      </c>
      <c r="CU89">
        <f t="shared" si="98"/>
        <v>0</v>
      </c>
      <c r="CV89">
        <f t="shared" si="99"/>
        <v>0</v>
      </c>
      <c r="CW89">
        <f t="shared" si="100"/>
        <v>0</v>
      </c>
      <c r="CX89">
        <f t="shared" si="101"/>
        <v>0</v>
      </c>
      <c r="CY89">
        <f t="shared" si="102"/>
        <v>0</v>
      </c>
      <c r="CZ89">
        <f t="shared" si="103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193</v>
      </c>
      <c r="DW89" t="s">
        <v>193</v>
      </c>
      <c r="DX89">
        <v>1</v>
      </c>
      <c r="EE89">
        <v>16510487</v>
      </c>
      <c r="EF89">
        <v>2</v>
      </c>
      <c r="EG89" t="s">
        <v>22</v>
      </c>
      <c r="EH89">
        <v>0</v>
      </c>
      <c r="EI89" t="s">
        <v>6</v>
      </c>
      <c r="EJ89">
        <v>1</v>
      </c>
      <c r="EK89">
        <v>10001</v>
      </c>
      <c r="EL89" t="s">
        <v>50</v>
      </c>
      <c r="EM89" t="s">
        <v>51</v>
      </c>
      <c r="EO89" t="s">
        <v>6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04"/>
        <v>0</v>
      </c>
      <c r="FS89">
        <v>0</v>
      </c>
      <c r="FT89" t="s">
        <v>25</v>
      </c>
      <c r="FU89" t="s">
        <v>26</v>
      </c>
      <c r="FX89">
        <v>106.2</v>
      </c>
      <c r="FY89">
        <v>53.55</v>
      </c>
      <c r="GA89" t="s">
        <v>6</v>
      </c>
      <c r="GD89">
        <v>0</v>
      </c>
      <c r="GF89">
        <v>1219964505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105"/>
        <v>0</v>
      </c>
      <c r="GM89">
        <f t="shared" si="106"/>
        <v>0</v>
      </c>
      <c r="GN89">
        <f t="shared" si="107"/>
        <v>0</v>
      </c>
      <c r="GO89">
        <f t="shared" si="108"/>
        <v>0</v>
      </c>
      <c r="GP89">
        <f t="shared" si="109"/>
        <v>0</v>
      </c>
      <c r="GR89">
        <v>0</v>
      </c>
      <c r="GS89">
        <v>3</v>
      </c>
      <c r="GT89">
        <v>0</v>
      </c>
      <c r="GU89" t="s">
        <v>6</v>
      </c>
      <c r="GV89">
        <f t="shared" si="110"/>
        <v>0</v>
      </c>
      <c r="GW89">
        <v>1</v>
      </c>
      <c r="GX89">
        <f t="shared" si="111"/>
        <v>0</v>
      </c>
      <c r="HA89">
        <v>0</v>
      </c>
      <c r="HB89">
        <v>0</v>
      </c>
      <c r="IK89">
        <v>0</v>
      </c>
    </row>
    <row r="90" spans="1:245" x14ac:dyDescent="0.2">
      <c r="A90">
        <v>17</v>
      </c>
      <c r="B90">
        <v>1</v>
      </c>
      <c r="C90">
        <f>ROW(SmtRes!A90)</f>
        <v>90</v>
      </c>
      <c r="D90">
        <f>ROW(EtalonRes!A95)</f>
        <v>95</v>
      </c>
      <c r="E90" t="s">
        <v>207</v>
      </c>
      <c r="F90" t="s">
        <v>208</v>
      </c>
      <c r="G90" t="s">
        <v>209</v>
      </c>
      <c r="H90" t="s">
        <v>20</v>
      </c>
      <c r="I90">
        <f>ROUND(4.06/100,9)</f>
        <v>4.0599999999999997E-2</v>
      </c>
      <c r="J90">
        <v>0</v>
      </c>
      <c r="O90">
        <f t="shared" si="78"/>
        <v>2669.73</v>
      </c>
      <c r="P90">
        <f t="shared" si="79"/>
        <v>2367.88</v>
      </c>
      <c r="Q90">
        <f t="shared" si="80"/>
        <v>7.28</v>
      </c>
      <c r="R90">
        <f t="shared" si="81"/>
        <v>1.17</v>
      </c>
      <c r="S90">
        <f t="shared" si="82"/>
        <v>294.57</v>
      </c>
      <c r="T90">
        <f t="shared" si="83"/>
        <v>0</v>
      </c>
      <c r="U90">
        <f t="shared" si="84"/>
        <v>5.2642974999999996</v>
      </c>
      <c r="V90">
        <f t="shared" si="85"/>
        <v>1.3702499999999999E-2</v>
      </c>
      <c r="W90">
        <f t="shared" si="86"/>
        <v>0</v>
      </c>
      <c r="X90">
        <f t="shared" si="87"/>
        <v>319.39999999999998</v>
      </c>
      <c r="Y90">
        <f t="shared" si="88"/>
        <v>162.66</v>
      </c>
      <c r="AA90">
        <v>16742901</v>
      </c>
      <c r="AB90">
        <f t="shared" si="89"/>
        <v>10023.950000000001</v>
      </c>
      <c r="AC90">
        <f t="shared" si="90"/>
        <v>8890.58</v>
      </c>
      <c r="AD90">
        <f>ROUND(((((ET90*1.25))-((EU90*1.25)))+AE90),2)</f>
        <v>27.35</v>
      </c>
      <c r="AE90">
        <f>ROUND(((EU90*1.25)),2)</f>
        <v>4.3899999999999997</v>
      </c>
      <c r="AF90">
        <f>ROUND(((EV90*1.15)),2)</f>
        <v>1106.02</v>
      </c>
      <c r="AG90">
        <f t="shared" si="91"/>
        <v>0</v>
      </c>
      <c r="AH90">
        <f>((EW90*1.15))</f>
        <v>129.66249999999999</v>
      </c>
      <c r="AI90">
        <f>((EX90*1.25))</f>
        <v>0.33750000000000002</v>
      </c>
      <c r="AJ90">
        <f t="shared" si="92"/>
        <v>0</v>
      </c>
      <c r="AK90">
        <v>9874.2199999999993</v>
      </c>
      <c r="AL90">
        <v>8890.58</v>
      </c>
      <c r="AM90">
        <v>21.88</v>
      </c>
      <c r="AN90">
        <v>3.51</v>
      </c>
      <c r="AO90">
        <v>961.76</v>
      </c>
      <c r="AP90">
        <v>0</v>
      </c>
      <c r="AQ90">
        <v>112.75</v>
      </c>
      <c r="AR90">
        <v>0.27</v>
      </c>
      <c r="AS90">
        <v>0</v>
      </c>
      <c r="AT90">
        <v>108</v>
      </c>
      <c r="AU90">
        <v>55</v>
      </c>
      <c r="AV90">
        <v>1</v>
      </c>
      <c r="AW90">
        <v>1</v>
      </c>
      <c r="AZ90">
        <v>6.56</v>
      </c>
      <c r="BA90">
        <v>6.56</v>
      </c>
      <c r="BB90">
        <v>6.56</v>
      </c>
      <c r="BC90">
        <v>6.56</v>
      </c>
      <c r="BD90" t="s">
        <v>6</v>
      </c>
      <c r="BE90" t="s">
        <v>6</v>
      </c>
      <c r="BF90" t="s">
        <v>6</v>
      </c>
      <c r="BG90" t="s">
        <v>6</v>
      </c>
      <c r="BH90">
        <v>0</v>
      </c>
      <c r="BI90">
        <v>1</v>
      </c>
      <c r="BJ90" t="s">
        <v>210</v>
      </c>
      <c r="BM90">
        <v>12001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6.56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120</v>
      </c>
      <c r="CA90">
        <v>65</v>
      </c>
      <c r="CF90">
        <v>0</v>
      </c>
      <c r="CG90">
        <v>0</v>
      </c>
      <c r="CM90">
        <v>0</v>
      </c>
      <c r="CN90" t="s">
        <v>1902</v>
      </c>
      <c r="CO90">
        <v>0</v>
      </c>
      <c r="CP90">
        <f t="shared" si="93"/>
        <v>2669.7300000000005</v>
      </c>
      <c r="CQ90">
        <f t="shared" si="94"/>
        <v>58322.2048</v>
      </c>
      <c r="CR90">
        <f t="shared" si="95"/>
        <v>179.416</v>
      </c>
      <c r="CS90">
        <f t="shared" si="96"/>
        <v>28.798399999999997</v>
      </c>
      <c r="CT90">
        <f t="shared" si="97"/>
        <v>7255.4911999999995</v>
      </c>
      <c r="CU90">
        <f t="shared" si="98"/>
        <v>0</v>
      </c>
      <c r="CV90">
        <f t="shared" si="99"/>
        <v>129.66249999999999</v>
      </c>
      <c r="CW90">
        <f t="shared" si="100"/>
        <v>0.33750000000000002</v>
      </c>
      <c r="CX90">
        <f t="shared" si="101"/>
        <v>0</v>
      </c>
      <c r="CY90">
        <f t="shared" si="102"/>
        <v>319.39920000000001</v>
      </c>
      <c r="CZ90">
        <f t="shared" si="103"/>
        <v>162.65700000000001</v>
      </c>
      <c r="DC90" t="s">
        <v>6</v>
      </c>
      <c r="DD90" t="s">
        <v>6</v>
      </c>
      <c r="DE90" t="s">
        <v>187</v>
      </c>
      <c r="DF90" t="s">
        <v>187</v>
      </c>
      <c r="DG90" t="s">
        <v>188</v>
      </c>
      <c r="DH90" t="s">
        <v>6</v>
      </c>
      <c r="DI90" t="s">
        <v>188</v>
      </c>
      <c r="DJ90" t="s">
        <v>187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20</v>
      </c>
      <c r="DW90" t="s">
        <v>20</v>
      </c>
      <c r="DX90">
        <v>100</v>
      </c>
      <c r="EE90">
        <v>16510489</v>
      </c>
      <c r="EF90">
        <v>2</v>
      </c>
      <c r="EG90" t="s">
        <v>22</v>
      </c>
      <c r="EH90">
        <v>0</v>
      </c>
      <c r="EI90" t="s">
        <v>6</v>
      </c>
      <c r="EJ90">
        <v>1</v>
      </c>
      <c r="EK90">
        <v>12001</v>
      </c>
      <c r="EL90" t="s">
        <v>211</v>
      </c>
      <c r="EM90" t="s">
        <v>212</v>
      </c>
      <c r="EO90" t="s">
        <v>189</v>
      </c>
      <c r="EQ90">
        <v>131072</v>
      </c>
      <c r="ER90">
        <v>9874.2199999999993</v>
      </c>
      <c r="ES90">
        <v>8890.58</v>
      </c>
      <c r="ET90">
        <v>21.88</v>
      </c>
      <c r="EU90">
        <v>3.51</v>
      </c>
      <c r="EV90">
        <v>961.76</v>
      </c>
      <c r="EW90">
        <v>112.75</v>
      </c>
      <c r="EX90">
        <v>0.27</v>
      </c>
      <c r="EY90">
        <v>0</v>
      </c>
      <c r="FQ90">
        <v>0</v>
      </c>
      <c r="FR90">
        <f t="shared" si="104"/>
        <v>0</v>
      </c>
      <c r="FS90">
        <v>0</v>
      </c>
      <c r="FT90" t="s">
        <v>25</v>
      </c>
      <c r="FU90" t="s">
        <v>26</v>
      </c>
      <c r="FX90">
        <v>108</v>
      </c>
      <c r="FY90">
        <v>55.25</v>
      </c>
      <c r="GA90" t="s">
        <v>6</v>
      </c>
      <c r="GD90">
        <v>0</v>
      </c>
      <c r="GF90">
        <v>-1197977700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105"/>
        <v>0</v>
      </c>
      <c r="GM90">
        <f t="shared" si="106"/>
        <v>3151.79</v>
      </c>
      <c r="GN90">
        <f t="shared" si="107"/>
        <v>3151.79</v>
      </c>
      <c r="GO90">
        <f t="shared" si="108"/>
        <v>0</v>
      </c>
      <c r="GP90">
        <f t="shared" si="109"/>
        <v>0</v>
      </c>
      <c r="GR90">
        <v>0</v>
      </c>
      <c r="GS90">
        <v>3</v>
      </c>
      <c r="GT90">
        <v>0</v>
      </c>
      <c r="GU90" t="s">
        <v>6</v>
      </c>
      <c r="GV90">
        <f t="shared" si="110"/>
        <v>0</v>
      </c>
      <c r="GW90">
        <v>1</v>
      </c>
      <c r="GX90">
        <f t="shared" si="111"/>
        <v>0</v>
      </c>
      <c r="HA90">
        <v>0</v>
      </c>
      <c r="HB90">
        <v>0</v>
      </c>
      <c r="IK90">
        <v>0</v>
      </c>
    </row>
    <row r="91" spans="1:245" x14ac:dyDescent="0.2">
      <c r="A91">
        <v>17</v>
      </c>
      <c r="B91">
        <v>1</v>
      </c>
      <c r="C91">
        <f>ROW(SmtRes!A98)</f>
        <v>98</v>
      </c>
      <c r="D91">
        <f>ROW(EtalonRes!A102)</f>
        <v>102</v>
      </c>
      <c r="E91" t="s">
        <v>213</v>
      </c>
      <c r="F91" t="s">
        <v>214</v>
      </c>
      <c r="G91" t="s">
        <v>215</v>
      </c>
      <c r="H91" t="s">
        <v>34</v>
      </c>
      <c r="I91">
        <f>ROUND(16.4/100,9)</f>
        <v>0.16400000000000001</v>
      </c>
      <c r="J91">
        <v>0</v>
      </c>
      <c r="O91">
        <f t="shared" si="78"/>
        <v>4533.53</v>
      </c>
      <c r="P91">
        <f t="shared" si="79"/>
        <v>4294.97</v>
      </c>
      <c r="Q91">
        <f t="shared" si="80"/>
        <v>14.94</v>
      </c>
      <c r="R91">
        <f t="shared" si="81"/>
        <v>3.07</v>
      </c>
      <c r="S91">
        <f t="shared" si="82"/>
        <v>223.62</v>
      </c>
      <c r="T91">
        <f t="shared" si="83"/>
        <v>0</v>
      </c>
      <c r="U91">
        <f t="shared" si="84"/>
        <v>3.9964340000000003</v>
      </c>
      <c r="V91">
        <f t="shared" si="85"/>
        <v>3.8949999999999999E-2</v>
      </c>
      <c r="W91">
        <f t="shared" si="86"/>
        <v>0</v>
      </c>
      <c r="X91">
        <f t="shared" si="87"/>
        <v>240.29</v>
      </c>
      <c r="Y91">
        <f t="shared" si="88"/>
        <v>122.41</v>
      </c>
      <c r="AA91">
        <v>16742901</v>
      </c>
      <c r="AB91">
        <f t="shared" si="89"/>
        <v>4213.95</v>
      </c>
      <c r="AC91">
        <f t="shared" si="90"/>
        <v>3992.2</v>
      </c>
      <c r="AD91">
        <f>ROUND(((((ET91*1.25))-((EU91*1.25)))+AE91),2)</f>
        <v>13.89</v>
      </c>
      <c r="AE91">
        <f>ROUND(((EU91*1.25)),2)</f>
        <v>2.85</v>
      </c>
      <c r="AF91">
        <f>ROUND(((EV91*1.15)),2)</f>
        <v>207.86</v>
      </c>
      <c r="AG91">
        <f t="shared" si="91"/>
        <v>0</v>
      </c>
      <c r="AH91">
        <f>((EW91*1.15))</f>
        <v>24.368500000000001</v>
      </c>
      <c r="AI91">
        <f>((EX91*1.25))</f>
        <v>0.23749999999999999</v>
      </c>
      <c r="AJ91">
        <f t="shared" si="92"/>
        <v>0</v>
      </c>
      <c r="AK91">
        <v>4184.0600000000004</v>
      </c>
      <c r="AL91">
        <v>3992.2</v>
      </c>
      <c r="AM91">
        <v>11.11</v>
      </c>
      <c r="AN91">
        <v>2.2799999999999998</v>
      </c>
      <c r="AO91">
        <v>180.75</v>
      </c>
      <c r="AP91">
        <v>0</v>
      </c>
      <c r="AQ91">
        <v>21.19</v>
      </c>
      <c r="AR91">
        <v>0.19</v>
      </c>
      <c r="AS91">
        <v>0</v>
      </c>
      <c r="AT91">
        <v>106</v>
      </c>
      <c r="AU91">
        <v>54</v>
      </c>
      <c r="AV91">
        <v>1</v>
      </c>
      <c r="AW91">
        <v>1</v>
      </c>
      <c r="AZ91">
        <v>6.56</v>
      </c>
      <c r="BA91">
        <v>6.56</v>
      </c>
      <c r="BB91">
        <v>6.56</v>
      </c>
      <c r="BC91">
        <v>6.56</v>
      </c>
      <c r="BD91" t="s">
        <v>6</v>
      </c>
      <c r="BE91" t="s">
        <v>6</v>
      </c>
      <c r="BF91" t="s">
        <v>6</v>
      </c>
      <c r="BG91" t="s">
        <v>6</v>
      </c>
      <c r="BH91">
        <v>0</v>
      </c>
      <c r="BI91">
        <v>1</v>
      </c>
      <c r="BJ91" t="s">
        <v>216</v>
      </c>
      <c r="BM91">
        <v>10001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6.56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118</v>
      </c>
      <c r="CA91">
        <v>63</v>
      </c>
      <c r="CF91">
        <v>0</v>
      </c>
      <c r="CG91">
        <v>0</v>
      </c>
      <c r="CM91">
        <v>0</v>
      </c>
      <c r="CN91" t="s">
        <v>1902</v>
      </c>
      <c r="CO91">
        <v>0</v>
      </c>
      <c r="CP91">
        <f t="shared" si="93"/>
        <v>4533.53</v>
      </c>
      <c r="CQ91">
        <f t="shared" si="94"/>
        <v>26188.831999999999</v>
      </c>
      <c r="CR91">
        <f t="shared" si="95"/>
        <v>91.118399999999994</v>
      </c>
      <c r="CS91">
        <f t="shared" si="96"/>
        <v>18.695999999999998</v>
      </c>
      <c r="CT91">
        <f t="shared" si="97"/>
        <v>1363.5616</v>
      </c>
      <c r="CU91">
        <f t="shared" si="98"/>
        <v>0</v>
      </c>
      <c r="CV91">
        <f t="shared" si="99"/>
        <v>24.368500000000001</v>
      </c>
      <c r="CW91">
        <f t="shared" si="100"/>
        <v>0.23749999999999999</v>
      </c>
      <c r="CX91">
        <f t="shared" si="101"/>
        <v>0</v>
      </c>
      <c r="CY91">
        <f t="shared" si="102"/>
        <v>240.29139999999998</v>
      </c>
      <c r="CZ91">
        <f t="shared" si="103"/>
        <v>122.4126</v>
      </c>
      <c r="DC91" t="s">
        <v>6</v>
      </c>
      <c r="DD91" t="s">
        <v>6</v>
      </c>
      <c r="DE91" t="s">
        <v>187</v>
      </c>
      <c r="DF91" t="s">
        <v>187</v>
      </c>
      <c r="DG91" t="s">
        <v>188</v>
      </c>
      <c r="DH91" t="s">
        <v>6</v>
      </c>
      <c r="DI91" t="s">
        <v>188</v>
      </c>
      <c r="DJ91" t="s">
        <v>187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1003</v>
      </c>
      <c r="DV91" t="s">
        <v>34</v>
      </c>
      <c r="DW91" t="s">
        <v>34</v>
      </c>
      <c r="DX91">
        <v>100</v>
      </c>
      <c r="EE91">
        <v>16510487</v>
      </c>
      <c r="EF91">
        <v>2</v>
      </c>
      <c r="EG91" t="s">
        <v>22</v>
      </c>
      <c r="EH91">
        <v>0</v>
      </c>
      <c r="EI91" t="s">
        <v>6</v>
      </c>
      <c r="EJ91">
        <v>1</v>
      </c>
      <c r="EK91">
        <v>10001</v>
      </c>
      <c r="EL91" t="s">
        <v>50</v>
      </c>
      <c r="EM91" t="s">
        <v>51</v>
      </c>
      <c r="EO91" t="s">
        <v>189</v>
      </c>
      <c r="EQ91">
        <v>131072</v>
      </c>
      <c r="ER91">
        <v>4184.0600000000004</v>
      </c>
      <c r="ES91">
        <v>3992.2</v>
      </c>
      <c r="ET91">
        <v>11.11</v>
      </c>
      <c r="EU91">
        <v>2.2799999999999998</v>
      </c>
      <c r="EV91">
        <v>180.75</v>
      </c>
      <c r="EW91">
        <v>21.19</v>
      </c>
      <c r="EX91">
        <v>0.19</v>
      </c>
      <c r="EY91">
        <v>0</v>
      </c>
      <c r="FQ91">
        <v>0</v>
      </c>
      <c r="FR91">
        <f t="shared" si="104"/>
        <v>0</v>
      </c>
      <c r="FS91">
        <v>0</v>
      </c>
      <c r="FT91" t="s">
        <v>25</v>
      </c>
      <c r="FU91" t="s">
        <v>26</v>
      </c>
      <c r="FX91">
        <v>106.2</v>
      </c>
      <c r="FY91">
        <v>53.55</v>
      </c>
      <c r="GA91" t="s">
        <v>6</v>
      </c>
      <c r="GD91">
        <v>0</v>
      </c>
      <c r="GF91">
        <v>756108961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105"/>
        <v>0</v>
      </c>
      <c r="GM91">
        <f t="shared" si="106"/>
        <v>4896.2299999999996</v>
      </c>
      <c r="GN91">
        <f t="shared" si="107"/>
        <v>4896.2299999999996</v>
      </c>
      <c r="GO91">
        <f t="shared" si="108"/>
        <v>0</v>
      </c>
      <c r="GP91">
        <f t="shared" si="109"/>
        <v>0</v>
      </c>
      <c r="GR91">
        <v>0</v>
      </c>
      <c r="GS91">
        <v>3</v>
      </c>
      <c r="GT91">
        <v>0</v>
      </c>
      <c r="GU91" t="s">
        <v>6</v>
      </c>
      <c r="GV91">
        <f t="shared" si="110"/>
        <v>0</v>
      </c>
      <c r="GW91">
        <v>1</v>
      </c>
      <c r="GX91">
        <f t="shared" si="111"/>
        <v>0</v>
      </c>
      <c r="HA91">
        <v>0</v>
      </c>
      <c r="HB91">
        <v>0</v>
      </c>
      <c r="IK91">
        <v>0</v>
      </c>
    </row>
    <row r="92" spans="1:245" x14ac:dyDescent="0.2">
      <c r="A92">
        <v>18</v>
      </c>
      <c r="B92">
        <v>1</v>
      </c>
      <c r="C92">
        <v>96</v>
      </c>
      <c r="E92" t="s">
        <v>217</v>
      </c>
      <c r="F92" t="s">
        <v>218</v>
      </c>
      <c r="G92" t="s">
        <v>219</v>
      </c>
      <c r="H92" t="s">
        <v>220</v>
      </c>
      <c r="I92">
        <f>I91*J92</f>
        <v>16.399999999999999</v>
      </c>
      <c r="J92">
        <v>99.999999999999986</v>
      </c>
      <c r="O92">
        <f t="shared" si="78"/>
        <v>6923.03</v>
      </c>
      <c r="P92">
        <f t="shared" si="79"/>
        <v>6923.03</v>
      </c>
      <c r="Q92">
        <f t="shared" si="80"/>
        <v>0</v>
      </c>
      <c r="R92">
        <f t="shared" si="81"/>
        <v>0</v>
      </c>
      <c r="S92">
        <f t="shared" si="82"/>
        <v>0</v>
      </c>
      <c r="T92">
        <f t="shared" si="83"/>
        <v>0</v>
      </c>
      <c r="U92">
        <f t="shared" si="84"/>
        <v>0</v>
      </c>
      <c r="V92">
        <f t="shared" si="85"/>
        <v>0</v>
      </c>
      <c r="W92">
        <f t="shared" si="86"/>
        <v>0</v>
      </c>
      <c r="X92">
        <f t="shared" si="87"/>
        <v>0</v>
      </c>
      <c r="Y92">
        <f t="shared" si="88"/>
        <v>0</v>
      </c>
      <c r="AA92">
        <v>16742901</v>
      </c>
      <c r="AB92">
        <f t="shared" si="89"/>
        <v>64.349999999999994</v>
      </c>
      <c r="AC92">
        <f t="shared" si="90"/>
        <v>64.349999999999994</v>
      </c>
      <c r="AD92">
        <f>ROUND((((ET92)-(EU92))+AE92),2)</f>
        <v>0</v>
      </c>
      <c r="AE92">
        <f>ROUND((EU92),2)</f>
        <v>0</v>
      </c>
      <c r="AF92">
        <f>ROUND((EV92),2)</f>
        <v>0</v>
      </c>
      <c r="AG92">
        <f t="shared" si="91"/>
        <v>0</v>
      </c>
      <c r="AH92">
        <f>(EW92)</f>
        <v>0</v>
      </c>
      <c r="AI92">
        <f>(EX92)</f>
        <v>0</v>
      </c>
      <c r="AJ92">
        <f t="shared" si="92"/>
        <v>0</v>
      </c>
      <c r="AK92">
        <v>64.349999999999994</v>
      </c>
      <c r="AL92">
        <v>64.349999999999994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106</v>
      </c>
      <c r="AU92">
        <v>54</v>
      </c>
      <c r="AV92">
        <v>1</v>
      </c>
      <c r="AW92">
        <v>1</v>
      </c>
      <c r="AZ92">
        <v>6.56</v>
      </c>
      <c r="BA92">
        <v>1</v>
      </c>
      <c r="BB92">
        <v>1</v>
      </c>
      <c r="BC92">
        <v>6.56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1</v>
      </c>
      <c r="BJ92" t="s">
        <v>221</v>
      </c>
      <c r="BM92">
        <v>10001</v>
      </c>
      <c r="BN92">
        <v>0</v>
      </c>
      <c r="BO92" t="s">
        <v>6</v>
      </c>
      <c r="BP92">
        <v>0</v>
      </c>
      <c r="BQ92">
        <v>2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118</v>
      </c>
      <c r="CA92">
        <v>63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si="93"/>
        <v>6923.03</v>
      </c>
      <c r="CQ92">
        <f t="shared" si="94"/>
        <v>422.13599999999991</v>
      </c>
      <c r="CR92">
        <f t="shared" si="95"/>
        <v>0</v>
      </c>
      <c r="CS92">
        <f t="shared" si="96"/>
        <v>0</v>
      </c>
      <c r="CT92">
        <f t="shared" si="97"/>
        <v>0</v>
      </c>
      <c r="CU92">
        <f t="shared" si="98"/>
        <v>0</v>
      </c>
      <c r="CV92">
        <f t="shared" si="99"/>
        <v>0</v>
      </c>
      <c r="CW92">
        <f t="shared" si="100"/>
        <v>0</v>
      </c>
      <c r="CX92">
        <f t="shared" si="101"/>
        <v>0</v>
      </c>
      <c r="CY92">
        <f t="shared" si="102"/>
        <v>0</v>
      </c>
      <c r="CZ92">
        <f t="shared" si="103"/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1003</v>
      </c>
      <c r="DV92" t="s">
        <v>220</v>
      </c>
      <c r="DW92" t="s">
        <v>220</v>
      </c>
      <c r="DX92">
        <v>1</v>
      </c>
      <c r="EE92">
        <v>16510487</v>
      </c>
      <c r="EF92">
        <v>2</v>
      </c>
      <c r="EG92" t="s">
        <v>22</v>
      </c>
      <c r="EH92">
        <v>0</v>
      </c>
      <c r="EI92" t="s">
        <v>6</v>
      </c>
      <c r="EJ92">
        <v>1</v>
      </c>
      <c r="EK92">
        <v>10001</v>
      </c>
      <c r="EL92" t="s">
        <v>50</v>
      </c>
      <c r="EM92" t="s">
        <v>51</v>
      </c>
      <c r="EO92" t="s">
        <v>6</v>
      </c>
      <c r="EQ92">
        <v>0</v>
      </c>
      <c r="ER92">
        <v>64.349999999999994</v>
      </c>
      <c r="ES92">
        <v>64.349999999999994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104"/>
        <v>0</v>
      </c>
      <c r="FS92">
        <v>0</v>
      </c>
      <c r="FT92" t="s">
        <v>25</v>
      </c>
      <c r="FU92" t="s">
        <v>26</v>
      </c>
      <c r="FX92">
        <v>106.2</v>
      </c>
      <c r="FY92">
        <v>53.55</v>
      </c>
      <c r="GA92" t="s">
        <v>6</v>
      </c>
      <c r="GD92">
        <v>0</v>
      </c>
      <c r="GF92">
        <v>1369221803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105"/>
        <v>0</v>
      </c>
      <c r="GM92">
        <f t="shared" si="106"/>
        <v>6923.03</v>
      </c>
      <c r="GN92">
        <f t="shared" si="107"/>
        <v>6923.03</v>
      </c>
      <c r="GO92">
        <f t="shared" si="108"/>
        <v>0</v>
      </c>
      <c r="GP92">
        <f t="shared" si="109"/>
        <v>0</v>
      </c>
      <c r="GR92">
        <v>0</v>
      </c>
      <c r="GS92">
        <v>3</v>
      </c>
      <c r="GT92">
        <v>0</v>
      </c>
      <c r="GU92" t="s">
        <v>6</v>
      </c>
      <c r="GV92">
        <f t="shared" si="110"/>
        <v>0</v>
      </c>
      <c r="GW92">
        <v>1</v>
      </c>
      <c r="GX92">
        <f t="shared" si="111"/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95</v>
      </c>
      <c r="E93" t="s">
        <v>222</v>
      </c>
      <c r="F93" t="s">
        <v>223</v>
      </c>
      <c r="G93" t="s">
        <v>224</v>
      </c>
      <c r="H93" t="s">
        <v>220</v>
      </c>
      <c r="I93">
        <f>I91*J93</f>
        <v>0</v>
      </c>
      <c r="J93">
        <v>0</v>
      </c>
      <c r="O93">
        <f t="shared" si="78"/>
        <v>0</v>
      </c>
      <c r="P93">
        <f t="shared" si="79"/>
        <v>0</v>
      </c>
      <c r="Q93">
        <f t="shared" si="80"/>
        <v>0</v>
      </c>
      <c r="R93">
        <f t="shared" si="81"/>
        <v>0</v>
      </c>
      <c r="S93">
        <f t="shared" si="82"/>
        <v>0</v>
      </c>
      <c r="T93">
        <f t="shared" si="83"/>
        <v>0</v>
      </c>
      <c r="U93">
        <f t="shared" si="84"/>
        <v>0</v>
      </c>
      <c r="V93">
        <f t="shared" si="85"/>
        <v>0</v>
      </c>
      <c r="W93">
        <f t="shared" si="86"/>
        <v>0</v>
      </c>
      <c r="X93">
        <f t="shared" si="87"/>
        <v>0</v>
      </c>
      <c r="Y93">
        <f t="shared" si="88"/>
        <v>0</v>
      </c>
      <c r="AA93">
        <v>16742901</v>
      </c>
      <c r="AB93">
        <f t="shared" si="89"/>
        <v>0</v>
      </c>
      <c r="AC93">
        <f t="shared" si="90"/>
        <v>0</v>
      </c>
      <c r="AD93">
        <f>ROUND((((ET93)-(EU93))+AE93),2)</f>
        <v>0</v>
      </c>
      <c r="AE93">
        <f>ROUND((EU93),2)</f>
        <v>0</v>
      </c>
      <c r="AF93">
        <f>ROUND((EV93),2)</f>
        <v>0</v>
      </c>
      <c r="AG93">
        <f t="shared" si="91"/>
        <v>0</v>
      </c>
      <c r="AH93">
        <f>(EW93)</f>
        <v>0</v>
      </c>
      <c r="AI93">
        <f>(EX93)</f>
        <v>0</v>
      </c>
      <c r="AJ93">
        <f t="shared" si="92"/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106</v>
      </c>
      <c r="AU93">
        <v>54</v>
      </c>
      <c r="AV93">
        <v>1</v>
      </c>
      <c r="AW93">
        <v>1</v>
      </c>
      <c r="AZ93">
        <v>6.56</v>
      </c>
      <c r="BA93">
        <v>1</v>
      </c>
      <c r="BB93">
        <v>1</v>
      </c>
      <c r="BC93">
        <v>6.56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6</v>
      </c>
      <c r="BM93">
        <v>10001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118</v>
      </c>
      <c r="CA93">
        <v>63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93"/>
        <v>0</v>
      </c>
      <c r="CQ93">
        <f t="shared" si="94"/>
        <v>0</v>
      </c>
      <c r="CR93">
        <f t="shared" si="95"/>
        <v>0</v>
      </c>
      <c r="CS93">
        <f t="shared" si="96"/>
        <v>0</v>
      </c>
      <c r="CT93">
        <f t="shared" si="97"/>
        <v>0</v>
      </c>
      <c r="CU93">
        <f t="shared" si="98"/>
        <v>0</v>
      </c>
      <c r="CV93">
        <f t="shared" si="99"/>
        <v>0</v>
      </c>
      <c r="CW93">
        <f t="shared" si="100"/>
        <v>0</v>
      </c>
      <c r="CX93">
        <f t="shared" si="101"/>
        <v>0</v>
      </c>
      <c r="CY93">
        <f t="shared" si="102"/>
        <v>0</v>
      </c>
      <c r="CZ93">
        <f t="shared" si="103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1003</v>
      </c>
      <c r="DV93" t="s">
        <v>220</v>
      </c>
      <c r="DW93" t="s">
        <v>220</v>
      </c>
      <c r="DX93">
        <v>1</v>
      </c>
      <c r="EE93">
        <v>16510487</v>
      </c>
      <c r="EF93">
        <v>2</v>
      </c>
      <c r="EG93" t="s">
        <v>22</v>
      </c>
      <c r="EH93">
        <v>0</v>
      </c>
      <c r="EI93" t="s">
        <v>6</v>
      </c>
      <c r="EJ93">
        <v>1</v>
      </c>
      <c r="EK93">
        <v>10001</v>
      </c>
      <c r="EL93" t="s">
        <v>50</v>
      </c>
      <c r="EM93" t="s">
        <v>51</v>
      </c>
      <c r="EO93" t="s">
        <v>6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04"/>
        <v>0</v>
      </c>
      <c r="FS93">
        <v>0</v>
      </c>
      <c r="FT93" t="s">
        <v>25</v>
      </c>
      <c r="FU93" t="s">
        <v>26</v>
      </c>
      <c r="FX93">
        <v>106.2</v>
      </c>
      <c r="FY93">
        <v>53.55</v>
      </c>
      <c r="GA93" t="s">
        <v>6</v>
      </c>
      <c r="GD93">
        <v>0</v>
      </c>
      <c r="GF93">
        <v>1170915945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05"/>
        <v>0</v>
      </c>
      <c r="GM93">
        <f t="shared" si="106"/>
        <v>0</v>
      </c>
      <c r="GN93">
        <f t="shared" si="107"/>
        <v>0</v>
      </c>
      <c r="GO93">
        <f t="shared" si="108"/>
        <v>0</v>
      </c>
      <c r="GP93">
        <f t="shared" si="109"/>
        <v>0</v>
      </c>
      <c r="GR93">
        <v>0</v>
      </c>
      <c r="GS93">
        <v>3</v>
      </c>
      <c r="GT93">
        <v>0</v>
      </c>
      <c r="GU93" t="s">
        <v>6</v>
      </c>
      <c r="GV93">
        <f t="shared" si="110"/>
        <v>0</v>
      </c>
      <c r="GW93">
        <v>1</v>
      </c>
      <c r="GX93">
        <f t="shared" si="111"/>
        <v>0</v>
      </c>
      <c r="HA93">
        <v>0</v>
      </c>
      <c r="HB93">
        <v>0</v>
      </c>
      <c r="IK93">
        <v>0</v>
      </c>
    </row>
    <row r="94" spans="1:245" x14ac:dyDescent="0.2">
      <c r="A94">
        <v>17</v>
      </c>
      <c r="B94">
        <v>1</v>
      </c>
      <c r="C94">
        <f>ROW(SmtRes!A103)</f>
        <v>103</v>
      </c>
      <c r="D94">
        <f>ROW(EtalonRes!A107)</f>
        <v>107</v>
      </c>
      <c r="E94" t="s">
        <v>225</v>
      </c>
      <c r="F94" t="s">
        <v>226</v>
      </c>
      <c r="G94" t="s">
        <v>227</v>
      </c>
      <c r="H94" t="s">
        <v>20</v>
      </c>
      <c r="I94">
        <f>ROUND(32.41/100,9)</f>
        <v>0.3241</v>
      </c>
      <c r="J94">
        <v>0</v>
      </c>
      <c r="O94">
        <f t="shared" si="78"/>
        <v>9582.51</v>
      </c>
      <c r="P94">
        <f t="shared" si="79"/>
        <v>4776.3</v>
      </c>
      <c r="Q94">
        <f t="shared" si="80"/>
        <v>171.15</v>
      </c>
      <c r="R94">
        <f t="shared" si="81"/>
        <v>73.900000000000006</v>
      </c>
      <c r="S94">
        <f t="shared" si="82"/>
        <v>4635.0600000000004</v>
      </c>
      <c r="T94">
        <f t="shared" si="83"/>
        <v>0</v>
      </c>
      <c r="U94">
        <f t="shared" si="84"/>
        <v>76.056222899999995</v>
      </c>
      <c r="V94">
        <f t="shared" si="85"/>
        <v>0.83455750000000006</v>
      </c>
      <c r="W94">
        <f t="shared" si="86"/>
        <v>0</v>
      </c>
      <c r="X94">
        <f t="shared" si="87"/>
        <v>4473.51</v>
      </c>
      <c r="Y94">
        <f t="shared" si="88"/>
        <v>2213.21</v>
      </c>
      <c r="AA94">
        <v>16742901</v>
      </c>
      <c r="AB94">
        <f t="shared" si="89"/>
        <v>4507.09</v>
      </c>
      <c r="AC94">
        <f t="shared" si="90"/>
        <v>2246.5100000000002</v>
      </c>
      <c r="AD94">
        <f>ROUND(((((ET94*1.25))-((EU94*1.25)))+AE94),2)</f>
        <v>80.5</v>
      </c>
      <c r="AE94">
        <f>ROUND(((EU94*1.25)),2)</f>
        <v>34.76</v>
      </c>
      <c r="AF94">
        <f>ROUND(((EV94*1.15)),2)</f>
        <v>2180.08</v>
      </c>
      <c r="AG94">
        <f t="shared" si="91"/>
        <v>0</v>
      </c>
      <c r="AH94">
        <f>((EW94*1.15))</f>
        <v>234.66899999999998</v>
      </c>
      <c r="AI94">
        <f>((EX94*1.25))</f>
        <v>2.5750000000000002</v>
      </c>
      <c r="AJ94">
        <f t="shared" si="92"/>
        <v>0</v>
      </c>
      <c r="AK94">
        <v>4206.63</v>
      </c>
      <c r="AL94">
        <v>2246.5100000000002</v>
      </c>
      <c r="AM94">
        <v>64.400000000000006</v>
      </c>
      <c r="AN94">
        <v>27.81</v>
      </c>
      <c r="AO94">
        <v>1895.72</v>
      </c>
      <c r="AP94">
        <v>0</v>
      </c>
      <c r="AQ94">
        <v>204.06</v>
      </c>
      <c r="AR94">
        <v>2.06</v>
      </c>
      <c r="AS94">
        <v>0</v>
      </c>
      <c r="AT94">
        <v>95</v>
      </c>
      <c r="AU94">
        <v>47</v>
      </c>
      <c r="AV94">
        <v>1</v>
      </c>
      <c r="AW94">
        <v>1</v>
      </c>
      <c r="AZ94">
        <v>6.56</v>
      </c>
      <c r="BA94">
        <v>6.56</v>
      </c>
      <c r="BB94">
        <v>6.56</v>
      </c>
      <c r="BC94">
        <v>6.56</v>
      </c>
      <c r="BD94" t="s">
        <v>6</v>
      </c>
      <c r="BE94" t="s">
        <v>6</v>
      </c>
      <c r="BF94" t="s">
        <v>6</v>
      </c>
      <c r="BG94" t="s">
        <v>6</v>
      </c>
      <c r="BH94">
        <v>0</v>
      </c>
      <c r="BI94">
        <v>1</v>
      </c>
      <c r="BJ94" t="s">
        <v>228</v>
      </c>
      <c r="BM94">
        <v>15001</v>
      </c>
      <c r="BN94">
        <v>0</v>
      </c>
      <c r="BO94" t="s">
        <v>6</v>
      </c>
      <c r="BP94">
        <v>0</v>
      </c>
      <c r="BQ94">
        <v>2</v>
      </c>
      <c r="BR94">
        <v>0</v>
      </c>
      <c r="BS94">
        <v>6.56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105</v>
      </c>
      <c r="CA94">
        <v>55</v>
      </c>
      <c r="CF94">
        <v>0</v>
      </c>
      <c r="CG94">
        <v>0</v>
      </c>
      <c r="CM94">
        <v>0</v>
      </c>
      <c r="CN94" t="s">
        <v>1902</v>
      </c>
      <c r="CO94">
        <v>0</v>
      </c>
      <c r="CP94">
        <f t="shared" si="93"/>
        <v>9582.51</v>
      </c>
      <c r="CQ94">
        <f t="shared" si="94"/>
        <v>14737.105600000001</v>
      </c>
      <c r="CR94">
        <f t="shared" si="95"/>
        <v>528.07999999999993</v>
      </c>
      <c r="CS94">
        <f t="shared" si="96"/>
        <v>228.02559999999997</v>
      </c>
      <c r="CT94">
        <f t="shared" si="97"/>
        <v>14301.324799999999</v>
      </c>
      <c r="CU94">
        <f t="shared" si="98"/>
        <v>0</v>
      </c>
      <c r="CV94">
        <f t="shared" si="99"/>
        <v>234.66899999999998</v>
      </c>
      <c r="CW94">
        <f t="shared" si="100"/>
        <v>2.5750000000000002</v>
      </c>
      <c r="CX94">
        <f t="shared" si="101"/>
        <v>0</v>
      </c>
      <c r="CY94">
        <f t="shared" si="102"/>
        <v>4473.5119999999997</v>
      </c>
      <c r="CZ94">
        <f t="shared" si="103"/>
        <v>2213.2111999999997</v>
      </c>
      <c r="DC94" t="s">
        <v>6</v>
      </c>
      <c r="DD94" t="s">
        <v>6</v>
      </c>
      <c r="DE94" t="s">
        <v>187</v>
      </c>
      <c r="DF94" t="s">
        <v>187</v>
      </c>
      <c r="DG94" t="s">
        <v>188</v>
      </c>
      <c r="DH94" t="s">
        <v>6</v>
      </c>
      <c r="DI94" t="s">
        <v>188</v>
      </c>
      <c r="DJ94" t="s">
        <v>187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1005</v>
      </c>
      <c r="DV94" t="s">
        <v>20</v>
      </c>
      <c r="DW94" t="s">
        <v>20</v>
      </c>
      <c r="DX94">
        <v>100</v>
      </c>
      <c r="EE94">
        <v>16510513</v>
      </c>
      <c r="EF94">
        <v>2</v>
      </c>
      <c r="EG94" t="s">
        <v>22</v>
      </c>
      <c r="EH94">
        <v>0</v>
      </c>
      <c r="EI94" t="s">
        <v>6</v>
      </c>
      <c r="EJ94">
        <v>1</v>
      </c>
      <c r="EK94">
        <v>15001</v>
      </c>
      <c r="EL94" t="s">
        <v>229</v>
      </c>
      <c r="EM94" t="s">
        <v>230</v>
      </c>
      <c r="EO94" t="s">
        <v>189</v>
      </c>
      <c r="EQ94">
        <v>131072</v>
      </c>
      <c r="ER94">
        <v>4206.63</v>
      </c>
      <c r="ES94">
        <v>2246.5100000000002</v>
      </c>
      <c r="ET94">
        <v>64.400000000000006</v>
      </c>
      <c r="EU94">
        <v>27.81</v>
      </c>
      <c r="EV94">
        <v>1895.72</v>
      </c>
      <c r="EW94">
        <v>204.06</v>
      </c>
      <c r="EX94">
        <v>2.06</v>
      </c>
      <c r="EY94">
        <v>0</v>
      </c>
      <c r="FQ94">
        <v>0</v>
      </c>
      <c r="FR94">
        <f t="shared" si="104"/>
        <v>0</v>
      </c>
      <c r="FS94">
        <v>0</v>
      </c>
      <c r="FT94" t="s">
        <v>25</v>
      </c>
      <c r="FU94" t="s">
        <v>26</v>
      </c>
      <c r="FX94">
        <v>94.5</v>
      </c>
      <c r="FY94">
        <v>46.75</v>
      </c>
      <c r="GA94" t="s">
        <v>6</v>
      </c>
      <c r="GD94">
        <v>0</v>
      </c>
      <c r="GF94">
        <v>-635342655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05"/>
        <v>0</v>
      </c>
      <c r="GM94">
        <f t="shared" si="106"/>
        <v>16269.23</v>
      </c>
      <c r="GN94">
        <f t="shared" si="107"/>
        <v>16269.23</v>
      </c>
      <c r="GO94">
        <f t="shared" si="108"/>
        <v>0</v>
      </c>
      <c r="GP94">
        <f t="shared" si="109"/>
        <v>0</v>
      </c>
      <c r="GR94">
        <v>0</v>
      </c>
      <c r="GS94">
        <v>3</v>
      </c>
      <c r="GT94">
        <v>0</v>
      </c>
      <c r="GU94" t="s">
        <v>6</v>
      </c>
      <c r="GV94">
        <f t="shared" si="110"/>
        <v>0</v>
      </c>
      <c r="GW94">
        <v>1</v>
      </c>
      <c r="GX94">
        <f t="shared" si="111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C95">
        <f>ROW(SmtRes!A112)</f>
        <v>112</v>
      </c>
      <c r="D95">
        <f>ROW(EtalonRes!A115)</f>
        <v>115</v>
      </c>
      <c r="E95" t="s">
        <v>231</v>
      </c>
      <c r="F95" t="s">
        <v>232</v>
      </c>
      <c r="G95" t="s">
        <v>233</v>
      </c>
      <c r="H95" t="s">
        <v>20</v>
      </c>
      <c r="I95">
        <f>ROUND(32.41/100,9)</f>
        <v>0.3241</v>
      </c>
      <c r="J95">
        <v>0</v>
      </c>
      <c r="O95">
        <f t="shared" si="78"/>
        <v>1564.67</v>
      </c>
      <c r="P95">
        <f t="shared" si="79"/>
        <v>595.94000000000005</v>
      </c>
      <c r="Q95">
        <f t="shared" si="80"/>
        <v>27.87</v>
      </c>
      <c r="R95">
        <f t="shared" si="81"/>
        <v>5.34</v>
      </c>
      <c r="S95">
        <f t="shared" si="82"/>
        <v>940.86</v>
      </c>
      <c r="T95">
        <f t="shared" si="83"/>
        <v>0</v>
      </c>
      <c r="U95">
        <f t="shared" si="84"/>
        <v>15.989473499999997</v>
      </c>
      <c r="V95">
        <f t="shared" si="85"/>
        <v>6.8871250000000009E-2</v>
      </c>
      <c r="W95">
        <f t="shared" si="86"/>
        <v>0</v>
      </c>
      <c r="X95">
        <f t="shared" si="87"/>
        <v>898.89</v>
      </c>
      <c r="Y95">
        <f t="shared" si="88"/>
        <v>444.71</v>
      </c>
      <c r="AA95">
        <v>16742901</v>
      </c>
      <c r="AB95">
        <f t="shared" si="89"/>
        <v>735.94</v>
      </c>
      <c r="AC95">
        <f t="shared" si="90"/>
        <v>280.3</v>
      </c>
      <c r="AD95">
        <f>ROUND(((((ET95*1.25))-((EU95*1.25)))+AE95),2)</f>
        <v>13.11</v>
      </c>
      <c r="AE95">
        <f>ROUND(((EU95*1.25)),2)</f>
        <v>2.5099999999999998</v>
      </c>
      <c r="AF95">
        <f>ROUND(((EV95*1.15)),2)</f>
        <v>442.53</v>
      </c>
      <c r="AG95">
        <f t="shared" si="91"/>
        <v>0</v>
      </c>
      <c r="AH95">
        <f>((EW95*1.15))</f>
        <v>49.334999999999994</v>
      </c>
      <c r="AI95">
        <f>((EX95*1.25))</f>
        <v>0.21250000000000002</v>
      </c>
      <c r="AJ95">
        <f t="shared" si="92"/>
        <v>0</v>
      </c>
      <c r="AK95">
        <v>675.6</v>
      </c>
      <c r="AL95">
        <v>280.3</v>
      </c>
      <c r="AM95">
        <v>10.49</v>
      </c>
      <c r="AN95">
        <v>2.0099999999999998</v>
      </c>
      <c r="AO95">
        <v>384.81</v>
      </c>
      <c r="AP95">
        <v>0</v>
      </c>
      <c r="AQ95">
        <v>42.9</v>
      </c>
      <c r="AR95">
        <v>0.17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6.56</v>
      </c>
      <c r="BA95">
        <v>6.56</v>
      </c>
      <c r="BB95">
        <v>6.56</v>
      </c>
      <c r="BC95">
        <v>6.56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234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6.56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F95">
        <v>0</v>
      </c>
      <c r="CG95">
        <v>0</v>
      </c>
      <c r="CM95">
        <v>0</v>
      </c>
      <c r="CN95" t="s">
        <v>1902</v>
      </c>
      <c r="CO95">
        <v>0</v>
      </c>
      <c r="CP95">
        <f t="shared" si="93"/>
        <v>1564.67</v>
      </c>
      <c r="CQ95">
        <f t="shared" si="94"/>
        <v>1838.768</v>
      </c>
      <c r="CR95">
        <f t="shared" si="95"/>
        <v>86.001599999999996</v>
      </c>
      <c r="CS95">
        <f t="shared" si="96"/>
        <v>16.465599999999998</v>
      </c>
      <c r="CT95">
        <f t="shared" si="97"/>
        <v>2902.9967999999994</v>
      </c>
      <c r="CU95">
        <f t="shared" si="98"/>
        <v>0</v>
      </c>
      <c r="CV95">
        <f t="shared" si="99"/>
        <v>49.334999999999994</v>
      </c>
      <c r="CW95">
        <f t="shared" si="100"/>
        <v>0.21250000000000002</v>
      </c>
      <c r="CX95">
        <f t="shared" si="101"/>
        <v>0</v>
      </c>
      <c r="CY95">
        <f t="shared" si="102"/>
        <v>898.89</v>
      </c>
      <c r="CZ95">
        <f t="shared" si="103"/>
        <v>444.714</v>
      </c>
      <c r="DC95" t="s">
        <v>6</v>
      </c>
      <c r="DD95" t="s">
        <v>6</v>
      </c>
      <c r="DE95" t="s">
        <v>187</v>
      </c>
      <c r="DF95" t="s">
        <v>187</v>
      </c>
      <c r="DG95" t="s">
        <v>188</v>
      </c>
      <c r="DH95" t="s">
        <v>6</v>
      </c>
      <c r="DI95" t="s">
        <v>188</v>
      </c>
      <c r="DJ95" t="s">
        <v>187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20</v>
      </c>
      <c r="DW95" t="s">
        <v>20</v>
      </c>
      <c r="DX95">
        <v>100</v>
      </c>
      <c r="EE95">
        <v>16510513</v>
      </c>
      <c r="EF95">
        <v>2</v>
      </c>
      <c r="EG95" t="s">
        <v>22</v>
      </c>
      <c r="EH95">
        <v>0</v>
      </c>
      <c r="EI95" t="s">
        <v>6</v>
      </c>
      <c r="EJ95">
        <v>1</v>
      </c>
      <c r="EK95">
        <v>15001</v>
      </c>
      <c r="EL95" t="s">
        <v>229</v>
      </c>
      <c r="EM95" t="s">
        <v>230</v>
      </c>
      <c r="EO95" t="s">
        <v>189</v>
      </c>
      <c r="EQ95">
        <v>131072</v>
      </c>
      <c r="ER95">
        <v>675.6</v>
      </c>
      <c r="ES95">
        <v>280.3</v>
      </c>
      <c r="ET95">
        <v>10.49</v>
      </c>
      <c r="EU95">
        <v>2.0099999999999998</v>
      </c>
      <c r="EV95">
        <v>384.81</v>
      </c>
      <c r="EW95">
        <v>42.9</v>
      </c>
      <c r="EX95">
        <v>0.17</v>
      </c>
      <c r="EY95">
        <v>0</v>
      </c>
      <c r="FQ95">
        <v>0</v>
      </c>
      <c r="FR95">
        <f t="shared" si="104"/>
        <v>0</v>
      </c>
      <c r="FS95">
        <v>0</v>
      </c>
      <c r="FT95" t="s">
        <v>25</v>
      </c>
      <c r="FU95" t="s">
        <v>26</v>
      </c>
      <c r="FX95">
        <v>94.5</v>
      </c>
      <c r="FY95">
        <v>46.75</v>
      </c>
      <c r="GA95" t="s">
        <v>6</v>
      </c>
      <c r="GD95">
        <v>0</v>
      </c>
      <c r="GF95">
        <v>1201052127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05"/>
        <v>0</v>
      </c>
      <c r="GM95">
        <f t="shared" si="106"/>
        <v>2908.27</v>
      </c>
      <c r="GN95">
        <f t="shared" si="107"/>
        <v>2908.27</v>
      </c>
      <c r="GO95">
        <f t="shared" si="108"/>
        <v>0</v>
      </c>
      <c r="GP95">
        <f t="shared" si="109"/>
        <v>0</v>
      </c>
      <c r="GR95">
        <v>0</v>
      </c>
      <c r="GS95">
        <v>3</v>
      </c>
      <c r="GT95">
        <v>0</v>
      </c>
      <c r="GU95" t="s">
        <v>6</v>
      </c>
      <c r="GV95">
        <f t="shared" si="110"/>
        <v>0</v>
      </c>
      <c r="GW95">
        <v>1</v>
      </c>
      <c r="GX95">
        <f t="shared" si="111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C96">
        <v>111</v>
      </c>
      <c r="E96" t="s">
        <v>235</v>
      </c>
      <c r="F96" t="s">
        <v>236</v>
      </c>
      <c r="G96" t="s">
        <v>237</v>
      </c>
      <c r="H96" t="s">
        <v>100</v>
      </c>
      <c r="I96">
        <f>I95*J96</f>
        <v>2.0417999999999999E-2</v>
      </c>
      <c r="J96">
        <v>6.2999074359765497E-2</v>
      </c>
      <c r="O96">
        <f t="shared" si="78"/>
        <v>2068.86</v>
      </c>
      <c r="P96">
        <f t="shared" si="79"/>
        <v>2068.86</v>
      </c>
      <c r="Q96">
        <f t="shared" si="80"/>
        <v>0</v>
      </c>
      <c r="R96">
        <f t="shared" si="81"/>
        <v>0</v>
      </c>
      <c r="S96">
        <f t="shared" si="82"/>
        <v>0</v>
      </c>
      <c r="T96">
        <f t="shared" si="83"/>
        <v>0</v>
      </c>
      <c r="U96">
        <f t="shared" si="84"/>
        <v>0</v>
      </c>
      <c r="V96">
        <f t="shared" si="85"/>
        <v>0</v>
      </c>
      <c r="W96">
        <f t="shared" si="86"/>
        <v>0</v>
      </c>
      <c r="X96">
        <f t="shared" si="87"/>
        <v>0</v>
      </c>
      <c r="Y96">
        <f t="shared" si="88"/>
        <v>0</v>
      </c>
      <c r="AA96">
        <v>16742901</v>
      </c>
      <c r="AB96">
        <f t="shared" si="89"/>
        <v>15445.9</v>
      </c>
      <c r="AC96">
        <f t="shared" si="90"/>
        <v>15445.9</v>
      </c>
      <c r="AD96">
        <f>ROUND((((ET96)-(EU96))+AE96),2)</f>
        <v>0</v>
      </c>
      <c r="AE96">
        <f>ROUND((EU96),2)</f>
        <v>0</v>
      </c>
      <c r="AF96">
        <f>ROUND((EV96),2)</f>
        <v>0</v>
      </c>
      <c r="AG96">
        <f t="shared" si="91"/>
        <v>0</v>
      </c>
      <c r="AH96">
        <f>(EW96)</f>
        <v>0</v>
      </c>
      <c r="AI96">
        <f>(EX96)</f>
        <v>0</v>
      </c>
      <c r="AJ96">
        <f t="shared" si="92"/>
        <v>0</v>
      </c>
      <c r="AK96">
        <v>15445.9</v>
      </c>
      <c r="AL96">
        <v>15445.9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95</v>
      </c>
      <c r="AU96">
        <v>47</v>
      </c>
      <c r="AV96">
        <v>1</v>
      </c>
      <c r="AW96">
        <v>1</v>
      </c>
      <c r="AZ96">
        <v>6.56</v>
      </c>
      <c r="BA96">
        <v>1</v>
      </c>
      <c r="BB96">
        <v>1</v>
      </c>
      <c r="BC96">
        <v>6.56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1</v>
      </c>
      <c r="BJ96" t="s">
        <v>238</v>
      </c>
      <c r="BM96">
        <v>15001</v>
      </c>
      <c r="BN96">
        <v>0</v>
      </c>
      <c r="BO96" t="s">
        <v>6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105</v>
      </c>
      <c r="CA96">
        <v>55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93"/>
        <v>2068.86</v>
      </c>
      <c r="CQ96">
        <f t="shared" si="94"/>
        <v>101325.10399999999</v>
      </c>
      <c r="CR96">
        <f t="shared" si="95"/>
        <v>0</v>
      </c>
      <c r="CS96">
        <f t="shared" si="96"/>
        <v>0</v>
      </c>
      <c r="CT96">
        <f t="shared" si="97"/>
        <v>0</v>
      </c>
      <c r="CU96">
        <f t="shared" si="98"/>
        <v>0</v>
      </c>
      <c r="CV96">
        <f t="shared" si="99"/>
        <v>0</v>
      </c>
      <c r="CW96">
        <f t="shared" si="100"/>
        <v>0</v>
      </c>
      <c r="CX96">
        <f t="shared" si="101"/>
        <v>0</v>
      </c>
      <c r="CY96">
        <f t="shared" si="102"/>
        <v>0</v>
      </c>
      <c r="CZ96">
        <f t="shared" si="103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100</v>
      </c>
      <c r="DW96" t="s">
        <v>100</v>
      </c>
      <c r="DX96">
        <v>1000</v>
      </c>
      <c r="EE96">
        <v>16510513</v>
      </c>
      <c r="EF96">
        <v>2</v>
      </c>
      <c r="EG96" t="s">
        <v>22</v>
      </c>
      <c r="EH96">
        <v>0</v>
      </c>
      <c r="EI96" t="s">
        <v>6</v>
      </c>
      <c r="EJ96">
        <v>1</v>
      </c>
      <c r="EK96">
        <v>15001</v>
      </c>
      <c r="EL96" t="s">
        <v>229</v>
      </c>
      <c r="EM96" t="s">
        <v>230</v>
      </c>
      <c r="EO96" t="s">
        <v>6</v>
      </c>
      <c r="EQ96">
        <v>0</v>
      </c>
      <c r="ER96">
        <v>15445.9</v>
      </c>
      <c r="ES96">
        <v>15445.9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04"/>
        <v>0</v>
      </c>
      <c r="FS96">
        <v>0</v>
      </c>
      <c r="FT96" t="s">
        <v>25</v>
      </c>
      <c r="FU96" t="s">
        <v>26</v>
      </c>
      <c r="FX96">
        <v>94.5</v>
      </c>
      <c r="FY96">
        <v>46.75</v>
      </c>
      <c r="GA96" t="s">
        <v>6</v>
      </c>
      <c r="GD96">
        <v>0</v>
      </c>
      <c r="GF96">
        <v>-906614062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05"/>
        <v>0</v>
      </c>
      <c r="GM96">
        <f t="shared" si="106"/>
        <v>2068.86</v>
      </c>
      <c r="GN96">
        <f t="shared" si="107"/>
        <v>2068.86</v>
      </c>
      <c r="GO96">
        <f t="shared" si="108"/>
        <v>0</v>
      </c>
      <c r="GP96">
        <f t="shared" si="109"/>
        <v>0</v>
      </c>
      <c r="GR96">
        <v>0</v>
      </c>
      <c r="GS96">
        <v>3</v>
      </c>
      <c r="GT96">
        <v>0</v>
      </c>
      <c r="GU96" t="s">
        <v>6</v>
      </c>
      <c r="GV96">
        <f t="shared" si="110"/>
        <v>0</v>
      </c>
      <c r="GW96">
        <v>1</v>
      </c>
      <c r="GX96">
        <f t="shared" si="111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C97">
        <v>110</v>
      </c>
      <c r="E97" t="s">
        <v>239</v>
      </c>
      <c r="F97" t="s">
        <v>240</v>
      </c>
      <c r="G97" t="s">
        <v>241</v>
      </c>
      <c r="H97" t="s">
        <v>100</v>
      </c>
      <c r="I97">
        <f>I95*J97</f>
        <v>2.0417999999999999E-2</v>
      </c>
      <c r="J97">
        <v>6.2999074359765497E-2</v>
      </c>
      <c r="O97">
        <f t="shared" si="78"/>
        <v>0</v>
      </c>
      <c r="P97">
        <f t="shared" si="79"/>
        <v>0</v>
      </c>
      <c r="Q97">
        <f t="shared" si="80"/>
        <v>0</v>
      </c>
      <c r="R97">
        <f t="shared" si="81"/>
        <v>0</v>
      </c>
      <c r="S97">
        <f t="shared" si="82"/>
        <v>0</v>
      </c>
      <c r="T97">
        <f t="shared" si="83"/>
        <v>0</v>
      </c>
      <c r="U97">
        <f t="shared" si="84"/>
        <v>0</v>
      </c>
      <c r="V97">
        <f t="shared" si="85"/>
        <v>0</v>
      </c>
      <c r="W97">
        <f t="shared" si="86"/>
        <v>0</v>
      </c>
      <c r="X97">
        <f t="shared" si="87"/>
        <v>0</v>
      </c>
      <c r="Y97">
        <f t="shared" si="88"/>
        <v>0</v>
      </c>
      <c r="AA97">
        <v>16742901</v>
      </c>
      <c r="AB97">
        <f t="shared" si="89"/>
        <v>0</v>
      </c>
      <c r="AC97">
        <f t="shared" si="90"/>
        <v>0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91"/>
        <v>0</v>
      </c>
      <c r="AH97">
        <f>(EW97)</f>
        <v>0</v>
      </c>
      <c r="AI97">
        <f>(EX97)</f>
        <v>0</v>
      </c>
      <c r="AJ97">
        <f t="shared" si="92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6.56</v>
      </c>
      <c r="BA97">
        <v>1</v>
      </c>
      <c r="BB97">
        <v>1</v>
      </c>
      <c r="BC97">
        <v>6.56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93"/>
        <v>0</v>
      </c>
      <c r="CQ97">
        <f t="shared" si="94"/>
        <v>0</v>
      </c>
      <c r="CR97">
        <f t="shared" si="95"/>
        <v>0</v>
      </c>
      <c r="CS97">
        <f t="shared" si="96"/>
        <v>0</v>
      </c>
      <c r="CT97">
        <f t="shared" si="97"/>
        <v>0</v>
      </c>
      <c r="CU97">
        <f t="shared" si="98"/>
        <v>0</v>
      </c>
      <c r="CV97">
        <f t="shared" si="99"/>
        <v>0</v>
      </c>
      <c r="CW97">
        <f t="shared" si="100"/>
        <v>0</v>
      </c>
      <c r="CX97">
        <f t="shared" si="101"/>
        <v>0</v>
      </c>
      <c r="CY97">
        <f t="shared" si="102"/>
        <v>0</v>
      </c>
      <c r="CZ97">
        <f t="shared" si="103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100</v>
      </c>
      <c r="DW97" t="s">
        <v>100</v>
      </c>
      <c r="DX97">
        <v>1000</v>
      </c>
      <c r="EE97">
        <v>16510513</v>
      </c>
      <c r="EF97">
        <v>2</v>
      </c>
      <c r="EG97" t="s">
        <v>22</v>
      </c>
      <c r="EH97">
        <v>0</v>
      </c>
      <c r="EI97" t="s">
        <v>6</v>
      </c>
      <c r="EJ97">
        <v>1</v>
      </c>
      <c r="EK97">
        <v>15001</v>
      </c>
      <c r="EL97" t="s">
        <v>229</v>
      </c>
      <c r="EM97" t="s">
        <v>230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04"/>
        <v>0</v>
      </c>
      <c r="FS97">
        <v>0</v>
      </c>
      <c r="FT97" t="s">
        <v>25</v>
      </c>
      <c r="FU97" t="s">
        <v>26</v>
      </c>
      <c r="FX97">
        <v>94.5</v>
      </c>
      <c r="FY97">
        <v>46.75</v>
      </c>
      <c r="GA97" t="s">
        <v>6</v>
      </c>
      <c r="GD97">
        <v>0</v>
      </c>
      <c r="GF97">
        <v>1891904026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05"/>
        <v>0</v>
      </c>
      <c r="GM97">
        <f t="shared" si="106"/>
        <v>0</v>
      </c>
      <c r="GN97">
        <f t="shared" si="107"/>
        <v>0</v>
      </c>
      <c r="GO97">
        <f t="shared" si="108"/>
        <v>0</v>
      </c>
      <c r="GP97">
        <f t="shared" si="109"/>
        <v>0</v>
      </c>
      <c r="GR97">
        <v>0</v>
      </c>
      <c r="GS97">
        <v>3</v>
      </c>
      <c r="GT97">
        <v>0</v>
      </c>
      <c r="GU97" t="s">
        <v>6</v>
      </c>
      <c r="GV97">
        <f t="shared" si="110"/>
        <v>0</v>
      </c>
      <c r="GW97">
        <v>1</v>
      </c>
      <c r="GX97">
        <f t="shared" si="111"/>
        <v>0</v>
      </c>
      <c r="HA97">
        <v>0</v>
      </c>
      <c r="HB97">
        <v>0</v>
      </c>
      <c r="IK97">
        <v>0</v>
      </c>
    </row>
    <row r="98" spans="1:245" x14ac:dyDescent="0.2">
      <c r="A98">
        <v>17</v>
      </c>
      <c r="B98">
        <v>1</v>
      </c>
      <c r="C98">
        <f>ROW(SmtRes!A122)</f>
        <v>122</v>
      </c>
      <c r="D98">
        <f>ROW(EtalonRes!A124)</f>
        <v>124</v>
      </c>
      <c r="E98" t="s">
        <v>242</v>
      </c>
      <c r="F98" t="s">
        <v>243</v>
      </c>
      <c r="G98" t="s">
        <v>244</v>
      </c>
      <c r="H98" t="s">
        <v>193</v>
      </c>
      <c r="I98">
        <v>10.8</v>
      </c>
      <c r="J98">
        <v>0</v>
      </c>
      <c r="O98">
        <f t="shared" si="78"/>
        <v>5038</v>
      </c>
      <c r="P98">
        <f t="shared" si="79"/>
        <v>1822.21</v>
      </c>
      <c r="Q98">
        <f t="shared" si="80"/>
        <v>1275.97</v>
      </c>
      <c r="R98">
        <f t="shared" si="81"/>
        <v>174.29</v>
      </c>
      <c r="S98">
        <f t="shared" si="82"/>
        <v>1939.82</v>
      </c>
      <c r="T98">
        <f t="shared" si="83"/>
        <v>0</v>
      </c>
      <c r="U98">
        <f t="shared" si="84"/>
        <v>29.808</v>
      </c>
      <c r="V98">
        <f t="shared" si="85"/>
        <v>2.2950000000000004</v>
      </c>
      <c r="W98">
        <f t="shared" si="86"/>
        <v>0</v>
      </c>
      <c r="X98">
        <f t="shared" si="87"/>
        <v>1712.43</v>
      </c>
      <c r="Y98">
        <f t="shared" si="88"/>
        <v>1522.16</v>
      </c>
      <c r="AA98">
        <v>16742901</v>
      </c>
      <c r="AB98">
        <f t="shared" si="89"/>
        <v>71.11</v>
      </c>
      <c r="AC98">
        <f t="shared" si="90"/>
        <v>25.72</v>
      </c>
      <c r="AD98">
        <f>ROUND(((((ET98*1.25))-((EU98*1.25)))+AE98),2)</f>
        <v>18.010000000000002</v>
      </c>
      <c r="AE98">
        <f>ROUND(((EU98*1.25)),2)</f>
        <v>2.46</v>
      </c>
      <c r="AF98">
        <f>ROUND(((EV98*1.15)),2)</f>
        <v>27.38</v>
      </c>
      <c r="AG98">
        <f t="shared" si="91"/>
        <v>0</v>
      </c>
      <c r="AH98">
        <f>((EW98*1.15))</f>
        <v>2.76</v>
      </c>
      <c r="AI98">
        <f>((EX98*1.25))</f>
        <v>0.21250000000000002</v>
      </c>
      <c r="AJ98">
        <f t="shared" si="92"/>
        <v>0</v>
      </c>
      <c r="AK98">
        <v>63.94</v>
      </c>
      <c r="AL98">
        <v>25.72</v>
      </c>
      <c r="AM98">
        <v>14.41</v>
      </c>
      <c r="AN98">
        <v>1.97</v>
      </c>
      <c r="AO98">
        <v>23.81</v>
      </c>
      <c r="AP98">
        <v>0</v>
      </c>
      <c r="AQ98">
        <v>2.4</v>
      </c>
      <c r="AR98">
        <v>0.17</v>
      </c>
      <c r="AS98">
        <v>0</v>
      </c>
      <c r="AT98">
        <v>81</v>
      </c>
      <c r="AU98">
        <v>72</v>
      </c>
      <c r="AV98">
        <v>1</v>
      </c>
      <c r="AW98">
        <v>1</v>
      </c>
      <c r="AZ98">
        <v>6.56</v>
      </c>
      <c r="BA98">
        <v>6.56</v>
      </c>
      <c r="BB98">
        <v>6.56</v>
      </c>
      <c r="BC98">
        <v>6.56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245</v>
      </c>
      <c r="BM98">
        <v>9001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6.56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90</v>
      </c>
      <c r="CA98">
        <v>85</v>
      </c>
      <c r="CF98">
        <v>0</v>
      </c>
      <c r="CG98">
        <v>0</v>
      </c>
      <c r="CM98">
        <v>0</v>
      </c>
      <c r="CN98" t="s">
        <v>1902</v>
      </c>
      <c r="CO98">
        <v>0</v>
      </c>
      <c r="CP98">
        <f t="shared" si="93"/>
        <v>5038</v>
      </c>
      <c r="CQ98">
        <f t="shared" si="94"/>
        <v>168.72319999999999</v>
      </c>
      <c r="CR98">
        <f t="shared" si="95"/>
        <v>118.1456</v>
      </c>
      <c r="CS98">
        <f t="shared" si="96"/>
        <v>16.137599999999999</v>
      </c>
      <c r="CT98">
        <f t="shared" si="97"/>
        <v>179.61279999999999</v>
      </c>
      <c r="CU98">
        <f t="shared" si="98"/>
        <v>0</v>
      </c>
      <c r="CV98">
        <f t="shared" si="99"/>
        <v>2.76</v>
      </c>
      <c r="CW98">
        <f t="shared" si="100"/>
        <v>0.21250000000000002</v>
      </c>
      <c r="CX98">
        <f t="shared" si="101"/>
        <v>0</v>
      </c>
      <c r="CY98">
        <f t="shared" si="102"/>
        <v>1712.4291000000001</v>
      </c>
      <c r="CZ98">
        <f t="shared" si="103"/>
        <v>1522.1592000000001</v>
      </c>
      <c r="DC98" t="s">
        <v>6</v>
      </c>
      <c r="DD98" t="s">
        <v>6</v>
      </c>
      <c r="DE98" t="s">
        <v>187</v>
      </c>
      <c r="DF98" t="s">
        <v>187</v>
      </c>
      <c r="DG98" t="s">
        <v>188</v>
      </c>
      <c r="DH98" t="s">
        <v>6</v>
      </c>
      <c r="DI98" t="s">
        <v>188</v>
      </c>
      <c r="DJ98" t="s">
        <v>187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193</v>
      </c>
      <c r="DW98" t="s">
        <v>193</v>
      </c>
      <c r="DX98">
        <v>1</v>
      </c>
      <c r="EE98">
        <v>16510486</v>
      </c>
      <c r="EF98">
        <v>2</v>
      </c>
      <c r="EG98" t="s">
        <v>22</v>
      </c>
      <c r="EH98">
        <v>0</v>
      </c>
      <c r="EI98" t="s">
        <v>6</v>
      </c>
      <c r="EJ98">
        <v>1</v>
      </c>
      <c r="EK98">
        <v>9001</v>
      </c>
      <c r="EL98" t="s">
        <v>121</v>
      </c>
      <c r="EM98" t="s">
        <v>122</v>
      </c>
      <c r="EO98" t="s">
        <v>189</v>
      </c>
      <c r="EQ98">
        <v>131072</v>
      </c>
      <c r="ER98">
        <v>63.94</v>
      </c>
      <c r="ES98">
        <v>25.72</v>
      </c>
      <c r="ET98">
        <v>14.41</v>
      </c>
      <c r="EU98">
        <v>1.97</v>
      </c>
      <c r="EV98">
        <v>23.81</v>
      </c>
      <c r="EW98">
        <v>2.4</v>
      </c>
      <c r="EX98">
        <v>0.17</v>
      </c>
      <c r="EY98">
        <v>0</v>
      </c>
      <c r="FQ98">
        <v>0</v>
      </c>
      <c r="FR98">
        <f t="shared" si="104"/>
        <v>0</v>
      </c>
      <c r="FS98">
        <v>0</v>
      </c>
      <c r="FT98" t="s">
        <v>25</v>
      </c>
      <c r="FU98" t="s">
        <v>26</v>
      </c>
      <c r="FX98">
        <v>81</v>
      </c>
      <c r="FY98">
        <v>72.25</v>
      </c>
      <c r="GA98" t="s">
        <v>6</v>
      </c>
      <c r="GD98">
        <v>0</v>
      </c>
      <c r="GF98">
        <v>1555078569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05"/>
        <v>0</v>
      </c>
      <c r="GM98">
        <f t="shared" si="106"/>
        <v>8272.59</v>
      </c>
      <c r="GN98">
        <f t="shared" si="107"/>
        <v>8272.59</v>
      </c>
      <c r="GO98">
        <f t="shared" si="108"/>
        <v>0</v>
      </c>
      <c r="GP98">
        <f t="shared" si="109"/>
        <v>0</v>
      </c>
      <c r="GR98">
        <v>0</v>
      </c>
      <c r="GS98">
        <v>3</v>
      </c>
      <c r="GT98">
        <v>0</v>
      </c>
      <c r="GU98" t="s">
        <v>6</v>
      </c>
      <c r="GV98">
        <f t="shared" si="110"/>
        <v>0</v>
      </c>
      <c r="GW98">
        <v>1</v>
      </c>
      <c r="GX98">
        <f t="shared" si="111"/>
        <v>0</v>
      </c>
      <c r="HA98">
        <v>0</v>
      </c>
      <c r="HB98">
        <v>0</v>
      </c>
      <c r="IK98">
        <v>0</v>
      </c>
    </row>
    <row r="99" spans="1:245" x14ac:dyDescent="0.2">
      <c r="A99">
        <v>18</v>
      </c>
      <c r="B99">
        <v>1</v>
      </c>
      <c r="C99">
        <v>117</v>
      </c>
      <c r="E99" t="s">
        <v>246</v>
      </c>
      <c r="F99" t="s">
        <v>247</v>
      </c>
      <c r="G99" t="s">
        <v>248</v>
      </c>
      <c r="H99" t="s">
        <v>249</v>
      </c>
      <c r="I99">
        <f>I98*J99</f>
        <v>3.8344969999999998</v>
      </c>
      <c r="J99">
        <v>0.35504601851851847</v>
      </c>
      <c r="O99">
        <f t="shared" si="78"/>
        <v>2327.2800000000002</v>
      </c>
      <c r="P99">
        <f t="shared" si="79"/>
        <v>2327.2800000000002</v>
      </c>
      <c r="Q99">
        <f t="shared" si="80"/>
        <v>0</v>
      </c>
      <c r="R99">
        <f t="shared" si="81"/>
        <v>0</v>
      </c>
      <c r="S99">
        <f t="shared" si="82"/>
        <v>0</v>
      </c>
      <c r="T99">
        <f t="shared" si="83"/>
        <v>0</v>
      </c>
      <c r="U99">
        <f t="shared" si="84"/>
        <v>0</v>
      </c>
      <c r="V99">
        <f t="shared" si="85"/>
        <v>0</v>
      </c>
      <c r="W99">
        <f t="shared" si="86"/>
        <v>0</v>
      </c>
      <c r="X99">
        <f t="shared" si="87"/>
        <v>0</v>
      </c>
      <c r="Y99">
        <f t="shared" si="88"/>
        <v>0</v>
      </c>
      <c r="AA99">
        <v>16742901</v>
      </c>
      <c r="AB99">
        <f t="shared" si="89"/>
        <v>92.52</v>
      </c>
      <c r="AC99">
        <f t="shared" si="90"/>
        <v>92.52</v>
      </c>
      <c r="AD99">
        <f>ROUND((((ET99)-(EU99))+AE99),2)</f>
        <v>0</v>
      </c>
      <c r="AE99">
        <f t="shared" ref="AE99:AF101" si="112">ROUND((EU99),2)</f>
        <v>0</v>
      </c>
      <c r="AF99">
        <f t="shared" si="112"/>
        <v>0</v>
      </c>
      <c r="AG99">
        <f t="shared" si="91"/>
        <v>0</v>
      </c>
      <c r="AH99">
        <f t="shared" ref="AH99:AI101" si="113">(EW99)</f>
        <v>0</v>
      </c>
      <c r="AI99">
        <f t="shared" si="113"/>
        <v>0</v>
      </c>
      <c r="AJ99">
        <f t="shared" si="92"/>
        <v>0</v>
      </c>
      <c r="AK99">
        <v>92.52</v>
      </c>
      <c r="AL99">
        <v>92.52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81</v>
      </c>
      <c r="AU99">
        <v>72</v>
      </c>
      <c r="AV99">
        <v>1</v>
      </c>
      <c r="AW99">
        <v>1</v>
      </c>
      <c r="AZ99">
        <v>6.56</v>
      </c>
      <c r="BA99">
        <v>1</v>
      </c>
      <c r="BB99">
        <v>1</v>
      </c>
      <c r="BC99">
        <v>6.56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250</v>
      </c>
      <c r="BM99">
        <v>9001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90</v>
      </c>
      <c r="CA99">
        <v>85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93"/>
        <v>2327.2800000000002</v>
      </c>
      <c r="CQ99">
        <f t="shared" si="94"/>
        <v>606.93119999999999</v>
      </c>
      <c r="CR99">
        <f t="shared" si="95"/>
        <v>0</v>
      </c>
      <c r="CS99">
        <f t="shared" si="96"/>
        <v>0</v>
      </c>
      <c r="CT99">
        <f t="shared" si="97"/>
        <v>0</v>
      </c>
      <c r="CU99">
        <f t="shared" si="98"/>
        <v>0</v>
      </c>
      <c r="CV99">
        <f t="shared" si="99"/>
        <v>0</v>
      </c>
      <c r="CW99">
        <f t="shared" si="100"/>
        <v>0</v>
      </c>
      <c r="CX99">
        <f t="shared" si="101"/>
        <v>0</v>
      </c>
      <c r="CY99">
        <f t="shared" si="102"/>
        <v>0</v>
      </c>
      <c r="CZ99">
        <f t="shared" si="103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249</v>
      </c>
      <c r="DW99" t="s">
        <v>249</v>
      </c>
      <c r="DX99">
        <v>1</v>
      </c>
      <c r="EE99">
        <v>16510486</v>
      </c>
      <c r="EF99">
        <v>2</v>
      </c>
      <c r="EG99" t="s">
        <v>22</v>
      </c>
      <c r="EH99">
        <v>0</v>
      </c>
      <c r="EI99" t="s">
        <v>6</v>
      </c>
      <c r="EJ99">
        <v>1</v>
      </c>
      <c r="EK99">
        <v>9001</v>
      </c>
      <c r="EL99" t="s">
        <v>121</v>
      </c>
      <c r="EM99" t="s">
        <v>122</v>
      </c>
      <c r="EO99" t="s">
        <v>6</v>
      </c>
      <c r="EQ99">
        <v>0</v>
      </c>
      <c r="ER99">
        <v>92.52</v>
      </c>
      <c r="ES99">
        <v>92.52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04"/>
        <v>0</v>
      </c>
      <c r="FS99">
        <v>0</v>
      </c>
      <c r="FT99" t="s">
        <v>25</v>
      </c>
      <c r="FU99" t="s">
        <v>26</v>
      </c>
      <c r="FX99">
        <v>81</v>
      </c>
      <c r="FY99">
        <v>72.25</v>
      </c>
      <c r="GA99" t="s">
        <v>6</v>
      </c>
      <c r="GD99">
        <v>0</v>
      </c>
      <c r="GF99">
        <v>203574032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05"/>
        <v>0</v>
      </c>
      <c r="GM99">
        <f t="shared" si="106"/>
        <v>2327.2800000000002</v>
      </c>
      <c r="GN99">
        <f t="shared" si="107"/>
        <v>2327.2800000000002</v>
      </c>
      <c r="GO99">
        <f t="shared" si="108"/>
        <v>0</v>
      </c>
      <c r="GP99">
        <f t="shared" si="109"/>
        <v>0</v>
      </c>
      <c r="GR99">
        <v>0</v>
      </c>
      <c r="GS99">
        <v>3</v>
      </c>
      <c r="GT99">
        <v>0</v>
      </c>
      <c r="GU99" t="s">
        <v>6</v>
      </c>
      <c r="GV99">
        <f t="shared" si="110"/>
        <v>0</v>
      </c>
      <c r="GW99">
        <v>1</v>
      </c>
      <c r="GX99">
        <f t="shared" si="111"/>
        <v>0</v>
      </c>
      <c r="HA99">
        <v>0</v>
      </c>
      <c r="HB99">
        <v>0</v>
      </c>
      <c r="IK99">
        <v>0</v>
      </c>
    </row>
    <row r="100" spans="1:245" x14ac:dyDescent="0.2">
      <c r="A100">
        <v>18</v>
      </c>
      <c r="B100">
        <v>1</v>
      </c>
      <c r="C100">
        <v>120</v>
      </c>
      <c r="E100" t="s">
        <v>251</v>
      </c>
      <c r="F100" t="s">
        <v>252</v>
      </c>
      <c r="G100" t="s">
        <v>253</v>
      </c>
      <c r="H100" t="s">
        <v>193</v>
      </c>
      <c r="I100">
        <f>I98*J100</f>
        <v>10.8</v>
      </c>
      <c r="J100">
        <v>1</v>
      </c>
      <c r="O100">
        <f t="shared" si="78"/>
        <v>103800.11</v>
      </c>
      <c r="P100">
        <f t="shared" si="79"/>
        <v>103800.11</v>
      </c>
      <c r="Q100">
        <f t="shared" si="80"/>
        <v>0</v>
      </c>
      <c r="R100">
        <f t="shared" si="81"/>
        <v>0</v>
      </c>
      <c r="S100">
        <f t="shared" si="82"/>
        <v>0</v>
      </c>
      <c r="T100">
        <f t="shared" si="83"/>
        <v>0</v>
      </c>
      <c r="U100">
        <f t="shared" si="84"/>
        <v>0</v>
      </c>
      <c r="V100">
        <f t="shared" si="85"/>
        <v>0</v>
      </c>
      <c r="W100">
        <f t="shared" si="86"/>
        <v>0</v>
      </c>
      <c r="X100">
        <f t="shared" si="87"/>
        <v>0</v>
      </c>
      <c r="Y100">
        <f t="shared" si="88"/>
        <v>0</v>
      </c>
      <c r="AA100">
        <v>16742901</v>
      </c>
      <c r="AB100">
        <f t="shared" si="89"/>
        <v>1465.11</v>
      </c>
      <c r="AC100">
        <f t="shared" si="90"/>
        <v>1465.11</v>
      </c>
      <c r="AD100">
        <f>ROUND((((ET100)-(EU100))+AE100),2)</f>
        <v>0</v>
      </c>
      <c r="AE100">
        <f t="shared" si="112"/>
        <v>0</v>
      </c>
      <c r="AF100">
        <f t="shared" si="112"/>
        <v>0</v>
      </c>
      <c r="AG100">
        <f t="shared" si="91"/>
        <v>0</v>
      </c>
      <c r="AH100">
        <f t="shared" si="113"/>
        <v>0</v>
      </c>
      <c r="AI100">
        <f t="shared" si="113"/>
        <v>0</v>
      </c>
      <c r="AJ100">
        <f t="shared" si="92"/>
        <v>0</v>
      </c>
      <c r="AK100">
        <v>1465.11</v>
      </c>
      <c r="AL100">
        <v>1465.11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81</v>
      </c>
      <c r="AU100">
        <v>72</v>
      </c>
      <c r="AV100">
        <v>1</v>
      </c>
      <c r="AW100">
        <v>1</v>
      </c>
      <c r="AZ100">
        <v>6.56</v>
      </c>
      <c r="BA100">
        <v>1</v>
      </c>
      <c r="BB100">
        <v>1</v>
      </c>
      <c r="BC100">
        <v>6.56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254</v>
      </c>
      <c r="BM100">
        <v>9001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90</v>
      </c>
      <c r="CA100">
        <v>85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93"/>
        <v>103800.11</v>
      </c>
      <c r="CQ100">
        <f t="shared" si="94"/>
        <v>9611.1215999999986</v>
      </c>
      <c r="CR100">
        <f t="shared" si="95"/>
        <v>0</v>
      </c>
      <c r="CS100">
        <f t="shared" si="96"/>
        <v>0</v>
      </c>
      <c r="CT100">
        <f t="shared" si="97"/>
        <v>0</v>
      </c>
      <c r="CU100">
        <f t="shared" si="98"/>
        <v>0</v>
      </c>
      <c r="CV100">
        <f t="shared" si="99"/>
        <v>0</v>
      </c>
      <c r="CW100">
        <f t="shared" si="100"/>
        <v>0</v>
      </c>
      <c r="CX100">
        <f t="shared" si="101"/>
        <v>0</v>
      </c>
      <c r="CY100">
        <f t="shared" si="102"/>
        <v>0</v>
      </c>
      <c r="CZ100">
        <f t="shared" si="103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1005</v>
      </c>
      <c r="DV100" t="s">
        <v>193</v>
      </c>
      <c r="DW100" t="s">
        <v>193</v>
      </c>
      <c r="DX100">
        <v>1</v>
      </c>
      <c r="EE100">
        <v>16510486</v>
      </c>
      <c r="EF100">
        <v>2</v>
      </c>
      <c r="EG100" t="s">
        <v>22</v>
      </c>
      <c r="EH100">
        <v>0</v>
      </c>
      <c r="EI100" t="s">
        <v>6</v>
      </c>
      <c r="EJ100">
        <v>1</v>
      </c>
      <c r="EK100">
        <v>9001</v>
      </c>
      <c r="EL100" t="s">
        <v>121</v>
      </c>
      <c r="EM100" t="s">
        <v>122</v>
      </c>
      <c r="EO100" t="s">
        <v>6</v>
      </c>
      <c r="EQ100">
        <v>0</v>
      </c>
      <c r="ER100">
        <v>1465.11</v>
      </c>
      <c r="ES100">
        <v>1465.11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04"/>
        <v>0</v>
      </c>
      <c r="FS100">
        <v>0</v>
      </c>
      <c r="FT100" t="s">
        <v>25</v>
      </c>
      <c r="FU100" t="s">
        <v>26</v>
      </c>
      <c r="FX100">
        <v>81</v>
      </c>
      <c r="FY100">
        <v>72.25</v>
      </c>
      <c r="GA100" t="s">
        <v>6</v>
      </c>
      <c r="GD100">
        <v>0</v>
      </c>
      <c r="GF100">
        <v>-1051400886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05"/>
        <v>0</v>
      </c>
      <c r="GM100">
        <f t="shared" si="106"/>
        <v>103800.11</v>
      </c>
      <c r="GN100">
        <f t="shared" si="107"/>
        <v>103800.11</v>
      </c>
      <c r="GO100">
        <f t="shared" si="108"/>
        <v>0</v>
      </c>
      <c r="GP100">
        <f t="shared" si="109"/>
        <v>0</v>
      </c>
      <c r="GR100">
        <v>0</v>
      </c>
      <c r="GS100">
        <v>3</v>
      </c>
      <c r="GT100">
        <v>0</v>
      </c>
      <c r="GU100" t="s">
        <v>6</v>
      </c>
      <c r="GV100">
        <f t="shared" si="110"/>
        <v>0</v>
      </c>
      <c r="GW100">
        <v>1</v>
      </c>
      <c r="GX100">
        <f t="shared" si="111"/>
        <v>0</v>
      </c>
      <c r="HA100">
        <v>0</v>
      </c>
      <c r="HB100">
        <v>0</v>
      </c>
      <c r="IK100">
        <v>0</v>
      </c>
    </row>
    <row r="101" spans="1:245" x14ac:dyDescent="0.2">
      <c r="A101">
        <v>18</v>
      </c>
      <c r="B101">
        <v>1</v>
      </c>
      <c r="C101">
        <v>119</v>
      </c>
      <c r="E101" t="s">
        <v>255</v>
      </c>
      <c r="F101" t="s">
        <v>256</v>
      </c>
      <c r="G101" t="s">
        <v>257</v>
      </c>
      <c r="H101" t="s">
        <v>193</v>
      </c>
      <c r="I101">
        <f>I98*J101</f>
        <v>10.8</v>
      </c>
      <c r="J101">
        <v>1</v>
      </c>
      <c r="O101">
        <f t="shared" si="78"/>
        <v>0</v>
      </c>
      <c r="P101">
        <f t="shared" si="79"/>
        <v>0</v>
      </c>
      <c r="Q101">
        <f t="shared" si="80"/>
        <v>0</v>
      </c>
      <c r="R101">
        <f t="shared" si="81"/>
        <v>0</v>
      </c>
      <c r="S101">
        <f t="shared" si="82"/>
        <v>0</v>
      </c>
      <c r="T101">
        <f t="shared" si="83"/>
        <v>0</v>
      </c>
      <c r="U101">
        <f t="shared" si="84"/>
        <v>0</v>
      </c>
      <c r="V101">
        <f t="shared" si="85"/>
        <v>0</v>
      </c>
      <c r="W101">
        <f t="shared" si="86"/>
        <v>0</v>
      </c>
      <c r="X101">
        <f t="shared" si="87"/>
        <v>0</v>
      </c>
      <c r="Y101">
        <f t="shared" si="88"/>
        <v>0</v>
      </c>
      <c r="AA101">
        <v>16742901</v>
      </c>
      <c r="AB101">
        <f t="shared" si="89"/>
        <v>0</v>
      </c>
      <c r="AC101">
        <f t="shared" si="90"/>
        <v>0</v>
      </c>
      <c r="AD101">
        <f>ROUND((((ET101)-(EU101))+AE101),2)</f>
        <v>0</v>
      </c>
      <c r="AE101">
        <f t="shared" si="112"/>
        <v>0</v>
      </c>
      <c r="AF101">
        <f t="shared" si="112"/>
        <v>0</v>
      </c>
      <c r="AG101">
        <f t="shared" si="91"/>
        <v>0</v>
      </c>
      <c r="AH101">
        <f t="shared" si="113"/>
        <v>0</v>
      </c>
      <c r="AI101">
        <f t="shared" si="113"/>
        <v>0</v>
      </c>
      <c r="AJ101">
        <f t="shared" si="92"/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81</v>
      </c>
      <c r="AU101">
        <v>72</v>
      </c>
      <c r="AV101">
        <v>1</v>
      </c>
      <c r="AW101">
        <v>1</v>
      </c>
      <c r="AZ101">
        <v>6.56</v>
      </c>
      <c r="BA101">
        <v>1</v>
      </c>
      <c r="BB101">
        <v>1</v>
      </c>
      <c r="BC101">
        <v>6.56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6</v>
      </c>
      <c r="BM101">
        <v>9001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90</v>
      </c>
      <c r="CA101">
        <v>85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93"/>
        <v>0</v>
      </c>
      <c r="CQ101">
        <f t="shared" si="94"/>
        <v>0</v>
      </c>
      <c r="CR101">
        <f t="shared" si="95"/>
        <v>0</v>
      </c>
      <c r="CS101">
        <f t="shared" si="96"/>
        <v>0</v>
      </c>
      <c r="CT101">
        <f t="shared" si="97"/>
        <v>0</v>
      </c>
      <c r="CU101">
        <f t="shared" si="98"/>
        <v>0</v>
      </c>
      <c r="CV101">
        <f t="shared" si="99"/>
        <v>0</v>
      </c>
      <c r="CW101">
        <f t="shared" si="100"/>
        <v>0</v>
      </c>
      <c r="CX101">
        <f t="shared" si="101"/>
        <v>0</v>
      </c>
      <c r="CY101">
        <f t="shared" si="102"/>
        <v>0</v>
      </c>
      <c r="CZ101">
        <f t="shared" si="103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193</v>
      </c>
      <c r="DW101" t="s">
        <v>193</v>
      </c>
      <c r="DX101">
        <v>1</v>
      </c>
      <c r="EE101">
        <v>16510486</v>
      </c>
      <c r="EF101">
        <v>2</v>
      </c>
      <c r="EG101" t="s">
        <v>22</v>
      </c>
      <c r="EH101">
        <v>0</v>
      </c>
      <c r="EI101" t="s">
        <v>6</v>
      </c>
      <c r="EJ101">
        <v>1</v>
      </c>
      <c r="EK101">
        <v>9001</v>
      </c>
      <c r="EL101" t="s">
        <v>121</v>
      </c>
      <c r="EM101" t="s">
        <v>122</v>
      </c>
      <c r="EO101" t="s">
        <v>6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04"/>
        <v>0</v>
      </c>
      <c r="FS101">
        <v>0</v>
      </c>
      <c r="FT101" t="s">
        <v>25</v>
      </c>
      <c r="FU101" t="s">
        <v>26</v>
      </c>
      <c r="FX101">
        <v>81</v>
      </c>
      <c r="FY101">
        <v>72.25</v>
      </c>
      <c r="GA101" t="s">
        <v>6</v>
      </c>
      <c r="GD101">
        <v>0</v>
      </c>
      <c r="GF101">
        <v>-1261857363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05"/>
        <v>0</v>
      </c>
      <c r="GM101">
        <f t="shared" si="106"/>
        <v>0</v>
      </c>
      <c r="GN101">
        <f t="shared" si="107"/>
        <v>0</v>
      </c>
      <c r="GO101">
        <f t="shared" si="108"/>
        <v>0</v>
      </c>
      <c r="GP101">
        <f t="shared" si="109"/>
        <v>0</v>
      </c>
      <c r="GR101">
        <v>0</v>
      </c>
      <c r="GS101">
        <v>3</v>
      </c>
      <c r="GT101">
        <v>0</v>
      </c>
      <c r="GU101" t="s">
        <v>6</v>
      </c>
      <c r="GV101">
        <f t="shared" si="110"/>
        <v>0</v>
      </c>
      <c r="GW101">
        <v>1</v>
      </c>
      <c r="GX101">
        <f t="shared" si="111"/>
        <v>0</v>
      </c>
      <c r="HA101">
        <v>0</v>
      </c>
      <c r="HB101">
        <v>0</v>
      </c>
      <c r="IK101">
        <v>0</v>
      </c>
    </row>
    <row r="102" spans="1:245" x14ac:dyDescent="0.2">
      <c r="A102">
        <v>17</v>
      </c>
      <c r="B102">
        <v>1</v>
      </c>
      <c r="C102">
        <f>ROW(SmtRes!A127)</f>
        <v>127</v>
      </c>
      <c r="D102">
        <f>ROW(EtalonRes!A129)</f>
        <v>129</v>
      </c>
      <c r="E102" t="s">
        <v>258</v>
      </c>
      <c r="F102" t="s">
        <v>259</v>
      </c>
      <c r="G102" t="s">
        <v>260</v>
      </c>
      <c r="H102" t="s">
        <v>56</v>
      </c>
      <c r="I102">
        <v>4</v>
      </c>
      <c r="J102">
        <v>0</v>
      </c>
      <c r="O102">
        <f t="shared" si="78"/>
        <v>420.36</v>
      </c>
      <c r="P102">
        <f t="shared" si="79"/>
        <v>18.89</v>
      </c>
      <c r="Q102">
        <f t="shared" si="80"/>
        <v>69.27</v>
      </c>
      <c r="R102">
        <f t="shared" si="81"/>
        <v>0</v>
      </c>
      <c r="S102">
        <f t="shared" si="82"/>
        <v>332.2</v>
      </c>
      <c r="T102">
        <f t="shared" si="83"/>
        <v>0</v>
      </c>
      <c r="U102">
        <f t="shared" si="84"/>
        <v>5.1059999999999999</v>
      </c>
      <c r="V102">
        <f t="shared" si="85"/>
        <v>0</v>
      </c>
      <c r="W102">
        <f t="shared" si="86"/>
        <v>0</v>
      </c>
      <c r="X102">
        <f t="shared" si="87"/>
        <v>269.08</v>
      </c>
      <c r="Y102">
        <f t="shared" si="88"/>
        <v>239.18</v>
      </c>
      <c r="AA102">
        <v>16742901</v>
      </c>
      <c r="AB102">
        <f t="shared" si="89"/>
        <v>16.02</v>
      </c>
      <c r="AC102">
        <f t="shared" si="90"/>
        <v>0.72</v>
      </c>
      <c r="AD102">
        <f>ROUND(((((ET102*1.25))-((EU102*1.25)))+AE102),2)</f>
        <v>2.64</v>
      </c>
      <c r="AE102">
        <f>ROUND(((EU102*1.25)),2)</f>
        <v>0</v>
      </c>
      <c r="AF102">
        <f>ROUND(((EV102*1.15)),2)</f>
        <v>12.66</v>
      </c>
      <c r="AG102">
        <f t="shared" si="91"/>
        <v>0</v>
      </c>
      <c r="AH102">
        <f>((EW102*1.15))</f>
        <v>1.2765</v>
      </c>
      <c r="AI102">
        <f>((EX102*1.25))</f>
        <v>0</v>
      </c>
      <c r="AJ102">
        <f t="shared" si="92"/>
        <v>0</v>
      </c>
      <c r="AK102">
        <v>13.84</v>
      </c>
      <c r="AL102">
        <v>0.72</v>
      </c>
      <c r="AM102">
        <v>2.11</v>
      </c>
      <c r="AN102">
        <v>0</v>
      </c>
      <c r="AO102">
        <v>11.01</v>
      </c>
      <c r="AP102">
        <v>0</v>
      </c>
      <c r="AQ102">
        <v>1.1100000000000001</v>
      </c>
      <c r="AR102">
        <v>0</v>
      </c>
      <c r="AS102">
        <v>0</v>
      </c>
      <c r="AT102">
        <v>81</v>
      </c>
      <c r="AU102">
        <v>72</v>
      </c>
      <c r="AV102">
        <v>1</v>
      </c>
      <c r="AW102">
        <v>1</v>
      </c>
      <c r="AZ102">
        <v>6.56</v>
      </c>
      <c r="BA102">
        <v>6.56</v>
      </c>
      <c r="BB102">
        <v>6.56</v>
      </c>
      <c r="BC102">
        <v>6.56</v>
      </c>
      <c r="BD102" t="s">
        <v>6</v>
      </c>
      <c r="BE102" t="s">
        <v>6</v>
      </c>
      <c r="BF102" t="s">
        <v>6</v>
      </c>
      <c r="BG102" t="s">
        <v>6</v>
      </c>
      <c r="BH102">
        <v>0</v>
      </c>
      <c r="BI102">
        <v>1</v>
      </c>
      <c r="BJ102" t="s">
        <v>261</v>
      </c>
      <c r="BM102">
        <v>9001</v>
      </c>
      <c r="BN102">
        <v>0</v>
      </c>
      <c r="BO102" t="s">
        <v>6</v>
      </c>
      <c r="BP102">
        <v>0</v>
      </c>
      <c r="BQ102">
        <v>2</v>
      </c>
      <c r="BR102">
        <v>0</v>
      </c>
      <c r="BS102">
        <v>6.56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90</v>
      </c>
      <c r="CA102">
        <v>85</v>
      </c>
      <c r="CF102">
        <v>0</v>
      </c>
      <c r="CG102">
        <v>0</v>
      </c>
      <c r="CM102">
        <v>0</v>
      </c>
      <c r="CN102" t="s">
        <v>1902</v>
      </c>
      <c r="CO102">
        <v>0</v>
      </c>
      <c r="CP102">
        <f t="shared" si="93"/>
        <v>420.36</v>
      </c>
      <c r="CQ102">
        <f t="shared" si="94"/>
        <v>4.7231999999999994</v>
      </c>
      <c r="CR102">
        <f t="shared" si="95"/>
        <v>17.3184</v>
      </c>
      <c r="CS102">
        <f t="shared" si="96"/>
        <v>0</v>
      </c>
      <c r="CT102">
        <f t="shared" si="97"/>
        <v>83.049599999999998</v>
      </c>
      <c r="CU102">
        <f t="shared" si="98"/>
        <v>0</v>
      </c>
      <c r="CV102">
        <f t="shared" si="99"/>
        <v>1.2765</v>
      </c>
      <c r="CW102">
        <f t="shared" si="100"/>
        <v>0</v>
      </c>
      <c r="CX102">
        <f t="shared" si="101"/>
        <v>0</v>
      </c>
      <c r="CY102">
        <f t="shared" si="102"/>
        <v>269.08199999999999</v>
      </c>
      <c r="CZ102">
        <f t="shared" si="103"/>
        <v>239.18399999999997</v>
      </c>
      <c r="DC102" t="s">
        <v>6</v>
      </c>
      <c r="DD102" t="s">
        <v>6</v>
      </c>
      <c r="DE102" t="s">
        <v>187</v>
      </c>
      <c r="DF102" t="s">
        <v>187</v>
      </c>
      <c r="DG102" t="s">
        <v>188</v>
      </c>
      <c r="DH102" t="s">
        <v>6</v>
      </c>
      <c r="DI102" t="s">
        <v>188</v>
      </c>
      <c r="DJ102" t="s">
        <v>187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1013</v>
      </c>
      <c r="DV102" t="s">
        <v>56</v>
      </c>
      <c r="DW102" t="s">
        <v>56</v>
      </c>
      <c r="DX102">
        <v>1</v>
      </c>
      <c r="EE102">
        <v>16510486</v>
      </c>
      <c r="EF102">
        <v>2</v>
      </c>
      <c r="EG102" t="s">
        <v>22</v>
      </c>
      <c r="EH102">
        <v>0</v>
      </c>
      <c r="EI102" t="s">
        <v>6</v>
      </c>
      <c r="EJ102">
        <v>1</v>
      </c>
      <c r="EK102">
        <v>9001</v>
      </c>
      <c r="EL102" t="s">
        <v>121</v>
      </c>
      <c r="EM102" t="s">
        <v>122</v>
      </c>
      <c r="EO102" t="s">
        <v>189</v>
      </c>
      <c r="EQ102">
        <v>131072</v>
      </c>
      <c r="ER102">
        <v>13.84</v>
      </c>
      <c r="ES102">
        <v>0.72</v>
      </c>
      <c r="ET102">
        <v>2.11</v>
      </c>
      <c r="EU102">
        <v>0</v>
      </c>
      <c r="EV102">
        <v>11.01</v>
      </c>
      <c r="EW102">
        <v>1.1100000000000001</v>
      </c>
      <c r="EX102">
        <v>0</v>
      </c>
      <c r="EY102">
        <v>0</v>
      </c>
      <c r="FQ102">
        <v>0</v>
      </c>
      <c r="FR102">
        <f t="shared" si="104"/>
        <v>0</v>
      </c>
      <c r="FS102">
        <v>0</v>
      </c>
      <c r="FT102" t="s">
        <v>25</v>
      </c>
      <c r="FU102" t="s">
        <v>26</v>
      </c>
      <c r="FX102">
        <v>81</v>
      </c>
      <c r="FY102">
        <v>72.25</v>
      </c>
      <c r="GA102" t="s">
        <v>6</v>
      </c>
      <c r="GD102">
        <v>0</v>
      </c>
      <c r="GF102">
        <v>-418508909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05"/>
        <v>0</v>
      </c>
      <c r="GM102">
        <f t="shared" si="106"/>
        <v>928.62</v>
      </c>
      <c r="GN102">
        <f t="shared" si="107"/>
        <v>928.62</v>
      </c>
      <c r="GO102">
        <f t="shared" si="108"/>
        <v>0</v>
      </c>
      <c r="GP102">
        <f t="shared" si="109"/>
        <v>0</v>
      </c>
      <c r="GR102">
        <v>0</v>
      </c>
      <c r="GS102">
        <v>3</v>
      </c>
      <c r="GT102">
        <v>0</v>
      </c>
      <c r="GU102" t="s">
        <v>6</v>
      </c>
      <c r="GV102">
        <f t="shared" si="110"/>
        <v>0</v>
      </c>
      <c r="GW102">
        <v>1</v>
      </c>
      <c r="GX102">
        <f t="shared" si="111"/>
        <v>0</v>
      </c>
      <c r="HA102">
        <v>0</v>
      </c>
      <c r="HB102">
        <v>0</v>
      </c>
      <c r="IK102">
        <v>0</v>
      </c>
    </row>
    <row r="103" spans="1:245" x14ac:dyDescent="0.2">
      <c r="A103">
        <v>18</v>
      </c>
      <c r="B103">
        <v>1</v>
      </c>
      <c r="C103">
        <v>125</v>
      </c>
      <c r="E103" t="s">
        <v>262</v>
      </c>
      <c r="F103" t="s">
        <v>263</v>
      </c>
      <c r="G103" t="s">
        <v>264</v>
      </c>
      <c r="H103" t="s">
        <v>73</v>
      </c>
      <c r="I103">
        <f>I102*J103</f>
        <v>4</v>
      </c>
      <c r="J103">
        <v>1</v>
      </c>
      <c r="O103">
        <f t="shared" si="78"/>
        <v>9740.2900000000009</v>
      </c>
      <c r="P103">
        <f t="shared" si="79"/>
        <v>9740.2900000000009</v>
      </c>
      <c r="Q103">
        <f t="shared" si="80"/>
        <v>0</v>
      </c>
      <c r="R103">
        <f t="shared" si="81"/>
        <v>0</v>
      </c>
      <c r="S103">
        <f t="shared" si="82"/>
        <v>0</v>
      </c>
      <c r="T103">
        <f t="shared" si="83"/>
        <v>0</v>
      </c>
      <c r="U103">
        <f t="shared" si="84"/>
        <v>0</v>
      </c>
      <c r="V103">
        <f t="shared" si="85"/>
        <v>0</v>
      </c>
      <c r="W103">
        <f t="shared" si="86"/>
        <v>0</v>
      </c>
      <c r="X103">
        <f t="shared" si="87"/>
        <v>0</v>
      </c>
      <c r="Y103">
        <f t="shared" si="88"/>
        <v>0</v>
      </c>
      <c r="AA103">
        <v>16742901</v>
      </c>
      <c r="AB103">
        <f t="shared" si="89"/>
        <v>371.2</v>
      </c>
      <c r="AC103">
        <f t="shared" si="90"/>
        <v>371.2</v>
      </c>
      <c r="AD103">
        <f>ROUND((((ET103)-(EU103))+AE103),2)</f>
        <v>0</v>
      </c>
      <c r="AE103">
        <f>ROUND((EU103),2)</f>
        <v>0</v>
      </c>
      <c r="AF103">
        <f>ROUND((EV103),2)</f>
        <v>0</v>
      </c>
      <c r="AG103">
        <f t="shared" si="91"/>
        <v>0</v>
      </c>
      <c r="AH103">
        <f>(EW103)</f>
        <v>0</v>
      </c>
      <c r="AI103">
        <f>(EX103)</f>
        <v>0</v>
      </c>
      <c r="AJ103">
        <f t="shared" si="92"/>
        <v>0</v>
      </c>
      <c r="AK103">
        <v>371.2</v>
      </c>
      <c r="AL103">
        <v>371.2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81</v>
      </c>
      <c r="AU103">
        <v>72</v>
      </c>
      <c r="AV103">
        <v>1</v>
      </c>
      <c r="AW103">
        <v>1</v>
      </c>
      <c r="AZ103">
        <v>6.56</v>
      </c>
      <c r="BA103">
        <v>1</v>
      </c>
      <c r="BB103">
        <v>1</v>
      </c>
      <c r="BC103">
        <v>6.56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265</v>
      </c>
      <c r="BM103">
        <v>9001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90</v>
      </c>
      <c r="CA103">
        <v>85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93"/>
        <v>9740.2900000000009</v>
      </c>
      <c r="CQ103">
        <f t="shared" si="94"/>
        <v>2435.0719999999997</v>
      </c>
      <c r="CR103">
        <f t="shared" si="95"/>
        <v>0</v>
      </c>
      <c r="CS103">
        <f t="shared" si="96"/>
        <v>0</v>
      </c>
      <c r="CT103">
        <f t="shared" si="97"/>
        <v>0</v>
      </c>
      <c r="CU103">
        <f t="shared" si="98"/>
        <v>0</v>
      </c>
      <c r="CV103">
        <f t="shared" si="99"/>
        <v>0</v>
      </c>
      <c r="CW103">
        <f t="shared" si="100"/>
        <v>0</v>
      </c>
      <c r="CX103">
        <f t="shared" si="101"/>
        <v>0</v>
      </c>
      <c r="CY103">
        <f t="shared" si="102"/>
        <v>0</v>
      </c>
      <c r="CZ103">
        <f t="shared" si="103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1010</v>
      </c>
      <c r="DV103" t="s">
        <v>73</v>
      </c>
      <c r="DW103" t="s">
        <v>73</v>
      </c>
      <c r="DX103">
        <v>1</v>
      </c>
      <c r="EE103">
        <v>16510486</v>
      </c>
      <c r="EF103">
        <v>2</v>
      </c>
      <c r="EG103" t="s">
        <v>22</v>
      </c>
      <c r="EH103">
        <v>0</v>
      </c>
      <c r="EI103" t="s">
        <v>6</v>
      </c>
      <c r="EJ103">
        <v>1</v>
      </c>
      <c r="EK103">
        <v>9001</v>
      </c>
      <c r="EL103" t="s">
        <v>121</v>
      </c>
      <c r="EM103" t="s">
        <v>122</v>
      </c>
      <c r="EO103" t="s">
        <v>6</v>
      </c>
      <c r="EQ103">
        <v>0</v>
      </c>
      <c r="ER103">
        <v>371.2</v>
      </c>
      <c r="ES103">
        <v>371.2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04"/>
        <v>0</v>
      </c>
      <c r="FS103">
        <v>0</v>
      </c>
      <c r="FT103" t="s">
        <v>25</v>
      </c>
      <c r="FU103" t="s">
        <v>26</v>
      </c>
      <c r="FX103">
        <v>81</v>
      </c>
      <c r="FY103">
        <v>72.25</v>
      </c>
      <c r="GA103" t="s">
        <v>6</v>
      </c>
      <c r="GD103">
        <v>0</v>
      </c>
      <c r="GF103">
        <v>-462216632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05"/>
        <v>0</v>
      </c>
      <c r="GM103">
        <f t="shared" si="106"/>
        <v>9740.2900000000009</v>
      </c>
      <c r="GN103">
        <f t="shared" si="107"/>
        <v>9740.2900000000009</v>
      </c>
      <c r="GO103">
        <f t="shared" si="108"/>
        <v>0</v>
      </c>
      <c r="GP103">
        <f t="shared" si="109"/>
        <v>0</v>
      </c>
      <c r="GR103">
        <v>0</v>
      </c>
      <c r="GS103">
        <v>3</v>
      </c>
      <c r="GT103">
        <v>0</v>
      </c>
      <c r="GU103" t="s">
        <v>6</v>
      </c>
      <c r="GV103">
        <f t="shared" si="110"/>
        <v>0</v>
      </c>
      <c r="GW103">
        <v>1</v>
      </c>
      <c r="GX103">
        <f t="shared" si="111"/>
        <v>0</v>
      </c>
      <c r="HA103">
        <v>0</v>
      </c>
      <c r="HB103"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ROW(SmtRes!A139)</f>
        <v>139</v>
      </c>
      <c r="D104">
        <f>ROW(EtalonRes!A140)</f>
        <v>140</v>
      </c>
      <c r="E104" t="s">
        <v>266</v>
      </c>
      <c r="F104" t="s">
        <v>267</v>
      </c>
      <c r="G104" t="s">
        <v>268</v>
      </c>
      <c r="H104" t="s">
        <v>20</v>
      </c>
      <c r="I104">
        <f>ROUND(6.09/100,9)</f>
        <v>6.0900000000000003E-2</v>
      </c>
      <c r="J104">
        <v>0</v>
      </c>
      <c r="O104">
        <f t="shared" si="78"/>
        <v>1541.67</v>
      </c>
      <c r="P104">
        <f t="shared" si="79"/>
        <v>680.68</v>
      </c>
      <c r="Q104">
        <f t="shared" si="80"/>
        <v>483.39</v>
      </c>
      <c r="R104">
        <f t="shared" si="81"/>
        <v>76.86</v>
      </c>
      <c r="S104">
        <f t="shared" si="82"/>
        <v>377.6</v>
      </c>
      <c r="T104">
        <f t="shared" si="83"/>
        <v>0</v>
      </c>
      <c r="U104">
        <f t="shared" si="84"/>
        <v>6.2702335499999995</v>
      </c>
      <c r="V104">
        <f t="shared" si="85"/>
        <v>0.88914000000000004</v>
      </c>
      <c r="W104">
        <f t="shared" si="86"/>
        <v>0</v>
      </c>
      <c r="X104">
        <f t="shared" si="87"/>
        <v>481.73</v>
      </c>
      <c r="Y104">
        <f t="shared" si="88"/>
        <v>245.41</v>
      </c>
      <c r="AA104">
        <v>16742901</v>
      </c>
      <c r="AB104">
        <f t="shared" si="89"/>
        <v>3858.97</v>
      </c>
      <c r="AC104">
        <f t="shared" si="90"/>
        <v>1703.82</v>
      </c>
      <c r="AD104">
        <f>ROUND(((((ET104*1.25))-((EU104*1.25)))+AE104),2)</f>
        <v>1209.98</v>
      </c>
      <c r="AE104">
        <f>ROUND(((EU104*1.25)),2)</f>
        <v>192.38</v>
      </c>
      <c r="AF104">
        <f>ROUND(((EV104*1.15)),2)</f>
        <v>945.17</v>
      </c>
      <c r="AG104">
        <f t="shared" si="91"/>
        <v>0</v>
      </c>
      <c r="AH104">
        <f>((EW104*1.15))</f>
        <v>102.95949999999999</v>
      </c>
      <c r="AI104">
        <f>((EX104*1.25))</f>
        <v>14.6</v>
      </c>
      <c r="AJ104">
        <f t="shared" si="92"/>
        <v>0</v>
      </c>
      <c r="AK104">
        <v>3493.69</v>
      </c>
      <c r="AL104">
        <v>1703.82</v>
      </c>
      <c r="AM104">
        <v>967.98</v>
      </c>
      <c r="AN104">
        <v>153.9</v>
      </c>
      <c r="AO104">
        <v>821.89</v>
      </c>
      <c r="AP104">
        <v>0</v>
      </c>
      <c r="AQ104">
        <v>89.53</v>
      </c>
      <c r="AR104">
        <v>11.68</v>
      </c>
      <c r="AS104">
        <v>0</v>
      </c>
      <c r="AT104">
        <v>106</v>
      </c>
      <c r="AU104">
        <v>54</v>
      </c>
      <c r="AV104">
        <v>1</v>
      </c>
      <c r="AW104">
        <v>1</v>
      </c>
      <c r="AZ104">
        <v>6.56</v>
      </c>
      <c r="BA104">
        <v>6.56</v>
      </c>
      <c r="BB104">
        <v>6.56</v>
      </c>
      <c r="BC104">
        <v>6.56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269</v>
      </c>
      <c r="BM104">
        <v>10001</v>
      </c>
      <c r="BN104">
        <v>0</v>
      </c>
      <c r="BO104" t="s">
        <v>6</v>
      </c>
      <c r="BP104">
        <v>0</v>
      </c>
      <c r="BQ104">
        <v>2</v>
      </c>
      <c r="BR104">
        <v>0</v>
      </c>
      <c r="BS104">
        <v>6.56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118</v>
      </c>
      <c r="CA104">
        <v>63</v>
      </c>
      <c r="CF104">
        <v>0</v>
      </c>
      <c r="CG104">
        <v>0</v>
      </c>
      <c r="CM104">
        <v>0</v>
      </c>
      <c r="CN104" t="s">
        <v>1902</v>
      </c>
      <c r="CO104">
        <v>0</v>
      </c>
      <c r="CP104">
        <f t="shared" si="93"/>
        <v>1541.67</v>
      </c>
      <c r="CQ104">
        <f t="shared" si="94"/>
        <v>11177.0592</v>
      </c>
      <c r="CR104">
        <f t="shared" si="95"/>
        <v>7937.4687999999996</v>
      </c>
      <c r="CS104">
        <f t="shared" si="96"/>
        <v>1262.0128</v>
      </c>
      <c r="CT104">
        <f t="shared" si="97"/>
        <v>6200.3151999999991</v>
      </c>
      <c r="CU104">
        <f t="shared" si="98"/>
        <v>0</v>
      </c>
      <c r="CV104">
        <f t="shared" si="99"/>
        <v>102.95949999999999</v>
      </c>
      <c r="CW104">
        <f t="shared" si="100"/>
        <v>14.6</v>
      </c>
      <c r="CX104">
        <f t="shared" si="101"/>
        <v>0</v>
      </c>
      <c r="CY104">
        <f t="shared" si="102"/>
        <v>481.7276</v>
      </c>
      <c r="CZ104">
        <f t="shared" si="103"/>
        <v>245.40840000000003</v>
      </c>
      <c r="DC104" t="s">
        <v>6</v>
      </c>
      <c r="DD104" t="s">
        <v>6</v>
      </c>
      <c r="DE104" t="s">
        <v>187</v>
      </c>
      <c r="DF104" t="s">
        <v>187</v>
      </c>
      <c r="DG104" t="s">
        <v>188</v>
      </c>
      <c r="DH104" t="s">
        <v>6</v>
      </c>
      <c r="DI104" t="s">
        <v>188</v>
      </c>
      <c r="DJ104" t="s">
        <v>187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20</v>
      </c>
      <c r="DW104" t="s">
        <v>20</v>
      </c>
      <c r="DX104">
        <v>100</v>
      </c>
      <c r="EE104">
        <v>16510487</v>
      </c>
      <c r="EF104">
        <v>2</v>
      </c>
      <c r="EG104" t="s">
        <v>22</v>
      </c>
      <c r="EH104">
        <v>0</v>
      </c>
      <c r="EI104" t="s">
        <v>6</v>
      </c>
      <c r="EJ104">
        <v>1</v>
      </c>
      <c r="EK104">
        <v>10001</v>
      </c>
      <c r="EL104" t="s">
        <v>50</v>
      </c>
      <c r="EM104" t="s">
        <v>51</v>
      </c>
      <c r="EO104" t="s">
        <v>189</v>
      </c>
      <c r="EQ104">
        <v>131072</v>
      </c>
      <c r="ER104">
        <v>3493.69</v>
      </c>
      <c r="ES104">
        <v>1703.82</v>
      </c>
      <c r="ET104">
        <v>967.98</v>
      </c>
      <c r="EU104">
        <v>153.9</v>
      </c>
      <c r="EV104">
        <v>821.89</v>
      </c>
      <c r="EW104">
        <v>89.53</v>
      </c>
      <c r="EX104">
        <v>11.68</v>
      </c>
      <c r="EY104">
        <v>0</v>
      </c>
      <c r="FQ104">
        <v>0</v>
      </c>
      <c r="FR104">
        <f t="shared" si="104"/>
        <v>0</v>
      </c>
      <c r="FS104">
        <v>0</v>
      </c>
      <c r="FT104" t="s">
        <v>25</v>
      </c>
      <c r="FU104" t="s">
        <v>26</v>
      </c>
      <c r="FX104">
        <v>106.2</v>
      </c>
      <c r="FY104">
        <v>53.55</v>
      </c>
      <c r="GA104" t="s">
        <v>6</v>
      </c>
      <c r="GD104">
        <v>0</v>
      </c>
      <c r="GF104">
        <v>-2063365966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05"/>
        <v>0</v>
      </c>
      <c r="GM104">
        <f t="shared" si="106"/>
        <v>2268.81</v>
      </c>
      <c r="GN104">
        <f t="shared" si="107"/>
        <v>2268.81</v>
      </c>
      <c r="GO104">
        <f t="shared" si="108"/>
        <v>0</v>
      </c>
      <c r="GP104">
        <f t="shared" si="109"/>
        <v>0</v>
      </c>
      <c r="GR104">
        <v>0</v>
      </c>
      <c r="GS104">
        <v>3</v>
      </c>
      <c r="GT104">
        <v>0</v>
      </c>
      <c r="GU104" t="s">
        <v>6</v>
      </c>
      <c r="GV104">
        <f t="shared" si="110"/>
        <v>0</v>
      </c>
      <c r="GW104">
        <v>1</v>
      </c>
      <c r="GX104">
        <f t="shared" si="111"/>
        <v>0</v>
      </c>
      <c r="HA104">
        <v>0</v>
      </c>
      <c r="HB104">
        <v>0</v>
      </c>
      <c r="IK104">
        <v>0</v>
      </c>
    </row>
    <row r="105" spans="1:245" x14ac:dyDescent="0.2">
      <c r="A105">
        <v>18</v>
      </c>
      <c r="B105">
        <v>1</v>
      </c>
      <c r="C105">
        <v>138</v>
      </c>
      <c r="E105" t="s">
        <v>270</v>
      </c>
      <c r="F105" t="s">
        <v>271</v>
      </c>
      <c r="G105" t="s">
        <v>272</v>
      </c>
      <c r="H105" t="s">
        <v>193</v>
      </c>
      <c r="I105">
        <f>I104*J105</f>
        <v>6.09</v>
      </c>
      <c r="J105">
        <v>100</v>
      </c>
      <c r="O105">
        <f t="shared" si="78"/>
        <v>57880.14</v>
      </c>
      <c r="P105">
        <f t="shared" si="79"/>
        <v>57880.14</v>
      </c>
      <c r="Q105">
        <f t="shared" si="80"/>
        <v>0</v>
      </c>
      <c r="R105">
        <f t="shared" si="81"/>
        <v>0</v>
      </c>
      <c r="S105">
        <f t="shared" si="82"/>
        <v>0</v>
      </c>
      <c r="T105">
        <f t="shared" si="83"/>
        <v>0</v>
      </c>
      <c r="U105">
        <f t="shared" si="84"/>
        <v>0</v>
      </c>
      <c r="V105">
        <f t="shared" si="85"/>
        <v>0</v>
      </c>
      <c r="W105">
        <f t="shared" si="86"/>
        <v>0</v>
      </c>
      <c r="X105">
        <f t="shared" si="87"/>
        <v>0</v>
      </c>
      <c r="Y105">
        <f t="shared" si="88"/>
        <v>0</v>
      </c>
      <c r="AA105">
        <v>16742901</v>
      </c>
      <c r="AB105">
        <f t="shared" si="89"/>
        <v>1448.8</v>
      </c>
      <c r="AC105">
        <f t="shared" si="90"/>
        <v>1448.8</v>
      </c>
      <c r="AD105">
        <f>ROUND((((ET105)-(EU105))+AE105),2)</f>
        <v>0</v>
      </c>
      <c r="AE105">
        <f t="shared" ref="AE105:AF108" si="114">ROUND((EU105),2)</f>
        <v>0</v>
      </c>
      <c r="AF105">
        <f t="shared" si="114"/>
        <v>0</v>
      </c>
      <c r="AG105">
        <f t="shared" si="91"/>
        <v>0</v>
      </c>
      <c r="AH105">
        <f t="shared" ref="AH105:AI108" si="115">(EW105)</f>
        <v>0</v>
      </c>
      <c r="AI105">
        <f t="shared" si="115"/>
        <v>0</v>
      </c>
      <c r="AJ105">
        <f t="shared" si="92"/>
        <v>0</v>
      </c>
      <c r="AK105">
        <v>1448.8</v>
      </c>
      <c r="AL105">
        <v>1448.8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106</v>
      </c>
      <c r="AU105">
        <v>54</v>
      </c>
      <c r="AV105">
        <v>1</v>
      </c>
      <c r="AW105">
        <v>1</v>
      </c>
      <c r="AZ105">
        <v>6.56</v>
      </c>
      <c r="BA105">
        <v>1</v>
      </c>
      <c r="BB105">
        <v>1</v>
      </c>
      <c r="BC105">
        <v>6.56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273</v>
      </c>
      <c r="BM105">
        <v>10001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118</v>
      </c>
      <c r="CA105">
        <v>63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93"/>
        <v>57880.14</v>
      </c>
      <c r="CQ105">
        <f t="shared" si="94"/>
        <v>9504.1279999999988</v>
      </c>
      <c r="CR105">
        <f t="shared" si="95"/>
        <v>0</v>
      </c>
      <c r="CS105">
        <f t="shared" si="96"/>
        <v>0</v>
      </c>
      <c r="CT105">
        <f t="shared" si="97"/>
        <v>0</v>
      </c>
      <c r="CU105">
        <f t="shared" si="98"/>
        <v>0</v>
      </c>
      <c r="CV105">
        <f t="shared" si="99"/>
        <v>0</v>
      </c>
      <c r="CW105">
        <f t="shared" si="100"/>
        <v>0</v>
      </c>
      <c r="CX105">
        <f t="shared" si="101"/>
        <v>0</v>
      </c>
      <c r="CY105">
        <f t="shared" si="102"/>
        <v>0</v>
      </c>
      <c r="CZ105">
        <f t="shared" si="103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193</v>
      </c>
      <c r="DW105" t="s">
        <v>193</v>
      </c>
      <c r="DX105">
        <v>1</v>
      </c>
      <c r="EE105">
        <v>16510487</v>
      </c>
      <c r="EF105">
        <v>2</v>
      </c>
      <c r="EG105" t="s">
        <v>22</v>
      </c>
      <c r="EH105">
        <v>0</v>
      </c>
      <c r="EI105" t="s">
        <v>6</v>
      </c>
      <c r="EJ105">
        <v>1</v>
      </c>
      <c r="EK105">
        <v>10001</v>
      </c>
      <c r="EL105" t="s">
        <v>50</v>
      </c>
      <c r="EM105" t="s">
        <v>51</v>
      </c>
      <c r="EO105" t="s">
        <v>6</v>
      </c>
      <c r="EQ105">
        <v>0</v>
      </c>
      <c r="ER105">
        <v>1448.8</v>
      </c>
      <c r="ES105">
        <v>1448.8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04"/>
        <v>0</v>
      </c>
      <c r="FS105">
        <v>0</v>
      </c>
      <c r="FT105" t="s">
        <v>25</v>
      </c>
      <c r="FU105" t="s">
        <v>26</v>
      </c>
      <c r="FX105">
        <v>106.2</v>
      </c>
      <c r="FY105">
        <v>53.55</v>
      </c>
      <c r="GA105" t="s">
        <v>6</v>
      </c>
      <c r="GD105">
        <v>0</v>
      </c>
      <c r="GF105">
        <v>-863452992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05"/>
        <v>0</v>
      </c>
      <c r="GM105">
        <f t="shared" si="106"/>
        <v>57880.14</v>
      </c>
      <c r="GN105">
        <f t="shared" si="107"/>
        <v>57880.14</v>
      </c>
      <c r="GO105">
        <f t="shared" si="108"/>
        <v>0</v>
      </c>
      <c r="GP105">
        <f t="shared" si="109"/>
        <v>0</v>
      </c>
      <c r="GR105">
        <v>0</v>
      </c>
      <c r="GS105">
        <v>3</v>
      </c>
      <c r="GT105">
        <v>0</v>
      </c>
      <c r="GU105" t="s">
        <v>6</v>
      </c>
      <c r="GV105">
        <f t="shared" si="110"/>
        <v>0</v>
      </c>
      <c r="GW105">
        <v>1</v>
      </c>
      <c r="GX105">
        <f t="shared" si="111"/>
        <v>0</v>
      </c>
      <c r="HA105">
        <v>0</v>
      </c>
      <c r="HB105">
        <v>0</v>
      </c>
      <c r="IK105">
        <v>0</v>
      </c>
    </row>
    <row r="106" spans="1:245" x14ac:dyDescent="0.2">
      <c r="A106">
        <v>18</v>
      </c>
      <c r="B106">
        <v>1</v>
      </c>
      <c r="C106">
        <v>133</v>
      </c>
      <c r="E106" t="s">
        <v>274</v>
      </c>
      <c r="F106" t="s">
        <v>275</v>
      </c>
      <c r="G106" t="s">
        <v>276</v>
      </c>
      <c r="H106" t="s">
        <v>249</v>
      </c>
      <c r="I106">
        <f>I104*J106</f>
        <v>3</v>
      </c>
      <c r="J106">
        <v>49.261083743842363</v>
      </c>
      <c r="O106">
        <f t="shared" si="78"/>
        <v>1863.3</v>
      </c>
      <c r="P106">
        <f t="shared" si="79"/>
        <v>1863.3</v>
      </c>
      <c r="Q106">
        <f t="shared" si="80"/>
        <v>0</v>
      </c>
      <c r="R106">
        <f t="shared" si="81"/>
        <v>0</v>
      </c>
      <c r="S106">
        <f t="shared" si="82"/>
        <v>0</v>
      </c>
      <c r="T106">
        <f t="shared" si="83"/>
        <v>0</v>
      </c>
      <c r="U106">
        <f t="shared" si="84"/>
        <v>0</v>
      </c>
      <c r="V106">
        <f t="shared" si="85"/>
        <v>0</v>
      </c>
      <c r="W106">
        <f t="shared" si="86"/>
        <v>0</v>
      </c>
      <c r="X106">
        <f t="shared" si="87"/>
        <v>0</v>
      </c>
      <c r="Y106">
        <f t="shared" si="88"/>
        <v>0</v>
      </c>
      <c r="AA106">
        <v>16742901</v>
      </c>
      <c r="AB106">
        <f t="shared" si="89"/>
        <v>94.68</v>
      </c>
      <c r="AC106">
        <f t="shared" si="90"/>
        <v>94.68</v>
      </c>
      <c r="AD106">
        <f>ROUND((((ET106)-(EU106))+AE106),2)</f>
        <v>0</v>
      </c>
      <c r="AE106">
        <f t="shared" si="114"/>
        <v>0</v>
      </c>
      <c r="AF106">
        <f t="shared" si="114"/>
        <v>0</v>
      </c>
      <c r="AG106">
        <f t="shared" si="91"/>
        <v>0</v>
      </c>
      <c r="AH106">
        <f t="shared" si="115"/>
        <v>0</v>
      </c>
      <c r="AI106">
        <f t="shared" si="115"/>
        <v>0</v>
      </c>
      <c r="AJ106">
        <f t="shared" si="92"/>
        <v>0</v>
      </c>
      <c r="AK106">
        <v>94.68</v>
      </c>
      <c r="AL106">
        <v>94.68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106</v>
      </c>
      <c r="AU106">
        <v>54</v>
      </c>
      <c r="AV106">
        <v>1</v>
      </c>
      <c r="AW106">
        <v>1</v>
      </c>
      <c r="AZ106">
        <v>6.56</v>
      </c>
      <c r="BA106">
        <v>1</v>
      </c>
      <c r="BB106">
        <v>1</v>
      </c>
      <c r="BC106">
        <v>6.56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1</v>
      </c>
      <c r="BJ106" t="s">
        <v>277</v>
      </c>
      <c r="BM106">
        <v>10001</v>
      </c>
      <c r="BN106">
        <v>0</v>
      </c>
      <c r="BO106" t="s">
        <v>6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118</v>
      </c>
      <c r="CA106">
        <v>63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93"/>
        <v>1863.3</v>
      </c>
      <c r="CQ106">
        <f t="shared" si="94"/>
        <v>621.10080000000005</v>
      </c>
      <c r="CR106">
        <f t="shared" si="95"/>
        <v>0</v>
      </c>
      <c r="CS106">
        <f t="shared" si="96"/>
        <v>0</v>
      </c>
      <c r="CT106">
        <f t="shared" si="97"/>
        <v>0</v>
      </c>
      <c r="CU106">
        <f t="shared" si="98"/>
        <v>0</v>
      </c>
      <c r="CV106">
        <f t="shared" si="99"/>
        <v>0</v>
      </c>
      <c r="CW106">
        <f t="shared" si="100"/>
        <v>0</v>
      </c>
      <c r="CX106">
        <f t="shared" si="101"/>
        <v>0</v>
      </c>
      <c r="CY106">
        <f t="shared" si="102"/>
        <v>0</v>
      </c>
      <c r="CZ106">
        <f t="shared" si="103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249</v>
      </c>
      <c r="DW106" t="s">
        <v>249</v>
      </c>
      <c r="DX106">
        <v>1</v>
      </c>
      <c r="EE106">
        <v>16510487</v>
      </c>
      <c r="EF106">
        <v>2</v>
      </c>
      <c r="EG106" t="s">
        <v>22</v>
      </c>
      <c r="EH106">
        <v>0</v>
      </c>
      <c r="EI106" t="s">
        <v>6</v>
      </c>
      <c r="EJ106">
        <v>1</v>
      </c>
      <c r="EK106">
        <v>10001</v>
      </c>
      <c r="EL106" t="s">
        <v>50</v>
      </c>
      <c r="EM106" t="s">
        <v>51</v>
      </c>
      <c r="EO106" t="s">
        <v>6</v>
      </c>
      <c r="EQ106">
        <v>0</v>
      </c>
      <c r="ER106">
        <v>94.68</v>
      </c>
      <c r="ES106">
        <v>94.68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104"/>
        <v>0</v>
      </c>
      <c r="FS106">
        <v>0</v>
      </c>
      <c r="FT106" t="s">
        <v>25</v>
      </c>
      <c r="FU106" t="s">
        <v>26</v>
      </c>
      <c r="FX106">
        <v>106.2</v>
      </c>
      <c r="FY106">
        <v>53.55</v>
      </c>
      <c r="GA106" t="s">
        <v>6</v>
      </c>
      <c r="GD106">
        <v>0</v>
      </c>
      <c r="GF106">
        <v>602577485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05"/>
        <v>0</v>
      </c>
      <c r="GM106">
        <f t="shared" si="106"/>
        <v>1863.3</v>
      </c>
      <c r="GN106">
        <f t="shared" si="107"/>
        <v>1863.3</v>
      </c>
      <c r="GO106">
        <f t="shared" si="108"/>
        <v>0</v>
      </c>
      <c r="GP106">
        <f t="shared" si="109"/>
        <v>0</v>
      </c>
      <c r="GR106">
        <v>0</v>
      </c>
      <c r="GS106">
        <v>3</v>
      </c>
      <c r="GT106">
        <v>0</v>
      </c>
      <c r="GU106" t="s">
        <v>6</v>
      </c>
      <c r="GV106">
        <f t="shared" si="110"/>
        <v>0</v>
      </c>
      <c r="GW106">
        <v>1</v>
      </c>
      <c r="GX106">
        <f t="shared" si="111"/>
        <v>0</v>
      </c>
      <c r="HA106">
        <v>0</v>
      </c>
      <c r="HB106">
        <v>0</v>
      </c>
      <c r="IK106">
        <v>0</v>
      </c>
    </row>
    <row r="107" spans="1:245" x14ac:dyDescent="0.2">
      <c r="A107">
        <v>18</v>
      </c>
      <c r="B107">
        <v>1</v>
      </c>
      <c r="C107">
        <v>132</v>
      </c>
      <c r="E107" t="s">
        <v>278</v>
      </c>
      <c r="F107" t="s">
        <v>263</v>
      </c>
      <c r="G107" t="s">
        <v>264</v>
      </c>
      <c r="H107" t="s">
        <v>73</v>
      </c>
      <c r="I107">
        <f>I104*J107</f>
        <v>1</v>
      </c>
      <c r="J107">
        <v>16.420361247947454</v>
      </c>
      <c r="O107">
        <f t="shared" si="78"/>
        <v>2435.0700000000002</v>
      </c>
      <c r="P107">
        <f t="shared" si="79"/>
        <v>2435.0700000000002</v>
      </c>
      <c r="Q107">
        <f t="shared" si="80"/>
        <v>0</v>
      </c>
      <c r="R107">
        <f t="shared" si="81"/>
        <v>0</v>
      </c>
      <c r="S107">
        <f t="shared" si="82"/>
        <v>0</v>
      </c>
      <c r="T107">
        <f t="shared" si="83"/>
        <v>0</v>
      </c>
      <c r="U107">
        <f t="shared" si="84"/>
        <v>0</v>
      </c>
      <c r="V107">
        <f t="shared" si="85"/>
        <v>0</v>
      </c>
      <c r="W107">
        <f t="shared" si="86"/>
        <v>0</v>
      </c>
      <c r="X107">
        <f t="shared" si="87"/>
        <v>0</v>
      </c>
      <c r="Y107">
        <f t="shared" si="88"/>
        <v>0</v>
      </c>
      <c r="AA107">
        <v>16742901</v>
      </c>
      <c r="AB107">
        <f t="shared" si="89"/>
        <v>371.2</v>
      </c>
      <c r="AC107">
        <f t="shared" si="90"/>
        <v>371.2</v>
      </c>
      <c r="AD107">
        <f>ROUND((((ET107)-(EU107))+AE107),2)</f>
        <v>0</v>
      </c>
      <c r="AE107">
        <f t="shared" si="114"/>
        <v>0</v>
      </c>
      <c r="AF107">
        <f t="shared" si="114"/>
        <v>0</v>
      </c>
      <c r="AG107">
        <f t="shared" si="91"/>
        <v>0</v>
      </c>
      <c r="AH107">
        <f t="shared" si="115"/>
        <v>0</v>
      </c>
      <c r="AI107">
        <f t="shared" si="115"/>
        <v>0</v>
      </c>
      <c r="AJ107">
        <f t="shared" si="92"/>
        <v>0</v>
      </c>
      <c r="AK107">
        <v>371.2</v>
      </c>
      <c r="AL107">
        <v>371.2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81</v>
      </c>
      <c r="AU107">
        <v>72</v>
      </c>
      <c r="AV107">
        <v>1</v>
      </c>
      <c r="AW107">
        <v>1</v>
      </c>
      <c r="AZ107">
        <v>6.56</v>
      </c>
      <c r="BA107">
        <v>1</v>
      </c>
      <c r="BB107">
        <v>1</v>
      </c>
      <c r="BC107">
        <v>6.56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265</v>
      </c>
      <c r="BM107">
        <v>9001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90</v>
      </c>
      <c r="CA107">
        <v>85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93"/>
        <v>2435.0700000000002</v>
      </c>
      <c r="CQ107">
        <f t="shared" si="94"/>
        <v>2435.0719999999997</v>
      </c>
      <c r="CR107">
        <f t="shared" si="95"/>
        <v>0</v>
      </c>
      <c r="CS107">
        <f t="shared" si="96"/>
        <v>0</v>
      </c>
      <c r="CT107">
        <f t="shared" si="97"/>
        <v>0</v>
      </c>
      <c r="CU107">
        <f t="shared" si="98"/>
        <v>0</v>
      </c>
      <c r="CV107">
        <f t="shared" si="99"/>
        <v>0</v>
      </c>
      <c r="CW107">
        <f t="shared" si="100"/>
        <v>0</v>
      </c>
      <c r="CX107">
        <f t="shared" si="101"/>
        <v>0</v>
      </c>
      <c r="CY107">
        <f t="shared" si="102"/>
        <v>0</v>
      </c>
      <c r="CZ107">
        <f t="shared" si="103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73</v>
      </c>
      <c r="DW107" t="s">
        <v>73</v>
      </c>
      <c r="DX107">
        <v>1</v>
      </c>
      <c r="EE107">
        <v>16510486</v>
      </c>
      <c r="EF107">
        <v>2</v>
      </c>
      <c r="EG107" t="s">
        <v>22</v>
      </c>
      <c r="EH107">
        <v>0</v>
      </c>
      <c r="EI107" t="s">
        <v>6</v>
      </c>
      <c r="EJ107">
        <v>1</v>
      </c>
      <c r="EK107">
        <v>9001</v>
      </c>
      <c r="EL107" t="s">
        <v>121</v>
      </c>
      <c r="EM107" t="s">
        <v>122</v>
      </c>
      <c r="EO107" t="s">
        <v>6</v>
      </c>
      <c r="EQ107">
        <v>0</v>
      </c>
      <c r="ER107">
        <v>371.2</v>
      </c>
      <c r="ES107">
        <v>371.2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04"/>
        <v>0</v>
      </c>
      <c r="FS107">
        <v>0</v>
      </c>
      <c r="FT107" t="s">
        <v>25</v>
      </c>
      <c r="FU107" t="s">
        <v>26</v>
      </c>
      <c r="FX107">
        <v>81</v>
      </c>
      <c r="FY107">
        <v>72.25</v>
      </c>
      <c r="GA107" t="s">
        <v>6</v>
      </c>
      <c r="GD107">
        <v>0</v>
      </c>
      <c r="GF107">
        <v>-462216632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05"/>
        <v>0</v>
      </c>
      <c r="GM107">
        <f t="shared" si="106"/>
        <v>2435.0700000000002</v>
      </c>
      <c r="GN107">
        <f t="shared" si="107"/>
        <v>2435.0700000000002</v>
      </c>
      <c r="GO107">
        <f t="shared" si="108"/>
        <v>0</v>
      </c>
      <c r="GP107">
        <f t="shared" si="109"/>
        <v>0</v>
      </c>
      <c r="GR107">
        <v>0</v>
      </c>
      <c r="GS107">
        <v>3</v>
      </c>
      <c r="GT107">
        <v>0</v>
      </c>
      <c r="GU107" t="s">
        <v>6</v>
      </c>
      <c r="GV107">
        <f t="shared" si="110"/>
        <v>0</v>
      </c>
      <c r="GW107">
        <v>1</v>
      </c>
      <c r="GX107">
        <f t="shared" si="111"/>
        <v>0</v>
      </c>
      <c r="HA107">
        <v>0</v>
      </c>
      <c r="HB107">
        <v>0</v>
      </c>
      <c r="IK107">
        <v>0</v>
      </c>
    </row>
    <row r="108" spans="1:245" x14ac:dyDescent="0.2">
      <c r="A108">
        <v>18</v>
      </c>
      <c r="B108">
        <v>1</v>
      </c>
      <c r="C108">
        <v>137</v>
      </c>
      <c r="E108" t="s">
        <v>279</v>
      </c>
      <c r="F108" t="s">
        <v>280</v>
      </c>
      <c r="G108" t="s">
        <v>281</v>
      </c>
      <c r="H108" t="s">
        <v>193</v>
      </c>
      <c r="I108">
        <f>I104*J108</f>
        <v>6.09</v>
      </c>
      <c r="J108">
        <v>100</v>
      </c>
      <c r="O108">
        <f t="shared" si="78"/>
        <v>0</v>
      </c>
      <c r="P108">
        <f t="shared" si="79"/>
        <v>0</v>
      </c>
      <c r="Q108">
        <f t="shared" si="80"/>
        <v>0</v>
      </c>
      <c r="R108">
        <f t="shared" si="81"/>
        <v>0</v>
      </c>
      <c r="S108">
        <f t="shared" si="82"/>
        <v>0</v>
      </c>
      <c r="T108">
        <f t="shared" si="83"/>
        <v>0</v>
      </c>
      <c r="U108">
        <f t="shared" si="84"/>
        <v>0</v>
      </c>
      <c r="V108">
        <f t="shared" si="85"/>
        <v>0</v>
      </c>
      <c r="W108">
        <f t="shared" si="86"/>
        <v>0</v>
      </c>
      <c r="X108">
        <f t="shared" si="87"/>
        <v>0</v>
      </c>
      <c r="Y108">
        <f t="shared" si="88"/>
        <v>0</v>
      </c>
      <c r="AA108">
        <v>16742901</v>
      </c>
      <c r="AB108">
        <f t="shared" si="89"/>
        <v>0</v>
      </c>
      <c r="AC108">
        <f t="shared" si="90"/>
        <v>0</v>
      </c>
      <c r="AD108">
        <f>ROUND((((ET108)-(EU108))+AE108),2)</f>
        <v>0</v>
      </c>
      <c r="AE108">
        <f t="shared" si="114"/>
        <v>0</v>
      </c>
      <c r="AF108">
        <f t="shared" si="114"/>
        <v>0</v>
      </c>
      <c r="AG108">
        <f t="shared" si="91"/>
        <v>0</v>
      </c>
      <c r="AH108">
        <f t="shared" si="115"/>
        <v>0</v>
      </c>
      <c r="AI108">
        <f t="shared" si="115"/>
        <v>0</v>
      </c>
      <c r="AJ108">
        <f t="shared" si="92"/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106</v>
      </c>
      <c r="AU108">
        <v>54</v>
      </c>
      <c r="AV108">
        <v>1</v>
      </c>
      <c r="AW108">
        <v>1</v>
      </c>
      <c r="AZ108">
        <v>6.56</v>
      </c>
      <c r="BA108">
        <v>1</v>
      </c>
      <c r="BB108">
        <v>1</v>
      </c>
      <c r="BC108">
        <v>6.56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1</v>
      </c>
      <c r="BJ108" t="s">
        <v>6</v>
      </c>
      <c r="BM108">
        <v>10001</v>
      </c>
      <c r="BN108">
        <v>0</v>
      </c>
      <c r="BO108" t="s">
        <v>6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118</v>
      </c>
      <c r="CA108">
        <v>63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93"/>
        <v>0</v>
      </c>
      <c r="CQ108">
        <f t="shared" si="94"/>
        <v>0</v>
      </c>
      <c r="CR108">
        <f t="shared" si="95"/>
        <v>0</v>
      </c>
      <c r="CS108">
        <f t="shared" si="96"/>
        <v>0</v>
      </c>
      <c r="CT108">
        <f t="shared" si="97"/>
        <v>0</v>
      </c>
      <c r="CU108">
        <f t="shared" si="98"/>
        <v>0</v>
      </c>
      <c r="CV108">
        <f t="shared" si="99"/>
        <v>0</v>
      </c>
      <c r="CW108">
        <f t="shared" si="100"/>
        <v>0</v>
      </c>
      <c r="CX108">
        <f t="shared" si="101"/>
        <v>0</v>
      </c>
      <c r="CY108">
        <f t="shared" si="102"/>
        <v>0</v>
      </c>
      <c r="CZ108">
        <f t="shared" si="103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193</v>
      </c>
      <c r="DW108" t="s">
        <v>193</v>
      </c>
      <c r="DX108">
        <v>1</v>
      </c>
      <c r="EE108">
        <v>16510487</v>
      </c>
      <c r="EF108">
        <v>2</v>
      </c>
      <c r="EG108" t="s">
        <v>22</v>
      </c>
      <c r="EH108">
        <v>0</v>
      </c>
      <c r="EI108" t="s">
        <v>6</v>
      </c>
      <c r="EJ108">
        <v>1</v>
      </c>
      <c r="EK108">
        <v>10001</v>
      </c>
      <c r="EL108" t="s">
        <v>50</v>
      </c>
      <c r="EM108" t="s">
        <v>51</v>
      </c>
      <c r="EO108" t="s">
        <v>6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104"/>
        <v>0</v>
      </c>
      <c r="FS108">
        <v>0</v>
      </c>
      <c r="FT108" t="s">
        <v>25</v>
      </c>
      <c r="FU108" t="s">
        <v>26</v>
      </c>
      <c r="FX108">
        <v>106.2</v>
      </c>
      <c r="FY108">
        <v>53.55</v>
      </c>
      <c r="GA108" t="s">
        <v>6</v>
      </c>
      <c r="GD108">
        <v>0</v>
      </c>
      <c r="GF108">
        <v>-732808487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05"/>
        <v>0</v>
      </c>
      <c r="GM108">
        <f t="shared" si="106"/>
        <v>0</v>
      </c>
      <c r="GN108">
        <f t="shared" si="107"/>
        <v>0</v>
      </c>
      <c r="GO108">
        <f t="shared" si="108"/>
        <v>0</v>
      </c>
      <c r="GP108">
        <f t="shared" si="109"/>
        <v>0</v>
      </c>
      <c r="GR108">
        <v>0</v>
      </c>
      <c r="GS108">
        <v>3</v>
      </c>
      <c r="GT108">
        <v>0</v>
      </c>
      <c r="GU108" t="s">
        <v>6</v>
      </c>
      <c r="GV108">
        <f t="shared" si="110"/>
        <v>0</v>
      </c>
      <c r="GW108">
        <v>1</v>
      </c>
      <c r="GX108">
        <f t="shared" si="111"/>
        <v>0</v>
      </c>
      <c r="HA108">
        <v>0</v>
      </c>
      <c r="HB108">
        <v>0</v>
      </c>
      <c r="IK108">
        <v>0</v>
      </c>
    </row>
    <row r="109" spans="1:245" x14ac:dyDescent="0.2">
      <c r="A109">
        <v>17</v>
      </c>
      <c r="B109">
        <v>1</v>
      </c>
      <c r="C109">
        <f>ROW(SmtRes!A141)</f>
        <v>141</v>
      </c>
      <c r="D109">
        <f>ROW(EtalonRes!A142)</f>
        <v>142</v>
      </c>
      <c r="E109" t="s">
        <v>282</v>
      </c>
      <c r="F109" t="s">
        <v>283</v>
      </c>
      <c r="G109" t="s">
        <v>284</v>
      </c>
      <c r="H109" t="s">
        <v>20</v>
      </c>
      <c r="I109">
        <f>ROUND(33.6/100,9)</f>
        <v>0.33600000000000002</v>
      </c>
      <c r="J109">
        <v>0</v>
      </c>
      <c r="O109">
        <f t="shared" si="78"/>
        <v>155327.19</v>
      </c>
      <c r="P109">
        <f t="shared" si="79"/>
        <v>154579.94</v>
      </c>
      <c r="Q109">
        <f t="shared" si="80"/>
        <v>0</v>
      </c>
      <c r="R109">
        <f t="shared" si="81"/>
        <v>0</v>
      </c>
      <c r="S109">
        <f t="shared" si="82"/>
        <v>747.25</v>
      </c>
      <c r="T109">
        <f t="shared" si="83"/>
        <v>0</v>
      </c>
      <c r="U109">
        <f t="shared" si="84"/>
        <v>13.353984000000001</v>
      </c>
      <c r="V109">
        <f t="shared" si="85"/>
        <v>0</v>
      </c>
      <c r="W109">
        <f t="shared" si="86"/>
        <v>0</v>
      </c>
      <c r="X109">
        <f t="shared" si="87"/>
        <v>792.09</v>
      </c>
      <c r="Y109">
        <f t="shared" si="88"/>
        <v>403.52</v>
      </c>
      <c r="AA109">
        <v>16742901</v>
      </c>
      <c r="AB109">
        <f t="shared" si="89"/>
        <v>70470.02</v>
      </c>
      <c r="AC109">
        <f t="shared" si="90"/>
        <v>70131</v>
      </c>
      <c r="AD109">
        <f>ROUND(((((ET109*1.25))-((EU109*1.25)))+AE109),2)</f>
        <v>0</v>
      </c>
      <c r="AE109">
        <f>ROUND(((EU109*1.25)),2)</f>
        <v>0</v>
      </c>
      <c r="AF109">
        <f>ROUND(((EV109*1.15)),2)</f>
        <v>339.02</v>
      </c>
      <c r="AG109">
        <f t="shared" si="91"/>
        <v>0</v>
      </c>
      <c r="AH109">
        <f>((EW109*1.15))</f>
        <v>39.744</v>
      </c>
      <c r="AI109">
        <f>((EX109*1.25))</f>
        <v>0</v>
      </c>
      <c r="AJ109">
        <f t="shared" si="92"/>
        <v>0</v>
      </c>
      <c r="AK109">
        <v>70425.8</v>
      </c>
      <c r="AL109">
        <v>70131</v>
      </c>
      <c r="AM109">
        <v>0</v>
      </c>
      <c r="AN109">
        <v>0</v>
      </c>
      <c r="AO109">
        <v>294.8</v>
      </c>
      <c r="AP109">
        <v>0</v>
      </c>
      <c r="AQ109">
        <v>34.56</v>
      </c>
      <c r="AR109">
        <v>0</v>
      </c>
      <c r="AS109">
        <v>0</v>
      </c>
      <c r="AT109">
        <v>106</v>
      </c>
      <c r="AU109">
        <v>54</v>
      </c>
      <c r="AV109">
        <v>1</v>
      </c>
      <c r="AW109">
        <v>1</v>
      </c>
      <c r="AZ109">
        <v>6.56</v>
      </c>
      <c r="BA109">
        <v>6.56</v>
      </c>
      <c r="BB109">
        <v>6.56</v>
      </c>
      <c r="BC109">
        <v>6.56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46</v>
      </c>
      <c r="BM109">
        <v>10001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6.56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118</v>
      </c>
      <c r="CA109">
        <v>63</v>
      </c>
      <c r="CF109">
        <v>0</v>
      </c>
      <c r="CG109">
        <v>0</v>
      </c>
      <c r="CM109">
        <v>0</v>
      </c>
      <c r="CN109" t="s">
        <v>1902</v>
      </c>
      <c r="CO109">
        <v>0</v>
      </c>
      <c r="CP109">
        <f t="shared" si="93"/>
        <v>155327.19</v>
      </c>
      <c r="CQ109">
        <f t="shared" si="94"/>
        <v>460059.36</v>
      </c>
      <c r="CR109">
        <f t="shared" si="95"/>
        <v>0</v>
      </c>
      <c r="CS109">
        <f t="shared" si="96"/>
        <v>0</v>
      </c>
      <c r="CT109">
        <f t="shared" si="97"/>
        <v>2223.9712</v>
      </c>
      <c r="CU109">
        <f t="shared" si="98"/>
        <v>0</v>
      </c>
      <c r="CV109">
        <f t="shared" si="99"/>
        <v>39.744</v>
      </c>
      <c r="CW109">
        <f t="shared" si="100"/>
        <v>0</v>
      </c>
      <c r="CX109">
        <f t="shared" si="101"/>
        <v>0</v>
      </c>
      <c r="CY109">
        <f t="shared" si="102"/>
        <v>792.08500000000004</v>
      </c>
      <c r="CZ109">
        <f t="shared" si="103"/>
        <v>403.51499999999999</v>
      </c>
      <c r="DC109" t="s">
        <v>6</v>
      </c>
      <c r="DD109" t="s">
        <v>6</v>
      </c>
      <c r="DE109" t="s">
        <v>187</v>
      </c>
      <c r="DF109" t="s">
        <v>187</v>
      </c>
      <c r="DG109" t="s">
        <v>188</v>
      </c>
      <c r="DH109" t="s">
        <v>6</v>
      </c>
      <c r="DI109" t="s">
        <v>188</v>
      </c>
      <c r="DJ109" t="s">
        <v>187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20</v>
      </c>
      <c r="DW109" t="s">
        <v>20</v>
      </c>
      <c r="DX109">
        <v>100</v>
      </c>
      <c r="EE109">
        <v>16510487</v>
      </c>
      <c r="EF109">
        <v>2</v>
      </c>
      <c r="EG109" t="s">
        <v>22</v>
      </c>
      <c r="EH109">
        <v>0</v>
      </c>
      <c r="EI109" t="s">
        <v>6</v>
      </c>
      <c r="EJ109">
        <v>1</v>
      </c>
      <c r="EK109">
        <v>10001</v>
      </c>
      <c r="EL109" t="s">
        <v>50</v>
      </c>
      <c r="EM109" t="s">
        <v>51</v>
      </c>
      <c r="EO109" t="s">
        <v>189</v>
      </c>
      <c r="EQ109">
        <v>131072</v>
      </c>
      <c r="ER109">
        <v>70425.8</v>
      </c>
      <c r="ES109">
        <v>70131</v>
      </c>
      <c r="ET109">
        <v>0</v>
      </c>
      <c r="EU109">
        <v>0</v>
      </c>
      <c r="EV109">
        <v>294.8</v>
      </c>
      <c r="EW109">
        <v>34.56</v>
      </c>
      <c r="EX109">
        <v>0</v>
      </c>
      <c r="EY109">
        <v>0</v>
      </c>
      <c r="FQ109">
        <v>0</v>
      </c>
      <c r="FR109">
        <f t="shared" si="104"/>
        <v>0</v>
      </c>
      <c r="FS109">
        <v>0</v>
      </c>
      <c r="FT109" t="s">
        <v>25</v>
      </c>
      <c r="FU109" t="s">
        <v>26</v>
      </c>
      <c r="FX109">
        <v>106.2</v>
      </c>
      <c r="FY109">
        <v>53.55</v>
      </c>
      <c r="GA109" t="s">
        <v>6</v>
      </c>
      <c r="GD109">
        <v>0</v>
      </c>
      <c r="GF109">
        <v>92801605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05"/>
        <v>0</v>
      </c>
      <c r="GM109">
        <f t="shared" si="106"/>
        <v>156522.79999999999</v>
      </c>
      <c r="GN109">
        <f t="shared" si="107"/>
        <v>156522.79999999999</v>
      </c>
      <c r="GO109">
        <f t="shared" si="108"/>
        <v>0</v>
      </c>
      <c r="GP109">
        <f t="shared" si="109"/>
        <v>0</v>
      </c>
      <c r="GR109">
        <v>0</v>
      </c>
      <c r="GS109">
        <v>3</v>
      </c>
      <c r="GT109">
        <v>0</v>
      </c>
      <c r="GU109" t="s">
        <v>6</v>
      </c>
      <c r="GV109">
        <f t="shared" si="110"/>
        <v>0</v>
      </c>
      <c r="GW109">
        <v>1</v>
      </c>
      <c r="GX109">
        <f t="shared" si="111"/>
        <v>0</v>
      </c>
      <c r="HA109">
        <v>0</v>
      </c>
      <c r="HB109">
        <v>0</v>
      </c>
      <c r="IK109">
        <v>0</v>
      </c>
    </row>
    <row r="110" spans="1:245" x14ac:dyDescent="0.2">
      <c r="A110">
        <v>17</v>
      </c>
      <c r="B110">
        <v>1</v>
      </c>
      <c r="C110">
        <f>ROW(SmtRes!A147)</f>
        <v>147</v>
      </c>
      <c r="D110">
        <f>ROW(EtalonRes!A148)</f>
        <v>148</v>
      </c>
      <c r="E110" t="s">
        <v>285</v>
      </c>
      <c r="F110" t="s">
        <v>286</v>
      </c>
      <c r="G110" t="s">
        <v>287</v>
      </c>
      <c r="H110" t="s">
        <v>20</v>
      </c>
      <c r="I110">
        <f>ROUND(6.64/100,9)</f>
        <v>6.6400000000000001E-2</v>
      </c>
      <c r="J110">
        <v>0</v>
      </c>
      <c r="O110">
        <f t="shared" si="78"/>
        <v>2505.46</v>
      </c>
      <c r="P110">
        <f t="shared" si="79"/>
        <v>992.98</v>
      </c>
      <c r="Q110">
        <f t="shared" si="80"/>
        <v>15.79</v>
      </c>
      <c r="R110">
        <f t="shared" si="81"/>
        <v>6.82</v>
      </c>
      <c r="S110">
        <f t="shared" si="82"/>
        <v>1496.69</v>
      </c>
      <c r="T110">
        <f t="shared" si="83"/>
        <v>0</v>
      </c>
      <c r="U110">
        <f t="shared" si="84"/>
        <v>25.435184</v>
      </c>
      <c r="V110">
        <f t="shared" si="85"/>
        <v>7.7023999999999995E-2</v>
      </c>
      <c r="W110">
        <f t="shared" si="86"/>
        <v>0</v>
      </c>
      <c r="X110">
        <f t="shared" si="87"/>
        <v>1187.77</v>
      </c>
      <c r="Y110">
        <f t="shared" si="88"/>
        <v>751.76</v>
      </c>
      <c r="AA110">
        <v>16742901</v>
      </c>
      <c r="AB110">
        <f t="shared" si="89"/>
        <v>5751.96</v>
      </c>
      <c r="AC110">
        <f t="shared" si="90"/>
        <v>2279.65</v>
      </c>
      <c r="AD110">
        <f t="shared" ref="AD110:AD141" si="116">ROUND((((ET110)-(EU110))+AE110),2)</f>
        <v>36.26</v>
      </c>
      <c r="AE110">
        <f t="shared" ref="AE110:AE141" si="117">ROUND((EU110),2)</f>
        <v>15.66</v>
      </c>
      <c r="AF110">
        <f t="shared" ref="AF110:AF141" si="118">ROUND((EV110),2)</f>
        <v>3436.05</v>
      </c>
      <c r="AG110">
        <f t="shared" si="91"/>
        <v>0</v>
      </c>
      <c r="AH110">
        <f t="shared" ref="AH110:AH141" si="119">(EW110)</f>
        <v>383.06</v>
      </c>
      <c r="AI110">
        <f t="shared" ref="AI110:AI141" si="120">(EX110)</f>
        <v>1.1599999999999999</v>
      </c>
      <c r="AJ110">
        <f t="shared" si="92"/>
        <v>0</v>
      </c>
      <c r="AK110">
        <v>5751.96</v>
      </c>
      <c r="AL110">
        <v>2279.65</v>
      </c>
      <c r="AM110">
        <v>36.26</v>
      </c>
      <c r="AN110">
        <v>15.66</v>
      </c>
      <c r="AO110">
        <v>3436.05</v>
      </c>
      <c r="AP110">
        <v>0</v>
      </c>
      <c r="AQ110">
        <v>383.06</v>
      </c>
      <c r="AR110">
        <v>1.1599999999999999</v>
      </c>
      <c r="AS110">
        <v>0</v>
      </c>
      <c r="AT110">
        <v>79</v>
      </c>
      <c r="AU110">
        <v>50</v>
      </c>
      <c r="AV110">
        <v>1</v>
      </c>
      <c r="AW110">
        <v>1</v>
      </c>
      <c r="AZ110">
        <v>6.56</v>
      </c>
      <c r="BA110">
        <v>6.56</v>
      </c>
      <c r="BB110">
        <v>6.56</v>
      </c>
      <c r="BC110">
        <v>6.56</v>
      </c>
      <c r="BD110" t="s">
        <v>6</v>
      </c>
      <c r="BE110" t="s">
        <v>6</v>
      </c>
      <c r="BF110" t="s">
        <v>6</v>
      </c>
      <c r="BG110" t="s">
        <v>6</v>
      </c>
      <c r="BH110">
        <v>0</v>
      </c>
      <c r="BI110">
        <v>1</v>
      </c>
      <c r="BJ110" t="s">
        <v>288</v>
      </c>
      <c r="BM110">
        <v>61001</v>
      </c>
      <c r="BN110">
        <v>0</v>
      </c>
      <c r="BO110" t="s">
        <v>6</v>
      </c>
      <c r="BP110">
        <v>0</v>
      </c>
      <c r="BQ110">
        <v>6</v>
      </c>
      <c r="BR110">
        <v>0</v>
      </c>
      <c r="BS110">
        <v>6.56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79</v>
      </c>
      <c r="CA110">
        <v>50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93"/>
        <v>2505.46</v>
      </c>
      <c r="CQ110">
        <f t="shared" si="94"/>
        <v>14954.503999999999</v>
      </c>
      <c r="CR110">
        <f t="shared" si="95"/>
        <v>237.86559999999997</v>
      </c>
      <c r="CS110">
        <f t="shared" si="96"/>
        <v>102.72959999999999</v>
      </c>
      <c r="CT110">
        <f t="shared" si="97"/>
        <v>22540.488000000001</v>
      </c>
      <c r="CU110">
        <f t="shared" si="98"/>
        <v>0</v>
      </c>
      <c r="CV110">
        <f t="shared" si="99"/>
        <v>383.06</v>
      </c>
      <c r="CW110">
        <f t="shared" si="100"/>
        <v>1.1599999999999999</v>
      </c>
      <c r="CX110">
        <f t="shared" si="101"/>
        <v>0</v>
      </c>
      <c r="CY110">
        <f t="shared" si="102"/>
        <v>1187.7728999999999</v>
      </c>
      <c r="CZ110">
        <f t="shared" si="103"/>
        <v>751.755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1005</v>
      </c>
      <c r="DV110" t="s">
        <v>20</v>
      </c>
      <c r="DW110" t="s">
        <v>20</v>
      </c>
      <c r="DX110">
        <v>100</v>
      </c>
      <c r="EE110">
        <v>16510570</v>
      </c>
      <c r="EF110">
        <v>6</v>
      </c>
      <c r="EG110" t="s">
        <v>36</v>
      </c>
      <c r="EH110">
        <v>0</v>
      </c>
      <c r="EI110" t="s">
        <v>6</v>
      </c>
      <c r="EJ110">
        <v>1</v>
      </c>
      <c r="EK110">
        <v>61001</v>
      </c>
      <c r="EL110" t="s">
        <v>289</v>
      </c>
      <c r="EM110" t="s">
        <v>290</v>
      </c>
      <c r="EO110" t="s">
        <v>6</v>
      </c>
      <c r="EQ110">
        <v>131072</v>
      </c>
      <c r="ER110">
        <v>5751.96</v>
      </c>
      <c r="ES110">
        <v>2279.65</v>
      </c>
      <c r="ET110">
        <v>36.26</v>
      </c>
      <c r="EU110">
        <v>15.66</v>
      </c>
      <c r="EV110">
        <v>3436.05</v>
      </c>
      <c r="EW110">
        <v>383.06</v>
      </c>
      <c r="EX110">
        <v>1.1599999999999999</v>
      </c>
      <c r="EY110">
        <v>0</v>
      </c>
      <c r="FQ110">
        <v>0</v>
      </c>
      <c r="FR110">
        <f t="shared" si="104"/>
        <v>0</v>
      </c>
      <c r="FS110">
        <v>0</v>
      </c>
      <c r="FX110">
        <v>79</v>
      </c>
      <c r="FY110">
        <v>50</v>
      </c>
      <c r="GA110" t="s">
        <v>6</v>
      </c>
      <c r="GD110">
        <v>0</v>
      </c>
      <c r="GF110">
        <v>-1742364027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05"/>
        <v>0</v>
      </c>
      <c r="GM110">
        <f t="shared" si="106"/>
        <v>4444.99</v>
      </c>
      <c r="GN110">
        <f t="shared" si="107"/>
        <v>4444.99</v>
      </c>
      <c r="GO110">
        <f t="shared" si="108"/>
        <v>0</v>
      </c>
      <c r="GP110">
        <f t="shared" si="109"/>
        <v>0</v>
      </c>
      <c r="GR110">
        <v>0</v>
      </c>
      <c r="GS110">
        <v>3</v>
      </c>
      <c r="GT110">
        <v>0</v>
      </c>
      <c r="GU110" t="s">
        <v>6</v>
      </c>
      <c r="GV110">
        <f t="shared" si="110"/>
        <v>0</v>
      </c>
      <c r="GW110">
        <v>1</v>
      </c>
      <c r="GX110">
        <f t="shared" si="111"/>
        <v>0</v>
      </c>
      <c r="HA110">
        <v>0</v>
      </c>
      <c r="HB110">
        <v>0</v>
      </c>
      <c r="IK110">
        <v>0</v>
      </c>
    </row>
    <row r="111" spans="1:245" x14ac:dyDescent="0.2">
      <c r="A111">
        <v>18</v>
      </c>
      <c r="B111">
        <v>1</v>
      </c>
      <c r="C111">
        <v>146</v>
      </c>
      <c r="E111" t="s">
        <v>291</v>
      </c>
      <c r="F111" t="s">
        <v>98</v>
      </c>
      <c r="G111" t="s">
        <v>99</v>
      </c>
      <c r="H111" t="s">
        <v>100</v>
      </c>
      <c r="I111">
        <f>I110*J111</f>
        <v>0.53783999999999998</v>
      </c>
      <c r="J111">
        <v>8.1</v>
      </c>
      <c r="O111">
        <f t="shared" si="78"/>
        <v>0</v>
      </c>
      <c r="P111">
        <f t="shared" si="79"/>
        <v>0</v>
      </c>
      <c r="Q111">
        <f t="shared" si="80"/>
        <v>0</v>
      </c>
      <c r="R111">
        <f t="shared" si="81"/>
        <v>0</v>
      </c>
      <c r="S111">
        <f t="shared" si="82"/>
        <v>0</v>
      </c>
      <c r="T111">
        <f t="shared" si="83"/>
        <v>0</v>
      </c>
      <c r="U111">
        <f t="shared" si="84"/>
        <v>0</v>
      </c>
      <c r="V111">
        <f t="shared" si="85"/>
        <v>0</v>
      </c>
      <c r="W111">
        <f t="shared" si="86"/>
        <v>0</v>
      </c>
      <c r="X111">
        <f t="shared" si="87"/>
        <v>0</v>
      </c>
      <c r="Y111">
        <f t="shared" si="88"/>
        <v>0</v>
      </c>
      <c r="AA111">
        <v>16742901</v>
      </c>
      <c r="AB111">
        <f t="shared" si="89"/>
        <v>0</v>
      </c>
      <c r="AC111">
        <f t="shared" si="90"/>
        <v>0</v>
      </c>
      <c r="AD111">
        <f t="shared" si="116"/>
        <v>0</v>
      </c>
      <c r="AE111">
        <f t="shared" si="117"/>
        <v>0</v>
      </c>
      <c r="AF111">
        <f t="shared" si="118"/>
        <v>0</v>
      </c>
      <c r="AG111">
        <f t="shared" si="91"/>
        <v>0</v>
      </c>
      <c r="AH111">
        <f t="shared" si="119"/>
        <v>0</v>
      </c>
      <c r="AI111">
        <f t="shared" si="120"/>
        <v>0</v>
      </c>
      <c r="AJ111">
        <f t="shared" si="92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79</v>
      </c>
      <c r="AU111">
        <v>50</v>
      </c>
      <c r="AV111">
        <v>1</v>
      </c>
      <c r="AW111">
        <v>1</v>
      </c>
      <c r="AZ111">
        <v>6.56</v>
      </c>
      <c r="BA111">
        <v>1</v>
      </c>
      <c r="BB111">
        <v>1</v>
      </c>
      <c r="BC111">
        <v>6.56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6</v>
      </c>
      <c r="BM111">
        <v>61001</v>
      </c>
      <c r="BN111">
        <v>0</v>
      </c>
      <c r="BO111" t="s">
        <v>6</v>
      </c>
      <c r="BP111">
        <v>0</v>
      </c>
      <c r="BQ111">
        <v>6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79</v>
      </c>
      <c r="CA111">
        <v>50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93"/>
        <v>0</v>
      </c>
      <c r="CQ111">
        <f t="shared" si="94"/>
        <v>0</v>
      </c>
      <c r="CR111">
        <f t="shared" si="95"/>
        <v>0</v>
      </c>
      <c r="CS111">
        <f t="shared" si="96"/>
        <v>0</v>
      </c>
      <c r="CT111">
        <f t="shared" si="97"/>
        <v>0</v>
      </c>
      <c r="CU111">
        <f t="shared" si="98"/>
        <v>0</v>
      </c>
      <c r="CV111">
        <f t="shared" si="99"/>
        <v>0</v>
      </c>
      <c r="CW111">
        <f t="shared" si="100"/>
        <v>0</v>
      </c>
      <c r="CX111">
        <f t="shared" si="101"/>
        <v>0</v>
      </c>
      <c r="CY111">
        <f t="shared" si="102"/>
        <v>0</v>
      </c>
      <c r="CZ111">
        <f t="shared" si="103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100</v>
      </c>
      <c r="DW111" t="s">
        <v>100</v>
      </c>
      <c r="DX111">
        <v>1000</v>
      </c>
      <c r="EE111">
        <v>16510570</v>
      </c>
      <c r="EF111">
        <v>6</v>
      </c>
      <c r="EG111" t="s">
        <v>36</v>
      </c>
      <c r="EH111">
        <v>0</v>
      </c>
      <c r="EI111" t="s">
        <v>6</v>
      </c>
      <c r="EJ111">
        <v>1</v>
      </c>
      <c r="EK111">
        <v>61001</v>
      </c>
      <c r="EL111" t="s">
        <v>289</v>
      </c>
      <c r="EM111" t="s">
        <v>290</v>
      </c>
      <c r="EO111" t="s">
        <v>6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04"/>
        <v>0</v>
      </c>
      <c r="FS111">
        <v>0</v>
      </c>
      <c r="FX111">
        <v>79</v>
      </c>
      <c r="FY111">
        <v>50</v>
      </c>
      <c r="GA111" t="s">
        <v>6</v>
      </c>
      <c r="GD111">
        <v>0</v>
      </c>
      <c r="GF111">
        <v>-179832266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05"/>
        <v>0</v>
      </c>
      <c r="GM111">
        <f t="shared" si="106"/>
        <v>0</v>
      </c>
      <c r="GN111">
        <f t="shared" si="107"/>
        <v>0</v>
      </c>
      <c r="GO111">
        <f t="shared" si="108"/>
        <v>0</v>
      </c>
      <c r="GP111">
        <f t="shared" si="109"/>
        <v>0</v>
      </c>
      <c r="GR111">
        <v>0</v>
      </c>
      <c r="GS111">
        <v>3</v>
      </c>
      <c r="GT111">
        <v>0</v>
      </c>
      <c r="GU111" t="s">
        <v>6</v>
      </c>
      <c r="GV111">
        <f t="shared" si="110"/>
        <v>0</v>
      </c>
      <c r="GW111">
        <v>1</v>
      </c>
      <c r="GX111">
        <f t="shared" si="111"/>
        <v>0</v>
      </c>
      <c r="HA111">
        <v>0</v>
      </c>
      <c r="HB111">
        <v>0</v>
      </c>
      <c r="IK111">
        <v>0</v>
      </c>
    </row>
    <row r="112" spans="1:245" x14ac:dyDescent="0.2">
      <c r="A112">
        <v>17</v>
      </c>
      <c r="B112">
        <v>1</v>
      </c>
      <c r="C112">
        <f>ROW(SmtRes!A161)</f>
        <v>161</v>
      </c>
      <c r="D112">
        <f>ROW(EtalonRes!A159)</f>
        <v>159</v>
      </c>
      <c r="E112" t="s">
        <v>292</v>
      </c>
      <c r="F112" t="s">
        <v>293</v>
      </c>
      <c r="G112" t="s">
        <v>294</v>
      </c>
      <c r="H112" t="s">
        <v>100</v>
      </c>
      <c r="I112">
        <v>2.7E-2</v>
      </c>
      <c r="J112">
        <v>0</v>
      </c>
      <c r="O112">
        <f t="shared" si="78"/>
        <v>280.05</v>
      </c>
      <c r="P112">
        <f t="shared" si="79"/>
        <v>15.02</v>
      </c>
      <c r="Q112">
        <f t="shared" si="80"/>
        <v>11.18</v>
      </c>
      <c r="R112">
        <f t="shared" si="81"/>
        <v>1.25</v>
      </c>
      <c r="S112">
        <f t="shared" si="82"/>
        <v>253.85</v>
      </c>
      <c r="T112">
        <f t="shared" si="83"/>
        <v>0</v>
      </c>
      <c r="U112">
        <f t="shared" si="84"/>
        <v>4.4787599999999994</v>
      </c>
      <c r="V112">
        <f t="shared" si="85"/>
        <v>1.8090000000000002E-2</v>
      </c>
      <c r="W112">
        <f t="shared" si="86"/>
        <v>0</v>
      </c>
      <c r="X112">
        <f t="shared" si="87"/>
        <v>219.39</v>
      </c>
      <c r="Y112">
        <f t="shared" si="88"/>
        <v>178.57</v>
      </c>
      <c r="AA112">
        <v>16742901</v>
      </c>
      <c r="AB112">
        <f t="shared" si="89"/>
        <v>1581.13</v>
      </c>
      <c r="AC112">
        <f t="shared" si="90"/>
        <v>84.82</v>
      </c>
      <c r="AD112">
        <f t="shared" si="116"/>
        <v>63.11</v>
      </c>
      <c r="AE112">
        <f t="shared" si="117"/>
        <v>7.05</v>
      </c>
      <c r="AF112">
        <f t="shared" si="118"/>
        <v>1433.2</v>
      </c>
      <c r="AG112">
        <f t="shared" si="91"/>
        <v>0</v>
      </c>
      <c r="AH112">
        <f t="shared" si="119"/>
        <v>165.88</v>
      </c>
      <c r="AI112">
        <f t="shared" si="120"/>
        <v>0.67</v>
      </c>
      <c r="AJ112">
        <f t="shared" si="92"/>
        <v>0</v>
      </c>
      <c r="AK112">
        <v>1581.13</v>
      </c>
      <c r="AL112">
        <v>84.82</v>
      </c>
      <c r="AM112">
        <v>63.11</v>
      </c>
      <c r="AN112">
        <v>7.05</v>
      </c>
      <c r="AO112">
        <v>1433.2</v>
      </c>
      <c r="AP112">
        <v>0</v>
      </c>
      <c r="AQ112">
        <v>165.88</v>
      </c>
      <c r="AR112">
        <v>0.67</v>
      </c>
      <c r="AS112">
        <v>0</v>
      </c>
      <c r="AT112">
        <v>86</v>
      </c>
      <c r="AU112">
        <v>70</v>
      </c>
      <c r="AV112">
        <v>1</v>
      </c>
      <c r="AW112">
        <v>1</v>
      </c>
      <c r="AZ112">
        <v>6.56</v>
      </c>
      <c r="BA112">
        <v>6.56</v>
      </c>
      <c r="BB112">
        <v>6.56</v>
      </c>
      <c r="BC112">
        <v>6.56</v>
      </c>
      <c r="BD112" t="s">
        <v>6</v>
      </c>
      <c r="BE112" t="s">
        <v>6</v>
      </c>
      <c r="BF112" t="s">
        <v>6</v>
      </c>
      <c r="BG112" t="s">
        <v>6</v>
      </c>
      <c r="BH112">
        <v>0</v>
      </c>
      <c r="BI112">
        <v>1</v>
      </c>
      <c r="BJ112" t="s">
        <v>295</v>
      </c>
      <c r="BM112">
        <v>53001</v>
      </c>
      <c r="BN112">
        <v>0</v>
      </c>
      <c r="BO112" t="s">
        <v>6</v>
      </c>
      <c r="BP112">
        <v>0</v>
      </c>
      <c r="BQ112">
        <v>6</v>
      </c>
      <c r="BR112">
        <v>0</v>
      </c>
      <c r="BS112">
        <v>6.56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86</v>
      </c>
      <c r="CA112">
        <v>70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93"/>
        <v>280.05</v>
      </c>
      <c r="CQ112">
        <f t="shared" si="94"/>
        <v>556.41919999999993</v>
      </c>
      <c r="CR112">
        <f t="shared" si="95"/>
        <v>414.0016</v>
      </c>
      <c r="CS112">
        <f t="shared" si="96"/>
        <v>46.247999999999998</v>
      </c>
      <c r="CT112">
        <f t="shared" si="97"/>
        <v>9401.7919999999995</v>
      </c>
      <c r="CU112">
        <f t="shared" si="98"/>
        <v>0</v>
      </c>
      <c r="CV112">
        <f t="shared" si="99"/>
        <v>165.88</v>
      </c>
      <c r="CW112">
        <f t="shared" si="100"/>
        <v>0.67</v>
      </c>
      <c r="CX112">
        <f t="shared" si="101"/>
        <v>0</v>
      </c>
      <c r="CY112">
        <f t="shared" si="102"/>
        <v>219.386</v>
      </c>
      <c r="CZ112">
        <f t="shared" si="103"/>
        <v>178.57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1009</v>
      </c>
      <c r="DV112" t="s">
        <v>100</v>
      </c>
      <c r="DW112" t="s">
        <v>100</v>
      </c>
      <c r="DX112">
        <v>1000</v>
      </c>
      <c r="EE112">
        <v>16510562</v>
      </c>
      <c r="EF112">
        <v>6</v>
      </c>
      <c r="EG112" t="s">
        <v>36</v>
      </c>
      <c r="EH112">
        <v>0</v>
      </c>
      <c r="EI112" t="s">
        <v>6</v>
      </c>
      <c r="EJ112">
        <v>1</v>
      </c>
      <c r="EK112">
        <v>53001</v>
      </c>
      <c r="EL112" t="s">
        <v>296</v>
      </c>
      <c r="EM112" t="s">
        <v>297</v>
      </c>
      <c r="EO112" t="s">
        <v>6</v>
      </c>
      <c r="EQ112">
        <v>131072</v>
      </c>
      <c r="ER112">
        <v>1581.13</v>
      </c>
      <c r="ES112">
        <v>84.82</v>
      </c>
      <c r="ET112">
        <v>63.11</v>
      </c>
      <c r="EU112">
        <v>7.05</v>
      </c>
      <c r="EV112">
        <v>1433.2</v>
      </c>
      <c r="EW112">
        <v>165.88</v>
      </c>
      <c r="EX112">
        <v>0.67</v>
      </c>
      <c r="EY112">
        <v>0</v>
      </c>
      <c r="FQ112">
        <v>0</v>
      </c>
      <c r="FR112">
        <f t="shared" si="104"/>
        <v>0</v>
      </c>
      <c r="FS112">
        <v>0</v>
      </c>
      <c r="FX112">
        <v>86</v>
      </c>
      <c r="FY112">
        <v>70</v>
      </c>
      <c r="GA112" t="s">
        <v>6</v>
      </c>
      <c r="GD112">
        <v>0</v>
      </c>
      <c r="GF112">
        <v>1823163434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05"/>
        <v>0</v>
      </c>
      <c r="GM112">
        <f t="shared" si="106"/>
        <v>678.01</v>
      </c>
      <c r="GN112">
        <f t="shared" si="107"/>
        <v>678.01</v>
      </c>
      <c r="GO112">
        <f t="shared" si="108"/>
        <v>0</v>
      </c>
      <c r="GP112">
        <f t="shared" si="109"/>
        <v>0</v>
      </c>
      <c r="GR112">
        <v>0</v>
      </c>
      <c r="GS112">
        <v>3</v>
      </c>
      <c r="GT112">
        <v>0</v>
      </c>
      <c r="GU112" t="s">
        <v>6</v>
      </c>
      <c r="GV112">
        <f t="shared" si="110"/>
        <v>0</v>
      </c>
      <c r="GW112">
        <v>1</v>
      </c>
      <c r="GX112">
        <f t="shared" si="111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156</v>
      </c>
      <c r="E113" t="s">
        <v>298</v>
      </c>
      <c r="F113" t="s">
        <v>299</v>
      </c>
      <c r="G113" t="s">
        <v>300</v>
      </c>
      <c r="H113" t="s">
        <v>301</v>
      </c>
      <c r="I113">
        <f>I112*J113</f>
        <v>1.4579999999999997E-2</v>
      </c>
      <c r="J113">
        <v>0.53999999999999992</v>
      </c>
      <c r="O113">
        <f t="shared" si="78"/>
        <v>49.72</v>
      </c>
      <c r="P113">
        <f t="shared" si="79"/>
        <v>49.72</v>
      </c>
      <c r="Q113">
        <f t="shared" si="80"/>
        <v>0</v>
      </c>
      <c r="R113">
        <f t="shared" si="81"/>
        <v>0</v>
      </c>
      <c r="S113">
        <f t="shared" si="82"/>
        <v>0</v>
      </c>
      <c r="T113">
        <f t="shared" si="83"/>
        <v>0</v>
      </c>
      <c r="U113">
        <f t="shared" si="84"/>
        <v>0</v>
      </c>
      <c r="V113">
        <f t="shared" si="85"/>
        <v>0</v>
      </c>
      <c r="W113">
        <f t="shared" si="86"/>
        <v>0</v>
      </c>
      <c r="X113">
        <f t="shared" si="87"/>
        <v>0</v>
      </c>
      <c r="Y113">
        <f t="shared" si="88"/>
        <v>0</v>
      </c>
      <c r="AA113">
        <v>16742901</v>
      </c>
      <c r="AB113">
        <f t="shared" si="89"/>
        <v>519.79999999999995</v>
      </c>
      <c r="AC113">
        <f t="shared" si="90"/>
        <v>519.79999999999995</v>
      </c>
      <c r="AD113">
        <f t="shared" si="116"/>
        <v>0</v>
      </c>
      <c r="AE113">
        <f t="shared" si="117"/>
        <v>0</v>
      </c>
      <c r="AF113">
        <f t="shared" si="118"/>
        <v>0</v>
      </c>
      <c r="AG113">
        <f t="shared" si="91"/>
        <v>0</v>
      </c>
      <c r="AH113">
        <f t="shared" si="119"/>
        <v>0</v>
      </c>
      <c r="AI113">
        <f t="shared" si="120"/>
        <v>0</v>
      </c>
      <c r="AJ113">
        <f t="shared" si="92"/>
        <v>0</v>
      </c>
      <c r="AK113">
        <v>519.79999999999995</v>
      </c>
      <c r="AL113">
        <v>519.79999999999995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86</v>
      </c>
      <c r="AU113">
        <v>70</v>
      </c>
      <c r="AV113">
        <v>1</v>
      </c>
      <c r="AW113">
        <v>1</v>
      </c>
      <c r="AZ113">
        <v>6.56</v>
      </c>
      <c r="BA113">
        <v>1</v>
      </c>
      <c r="BB113">
        <v>1</v>
      </c>
      <c r="BC113">
        <v>6.56</v>
      </c>
      <c r="BD113" t="s">
        <v>6</v>
      </c>
      <c r="BE113" t="s">
        <v>6</v>
      </c>
      <c r="BF113" t="s">
        <v>6</v>
      </c>
      <c r="BG113" t="s">
        <v>6</v>
      </c>
      <c r="BH113">
        <v>3</v>
      </c>
      <c r="BI113">
        <v>1</v>
      </c>
      <c r="BJ113" t="s">
        <v>302</v>
      </c>
      <c r="BM113">
        <v>53001</v>
      </c>
      <c r="BN113">
        <v>0</v>
      </c>
      <c r="BO113" t="s">
        <v>6</v>
      </c>
      <c r="BP113">
        <v>0</v>
      </c>
      <c r="BQ113">
        <v>6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86</v>
      </c>
      <c r="CA113">
        <v>70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93"/>
        <v>49.72</v>
      </c>
      <c r="CQ113">
        <f t="shared" si="94"/>
        <v>3409.8879999999995</v>
      </c>
      <c r="CR113">
        <f t="shared" si="95"/>
        <v>0</v>
      </c>
      <c r="CS113">
        <f t="shared" si="96"/>
        <v>0</v>
      </c>
      <c r="CT113">
        <f t="shared" si="97"/>
        <v>0</v>
      </c>
      <c r="CU113">
        <f t="shared" si="98"/>
        <v>0</v>
      </c>
      <c r="CV113">
        <f t="shared" si="99"/>
        <v>0</v>
      </c>
      <c r="CW113">
        <f t="shared" si="100"/>
        <v>0</v>
      </c>
      <c r="CX113">
        <f t="shared" si="101"/>
        <v>0</v>
      </c>
      <c r="CY113">
        <f t="shared" si="102"/>
        <v>0</v>
      </c>
      <c r="CZ113">
        <f t="shared" si="103"/>
        <v>0</v>
      </c>
      <c r="DC113" t="s">
        <v>6</v>
      </c>
      <c r="DD113" t="s">
        <v>6</v>
      </c>
      <c r="DE113" t="s">
        <v>6</v>
      </c>
      <c r="DF113" t="s">
        <v>6</v>
      </c>
      <c r="DG113" t="s">
        <v>6</v>
      </c>
      <c r="DH113" t="s">
        <v>6</v>
      </c>
      <c r="DI113" t="s">
        <v>6</v>
      </c>
      <c r="DJ113" t="s">
        <v>6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301</v>
      </c>
      <c r="DW113" t="s">
        <v>301</v>
      </c>
      <c r="DX113">
        <v>1</v>
      </c>
      <c r="EE113">
        <v>16510562</v>
      </c>
      <c r="EF113">
        <v>6</v>
      </c>
      <c r="EG113" t="s">
        <v>36</v>
      </c>
      <c r="EH113">
        <v>0</v>
      </c>
      <c r="EI113" t="s">
        <v>6</v>
      </c>
      <c r="EJ113">
        <v>1</v>
      </c>
      <c r="EK113">
        <v>53001</v>
      </c>
      <c r="EL113" t="s">
        <v>296</v>
      </c>
      <c r="EM113" t="s">
        <v>297</v>
      </c>
      <c r="EO113" t="s">
        <v>6</v>
      </c>
      <c r="EQ113">
        <v>0</v>
      </c>
      <c r="ER113">
        <v>519.79999999999995</v>
      </c>
      <c r="ES113">
        <v>519.79999999999995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04"/>
        <v>0</v>
      </c>
      <c r="FS113">
        <v>0</v>
      </c>
      <c r="FX113">
        <v>86</v>
      </c>
      <c r="FY113">
        <v>70</v>
      </c>
      <c r="GA113" t="s">
        <v>6</v>
      </c>
      <c r="GD113">
        <v>0</v>
      </c>
      <c r="GF113">
        <v>519185539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05"/>
        <v>0</v>
      </c>
      <c r="GM113">
        <f t="shared" si="106"/>
        <v>49.72</v>
      </c>
      <c r="GN113">
        <f t="shared" si="107"/>
        <v>49.72</v>
      </c>
      <c r="GO113">
        <f t="shared" si="108"/>
        <v>0</v>
      </c>
      <c r="GP113">
        <f t="shared" si="109"/>
        <v>0</v>
      </c>
      <c r="GR113">
        <v>0</v>
      </c>
      <c r="GS113">
        <v>3</v>
      </c>
      <c r="GT113">
        <v>0</v>
      </c>
      <c r="GU113" t="s">
        <v>6</v>
      </c>
      <c r="GV113">
        <f t="shared" si="110"/>
        <v>0</v>
      </c>
      <c r="GW113">
        <v>1</v>
      </c>
      <c r="GX113">
        <f t="shared" si="111"/>
        <v>0</v>
      </c>
      <c r="HA113">
        <v>0</v>
      </c>
      <c r="HB113">
        <v>0</v>
      </c>
      <c r="IK113">
        <v>0</v>
      </c>
    </row>
    <row r="114" spans="1:245" x14ac:dyDescent="0.2">
      <c r="A114">
        <v>18</v>
      </c>
      <c r="B114">
        <v>1</v>
      </c>
      <c r="C114">
        <v>159</v>
      </c>
      <c r="E114" t="s">
        <v>303</v>
      </c>
      <c r="F114" t="s">
        <v>304</v>
      </c>
      <c r="G114" t="s">
        <v>305</v>
      </c>
      <c r="H114" t="s">
        <v>306</v>
      </c>
      <c r="I114">
        <f>I112*J114</f>
        <v>1.5389999999999999E-2</v>
      </c>
      <c r="J114">
        <v>0.56999999999999995</v>
      </c>
      <c r="O114">
        <f t="shared" si="78"/>
        <v>188.12</v>
      </c>
      <c r="P114">
        <f t="shared" si="79"/>
        <v>188.12</v>
      </c>
      <c r="Q114">
        <f t="shared" si="80"/>
        <v>0</v>
      </c>
      <c r="R114">
        <f t="shared" si="81"/>
        <v>0</v>
      </c>
      <c r="S114">
        <f t="shared" si="82"/>
        <v>0</v>
      </c>
      <c r="T114">
        <f t="shared" si="83"/>
        <v>0</v>
      </c>
      <c r="U114">
        <f t="shared" si="84"/>
        <v>0</v>
      </c>
      <c r="V114">
        <f t="shared" si="85"/>
        <v>0</v>
      </c>
      <c r="W114">
        <f t="shared" si="86"/>
        <v>0</v>
      </c>
      <c r="X114">
        <f t="shared" si="87"/>
        <v>0</v>
      </c>
      <c r="Y114">
        <f t="shared" si="88"/>
        <v>0</v>
      </c>
      <c r="AA114">
        <v>16742901</v>
      </c>
      <c r="AB114">
        <f t="shared" si="89"/>
        <v>1863.37</v>
      </c>
      <c r="AC114">
        <f t="shared" si="90"/>
        <v>1863.37</v>
      </c>
      <c r="AD114">
        <f t="shared" si="116"/>
        <v>0</v>
      </c>
      <c r="AE114">
        <f t="shared" si="117"/>
        <v>0</v>
      </c>
      <c r="AF114">
        <f t="shared" si="118"/>
        <v>0</v>
      </c>
      <c r="AG114">
        <f t="shared" si="91"/>
        <v>0</v>
      </c>
      <c r="AH114">
        <f t="shared" si="119"/>
        <v>0</v>
      </c>
      <c r="AI114">
        <f t="shared" si="120"/>
        <v>0</v>
      </c>
      <c r="AJ114">
        <f t="shared" si="92"/>
        <v>0</v>
      </c>
      <c r="AK114">
        <v>1863.37</v>
      </c>
      <c r="AL114">
        <v>1863.37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86</v>
      </c>
      <c r="AU114">
        <v>70</v>
      </c>
      <c r="AV114">
        <v>1</v>
      </c>
      <c r="AW114">
        <v>1</v>
      </c>
      <c r="AZ114">
        <v>6.56</v>
      </c>
      <c r="BA114">
        <v>1</v>
      </c>
      <c r="BB114">
        <v>1</v>
      </c>
      <c r="BC114">
        <v>6.56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1</v>
      </c>
      <c r="BJ114" t="s">
        <v>307</v>
      </c>
      <c r="BM114">
        <v>53001</v>
      </c>
      <c r="BN114">
        <v>0</v>
      </c>
      <c r="BO114" t="s">
        <v>6</v>
      </c>
      <c r="BP114">
        <v>0</v>
      </c>
      <c r="BQ114">
        <v>6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86</v>
      </c>
      <c r="CA114">
        <v>70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93"/>
        <v>188.12</v>
      </c>
      <c r="CQ114">
        <f t="shared" si="94"/>
        <v>12223.707199999999</v>
      </c>
      <c r="CR114">
        <f t="shared" si="95"/>
        <v>0</v>
      </c>
      <c r="CS114">
        <f t="shared" si="96"/>
        <v>0</v>
      </c>
      <c r="CT114">
        <f t="shared" si="97"/>
        <v>0</v>
      </c>
      <c r="CU114">
        <f t="shared" si="98"/>
        <v>0</v>
      </c>
      <c r="CV114">
        <f t="shared" si="99"/>
        <v>0</v>
      </c>
      <c r="CW114">
        <f t="shared" si="100"/>
        <v>0</v>
      </c>
      <c r="CX114">
        <f t="shared" si="101"/>
        <v>0</v>
      </c>
      <c r="CY114">
        <f t="shared" si="102"/>
        <v>0</v>
      </c>
      <c r="CZ114">
        <f t="shared" si="103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1010</v>
      </c>
      <c r="DV114" t="s">
        <v>306</v>
      </c>
      <c r="DW114" t="s">
        <v>306</v>
      </c>
      <c r="DX114">
        <v>1000</v>
      </c>
      <c r="EE114">
        <v>16510562</v>
      </c>
      <c r="EF114">
        <v>6</v>
      </c>
      <c r="EG114" t="s">
        <v>36</v>
      </c>
      <c r="EH114">
        <v>0</v>
      </c>
      <c r="EI114" t="s">
        <v>6</v>
      </c>
      <c r="EJ114">
        <v>1</v>
      </c>
      <c r="EK114">
        <v>53001</v>
      </c>
      <c r="EL114" t="s">
        <v>296</v>
      </c>
      <c r="EM114" t="s">
        <v>297</v>
      </c>
      <c r="EO114" t="s">
        <v>6</v>
      </c>
      <c r="EQ114">
        <v>0</v>
      </c>
      <c r="ER114">
        <v>1863.37</v>
      </c>
      <c r="ES114">
        <v>1863.37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04"/>
        <v>0</v>
      </c>
      <c r="FS114">
        <v>0</v>
      </c>
      <c r="FX114">
        <v>86</v>
      </c>
      <c r="FY114">
        <v>70</v>
      </c>
      <c r="GA114" t="s">
        <v>6</v>
      </c>
      <c r="GD114">
        <v>0</v>
      </c>
      <c r="GF114">
        <v>-1135711210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05"/>
        <v>0</v>
      </c>
      <c r="GM114">
        <f t="shared" si="106"/>
        <v>188.12</v>
      </c>
      <c r="GN114">
        <f t="shared" si="107"/>
        <v>188.12</v>
      </c>
      <c r="GO114">
        <f t="shared" si="108"/>
        <v>0</v>
      </c>
      <c r="GP114">
        <f t="shared" si="109"/>
        <v>0</v>
      </c>
      <c r="GR114">
        <v>0</v>
      </c>
      <c r="GS114">
        <v>3</v>
      </c>
      <c r="GT114">
        <v>0</v>
      </c>
      <c r="GU114" t="s">
        <v>6</v>
      </c>
      <c r="GV114">
        <f t="shared" si="110"/>
        <v>0</v>
      </c>
      <c r="GW114">
        <v>1</v>
      </c>
      <c r="GX114">
        <f t="shared" si="111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161</v>
      </c>
      <c r="E115" t="s">
        <v>308</v>
      </c>
      <c r="F115" t="s">
        <v>309</v>
      </c>
      <c r="G115" t="s">
        <v>310</v>
      </c>
      <c r="H115" t="s">
        <v>100</v>
      </c>
      <c r="I115">
        <f>I112*J115</f>
        <v>2.8080000000000001E-2</v>
      </c>
      <c r="J115">
        <v>1.04</v>
      </c>
      <c r="O115">
        <f t="shared" si="78"/>
        <v>1242.19</v>
      </c>
      <c r="P115">
        <f t="shared" si="79"/>
        <v>1242.19</v>
      </c>
      <c r="Q115">
        <f t="shared" si="80"/>
        <v>0</v>
      </c>
      <c r="R115">
        <f t="shared" si="81"/>
        <v>0</v>
      </c>
      <c r="S115">
        <f t="shared" si="82"/>
        <v>0</v>
      </c>
      <c r="T115">
        <f t="shared" si="83"/>
        <v>0</v>
      </c>
      <c r="U115">
        <f t="shared" si="84"/>
        <v>0</v>
      </c>
      <c r="V115">
        <f t="shared" si="85"/>
        <v>0</v>
      </c>
      <c r="W115">
        <f t="shared" si="86"/>
        <v>0</v>
      </c>
      <c r="X115">
        <f t="shared" si="87"/>
        <v>0</v>
      </c>
      <c r="Y115">
        <f t="shared" si="88"/>
        <v>0</v>
      </c>
      <c r="AA115">
        <v>16742901</v>
      </c>
      <c r="AB115">
        <f t="shared" si="89"/>
        <v>6743.51</v>
      </c>
      <c r="AC115">
        <f t="shared" si="90"/>
        <v>6743.51</v>
      </c>
      <c r="AD115">
        <f t="shared" si="116"/>
        <v>0</v>
      </c>
      <c r="AE115">
        <f t="shared" si="117"/>
        <v>0</v>
      </c>
      <c r="AF115">
        <f t="shared" si="118"/>
        <v>0</v>
      </c>
      <c r="AG115">
        <f t="shared" si="91"/>
        <v>0</v>
      </c>
      <c r="AH115">
        <f t="shared" si="119"/>
        <v>0</v>
      </c>
      <c r="AI115">
        <f t="shared" si="120"/>
        <v>0</v>
      </c>
      <c r="AJ115">
        <f t="shared" si="92"/>
        <v>0</v>
      </c>
      <c r="AK115">
        <v>6743.51</v>
      </c>
      <c r="AL115">
        <v>6743.51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86</v>
      </c>
      <c r="AU115">
        <v>70</v>
      </c>
      <c r="AV115">
        <v>1</v>
      </c>
      <c r="AW115">
        <v>1</v>
      </c>
      <c r="AZ115">
        <v>6.56</v>
      </c>
      <c r="BA115">
        <v>1</v>
      </c>
      <c r="BB115">
        <v>1</v>
      </c>
      <c r="BC115">
        <v>6.56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311</v>
      </c>
      <c r="BM115">
        <v>53001</v>
      </c>
      <c r="BN115">
        <v>0</v>
      </c>
      <c r="BO115" t="s">
        <v>6</v>
      </c>
      <c r="BP115">
        <v>0</v>
      </c>
      <c r="BQ115">
        <v>6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86</v>
      </c>
      <c r="CA115">
        <v>70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93"/>
        <v>1242.19</v>
      </c>
      <c r="CQ115">
        <f t="shared" si="94"/>
        <v>44237.425600000002</v>
      </c>
      <c r="CR115">
        <f t="shared" si="95"/>
        <v>0</v>
      </c>
      <c r="CS115">
        <f t="shared" si="96"/>
        <v>0</v>
      </c>
      <c r="CT115">
        <f t="shared" si="97"/>
        <v>0</v>
      </c>
      <c r="CU115">
        <f t="shared" si="98"/>
        <v>0</v>
      </c>
      <c r="CV115">
        <f t="shared" si="99"/>
        <v>0</v>
      </c>
      <c r="CW115">
        <f t="shared" si="100"/>
        <v>0</v>
      </c>
      <c r="CX115">
        <f t="shared" si="101"/>
        <v>0</v>
      </c>
      <c r="CY115">
        <f t="shared" si="102"/>
        <v>0</v>
      </c>
      <c r="CZ115">
        <f t="shared" si="103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100</v>
      </c>
      <c r="DW115" t="s">
        <v>100</v>
      </c>
      <c r="DX115">
        <v>1000</v>
      </c>
      <c r="EE115">
        <v>16510562</v>
      </c>
      <c r="EF115">
        <v>6</v>
      </c>
      <c r="EG115" t="s">
        <v>36</v>
      </c>
      <c r="EH115">
        <v>0</v>
      </c>
      <c r="EI115" t="s">
        <v>6</v>
      </c>
      <c r="EJ115">
        <v>1</v>
      </c>
      <c r="EK115">
        <v>53001</v>
      </c>
      <c r="EL115" t="s">
        <v>296</v>
      </c>
      <c r="EM115" t="s">
        <v>297</v>
      </c>
      <c r="EO115" t="s">
        <v>6</v>
      </c>
      <c r="EQ115">
        <v>0</v>
      </c>
      <c r="ER115">
        <v>6743.51</v>
      </c>
      <c r="ES115">
        <v>6743.51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04"/>
        <v>0</v>
      </c>
      <c r="FS115">
        <v>0</v>
      </c>
      <c r="FX115">
        <v>86</v>
      </c>
      <c r="FY115">
        <v>70</v>
      </c>
      <c r="GA115" t="s">
        <v>6</v>
      </c>
      <c r="GD115">
        <v>0</v>
      </c>
      <c r="GF115">
        <v>1270864760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05"/>
        <v>0</v>
      </c>
      <c r="GM115">
        <f t="shared" si="106"/>
        <v>1242.19</v>
      </c>
      <c r="GN115">
        <f t="shared" si="107"/>
        <v>1242.19</v>
      </c>
      <c r="GO115">
        <f t="shared" si="108"/>
        <v>0</v>
      </c>
      <c r="GP115">
        <f t="shared" si="109"/>
        <v>0</v>
      </c>
      <c r="GR115">
        <v>0</v>
      </c>
      <c r="GS115">
        <v>3</v>
      </c>
      <c r="GT115">
        <v>0</v>
      </c>
      <c r="GU115" t="s">
        <v>6</v>
      </c>
      <c r="GV115">
        <f t="shared" si="110"/>
        <v>0</v>
      </c>
      <c r="GW115">
        <v>1</v>
      </c>
      <c r="GX115">
        <f t="shared" si="111"/>
        <v>0</v>
      </c>
      <c r="HA115">
        <v>0</v>
      </c>
      <c r="HB115">
        <v>0</v>
      </c>
      <c r="IK115">
        <v>0</v>
      </c>
    </row>
    <row r="116" spans="1:245" x14ac:dyDescent="0.2">
      <c r="A116">
        <v>18</v>
      </c>
      <c r="B116">
        <v>1</v>
      </c>
      <c r="C116">
        <v>157</v>
      </c>
      <c r="E116" t="s">
        <v>312</v>
      </c>
      <c r="F116" t="s">
        <v>313</v>
      </c>
      <c r="G116" t="s">
        <v>314</v>
      </c>
      <c r="H116" t="s">
        <v>301</v>
      </c>
      <c r="I116">
        <f>I112*J116</f>
        <v>1.4579999999999997E-2</v>
      </c>
      <c r="J116">
        <v>0.53999999999999992</v>
      </c>
      <c r="O116">
        <f t="shared" ref="O116:O147" si="121">ROUND(CP116,2)</f>
        <v>0</v>
      </c>
      <c r="P116">
        <f t="shared" ref="P116:P147" si="122">ROUND(CQ116*I116,2)</f>
        <v>0</v>
      </c>
      <c r="Q116">
        <f t="shared" ref="Q116:Q147" si="123">ROUND(CR116*I116,2)</f>
        <v>0</v>
      </c>
      <c r="R116">
        <f t="shared" ref="R116:R147" si="124">ROUND(CS116*I116,2)</f>
        <v>0</v>
      </c>
      <c r="S116">
        <f t="shared" ref="S116:S147" si="125">ROUND(CT116*I116,2)</f>
        <v>0</v>
      </c>
      <c r="T116">
        <f t="shared" ref="T116:T147" si="126">ROUND(CU116*I116,2)</f>
        <v>0</v>
      </c>
      <c r="U116">
        <f t="shared" ref="U116:U147" si="127">CV116*I116</f>
        <v>0</v>
      </c>
      <c r="V116">
        <f t="shared" ref="V116:V147" si="128">CW116*I116</f>
        <v>0</v>
      </c>
      <c r="W116">
        <f t="shared" ref="W116:W147" si="129">ROUND(CX116*I116,2)</f>
        <v>0</v>
      </c>
      <c r="X116">
        <f t="shared" ref="X116:X147" si="130">ROUND(CY116,2)</f>
        <v>0</v>
      </c>
      <c r="Y116">
        <f t="shared" ref="Y116:Y147" si="131">ROUND(CZ116,2)</f>
        <v>0</v>
      </c>
      <c r="AA116">
        <v>16742901</v>
      </c>
      <c r="AB116">
        <f t="shared" ref="AB116:AB147" si="132">ROUND((AC116+AD116+AF116),2)</f>
        <v>0</v>
      </c>
      <c r="AC116">
        <f t="shared" ref="AC116:AC147" si="133">ROUND((ES116),2)</f>
        <v>0</v>
      </c>
      <c r="AD116">
        <f t="shared" si="116"/>
        <v>0</v>
      </c>
      <c r="AE116">
        <f t="shared" si="117"/>
        <v>0</v>
      </c>
      <c r="AF116">
        <f t="shared" si="118"/>
        <v>0</v>
      </c>
      <c r="AG116">
        <f t="shared" ref="AG116:AG147" si="134">ROUND((AP116),2)</f>
        <v>0</v>
      </c>
      <c r="AH116">
        <f t="shared" si="119"/>
        <v>0</v>
      </c>
      <c r="AI116">
        <f t="shared" si="120"/>
        <v>0</v>
      </c>
      <c r="AJ116">
        <f t="shared" ref="AJ116:AJ147" si="135">ROUND((AS116),2)</f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86</v>
      </c>
      <c r="AU116">
        <v>70</v>
      </c>
      <c r="AV116">
        <v>1</v>
      </c>
      <c r="AW116">
        <v>1</v>
      </c>
      <c r="AZ116">
        <v>6.56</v>
      </c>
      <c r="BA116">
        <v>1</v>
      </c>
      <c r="BB116">
        <v>1</v>
      </c>
      <c r="BC116">
        <v>6.56</v>
      </c>
      <c r="BD116" t="s">
        <v>6</v>
      </c>
      <c r="BE116" t="s">
        <v>6</v>
      </c>
      <c r="BF116" t="s">
        <v>6</v>
      </c>
      <c r="BG116" t="s">
        <v>6</v>
      </c>
      <c r="BH116">
        <v>3</v>
      </c>
      <c r="BI116">
        <v>1</v>
      </c>
      <c r="BJ116" t="s">
        <v>6</v>
      </c>
      <c r="BM116">
        <v>53001</v>
      </c>
      <c r="BN116">
        <v>0</v>
      </c>
      <c r="BO116" t="s">
        <v>6</v>
      </c>
      <c r="BP116">
        <v>0</v>
      </c>
      <c r="BQ116">
        <v>6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86</v>
      </c>
      <c r="CA116">
        <v>70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ref="CP116:CP147" si="136">(P116+Q116+S116)</f>
        <v>0</v>
      </c>
      <c r="CQ116">
        <f t="shared" ref="CQ116:CQ147" si="137">AC116*BC116</f>
        <v>0</v>
      </c>
      <c r="CR116">
        <f t="shared" ref="CR116:CR147" si="138">AD116*BB116</f>
        <v>0</v>
      </c>
      <c r="CS116">
        <f t="shared" ref="CS116:CS147" si="139">AE116*BS116</f>
        <v>0</v>
      </c>
      <c r="CT116">
        <f t="shared" ref="CT116:CT147" si="140">AF116*BA116</f>
        <v>0</v>
      </c>
      <c r="CU116">
        <f t="shared" ref="CU116:CU147" si="141">AG116</f>
        <v>0</v>
      </c>
      <c r="CV116">
        <f t="shared" ref="CV116:CV147" si="142">AH116</f>
        <v>0</v>
      </c>
      <c r="CW116">
        <f t="shared" ref="CW116:CW147" si="143">AI116</f>
        <v>0</v>
      </c>
      <c r="CX116">
        <f t="shared" ref="CX116:CX147" si="144">AJ116</f>
        <v>0</v>
      </c>
      <c r="CY116">
        <f t="shared" ref="CY116:CY147" si="145">(((S116+R116)*AT116)/100)</f>
        <v>0</v>
      </c>
      <c r="CZ116">
        <f t="shared" ref="CZ116:CZ147" si="146">(((S116+R116)*AU116)/100)</f>
        <v>0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1007</v>
      </c>
      <c r="DV116" t="s">
        <v>301</v>
      </c>
      <c r="DW116" t="s">
        <v>301</v>
      </c>
      <c r="DX116">
        <v>1</v>
      </c>
      <c r="EE116">
        <v>16510562</v>
      </c>
      <c r="EF116">
        <v>6</v>
      </c>
      <c r="EG116" t="s">
        <v>36</v>
      </c>
      <c r="EH116">
        <v>0</v>
      </c>
      <c r="EI116" t="s">
        <v>6</v>
      </c>
      <c r="EJ116">
        <v>1</v>
      </c>
      <c r="EK116">
        <v>53001</v>
      </c>
      <c r="EL116" t="s">
        <v>296</v>
      </c>
      <c r="EM116" t="s">
        <v>297</v>
      </c>
      <c r="EO116" t="s">
        <v>6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FQ116">
        <v>0</v>
      </c>
      <c r="FR116">
        <f t="shared" ref="FR116:FR147" si="147">ROUND(IF(AND(BH116=3,BI116=3),P116,0),2)</f>
        <v>0</v>
      </c>
      <c r="FS116">
        <v>0</v>
      </c>
      <c r="FX116">
        <v>86</v>
      </c>
      <c r="FY116">
        <v>70</v>
      </c>
      <c r="GA116" t="s">
        <v>6</v>
      </c>
      <c r="GD116">
        <v>0</v>
      </c>
      <c r="GF116">
        <v>546204653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ref="GL116:GL147" si="148">ROUND(IF(AND(BH116=3,BI116=3,FS116&lt;&gt;0),P116,0),2)</f>
        <v>0</v>
      </c>
      <c r="GM116">
        <f t="shared" ref="GM116:GM147" si="149">ROUND(O116+X116+Y116+GK116,2)+GX116</f>
        <v>0</v>
      </c>
      <c r="GN116">
        <f t="shared" ref="GN116:GN147" si="150">IF(OR(BI116=0,BI116=1),ROUND(O116+X116+Y116+GK116,2),0)</f>
        <v>0</v>
      </c>
      <c r="GO116">
        <f t="shared" ref="GO116:GO147" si="151">IF(BI116=2,ROUND(O116+X116+Y116+GK116,2),0)</f>
        <v>0</v>
      </c>
      <c r="GP116">
        <f t="shared" ref="GP116:GP147" si="152">IF(BI116=4,ROUND(O116+X116+Y116+GK116,2)+GX116,0)</f>
        <v>0</v>
      </c>
      <c r="GR116">
        <v>0</v>
      </c>
      <c r="GS116">
        <v>3</v>
      </c>
      <c r="GT116">
        <v>0</v>
      </c>
      <c r="GU116" t="s">
        <v>6</v>
      </c>
      <c r="GV116">
        <f t="shared" ref="GV116:GV147" si="153">ROUND(GT116,2)</f>
        <v>0</v>
      </c>
      <c r="GW116">
        <v>1</v>
      </c>
      <c r="GX116">
        <f t="shared" ref="GX116:GX147" si="154">ROUND(GV116*GW116*I116,2)</f>
        <v>0</v>
      </c>
      <c r="HA116">
        <v>0</v>
      </c>
      <c r="HB116">
        <v>0</v>
      </c>
      <c r="IK116">
        <v>0</v>
      </c>
    </row>
    <row r="117" spans="1:245" x14ac:dyDescent="0.2">
      <c r="A117">
        <v>18</v>
      </c>
      <c r="B117">
        <v>1</v>
      </c>
      <c r="C117">
        <v>158</v>
      </c>
      <c r="E117" t="s">
        <v>315</v>
      </c>
      <c r="F117" t="s">
        <v>316</v>
      </c>
      <c r="G117" t="s">
        <v>317</v>
      </c>
      <c r="H117" t="s">
        <v>306</v>
      </c>
      <c r="I117">
        <f>I112*J117</f>
        <v>1.5389999999999999E-2</v>
      </c>
      <c r="J117">
        <v>0.56999999999999995</v>
      </c>
      <c r="O117">
        <f t="shared" si="121"/>
        <v>0</v>
      </c>
      <c r="P117">
        <f t="shared" si="122"/>
        <v>0</v>
      </c>
      <c r="Q117">
        <f t="shared" si="123"/>
        <v>0</v>
      </c>
      <c r="R117">
        <f t="shared" si="124"/>
        <v>0</v>
      </c>
      <c r="S117">
        <f t="shared" si="125"/>
        <v>0</v>
      </c>
      <c r="T117">
        <f t="shared" si="126"/>
        <v>0</v>
      </c>
      <c r="U117">
        <f t="shared" si="127"/>
        <v>0</v>
      </c>
      <c r="V117">
        <f t="shared" si="128"/>
        <v>0</v>
      </c>
      <c r="W117">
        <f t="shared" si="129"/>
        <v>0</v>
      </c>
      <c r="X117">
        <f t="shared" si="130"/>
        <v>0</v>
      </c>
      <c r="Y117">
        <f t="shared" si="131"/>
        <v>0</v>
      </c>
      <c r="AA117">
        <v>16742901</v>
      </c>
      <c r="AB117">
        <f t="shared" si="132"/>
        <v>0</v>
      </c>
      <c r="AC117">
        <f t="shared" si="133"/>
        <v>0</v>
      </c>
      <c r="AD117">
        <f t="shared" si="116"/>
        <v>0</v>
      </c>
      <c r="AE117">
        <f t="shared" si="117"/>
        <v>0</v>
      </c>
      <c r="AF117">
        <f t="shared" si="118"/>
        <v>0</v>
      </c>
      <c r="AG117">
        <f t="shared" si="134"/>
        <v>0</v>
      </c>
      <c r="AH117">
        <f t="shared" si="119"/>
        <v>0</v>
      </c>
      <c r="AI117">
        <f t="shared" si="120"/>
        <v>0</v>
      </c>
      <c r="AJ117">
        <f t="shared" si="135"/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86</v>
      </c>
      <c r="AU117">
        <v>70</v>
      </c>
      <c r="AV117">
        <v>1</v>
      </c>
      <c r="AW117">
        <v>1</v>
      </c>
      <c r="AZ117">
        <v>6.56</v>
      </c>
      <c r="BA117">
        <v>1</v>
      </c>
      <c r="BB117">
        <v>1</v>
      </c>
      <c r="BC117">
        <v>6.56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6</v>
      </c>
      <c r="BM117">
        <v>53001</v>
      </c>
      <c r="BN117">
        <v>0</v>
      </c>
      <c r="BO117" t="s">
        <v>6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86</v>
      </c>
      <c r="CA117">
        <v>70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36"/>
        <v>0</v>
      </c>
      <c r="CQ117">
        <f t="shared" si="137"/>
        <v>0</v>
      </c>
      <c r="CR117">
        <f t="shared" si="138"/>
        <v>0</v>
      </c>
      <c r="CS117">
        <f t="shared" si="139"/>
        <v>0</v>
      </c>
      <c r="CT117">
        <f t="shared" si="140"/>
        <v>0</v>
      </c>
      <c r="CU117">
        <f t="shared" si="141"/>
        <v>0</v>
      </c>
      <c r="CV117">
        <f t="shared" si="142"/>
        <v>0</v>
      </c>
      <c r="CW117">
        <f t="shared" si="143"/>
        <v>0</v>
      </c>
      <c r="CX117">
        <f t="shared" si="144"/>
        <v>0</v>
      </c>
      <c r="CY117">
        <f t="shared" si="145"/>
        <v>0</v>
      </c>
      <c r="CZ117">
        <f t="shared" si="146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1010</v>
      </c>
      <c r="DV117" t="s">
        <v>306</v>
      </c>
      <c r="DW117" t="s">
        <v>306</v>
      </c>
      <c r="DX117">
        <v>1000</v>
      </c>
      <c r="EE117">
        <v>16510562</v>
      </c>
      <c r="EF117">
        <v>6</v>
      </c>
      <c r="EG117" t="s">
        <v>36</v>
      </c>
      <c r="EH117">
        <v>0</v>
      </c>
      <c r="EI117" t="s">
        <v>6</v>
      </c>
      <c r="EJ117">
        <v>1</v>
      </c>
      <c r="EK117">
        <v>53001</v>
      </c>
      <c r="EL117" t="s">
        <v>296</v>
      </c>
      <c r="EM117" t="s">
        <v>297</v>
      </c>
      <c r="EO117" t="s">
        <v>6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47"/>
        <v>0</v>
      </c>
      <c r="FS117">
        <v>0</v>
      </c>
      <c r="FX117">
        <v>86</v>
      </c>
      <c r="FY117">
        <v>70</v>
      </c>
      <c r="GA117" t="s">
        <v>6</v>
      </c>
      <c r="GD117">
        <v>0</v>
      </c>
      <c r="GF117">
        <v>-637242490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48"/>
        <v>0</v>
      </c>
      <c r="GM117">
        <f t="shared" si="149"/>
        <v>0</v>
      </c>
      <c r="GN117">
        <f t="shared" si="150"/>
        <v>0</v>
      </c>
      <c r="GO117">
        <f t="shared" si="151"/>
        <v>0</v>
      </c>
      <c r="GP117">
        <f t="shared" si="152"/>
        <v>0</v>
      </c>
      <c r="GR117">
        <v>0</v>
      </c>
      <c r="GS117">
        <v>3</v>
      </c>
      <c r="GT117">
        <v>0</v>
      </c>
      <c r="GU117" t="s">
        <v>6</v>
      </c>
      <c r="GV117">
        <f t="shared" si="153"/>
        <v>0</v>
      </c>
      <c r="GW117">
        <v>1</v>
      </c>
      <c r="GX117">
        <f t="shared" si="154"/>
        <v>0</v>
      </c>
      <c r="HA117">
        <v>0</v>
      </c>
      <c r="HB117">
        <v>0</v>
      </c>
      <c r="IK117">
        <v>0</v>
      </c>
    </row>
    <row r="118" spans="1:245" x14ac:dyDescent="0.2">
      <c r="A118">
        <v>18</v>
      </c>
      <c r="B118">
        <v>1</v>
      </c>
      <c r="C118">
        <v>160</v>
      </c>
      <c r="E118" t="s">
        <v>318</v>
      </c>
      <c r="F118" t="s">
        <v>319</v>
      </c>
      <c r="G118" t="s">
        <v>320</v>
      </c>
      <c r="H118" t="s">
        <v>100</v>
      </c>
      <c r="I118">
        <f>I112*J118</f>
        <v>2.8080000000000001E-2</v>
      </c>
      <c r="J118">
        <v>1.04</v>
      </c>
      <c r="O118">
        <f t="shared" si="121"/>
        <v>0</v>
      </c>
      <c r="P118">
        <f t="shared" si="122"/>
        <v>0</v>
      </c>
      <c r="Q118">
        <f t="shared" si="123"/>
        <v>0</v>
      </c>
      <c r="R118">
        <f t="shared" si="124"/>
        <v>0</v>
      </c>
      <c r="S118">
        <f t="shared" si="125"/>
        <v>0</v>
      </c>
      <c r="T118">
        <f t="shared" si="126"/>
        <v>0</v>
      </c>
      <c r="U118">
        <f t="shared" si="127"/>
        <v>0</v>
      </c>
      <c r="V118">
        <f t="shared" si="128"/>
        <v>0</v>
      </c>
      <c r="W118">
        <f t="shared" si="129"/>
        <v>0</v>
      </c>
      <c r="X118">
        <f t="shared" si="130"/>
        <v>0</v>
      </c>
      <c r="Y118">
        <f t="shared" si="131"/>
        <v>0</v>
      </c>
      <c r="AA118">
        <v>16742901</v>
      </c>
      <c r="AB118">
        <f t="shared" si="132"/>
        <v>0</v>
      </c>
      <c r="AC118">
        <f t="shared" si="133"/>
        <v>0</v>
      </c>
      <c r="AD118">
        <f t="shared" si="116"/>
        <v>0</v>
      </c>
      <c r="AE118">
        <f t="shared" si="117"/>
        <v>0</v>
      </c>
      <c r="AF118">
        <f t="shared" si="118"/>
        <v>0</v>
      </c>
      <c r="AG118">
        <f t="shared" si="134"/>
        <v>0</v>
      </c>
      <c r="AH118">
        <f t="shared" si="119"/>
        <v>0</v>
      </c>
      <c r="AI118">
        <f t="shared" si="120"/>
        <v>0</v>
      </c>
      <c r="AJ118">
        <f t="shared" si="135"/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86</v>
      </c>
      <c r="AU118">
        <v>70</v>
      </c>
      <c r="AV118">
        <v>1</v>
      </c>
      <c r="AW118">
        <v>1</v>
      </c>
      <c r="AZ118">
        <v>6.56</v>
      </c>
      <c r="BA118">
        <v>1</v>
      </c>
      <c r="BB118">
        <v>1</v>
      </c>
      <c r="BC118">
        <v>6.56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1</v>
      </c>
      <c r="BJ118" t="s">
        <v>6</v>
      </c>
      <c r="BM118">
        <v>53001</v>
      </c>
      <c r="BN118">
        <v>0</v>
      </c>
      <c r="BO118" t="s">
        <v>6</v>
      </c>
      <c r="BP118">
        <v>0</v>
      </c>
      <c r="BQ118">
        <v>6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86</v>
      </c>
      <c r="CA118">
        <v>70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si="136"/>
        <v>0</v>
      </c>
      <c r="CQ118">
        <f t="shared" si="137"/>
        <v>0</v>
      </c>
      <c r="CR118">
        <f t="shared" si="138"/>
        <v>0</v>
      </c>
      <c r="CS118">
        <f t="shared" si="139"/>
        <v>0</v>
      </c>
      <c r="CT118">
        <f t="shared" si="140"/>
        <v>0</v>
      </c>
      <c r="CU118">
        <f t="shared" si="141"/>
        <v>0</v>
      </c>
      <c r="CV118">
        <f t="shared" si="142"/>
        <v>0</v>
      </c>
      <c r="CW118">
        <f t="shared" si="143"/>
        <v>0</v>
      </c>
      <c r="CX118">
        <f t="shared" si="144"/>
        <v>0</v>
      </c>
      <c r="CY118">
        <f t="shared" si="145"/>
        <v>0</v>
      </c>
      <c r="CZ118">
        <f t="shared" si="146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1009</v>
      </c>
      <c r="DV118" t="s">
        <v>100</v>
      </c>
      <c r="DW118" t="s">
        <v>100</v>
      </c>
      <c r="DX118">
        <v>1000</v>
      </c>
      <c r="EE118">
        <v>16510562</v>
      </c>
      <c r="EF118">
        <v>6</v>
      </c>
      <c r="EG118" t="s">
        <v>36</v>
      </c>
      <c r="EH118">
        <v>0</v>
      </c>
      <c r="EI118" t="s">
        <v>6</v>
      </c>
      <c r="EJ118">
        <v>1</v>
      </c>
      <c r="EK118">
        <v>53001</v>
      </c>
      <c r="EL118" t="s">
        <v>296</v>
      </c>
      <c r="EM118" t="s">
        <v>297</v>
      </c>
      <c r="EO118" t="s">
        <v>6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47"/>
        <v>0</v>
      </c>
      <c r="FS118">
        <v>0</v>
      </c>
      <c r="FX118">
        <v>86</v>
      </c>
      <c r="FY118">
        <v>70</v>
      </c>
      <c r="GA118" t="s">
        <v>6</v>
      </c>
      <c r="GD118">
        <v>0</v>
      </c>
      <c r="GF118">
        <v>748648226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48"/>
        <v>0</v>
      </c>
      <c r="GM118">
        <f t="shared" si="149"/>
        <v>0</v>
      </c>
      <c r="GN118">
        <f t="shared" si="150"/>
        <v>0</v>
      </c>
      <c r="GO118">
        <f t="shared" si="151"/>
        <v>0</v>
      </c>
      <c r="GP118">
        <f t="shared" si="152"/>
        <v>0</v>
      </c>
      <c r="GR118">
        <v>0</v>
      </c>
      <c r="GS118">
        <v>3</v>
      </c>
      <c r="GT118">
        <v>0</v>
      </c>
      <c r="GU118" t="s">
        <v>6</v>
      </c>
      <c r="GV118">
        <f t="shared" si="153"/>
        <v>0</v>
      </c>
      <c r="GW118">
        <v>1</v>
      </c>
      <c r="GX118">
        <f t="shared" si="154"/>
        <v>0</v>
      </c>
      <c r="HA118">
        <v>0</v>
      </c>
      <c r="HB118"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ROW(SmtRes!A173)</f>
        <v>173</v>
      </c>
      <c r="D119">
        <f>ROW(EtalonRes!A169)</f>
        <v>169</v>
      </c>
      <c r="E119" t="s">
        <v>321</v>
      </c>
      <c r="F119" t="s">
        <v>322</v>
      </c>
      <c r="G119" t="s">
        <v>323</v>
      </c>
      <c r="H119" t="s">
        <v>20</v>
      </c>
      <c r="I119">
        <f>ROUND(19.41/100,9)</f>
        <v>0.19409999999999999</v>
      </c>
      <c r="J119">
        <v>0</v>
      </c>
      <c r="O119">
        <f t="shared" si="121"/>
        <v>1489.93</v>
      </c>
      <c r="P119">
        <f t="shared" si="122"/>
        <v>347.42</v>
      </c>
      <c r="Q119">
        <f t="shared" si="123"/>
        <v>278.69</v>
      </c>
      <c r="R119">
        <f t="shared" si="124"/>
        <v>40.68</v>
      </c>
      <c r="S119">
        <f t="shared" si="125"/>
        <v>863.82</v>
      </c>
      <c r="T119">
        <f t="shared" si="126"/>
        <v>0</v>
      </c>
      <c r="U119">
        <f t="shared" si="127"/>
        <v>15.564878999999999</v>
      </c>
      <c r="V119">
        <f t="shared" si="128"/>
        <v>0.48524999999999996</v>
      </c>
      <c r="W119">
        <f t="shared" si="129"/>
        <v>0</v>
      </c>
      <c r="X119">
        <f t="shared" si="130"/>
        <v>994.95</v>
      </c>
      <c r="Y119">
        <f t="shared" si="131"/>
        <v>615.05999999999995</v>
      </c>
      <c r="AA119">
        <v>16742901</v>
      </c>
      <c r="AB119">
        <f t="shared" si="132"/>
        <v>1170.1300000000001</v>
      </c>
      <c r="AC119">
        <f t="shared" si="133"/>
        <v>272.85000000000002</v>
      </c>
      <c r="AD119">
        <f t="shared" si="116"/>
        <v>218.87</v>
      </c>
      <c r="AE119">
        <f t="shared" si="117"/>
        <v>31.95</v>
      </c>
      <c r="AF119">
        <f t="shared" si="118"/>
        <v>678.41</v>
      </c>
      <c r="AG119">
        <f t="shared" si="134"/>
        <v>0</v>
      </c>
      <c r="AH119">
        <f t="shared" si="119"/>
        <v>80.19</v>
      </c>
      <c r="AI119">
        <f t="shared" si="120"/>
        <v>2.5</v>
      </c>
      <c r="AJ119">
        <f t="shared" si="135"/>
        <v>0</v>
      </c>
      <c r="AK119">
        <v>1170.1300000000001</v>
      </c>
      <c r="AL119">
        <v>272.85000000000002</v>
      </c>
      <c r="AM119">
        <v>218.87</v>
      </c>
      <c r="AN119">
        <v>31.95</v>
      </c>
      <c r="AO119">
        <v>678.41</v>
      </c>
      <c r="AP119">
        <v>0</v>
      </c>
      <c r="AQ119">
        <v>80.19</v>
      </c>
      <c r="AR119">
        <v>2.5</v>
      </c>
      <c r="AS119">
        <v>0</v>
      </c>
      <c r="AT119">
        <v>110</v>
      </c>
      <c r="AU119">
        <v>68</v>
      </c>
      <c r="AV119">
        <v>1</v>
      </c>
      <c r="AW119">
        <v>1</v>
      </c>
      <c r="AZ119">
        <v>6.56</v>
      </c>
      <c r="BA119">
        <v>6.56</v>
      </c>
      <c r="BB119">
        <v>6.56</v>
      </c>
      <c r="BC119">
        <v>6.56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324</v>
      </c>
      <c r="BM119">
        <v>8001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6.56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122</v>
      </c>
      <c r="CA119">
        <v>80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36"/>
        <v>1489.93</v>
      </c>
      <c r="CQ119">
        <f t="shared" si="137"/>
        <v>1789.896</v>
      </c>
      <c r="CR119">
        <f t="shared" si="138"/>
        <v>1435.7872</v>
      </c>
      <c r="CS119">
        <f t="shared" si="139"/>
        <v>209.59199999999998</v>
      </c>
      <c r="CT119">
        <f t="shared" si="140"/>
        <v>4450.3695999999991</v>
      </c>
      <c r="CU119">
        <f t="shared" si="141"/>
        <v>0</v>
      </c>
      <c r="CV119">
        <f t="shared" si="142"/>
        <v>80.19</v>
      </c>
      <c r="CW119">
        <f t="shared" si="143"/>
        <v>2.5</v>
      </c>
      <c r="CX119">
        <f t="shared" si="144"/>
        <v>0</v>
      </c>
      <c r="CY119">
        <f t="shared" si="145"/>
        <v>994.95</v>
      </c>
      <c r="CZ119">
        <f t="shared" si="146"/>
        <v>615.05999999999995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20</v>
      </c>
      <c r="DW119" t="s">
        <v>20</v>
      </c>
      <c r="DX119">
        <v>100</v>
      </c>
      <c r="EE119">
        <v>16510485</v>
      </c>
      <c r="EF119">
        <v>2</v>
      </c>
      <c r="EG119" t="s">
        <v>22</v>
      </c>
      <c r="EH119">
        <v>0</v>
      </c>
      <c r="EI119" t="s">
        <v>6</v>
      </c>
      <c r="EJ119">
        <v>1</v>
      </c>
      <c r="EK119">
        <v>8001</v>
      </c>
      <c r="EL119" t="s">
        <v>325</v>
      </c>
      <c r="EM119" t="s">
        <v>326</v>
      </c>
      <c r="EO119" t="s">
        <v>6</v>
      </c>
      <c r="EQ119">
        <v>131072</v>
      </c>
      <c r="ER119">
        <v>1170.1300000000001</v>
      </c>
      <c r="ES119">
        <v>272.85000000000002</v>
      </c>
      <c r="ET119">
        <v>218.87</v>
      </c>
      <c r="EU119">
        <v>31.95</v>
      </c>
      <c r="EV119">
        <v>678.41</v>
      </c>
      <c r="EW119">
        <v>80.19</v>
      </c>
      <c r="EX119">
        <v>2.5</v>
      </c>
      <c r="EY119">
        <v>0</v>
      </c>
      <c r="FQ119">
        <v>0</v>
      </c>
      <c r="FR119">
        <f t="shared" si="147"/>
        <v>0</v>
      </c>
      <c r="FS119">
        <v>0</v>
      </c>
      <c r="FT119" t="s">
        <v>25</v>
      </c>
      <c r="FU119" t="s">
        <v>26</v>
      </c>
      <c r="FX119">
        <v>109.8</v>
      </c>
      <c r="FY119">
        <v>68</v>
      </c>
      <c r="GA119" t="s">
        <v>6</v>
      </c>
      <c r="GD119">
        <v>0</v>
      </c>
      <c r="GF119">
        <v>-2014226966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48"/>
        <v>0</v>
      </c>
      <c r="GM119">
        <f t="shared" si="149"/>
        <v>3099.94</v>
      </c>
      <c r="GN119">
        <f t="shared" si="150"/>
        <v>3099.94</v>
      </c>
      <c r="GO119">
        <f t="shared" si="151"/>
        <v>0</v>
      </c>
      <c r="GP119">
        <f t="shared" si="152"/>
        <v>0</v>
      </c>
      <c r="GR119">
        <v>0</v>
      </c>
      <c r="GS119">
        <v>3</v>
      </c>
      <c r="GT119">
        <v>0</v>
      </c>
      <c r="GU119" t="s">
        <v>6</v>
      </c>
      <c r="GV119">
        <f t="shared" si="153"/>
        <v>0</v>
      </c>
      <c r="GW119">
        <v>1</v>
      </c>
      <c r="GX119">
        <f t="shared" si="154"/>
        <v>0</v>
      </c>
      <c r="HA119">
        <v>0</v>
      </c>
      <c r="HB119">
        <v>0</v>
      </c>
      <c r="IK119">
        <v>0</v>
      </c>
    </row>
    <row r="120" spans="1:245" x14ac:dyDescent="0.2">
      <c r="A120">
        <v>18</v>
      </c>
      <c r="B120">
        <v>1</v>
      </c>
      <c r="C120">
        <v>168</v>
      </c>
      <c r="E120" t="s">
        <v>327</v>
      </c>
      <c r="F120" t="s">
        <v>328</v>
      </c>
      <c r="G120" t="s">
        <v>329</v>
      </c>
      <c r="H120" t="s">
        <v>73</v>
      </c>
      <c r="I120">
        <f>I119*J120</f>
        <v>129.33333300000001</v>
      </c>
      <c r="J120">
        <v>666.32319938176204</v>
      </c>
      <c r="O120">
        <f t="shared" si="121"/>
        <v>33835.26</v>
      </c>
      <c r="P120">
        <f t="shared" si="122"/>
        <v>33835.26</v>
      </c>
      <c r="Q120">
        <f t="shared" si="123"/>
        <v>0</v>
      </c>
      <c r="R120">
        <f t="shared" si="124"/>
        <v>0</v>
      </c>
      <c r="S120">
        <f t="shared" si="125"/>
        <v>0</v>
      </c>
      <c r="T120">
        <f t="shared" si="126"/>
        <v>0</v>
      </c>
      <c r="U120">
        <f t="shared" si="127"/>
        <v>0</v>
      </c>
      <c r="V120">
        <f t="shared" si="128"/>
        <v>0</v>
      </c>
      <c r="W120">
        <f t="shared" si="129"/>
        <v>0</v>
      </c>
      <c r="X120">
        <f t="shared" si="130"/>
        <v>0</v>
      </c>
      <c r="Y120">
        <f t="shared" si="131"/>
        <v>0</v>
      </c>
      <c r="AA120">
        <v>16742901</v>
      </c>
      <c r="AB120">
        <f t="shared" si="132"/>
        <v>39.880000000000003</v>
      </c>
      <c r="AC120">
        <f t="shared" si="133"/>
        <v>39.880000000000003</v>
      </c>
      <c r="AD120">
        <f t="shared" si="116"/>
        <v>0</v>
      </c>
      <c r="AE120">
        <f t="shared" si="117"/>
        <v>0</v>
      </c>
      <c r="AF120">
        <f t="shared" si="118"/>
        <v>0</v>
      </c>
      <c r="AG120">
        <f t="shared" si="134"/>
        <v>0</v>
      </c>
      <c r="AH120">
        <f t="shared" si="119"/>
        <v>0</v>
      </c>
      <c r="AI120">
        <f t="shared" si="120"/>
        <v>0</v>
      </c>
      <c r="AJ120">
        <f t="shared" si="135"/>
        <v>0</v>
      </c>
      <c r="AK120">
        <v>39.880000000000003</v>
      </c>
      <c r="AL120">
        <v>39.880000000000003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110</v>
      </c>
      <c r="AU120">
        <v>68</v>
      </c>
      <c r="AV120">
        <v>1</v>
      </c>
      <c r="AW120">
        <v>1</v>
      </c>
      <c r="AZ120">
        <v>6.56</v>
      </c>
      <c r="BA120">
        <v>1</v>
      </c>
      <c r="BB120">
        <v>1</v>
      </c>
      <c r="BC120">
        <v>6.56</v>
      </c>
      <c r="BD120" t="s">
        <v>6</v>
      </c>
      <c r="BE120" t="s">
        <v>6</v>
      </c>
      <c r="BF120" t="s">
        <v>6</v>
      </c>
      <c r="BG120" t="s">
        <v>6</v>
      </c>
      <c r="BH120">
        <v>3</v>
      </c>
      <c r="BI120">
        <v>1</v>
      </c>
      <c r="BJ120" t="s">
        <v>330</v>
      </c>
      <c r="BM120">
        <v>8001</v>
      </c>
      <c r="BN120">
        <v>0</v>
      </c>
      <c r="BO120" t="s">
        <v>6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122</v>
      </c>
      <c r="CA120">
        <v>80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36"/>
        <v>33835.26</v>
      </c>
      <c r="CQ120">
        <f t="shared" si="137"/>
        <v>261.61279999999999</v>
      </c>
      <c r="CR120">
        <f t="shared" si="138"/>
        <v>0</v>
      </c>
      <c r="CS120">
        <f t="shared" si="139"/>
        <v>0</v>
      </c>
      <c r="CT120">
        <f t="shared" si="140"/>
        <v>0</v>
      </c>
      <c r="CU120">
        <f t="shared" si="141"/>
        <v>0</v>
      </c>
      <c r="CV120">
        <f t="shared" si="142"/>
        <v>0</v>
      </c>
      <c r="CW120">
        <f t="shared" si="143"/>
        <v>0</v>
      </c>
      <c r="CX120">
        <f t="shared" si="144"/>
        <v>0</v>
      </c>
      <c r="CY120">
        <f t="shared" si="145"/>
        <v>0</v>
      </c>
      <c r="CZ120">
        <f t="shared" si="146"/>
        <v>0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1010</v>
      </c>
      <c r="DV120" t="s">
        <v>73</v>
      </c>
      <c r="DW120" t="s">
        <v>73</v>
      </c>
      <c r="DX120">
        <v>1</v>
      </c>
      <c r="EE120">
        <v>16510485</v>
      </c>
      <c r="EF120">
        <v>2</v>
      </c>
      <c r="EG120" t="s">
        <v>22</v>
      </c>
      <c r="EH120">
        <v>0</v>
      </c>
      <c r="EI120" t="s">
        <v>6</v>
      </c>
      <c r="EJ120">
        <v>1</v>
      </c>
      <c r="EK120">
        <v>8001</v>
      </c>
      <c r="EL120" t="s">
        <v>325</v>
      </c>
      <c r="EM120" t="s">
        <v>326</v>
      </c>
      <c r="EO120" t="s">
        <v>6</v>
      </c>
      <c r="EQ120">
        <v>0</v>
      </c>
      <c r="ER120">
        <v>39.880000000000003</v>
      </c>
      <c r="ES120">
        <v>39.880000000000003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47"/>
        <v>0</v>
      </c>
      <c r="FS120">
        <v>0</v>
      </c>
      <c r="FT120" t="s">
        <v>25</v>
      </c>
      <c r="FU120" t="s">
        <v>26</v>
      </c>
      <c r="FX120">
        <v>109.8</v>
      </c>
      <c r="FY120">
        <v>68</v>
      </c>
      <c r="GA120" t="s">
        <v>6</v>
      </c>
      <c r="GD120">
        <v>0</v>
      </c>
      <c r="GF120">
        <v>994085871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48"/>
        <v>0</v>
      </c>
      <c r="GM120">
        <f t="shared" si="149"/>
        <v>33835.26</v>
      </c>
      <c r="GN120">
        <f t="shared" si="150"/>
        <v>33835.26</v>
      </c>
      <c r="GO120">
        <f t="shared" si="151"/>
        <v>0</v>
      </c>
      <c r="GP120">
        <f t="shared" si="152"/>
        <v>0</v>
      </c>
      <c r="GR120">
        <v>0</v>
      </c>
      <c r="GS120">
        <v>3</v>
      </c>
      <c r="GT120">
        <v>0</v>
      </c>
      <c r="GU120" t="s">
        <v>6</v>
      </c>
      <c r="GV120">
        <f t="shared" si="153"/>
        <v>0</v>
      </c>
      <c r="GW120">
        <v>1</v>
      </c>
      <c r="GX120">
        <f t="shared" si="154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171</v>
      </c>
      <c r="E121" t="s">
        <v>331</v>
      </c>
      <c r="F121" t="s">
        <v>332</v>
      </c>
      <c r="G121" t="s">
        <v>333</v>
      </c>
      <c r="H121" t="s">
        <v>100</v>
      </c>
      <c r="I121">
        <f>I119*J121</f>
        <v>7.9576999999999995E-2</v>
      </c>
      <c r="J121">
        <v>0.40997939206594536</v>
      </c>
      <c r="O121">
        <f t="shared" si="121"/>
        <v>2253.06</v>
      </c>
      <c r="P121">
        <f t="shared" si="122"/>
        <v>2253.06</v>
      </c>
      <c r="Q121">
        <f t="shared" si="123"/>
        <v>0</v>
      </c>
      <c r="R121">
        <f t="shared" si="124"/>
        <v>0</v>
      </c>
      <c r="S121">
        <f t="shared" si="125"/>
        <v>0</v>
      </c>
      <c r="T121">
        <f t="shared" si="126"/>
        <v>0</v>
      </c>
      <c r="U121">
        <f t="shared" si="127"/>
        <v>0</v>
      </c>
      <c r="V121">
        <f t="shared" si="128"/>
        <v>0</v>
      </c>
      <c r="W121">
        <f t="shared" si="129"/>
        <v>0</v>
      </c>
      <c r="X121">
        <f t="shared" si="130"/>
        <v>0</v>
      </c>
      <c r="Y121">
        <f t="shared" si="131"/>
        <v>0</v>
      </c>
      <c r="AA121">
        <v>16742901</v>
      </c>
      <c r="AB121">
        <f t="shared" si="132"/>
        <v>4316</v>
      </c>
      <c r="AC121">
        <f t="shared" si="133"/>
        <v>4316</v>
      </c>
      <c r="AD121">
        <f t="shared" si="116"/>
        <v>0</v>
      </c>
      <c r="AE121">
        <f t="shared" si="117"/>
        <v>0</v>
      </c>
      <c r="AF121">
        <f t="shared" si="118"/>
        <v>0</v>
      </c>
      <c r="AG121">
        <f t="shared" si="134"/>
        <v>0</v>
      </c>
      <c r="AH121">
        <f t="shared" si="119"/>
        <v>0</v>
      </c>
      <c r="AI121">
        <f t="shared" si="120"/>
        <v>0</v>
      </c>
      <c r="AJ121">
        <f t="shared" si="135"/>
        <v>0</v>
      </c>
      <c r="AK121">
        <v>4316</v>
      </c>
      <c r="AL121">
        <v>4316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110</v>
      </c>
      <c r="AU121">
        <v>68</v>
      </c>
      <c r="AV121">
        <v>1</v>
      </c>
      <c r="AW121">
        <v>1</v>
      </c>
      <c r="AZ121">
        <v>6.56</v>
      </c>
      <c r="BA121">
        <v>1</v>
      </c>
      <c r="BB121">
        <v>1</v>
      </c>
      <c r="BC121">
        <v>6.56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334</v>
      </c>
      <c r="BM121">
        <v>8001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122</v>
      </c>
      <c r="CA121">
        <v>80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36"/>
        <v>2253.06</v>
      </c>
      <c r="CQ121">
        <f t="shared" si="137"/>
        <v>28312.959999999999</v>
      </c>
      <c r="CR121">
        <f t="shared" si="138"/>
        <v>0</v>
      </c>
      <c r="CS121">
        <f t="shared" si="139"/>
        <v>0</v>
      </c>
      <c r="CT121">
        <f t="shared" si="140"/>
        <v>0</v>
      </c>
      <c r="CU121">
        <f t="shared" si="141"/>
        <v>0</v>
      </c>
      <c r="CV121">
        <f t="shared" si="142"/>
        <v>0</v>
      </c>
      <c r="CW121">
        <f t="shared" si="143"/>
        <v>0</v>
      </c>
      <c r="CX121">
        <f t="shared" si="144"/>
        <v>0</v>
      </c>
      <c r="CY121">
        <f t="shared" si="145"/>
        <v>0</v>
      </c>
      <c r="CZ121">
        <f t="shared" si="146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1009</v>
      </c>
      <c r="DV121" t="s">
        <v>100</v>
      </c>
      <c r="DW121" t="s">
        <v>100</v>
      </c>
      <c r="DX121">
        <v>1000</v>
      </c>
      <c r="EE121">
        <v>16510485</v>
      </c>
      <c r="EF121">
        <v>2</v>
      </c>
      <c r="EG121" t="s">
        <v>22</v>
      </c>
      <c r="EH121">
        <v>0</v>
      </c>
      <c r="EI121" t="s">
        <v>6</v>
      </c>
      <c r="EJ121">
        <v>1</v>
      </c>
      <c r="EK121">
        <v>8001</v>
      </c>
      <c r="EL121" t="s">
        <v>325</v>
      </c>
      <c r="EM121" t="s">
        <v>326</v>
      </c>
      <c r="EO121" t="s">
        <v>6</v>
      </c>
      <c r="EQ121">
        <v>0</v>
      </c>
      <c r="ER121">
        <v>4316</v>
      </c>
      <c r="ES121">
        <v>4316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47"/>
        <v>0</v>
      </c>
      <c r="FS121">
        <v>0</v>
      </c>
      <c r="FT121" t="s">
        <v>25</v>
      </c>
      <c r="FU121" t="s">
        <v>26</v>
      </c>
      <c r="FX121">
        <v>109.8</v>
      </c>
      <c r="FY121">
        <v>68</v>
      </c>
      <c r="GA121" t="s">
        <v>6</v>
      </c>
      <c r="GD121">
        <v>0</v>
      </c>
      <c r="GF121">
        <v>-1425202410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48"/>
        <v>0</v>
      </c>
      <c r="GM121">
        <f t="shared" si="149"/>
        <v>2253.06</v>
      </c>
      <c r="GN121">
        <f t="shared" si="150"/>
        <v>2253.06</v>
      </c>
      <c r="GO121">
        <f t="shared" si="151"/>
        <v>0</v>
      </c>
      <c r="GP121">
        <f t="shared" si="152"/>
        <v>0</v>
      </c>
      <c r="GR121">
        <v>0</v>
      </c>
      <c r="GS121">
        <v>3</v>
      </c>
      <c r="GT121">
        <v>0</v>
      </c>
      <c r="GU121" t="s">
        <v>6</v>
      </c>
      <c r="GV121">
        <f t="shared" si="153"/>
        <v>0</v>
      </c>
      <c r="GW121">
        <v>1</v>
      </c>
      <c r="GX121">
        <f t="shared" si="154"/>
        <v>0</v>
      </c>
      <c r="HA121">
        <v>0</v>
      </c>
      <c r="HB121">
        <v>0</v>
      </c>
      <c r="IK121">
        <v>0</v>
      </c>
    </row>
    <row r="122" spans="1:245" x14ac:dyDescent="0.2">
      <c r="A122">
        <v>18</v>
      </c>
      <c r="B122">
        <v>1</v>
      </c>
      <c r="C122">
        <v>169</v>
      </c>
      <c r="E122" t="s">
        <v>335</v>
      </c>
      <c r="F122" t="s">
        <v>336</v>
      </c>
      <c r="G122" t="s">
        <v>337</v>
      </c>
      <c r="H122" t="s">
        <v>301</v>
      </c>
      <c r="I122">
        <f>I119*J122</f>
        <v>3.92082</v>
      </c>
      <c r="J122">
        <v>20.2</v>
      </c>
      <c r="O122">
        <f t="shared" si="121"/>
        <v>0</v>
      </c>
      <c r="P122">
        <f t="shared" si="122"/>
        <v>0</v>
      </c>
      <c r="Q122">
        <f t="shared" si="123"/>
        <v>0</v>
      </c>
      <c r="R122">
        <f t="shared" si="124"/>
        <v>0</v>
      </c>
      <c r="S122">
        <f t="shared" si="125"/>
        <v>0</v>
      </c>
      <c r="T122">
        <f t="shared" si="126"/>
        <v>0</v>
      </c>
      <c r="U122">
        <f t="shared" si="127"/>
        <v>0</v>
      </c>
      <c r="V122">
        <f t="shared" si="128"/>
        <v>0</v>
      </c>
      <c r="W122">
        <f t="shared" si="129"/>
        <v>0</v>
      </c>
      <c r="X122">
        <f t="shared" si="130"/>
        <v>0</v>
      </c>
      <c r="Y122">
        <f t="shared" si="131"/>
        <v>0</v>
      </c>
      <c r="AA122">
        <v>16742901</v>
      </c>
      <c r="AB122">
        <f t="shared" si="132"/>
        <v>0</v>
      </c>
      <c r="AC122">
        <f t="shared" si="133"/>
        <v>0</v>
      </c>
      <c r="AD122">
        <f t="shared" si="116"/>
        <v>0</v>
      </c>
      <c r="AE122">
        <f t="shared" si="117"/>
        <v>0</v>
      </c>
      <c r="AF122">
        <f t="shared" si="118"/>
        <v>0</v>
      </c>
      <c r="AG122">
        <f t="shared" si="134"/>
        <v>0</v>
      </c>
      <c r="AH122">
        <f t="shared" si="119"/>
        <v>0</v>
      </c>
      <c r="AI122">
        <f t="shared" si="120"/>
        <v>0</v>
      </c>
      <c r="AJ122">
        <f t="shared" si="135"/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110</v>
      </c>
      <c r="AU122">
        <v>68</v>
      </c>
      <c r="AV122">
        <v>1</v>
      </c>
      <c r="AW122">
        <v>1</v>
      </c>
      <c r="AZ122">
        <v>6.56</v>
      </c>
      <c r="BA122">
        <v>1</v>
      </c>
      <c r="BB122">
        <v>1</v>
      </c>
      <c r="BC122">
        <v>6.56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1</v>
      </c>
      <c r="BJ122" t="s">
        <v>6</v>
      </c>
      <c r="BM122">
        <v>8001</v>
      </c>
      <c r="BN122">
        <v>0</v>
      </c>
      <c r="BO122" t="s">
        <v>6</v>
      </c>
      <c r="BP122">
        <v>0</v>
      </c>
      <c r="BQ122">
        <v>2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122</v>
      </c>
      <c r="CA122">
        <v>80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36"/>
        <v>0</v>
      </c>
      <c r="CQ122">
        <f t="shared" si="137"/>
        <v>0</v>
      </c>
      <c r="CR122">
        <f t="shared" si="138"/>
        <v>0</v>
      </c>
      <c r="CS122">
        <f t="shared" si="139"/>
        <v>0</v>
      </c>
      <c r="CT122">
        <f t="shared" si="140"/>
        <v>0</v>
      </c>
      <c r="CU122">
        <f t="shared" si="141"/>
        <v>0</v>
      </c>
      <c r="CV122">
        <f t="shared" si="142"/>
        <v>0</v>
      </c>
      <c r="CW122">
        <f t="shared" si="143"/>
        <v>0</v>
      </c>
      <c r="CX122">
        <f t="shared" si="144"/>
        <v>0</v>
      </c>
      <c r="CY122">
        <f t="shared" si="145"/>
        <v>0</v>
      </c>
      <c r="CZ122">
        <f t="shared" si="146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1007</v>
      </c>
      <c r="DV122" t="s">
        <v>301</v>
      </c>
      <c r="DW122" t="s">
        <v>301</v>
      </c>
      <c r="DX122">
        <v>1</v>
      </c>
      <c r="EE122">
        <v>16510485</v>
      </c>
      <c r="EF122">
        <v>2</v>
      </c>
      <c r="EG122" t="s">
        <v>22</v>
      </c>
      <c r="EH122">
        <v>0</v>
      </c>
      <c r="EI122" t="s">
        <v>6</v>
      </c>
      <c r="EJ122">
        <v>1</v>
      </c>
      <c r="EK122">
        <v>8001</v>
      </c>
      <c r="EL122" t="s">
        <v>325</v>
      </c>
      <c r="EM122" t="s">
        <v>326</v>
      </c>
      <c r="EO122" t="s">
        <v>6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FQ122">
        <v>0</v>
      </c>
      <c r="FR122">
        <f t="shared" si="147"/>
        <v>0</v>
      </c>
      <c r="FS122">
        <v>0</v>
      </c>
      <c r="FT122" t="s">
        <v>25</v>
      </c>
      <c r="FU122" t="s">
        <v>26</v>
      </c>
      <c r="FX122">
        <v>109.8</v>
      </c>
      <c r="FY122">
        <v>68</v>
      </c>
      <c r="GA122" t="s">
        <v>6</v>
      </c>
      <c r="GD122">
        <v>0</v>
      </c>
      <c r="GF122">
        <v>789713021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48"/>
        <v>0</v>
      </c>
      <c r="GM122">
        <f t="shared" si="149"/>
        <v>0</v>
      </c>
      <c r="GN122">
        <f t="shared" si="150"/>
        <v>0</v>
      </c>
      <c r="GO122">
        <f t="shared" si="151"/>
        <v>0</v>
      </c>
      <c r="GP122">
        <f t="shared" si="152"/>
        <v>0</v>
      </c>
      <c r="GR122">
        <v>0</v>
      </c>
      <c r="GS122">
        <v>3</v>
      </c>
      <c r="GT122">
        <v>0</v>
      </c>
      <c r="GU122" t="s">
        <v>6</v>
      </c>
      <c r="GV122">
        <f t="shared" si="153"/>
        <v>0</v>
      </c>
      <c r="GW122">
        <v>1</v>
      </c>
      <c r="GX122">
        <f t="shared" si="154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172</v>
      </c>
      <c r="E123" t="s">
        <v>338</v>
      </c>
      <c r="F123" t="s">
        <v>339</v>
      </c>
      <c r="G123" t="s">
        <v>340</v>
      </c>
      <c r="H123" t="s">
        <v>341</v>
      </c>
      <c r="I123">
        <f>I119*J123</f>
        <v>79.577117999999999</v>
      </c>
      <c r="J123">
        <v>409.98</v>
      </c>
      <c r="O123">
        <f t="shared" si="121"/>
        <v>0</v>
      </c>
      <c r="P123">
        <f t="shared" si="122"/>
        <v>0</v>
      </c>
      <c r="Q123">
        <f t="shared" si="123"/>
        <v>0</v>
      </c>
      <c r="R123">
        <f t="shared" si="124"/>
        <v>0</v>
      </c>
      <c r="S123">
        <f t="shared" si="125"/>
        <v>0</v>
      </c>
      <c r="T123">
        <f t="shared" si="126"/>
        <v>0</v>
      </c>
      <c r="U123">
        <f t="shared" si="127"/>
        <v>0</v>
      </c>
      <c r="V123">
        <f t="shared" si="128"/>
        <v>0</v>
      </c>
      <c r="W123">
        <f t="shared" si="129"/>
        <v>0</v>
      </c>
      <c r="X123">
        <f t="shared" si="130"/>
        <v>0</v>
      </c>
      <c r="Y123">
        <f t="shared" si="131"/>
        <v>0</v>
      </c>
      <c r="AA123">
        <v>16742901</v>
      </c>
      <c r="AB123">
        <f t="shared" si="132"/>
        <v>0</v>
      </c>
      <c r="AC123">
        <f t="shared" si="133"/>
        <v>0</v>
      </c>
      <c r="AD123">
        <f t="shared" si="116"/>
        <v>0</v>
      </c>
      <c r="AE123">
        <f t="shared" si="117"/>
        <v>0</v>
      </c>
      <c r="AF123">
        <f t="shared" si="118"/>
        <v>0</v>
      </c>
      <c r="AG123">
        <f t="shared" si="134"/>
        <v>0</v>
      </c>
      <c r="AH123">
        <f t="shared" si="119"/>
        <v>0</v>
      </c>
      <c r="AI123">
        <f t="shared" si="120"/>
        <v>0</v>
      </c>
      <c r="AJ123">
        <f t="shared" si="135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110</v>
      </c>
      <c r="AU123">
        <v>68</v>
      </c>
      <c r="AV123">
        <v>1</v>
      </c>
      <c r="AW123">
        <v>1</v>
      </c>
      <c r="AZ123">
        <v>6.56</v>
      </c>
      <c r="BA123">
        <v>1</v>
      </c>
      <c r="BB123">
        <v>1</v>
      </c>
      <c r="BC123">
        <v>6.56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6</v>
      </c>
      <c r="BM123">
        <v>8001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122</v>
      </c>
      <c r="CA123">
        <v>80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36"/>
        <v>0</v>
      </c>
      <c r="CQ123">
        <f t="shared" si="137"/>
        <v>0</v>
      </c>
      <c r="CR123">
        <f t="shared" si="138"/>
        <v>0</v>
      </c>
      <c r="CS123">
        <f t="shared" si="139"/>
        <v>0</v>
      </c>
      <c r="CT123">
        <f t="shared" si="140"/>
        <v>0</v>
      </c>
      <c r="CU123">
        <f t="shared" si="141"/>
        <v>0</v>
      </c>
      <c r="CV123">
        <f t="shared" si="142"/>
        <v>0</v>
      </c>
      <c r="CW123">
        <f t="shared" si="143"/>
        <v>0</v>
      </c>
      <c r="CX123">
        <f t="shared" si="144"/>
        <v>0</v>
      </c>
      <c r="CY123">
        <f t="shared" si="145"/>
        <v>0</v>
      </c>
      <c r="CZ123">
        <f t="shared" si="146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1009</v>
      </c>
      <c r="DV123" t="s">
        <v>341</v>
      </c>
      <c r="DW123" t="s">
        <v>341</v>
      </c>
      <c r="DX123">
        <v>1</v>
      </c>
      <c r="EE123">
        <v>16510485</v>
      </c>
      <c r="EF123">
        <v>2</v>
      </c>
      <c r="EG123" t="s">
        <v>22</v>
      </c>
      <c r="EH123">
        <v>0</v>
      </c>
      <c r="EI123" t="s">
        <v>6</v>
      </c>
      <c r="EJ123">
        <v>1</v>
      </c>
      <c r="EK123">
        <v>8001</v>
      </c>
      <c r="EL123" t="s">
        <v>325</v>
      </c>
      <c r="EM123" t="s">
        <v>326</v>
      </c>
      <c r="EO123" t="s">
        <v>6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47"/>
        <v>0</v>
      </c>
      <c r="FS123">
        <v>0</v>
      </c>
      <c r="FT123" t="s">
        <v>25</v>
      </c>
      <c r="FU123" t="s">
        <v>26</v>
      </c>
      <c r="FX123">
        <v>109.8</v>
      </c>
      <c r="FY123">
        <v>68</v>
      </c>
      <c r="GA123" t="s">
        <v>6</v>
      </c>
      <c r="GD123">
        <v>0</v>
      </c>
      <c r="GF123">
        <v>290394019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48"/>
        <v>0</v>
      </c>
      <c r="GM123">
        <f t="shared" si="149"/>
        <v>0</v>
      </c>
      <c r="GN123">
        <f t="shared" si="150"/>
        <v>0</v>
      </c>
      <c r="GO123">
        <f t="shared" si="151"/>
        <v>0</v>
      </c>
      <c r="GP123">
        <f t="shared" si="152"/>
        <v>0</v>
      </c>
      <c r="GR123">
        <v>0</v>
      </c>
      <c r="GS123">
        <v>3</v>
      </c>
      <c r="GT123">
        <v>0</v>
      </c>
      <c r="GU123" t="s">
        <v>6</v>
      </c>
      <c r="GV123">
        <f t="shared" si="153"/>
        <v>0</v>
      </c>
      <c r="GW123">
        <v>1</v>
      </c>
      <c r="GX123">
        <f t="shared" si="154"/>
        <v>0</v>
      </c>
      <c r="HA123">
        <v>0</v>
      </c>
      <c r="HB123">
        <v>0</v>
      </c>
      <c r="IK123">
        <v>0</v>
      </c>
    </row>
    <row r="124" spans="1:245" x14ac:dyDescent="0.2">
      <c r="A124">
        <v>17</v>
      </c>
      <c r="B124">
        <v>1</v>
      </c>
      <c r="C124">
        <f>ROW(SmtRes!A178)</f>
        <v>178</v>
      </c>
      <c r="D124">
        <f>ROW(EtalonRes!A173)</f>
        <v>173</v>
      </c>
      <c r="E124" t="s">
        <v>342</v>
      </c>
      <c r="F124" t="s">
        <v>343</v>
      </c>
      <c r="G124" t="s">
        <v>344</v>
      </c>
      <c r="H124" t="s">
        <v>301</v>
      </c>
      <c r="I124">
        <v>1.62</v>
      </c>
      <c r="J124">
        <v>0</v>
      </c>
      <c r="O124">
        <f t="shared" si="121"/>
        <v>2618.65</v>
      </c>
      <c r="P124">
        <f t="shared" si="122"/>
        <v>1325.74</v>
      </c>
      <c r="Q124">
        <f t="shared" si="123"/>
        <v>22.64</v>
      </c>
      <c r="R124">
        <f t="shared" si="124"/>
        <v>0</v>
      </c>
      <c r="S124">
        <f t="shared" si="125"/>
        <v>1270.27</v>
      </c>
      <c r="T124">
        <f t="shared" si="126"/>
        <v>0</v>
      </c>
      <c r="U124">
        <f t="shared" si="127"/>
        <v>23.700600000000001</v>
      </c>
      <c r="V124">
        <f t="shared" si="128"/>
        <v>0</v>
      </c>
      <c r="W124">
        <f t="shared" si="129"/>
        <v>0</v>
      </c>
      <c r="X124">
        <f t="shared" si="130"/>
        <v>1257.57</v>
      </c>
      <c r="Y124">
        <f t="shared" si="131"/>
        <v>762.16</v>
      </c>
      <c r="AA124">
        <v>16742901</v>
      </c>
      <c r="AB124">
        <f t="shared" si="132"/>
        <v>246.41</v>
      </c>
      <c r="AC124">
        <f t="shared" si="133"/>
        <v>124.75</v>
      </c>
      <c r="AD124">
        <f t="shared" si="116"/>
        <v>2.13</v>
      </c>
      <c r="AE124">
        <f t="shared" si="117"/>
        <v>0</v>
      </c>
      <c r="AF124">
        <f t="shared" si="118"/>
        <v>119.53</v>
      </c>
      <c r="AG124">
        <f t="shared" si="134"/>
        <v>0</v>
      </c>
      <c r="AH124">
        <f t="shared" si="119"/>
        <v>14.63</v>
      </c>
      <c r="AI124">
        <f t="shared" si="120"/>
        <v>0</v>
      </c>
      <c r="AJ124">
        <f t="shared" si="135"/>
        <v>0</v>
      </c>
      <c r="AK124">
        <v>246.41</v>
      </c>
      <c r="AL124">
        <v>124.75</v>
      </c>
      <c r="AM124">
        <v>2.13</v>
      </c>
      <c r="AN124">
        <v>0</v>
      </c>
      <c r="AO124">
        <v>119.53</v>
      </c>
      <c r="AP124">
        <v>0</v>
      </c>
      <c r="AQ124">
        <v>14.63</v>
      </c>
      <c r="AR124">
        <v>0</v>
      </c>
      <c r="AS124">
        <v>0</v>
      </c>
      <c r="AT124">
        <v>99</v>
      </c>
      <c r="AU124">
        <v>60</v>
      </c>
      <c r="AV124">
        <v>1</v>
      </c>
      <c r="AW124">
        <v>1</v>
      </c>
      <c r="AZ124">
        <v>6.56</v>
      </c>
      <c r="BA124">
        <v>6.56</v>
      </c>
      <c r="BB124">
        <v>6.56</v>
      </c>
      <c r="BC124">
        <v>6.56</v>
      </c>
      <c r="BD124" t="s">
        <v>6</v>
      </c>
      <c r="BE124" t="s">
        <v>6</v>
      </c>
      <c r="BF124" t="s">
        <v>6</v>
      </c>
      <c r="BG124" t="s">
        <v>6</v>
      </c>
      <c r="BH124">
        <v>0</v>
      </c>
      <c r="BI124">
        <v>1</v>
      </c>
      <c r="BJ124" t="s">
        <v>345</v>
      </c>
      <c r="BM124">
        <v>46001</v>
      </c>
      <c r="BN124">
        <v>0</v>
      </c>
      <c r="BO124" t="s">
        <v>6</v>
      </c>
      <c r="BP124">
        <v>0</v>
      </c>
      <c r="BQ124">
        <v>2</v>
      </c>
      <c r="BR124">
        <v>0</v>
      </c>
      <c r="BS124">
        <v>6.56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110</v>
      </c>
      <c r="CA124">
        <v>70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36"/>
        <v>2618.65</v>
      </c>
      <c r="CQ124">
        <f t="shared" si="137"/>
        <v>818.3599999999999</v>
      </c>
      <c r="CR124">
        <f t="shared" si="138"/>
        <v>13.972799999999998</v>
      </c>
      <c r="CS124">
        <f t="shared" si="139"/>
        <v>0</v>
      </c>
      <c r="CT124">
        <f t="shared" si="140"/>
        <v>784.11680000000001</v>
      </c>
      <c r="CU124">
        <f t="shared" si="141"/>
        <v>0</v>
      </c>
      <c r="CV124">
        <f t="shared" si="142"/>
        <v>14.63</v>
      </c>
      <c r="CW124">
        <f t="shared" si="143"/>
        <v>0</v>
      </c>
      <c r="CX124">
        <f t="shared" si="144"/>
        <v>0</v>
      </c>
      <c r="CY124">
        <f t="shared" si="145"/>
        <v>1257.5672999999999</v>
      </c>
      <c r="CZ124">
        <f t="shared" si="146"/>
        <v>762.16199999999992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1007</v>
      </c>
      <c r="DV124" t="s">
        <v>301</v>
      </c>
      <c r="DW124" t="s">
        <v>301</v>
      </c>
      <c r="DX124">
        <v>1</v>
      </c>
      <c r="EE124">
        <v>16510555</v>
      </c>
      <c r="EF124">
        <v>2</v>
      </c>
      <c r="EG124" t="s">
        <v>22</v>
      </c>
      <c r="EH124">
        <v>0</v>
      </c>
      <c r="EI124" t="s">
        <v>6</v>
      </c>
      <c r="EJ124">
        <v>1</v>
      </c>
      <c r="EK124">
        <v>46001</v>
      </c>
      <c r="EL124" t="s">
        <v>23</v>
      </c>
      <c r="EM124" t="s">
        <v>24</v>
      </c>
      <c r="EO124" t="s">
        <v>6</v>
      </c>
      <c r="EQ124">
        <v>131072</v>
      </c>
      <c r="ER124">
        <v>246.41</v>
      </c>
      <c r="ES124">
        <v>124.75</v>
      </c>
      <c r="ET124">
        <v>2.13</v>
      </c>
      <c r="EU124">
        <v>0</v>
      </c>
      <c r="EV124">
        <v>119.53</v>
      </c>
      <c r="EW124">
        <v>14.63</v>
      </c>
      <c r="EX124">
        <v>0</v>
      </c>
      <c r="EY124">
        <v>0</v>
      </c>
      <c r="FQ124">
        <v>0</v>
      </c>
      <c r="FR124">
        <f t="shared" si="147"/>
        <v>0</v>
      </c>
      <c r="FS124">
        <v>0</v>
      </c>
      <c r="FT124" t="s">
        <v>25</v>
      </c>
      <c r="FU124" t="s">
        <v>26</v>
      </c>
      <c r="FX124">
        <v>99</v>
      </c>
      <c r="FY124">
        <v>59.5</v>
      </c>
      <c r="GA124" t="s">
        <v>6</v>
      </c>
      <c r="GD124">
        <v>0</v>
      </c>
      <c r="GF124">
        <v>1109849592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si="148"/>
        <v>0</v>
      </c>
      <c r="GM124">
        <f t="shared" si="149"/>
        <v>4638.38</v>
      </c>
      <c r="GN124">
        <f t="shared" si="150"/>
        <v>4638.38</v>
      </c>
      <c r="GO124">
        <f t="shared" si="151"/>
        <v>0</v>
      </c>
      <c r="GP124">
        <f t="shared" si="152"/>
        <v>0</v>
      </c>
      <c r="GR124">
        <v>0</v>
      </c>
      <c r="GS124">
        <v>3</v>
      </c>
      <c r="GT124">
        <v>0</v>
      </c>
      <c r="GU124" t="s">
        <v>6</v>
      </c>
      <c r="GV124">
        <f t="shared" si="153"/>
        <v>0</v>
      </c>
      <c r="GW124">
        <v>1</v>
      </c>
      <c r="GX124">
        <f t="shared" si="154"/>
        <v>0</v>
      </c>
      <c r="HA124">
        <v>0</v>
      </c>
      <c r="HB124">
        <v>0</v>
      </c>
      <c r="IK124">
        <v>0</v>
      </c>
    </row>
    <row r="125" spans="1:245" x14ac:dyDescent="0.2">
      <c r="A125">
        <v>18</v>
      </c>
      <c r="B125">
        <v>1</v>
      </c>
      <c r="C125">
        <v>178</v>
      </c>
      <c r="E125" t="s">
        <v>346</v>
      </c>
      <c r="F125" t="s">
        <v>347</v>
      </c>
      <c r="G125" t="s">
        <v>348</v>
      </c>
      <c r="H125" t="s">
        <v>301</v>
      </c>
      <c r="I125">
        <f>I124*J125</f>
        <v>1.62</v>
      </c>
      <c r="J125">
        <v>1</v>
      </c>
      <c r="O125">
        <f t="shared" si="121"/>
        <v>1098.96</v>
      </c>
      <c r="P125">
        <f t="shared" si="122"/>
        <v>1098.96</v>
      </c>
      <c r="Q125">
        <f t="shared" si="123"/>
        <v>0</v>
      </c>
      <c r="R125">
        <f t="shared" si="124"/>
        <v>0</v>
      </c>
      <c r="S125">
        <f t="shared" si="125"/>
        <v>0</v>
      </c>
      <c r="T125">
        <f t="shared" si="126"/>
        <v>0</v>
      </c>
      <c r="U125">
        <f t="shared" si="127"/>
        <v>0</v>
      </c>
      <c r="V125">
        <f t="shared" si="128"/>
        <v>0</v>
      </c>
      <c r="W125">
        <f t="shared" si="129"/>
        <v>0</v>
      </c>
      <c r="X125">
        <f t="shared" si="130"/>
        <v>0</v>
      </c>
      <c r="Y125">
        <f t="shared" si="131"/>
        <v>0</v>
      </c>
      <c r="AA125">
        <v>16742901</v>
      </c>
      <c r="AB125">
        <f t="shared" si="132"/>
        <v>103.41</v>
      </c>
      <c r="AC125">
        <f t="shared" si="133"/>
        <v>103.41</v>
      </c>
      <c r="AD125">
        <f t="shared" si="116"/>
        <v>0</v>
      </c>
      <c r="AE125">
        <f t="shared" si="117"/>
        <v>0</v>
      </c>
      <c r="AF125">
        <f t="shared" si="118"/>
        <v>0</v>
      </c>
      <c r="AG125">
        <f t="shared" si="134"/>
        <v>0</v>
      </c>
      <c r="AH125">
        <f t="shared" si="119"/>
        <v>0</v>
      </c>
      <c r="AI125">
        <f t="shared" si="120"/>
        <v>0</v>
      </c>
      <c r="AJ125">
        <f t="shared" si="135"/>
        <v>0</v>
      </c>
      <c r="AK125">
        <v>103.41</v>
      </c>
      <c r="AL125">
        <v>103.41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99</v>
      </c>
      <c r="AU125">
        <v>60</v>
      </c>
      <c r="AV125">
        <v>1</v>
      </c>
      <c r="AW125">
        <v>1</v>
      </c>
      <c r="AZ125">
        <v>6.56</v>
      </c>
      <c r="BA125">
        <v>1</v>
      </c>
      <c r="BB125">
        <v>1</v>
      </c>
      <c r="BC125">
        <v>6.56</v>
      </c>
      <c r="BD125" t="s">
        <v>6</v>
      </c>
      <c r="BE125" t="s">
        <v>6</v>
      </c>
      <c r="BF125" t="s">
        <v>6</v>
      </c>
      <c r="BG125" t="s">
        <v>6</v>
      </c>
      <c r="BH125">
        <v>3</v>
      </c>
      <c r="BI125">
        <v>1</v>
      </c>
      <c r="BJ125" t="s">
        <v>349</v>
      </c>
      <c r="BM125">
        <v>46001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110</v>
      </c>
      <c r="CA125">
        <v>70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 t="shared" si="136"/>
        <v>1098.96</v>
      </c>
      <c r="CQ125">
        <f t="shared" si="137"/>
        <v>678.36959999999999</v>
      </c>
      <c r="CR125">
        <f t="shared" si="138"/>
        <v>0</v>
      </c>
      <c r="CS125">
        <f t="shared" si="139"/>
        <v>0</v>
      </c>
      <c r="CT125">
        <f t="shared" si="140"/>
        <v>0</v>
      </c>
      <c r="CU125">
        <f t="shared" si="141"/>
        <v>0</v>
      </c>
      <c r="CV125">
        <f t="shared" si="142"/>
        <v>0</v>
      </c>
      <c r="CW125">
        <f t="shared" si="143"/>
        <v>0</v>
      </c>
      <c r="CX125">
        <f t="shared" si="144"/>
        <v>0</v>
      </c>
      <c r="CY125">
        <f t="shared" si="145"/>
        <v>0</v>
      </c>
      <c r="CZ125">
        <f t="shared" si="146"/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1007</v>
      </c>
      <c r="DV125" t="s">
        <v>301</v>
      </c>
      <c r="DW125" t="s">
        <v>301</v>
      </c>
      <c r="DX125">
        <v>1</v>
      </c>
      <c r="EE125">
        <v>16510555</v>
      </c>
      <c r="EF125">
        <v>2</v>
      </c>
      <c r="EG125" t="s">
        <v>22</v>
      </c>
      <c r="EH125">
        <v>0</v>
      </c>
      <c r="EI125" t="s">
        <v>6</v>
      </c>
      <c r="EJ125">
        <v>1</v>
      </c>
      <c r="EK125">
        <v>46001</v>
      </c>
      <c r="EL125" t="s">
        <v>23</v>
      </c>
      <c r="EM125" t="s">
        <v>24</v>
      </c>
      <c r="EO125" t="s">
        <v>6</v>
      </c>
      <c r="EQ125">
        <v>0</v>
      </c>
      <c r="ER125">
        <v>103.41</v>
      </c>
      <c r="ES125">
        <v>103.41</v>
      </c>
      <c r="ET125">
        <v>0</v>
      </c>
      <c r="EU125">
        <v>0</v>
      </c>
      <c r="EV125">
        <v>0</v>
      </c>
      <c r="EW125">
        <v>0</v>
      </c>
      <c r="EX125">
        <v>0</v>
      </c>
      <c r="FQ125">
        <v>0</v>
      </c>
      <c r="FR125">
        <f t="shared" si="147"/>
        <v>0</v>
      </c>
      <c r="FS125">
        <v>0</v>
      </c>
      <c r="FT125" t="s">
        <v>25</v>
      </c>
      <c r="FU125" t="s">
        <v>26</v>
      </c>
      <c r="FX125">
        <v>99</v>
      </c>
      <c r="FY125">
        <v>59.5</v>
      </c>
      <c r="GA125" t="s">
        <v>6</v>
      </c>
      <c r="GD125">
        <v>0</v>
      </c>
      <c r="GF125">
        <v>-2036686642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48"/>
        <v>0</v>
      </c>
      <c r="GM125">
        <f t="shared" si="149"/>
        <v>1098.96</v>
      </c>
      <c r="GN125">
        <f t="shared" si="150"/>
        <v>1098.96</v>
      </c>
      <c r="GO125">
        <f t="shared" si="151"/>
        <v>0</v>
      </c>
      <c r="GP125">
        <f t="shared" si="152"/>
        <v>0</v>
      </c>
      <c r="GR125">
        <v>0</v>
      </c>
      <c r="GS125">
        <v>3</v>
      </c>
      <c r="GT125">
        <v>0</v>
      </c>
      <c r="GU125" t="s">
        <v>6</v>
      </c>
      <c r="GV125">
        <f t="shared" si="153"/>
        <v>0</v>
      </c>
      <c r="GW125">
        <v>1</v>
      </c>
      <c r="GX125">
        <f t="shared" si="154"/>
        <v>0</v>
      </c>
      <c r="HA125">
        <v>0</v>
      </c>
      <c r="HB125">
        <v>0</v>
      </c>
      <c r="IK125">
        <v>0</v>
      </c>
    </row>
    <row r="126" spans="1:245" x14ac:dyDescent="0.2">
      <c r="A126">
        <v>18</v>
      </c>
      <c r="B126">
        <v>1</v>
      </c>
      <c r="C126">
        <v>177</v>
      </c>
      <c r="E126" t="s">
        <v>350</v>
      </c>
      <c r="F126" t="s">
        <v>316</v>
      </c>
      <c r="G126" t="s">
        <v>351</v>
      </c>
      <c r="H126" t="s">
        <v>306</v>
      </c>
      <c r="I126">
        <f>I124*J126</f>
        <v>0.64800000000000002</v>
      </c>
      <c r="J126">
        <v>0.39999999999999997</v>
      </c>
      <c r="O126">
        <f t="shared" si="121"/>
        <v>0</v>
      </c>
      <c r="P126">
        <f t="shared" si="122"/>
        <v>0</v>
      </c>
      <c r="Q126">
        <f t="shared" si="123"/>
        <v>0</v>
      </c>
      <c r="R126">
        <f t="shared" si="124"/>
        <v>0</v>
      </c>
      <c r="S126">
        <f t="shared" si="125"/>
        <v>0</v>
      </c>
      <c r="T126">
        <f t="shared" si="126"/>
        <v>0</v>
      </c>
      <c r="U126">
        <f t="shared" si="127"/>
        <v>0</v>
      </c>
      <c r="V126">
        <f t="shared" si="128"/>
        <v>0</v>
      </c>
      <c r="W126">
        <f t="shared" si="129"/>
        <v>0</v>
      </c>
      <c r="X126">
        <f t="shared" si="130"/>
        <v>0</v>
      </c>
      <c r="Y126">
        <f t="shared" si="131"/>
        <v>0</v>
      </c>
      <c r="AA126">
        <v>16742901</v>
      </c>
      <c r="AB126">
        <f t="shared" si="132"/>
        <v>0</v>
      </c>
      <c r="AC126">
        <f t="shared" si="133"/>
        <v>0</v>
      </c>
      <c r="AD126">
        <f t="shared" si="116"/>
        <v>0</v>
      </c>
      <c r="AE126">
        <f t="shared" si="117"/>
        <v>0</v>
      </c>
      <c r="AF126">
        <f t="shared" si="118"/>
        <v>0</v>
      </c>
      <c r="AG126">
        <f t="shared" si="134"/>
        <v>0</v>
      </c>
      <c r="AH126">
        <f t="shared" si="119"/>
        <v>0</v>
      </c>
      <c r="AI126">
        <f t="shared" si="120"/>
        <v>0</v>
      </c>
      <c r="AJ126">
        <f t="shared" si="135"/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99</v>
      </c>
      <c r="AU126">
        <v>60</v>
      </c>
      <c r="AV126">
        <v>1</v>
      </c>
      <c r="AW126">
        <v>1</v>
      </c>
      <c r="AZ126">
        <v>6.56</v>
      </c>
      <c r="BA126">
        <v>1</v>
      </c>
      <c r="BB126">
        <v>1</v>
      </c>
      <c r="BC126">
        <v>6.56</v>
      </c>
      <c r="BD126" t="s">
        <v>6</v>
      </c>
      <c r="BE126" t="s">
        <v>6</v>
      </c>
      <c r="BF126" t="s">
        <v>6</v>
      </c>
      <c r="BG126" t="s">
        <v>6</v>
      </c>
      <c r="BH126">
        <v>3</v>
      </c>
      <c r="BI126">
        <v>1</v>
      </c>
      <c r="BJ126" t="s">
        <v>6</v>
      </c>
      <c r="BM126">
        <v>46001</v>
      </c>
      <c r="BN126">
        <v>0</v>
      </c>
      <c r="BO126" t="s">
        <v>6</v>
      </c>
      <c r="BP126">
        <v>0</v>
      </c>
      <c r="BQ126">
        <v>2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110</v>
      </c>
      <c r="CA126">
        <v>70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36"/>
        <v>0</v>
      </c>
      <c r="CQ126">
        <f t="shared" si="137"/>
        <v>0</v>
      </c>
      <c r="CR126">
        <f t="shared" si="138"/>
        <v>0</v>
      </c>
      <c r="CS126">
        <f t="shared" si="139"/>
        <v>0</v>
      </c>
      <c r="CT126">
        <f t="shared" si="140"/>
        <v>0</v>
      </c>
      <c r="CU126">
        <f t="shared" si="141"/>
        <v>0</v>
      </c>
      <c r="CV126">
        <f t="shared" si="142"/>
        <v>0</v>
      </c>
      <c r="CW126">
        <f t="shared" si="143"/>
        <v>0</v>
      </c>
      <c r="CX126">
        <f t="shared" si="144"/>
        <v>0</v>
      </c>
      <c r="CY126">
        <f t="shared" si="145"/>
        <v>0</v>
      </c>
      <c r="CZ126">
        <f t="shared" si="146"/>
        <v>0</v>
      </c>
      <c r="DC126" t="s">
        <v>6</v>
      </c>
      <c r="DD126" t="s">
        <v>6</v>
      </c>
      <c r="DE126" t="s">
        <v>6</v>
      </c>
      <c r="DF126" t="s">
        <v>6</v>
      </c>
      <c r="DG126" t="s">
        <v>6</v>
      </c>
      <c r="DH126" t="s">
        <v>6</v>
      </c>
      <c r="DI126" t="s">
        <v>6</v>
      </c>
      <c r="DJ126" t="s">
        <v>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1010</v>
      </c>
      <c r="DV126" t="s">
        <v>306</v>
      </c>
      <c r="DW126" t="s">
        <v>306</v>
      </c>
      <c r="DX126">
        <v>1000</v>
      </c>
      <c r="EE126">
        <v>16510555</v>
      </c>
      <c r="EF126">
        <v>2</v>
      </c>
      <c r="EG126" t="s">
        <v>22</v>
      </c>
      <c r="EH126">
        <v>0</v>
      </c>
      <c r="EI126" t="s">
        <v>6</v>
      </c>
      <c r="EJ126">
        <v>1</v>
      </c>
      <c r="EK126">
        <v>46001</v>
      </c>
      <c r="EL126" t="s">
        <v>23</v>
      </c>
      <c r="EM126" t="s">
        <v>24</v>
      </c>
      <c r="EO126" t="s">
        <v>6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47"/>
        <v>0</v>
      </c>
      <c r="FS126">
        <v>0</v>
      </c>
      <c r="FT126" t="s">
        <v>25</v>
      </c>
      <c r="FU126" t="s">
        <v>26</v>
      </c>
      <c r="FX126">
        <v>99</v>
      </c>
      <c r="FY126">
        <v>59.5</v>
      </c>
      <c r="GA126" t="s">
        <v>6</v>
      </c>
      <c r="GD126">
        <v>0</v>
      </c>
      <c r="GF126">
        <v>1453754496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48"/>
        <v>0</v>
      </c>
      <c r="GM126">
        <f t="shared" si="149"/>
        <v>0</v>
      </c>
      <c r="GN126">
        <f t="shared" si="150"/>
        <v>0</v>
      </c>
      <c r="GO126">
        <f t="shared" si="151"/>
        <v>0</v>
      </c>
      <c r="GP126">
        <f t="shared" si="152"/>
        <v>0</v>
      </c>
      <c r="GR126">
        <v>0</v>
      </c>
      <c r="GS126">
        <v>3</v>
      </c>
      <c r="GT126">
        <v>0</v>
      </c>
      <c r="GU126" t="s">
        <v>6</v>
      </c>
      <c r="GV126">
        <f t="shared" si="153"/>
        <v>0</v>
      </c>
      <c r="GW126">
        <v>1</v>
      </c>
      <c r="GX126">
        <f t="shared" si="154"/>
        <v>0</v>
      </c>
      <c r="HA126">
        <v>0</v>
      </c>
      <c r="HB126">
        <v>0</v>
      </c>
      <c r="IK126">
        <v>0</v>
      </c>
    </row>
    <row r="127" spans="1:245" x14ac:dyDescent="0.2">
      <c r="A127">
        <v>17</v>
      </c>
      <c r="B127">
        <v>1</v>
      </c>
      <c r="C127">
        <f>ROW(SmtRes!A185)</f>
        <v>185</v>
      </c>
      <c r="D127">
        <f>ROW(EtalonRes!A179)</f>
        <v>179</v>
      </c>
      <c r="E127" t="s">
        <v>352</v>
      </c>
      <c r="F127" t="s">
        <v>353</v>
      </c>
      <c r="G127" t="s">
        <v>354</v>
      </c>
      <c r="H127" t="s">
        <v>20</v>
      </c>
      <c r="I127">
        <f>ROUND(348.4/100,9)</f>
        <v>3.484</v>
      </c>
      <c r="J127">
        <v>0</v>
      </c>
      <c r="O127">
        <f t="shared" si="121"/>
        <v>1466.38</v>
      </c>
      <c r="P127">
        <f t="shared" si="122"/>
        <v>4.1100000000000003</v>
      </c>
      <c r="Q127">
        <f t="shared" si="123"/>
        <v>22.17</v>
      </c>
      <c r="R127">
        <f t="shared" si="124"/>
        <v>5.94</v>
      </c>
      <c r="S127">
        <f t="shared" si="125"/>
        <v>1440.1</v>
      </c>
      <c r="T127">
        <f t="shared" si="126"/>
        <v>0</v>
      </c>
      <c r="U127">
        <f t="shared" si="127"/>
        <v>22.8202</v>
      </c>
      <c r="V127">
        <f t="shared" si="128"/>
        <v>6.9680000000000006E-2</v>
      </c>
      <c r="W127">
        <f t="shared" si="129"/>
        <v>0</v>
      </c>
      <c r="X127">
        <f t="shared" si="130"/>
        <v>1373.74</v>
      </c>
      <c r="Y127">
        <f t="shared" si="131"/>
        <v>679.64</v>
      </c>
      <c r="AA127">
        <v>16742901</v>
      </c>
      <c r="AB127">
        <f t="shared" si="132"/>
        <v>64.16</v>
      </c>
      <c r="AC127">
        <f t="shared" si="133"/>
        <v>0.18</v>
      </c>
      <c r="AD127">
        <f t="shared" si="116"/>
        <v>0.97</v>
      </c>
      <c r="AE127">
        <f t="shared" si="117"/>
        <v>0.26</v>
      </c>
      <c r="AF127">
        <f t="shared" si="118"/>
        <v>63.01</v>
      </c>
      <c r="AG127">
        <f t="shared" si="134"/>
        <v>0</v>
      </c>
      <c r="AH127">
        <f t="shared" si="119"/>
        <v>6.55</v>
      </c>
      <c r="AI127">
        <f t="shared" si="120"/>
        <v>0.02</v>
      </c>
      <c r="AJ127">
        <f t="shared" si="135"/>
        <v>0</v>
      </c>
      <c r="AK127">
        <v>64.16</v>
      </c>
      <c r="AL127">
        <v>0.18</v>
      </c>
      <c r="AM127">
        <v>0.97</v>
      </c>
      <c r="AN127">
        <v>0.26</v>
      </c>
      <c r="AO127">
        <v>63.01</v>
      </c>
      <c r="AP127">
        <v>0</v>
      </c>
      <c r="AQ127">
        <v>6.55</v>
      </c>
      <c r="AR127">
        <v>0.02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6.56</v>
      </c>
      <c r="BA127">
        <v>6.56</v>
      </c>
      <c r="BB127">
        <v>6.56</v>
      </c>
      <c r="BC127">
        <v>6.56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1</v>
      </c>
      <c r="BJ127" t="s">
        <v>355</v>
      </c>
      <c r="BM127">
        <v>15001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6.56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36"/>
        <v>1466.3799999999999</v>
      </c>
      <c r="CQ127">
        <f t="shared" si="137"/>
        <v>1.1807999999999998</v>
      </c>
      <c r="CR127">
        <f t="shared" si="138"/>
        <v>6.3631999999999991</v>
      </c>
      <c r="CS127">
        <f t="shared" si="139"/>
        <v>1.7056</v>
      </c>
      <c r="CT127">
        <f t="shared" si="140"/>
        <v>413.34559999999999</v>
      </c>
      <c r="CU127">
        <f t="shared" si="141"/>
        <v>0</v>
      </c>
      <c r="CV127">
        <f t="shared" si="142"/>
        <v>6.55</v>
      </c>
      <c r="CW127">
        <f t="shared" si="143"/>
        <v>0.02</v>
      </c>
      <c r="CX127">
        <f t="shared" si="144"/>
        <v>0</v>
      </c>
      <c r="CY127">
        <f t="shared" si="145"/>
        <v>1373.7379999999998</v>
      </c>
      <c r="CZ127">
        <f t="shared" si="146"/>
        <v>679.63880000000006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20</v>
      </c>
      <c r="DW127" t="s">
        <v>20</v>
      </c>
      <c r="DX127">
        <v>100</v>
      </c>
      <c r="EE127">
        <v>16510513</v>
      </c>
      <c r="EF127">
        <v>2</v>
      </c>
      <c r="EG127" t="s">
        <v>22</v>
      </c>
      <c r="EH127">
        <v>0</v>
      </c>
      <c r="EI127" t="s">
        <v>6</v>
      </c>
      <c r="EJ127">
        <v>1</v>
      </c>
      <c r="EK127">
        <v>15001</v>
      </c>
      <c r="EL127" t="s">
        <v>229</v>
      </c>
      <c r="EM127" t="s">
        <v>230</v>
      </c>
      <c r="EO127" t="s">
        <v>6</v>
      </c>
      <c r="EQ127">
        <v>131072</v>
      </c>
      <c r="ER127">
        <v>64.16</v>
      </c>
      <c r="ES127">
        <v>0.18</v>
      </c>
      <c r="ET127">
        <v>0.97</v>
      </c>
      <c r="EU127">
        <v>0.26</v>
      </c>
      <c r="EV127">
        <v>63.01</v>
      </c>
      <c r="EW127">
        <v>6.55</v>
      </c>
      <c r="EX127">
        <v>0.02</v>
      </c>
      <c r="EY127">
        <v>0</v>
      </c>
      <c r="FQ127">
        <v>0</v>
      </c>
      <c r="FR127">
        <f t="shared" si="147"/>
        <v>0</v>
      </c>
      <c r="FS127">
        <v>0</v>
      </c>
      <c r="FT127" t="s">
        <v>25</v>
      </c>
      <c r="FU127" t="s">
        <v>26</v>
      </c>
      <c r="FX127">
        <v>94.5</v>
      </c>
      <c r="FY127">
        <v>46.75</v>
      </c>
      <c r="GA127" t="s">
        <v>6</v>
      </c>
      <c r="GD127">
        <v>0</v>
      </c>
      <c r="GF127">
        <v>-2014629731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48"/>
        <v>0</v>
      </c>
      <c r="GM127">
        <f t="shared" si="149"/>
        <v>3519.76</v>
      </c>
      <c r="GN127">
        <f t="shared" si="150"/>
        <v>3519.76</v>
      </c>
      <c r="GO127">
        <f t="shared" si="151"/>
        <v>0</v>
      </c>
      <c r="GP127">
        <f t="shared" si="152"/>
        <v>0</v>
      </c>
      <c r="GR127">
        <v>0</v>
      </c>
      <c r="GS127">
        <v>3</v>
      </c>
      <c r="GT127">
        <v>0</v>
      </c>
      <c r="GU127" t="s">
        <v>6</v>
      </c>
      <c r="GV127">
        <f t="shared" si="153"/>
        <v>0</v>
      </c>
      <c r="GW127">
        <v>1</v>
      </c>
      <c r="GX127">
        <f t="shared" si="154"/>
        <v>0</v>
      </c>
      <c r="HA127">
        <v>0</v>
      </c>
      <c r="HB127">
        <v>0</v>
      </c>
      <c r="IK127">
        <v>0</v>
      </c>
    </row>
    <row r="128" spans="1:245" x14ac:dyDescent="0.2">
      <c r="A128">
        <v>18</v>
      </c>
      <c r="B128">
        <v>1</v>
      </c>
      <c r="C128">
        <v>184</v>
      </c>
      <c r="E128" t="s">
        <v>356</v>
      </c>
      <c r="F128" t="s">
        <v>357</v>
      </c>
      <c r="G128" t="s">
        <v>358</v>
      </c>
      <c r="H128" t="s">
        <v>341</v>
      </c>
      <c r="I128">
        <f>I127*J128</f>
        <v>45.292000000000002</v>
      </c>
      <c r="J128">
        <v>13</v>
      </c>
      <c r="O128">
        <f t="shared" si="121"/>
        <v>4483.47</v>
      </c>
      <c r="P128">
        <f t="shared" si="122"/>
        <v>4483.47</v>
      </c>
      <c r="Q128">
        <f t="shared" si="123"/>
        <v>0</v>
      </c>
      <c r="R128">
        <f t="shared" si="124"/>
        <v>0</v>
      </c>
      <c r="S128">
        <f t="shared" si="125"/>
        <v>0</v>
      </c>
      <c r="T128">
        <f t="shared" si="126"/>
        <v>0</v>
      </c>
      <c r="U128">
        <f t="shared" si="127"/>
        <v>0</v>
      </c>
      <c r="V128">
        <f t="shared" si="128"/>
        <v>0</v>
      </c>
      <c r="W128">
        <f t="shared" si="129"/>
        <v>0</v>
      </c>
      <c r="X128">
        <f t="shared" si="130"/>
        <v>0</v>
      </c>
      <c r="Y128">
        <f t="shared" si="131"/>
        <v>0</v>
      </c>
      <c r="AA128">
        <v>16742901</v>
      </c>
      <c r="AB128">
        <f t="shared" si="132"/>
        <v>15.09</v>
      </c>
      <c r="AC128">
        <f t="shared" si="133"/>
        <v>15.09</v>
      </c>
      <c r="AD128">
        <f t="shared" si="116"/>
        <v>0</v>
      </c>
      <c r="AE128">
        <f t="shared" si="117"/>
        <v>0</v>
      </c>
      <c r="AF128">
        <f t="shared" si="118"/>
        <v>0</v>
      </c>
      <c r="AG128">
        <f t="shared" si="134"/>
        <v>0</v>
      </c>
      <c r="AH128">
        <f t="shared" si="119"/>
        <v>0</v>
      </c>
      <c r="AI128">
        <f t="shared" si="120"/>
        <v>0</v>
      </c>
      <c r="AJ128">
        <f t="shared" si="135"/>
        <v>0</v>
      </c>
      <c r="AK128">
        <v>15.09</v>
      </c>
      <c r="AL128">
        <v>15.09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95</v>
      </c>
      <c r="AU128">
        <v>47</v>
      </c>
      <c r="AV128">
        <v>1</v>
      </c>
      <c r="AW128">
        <v>1</v>
      </c>
      <c r="AZ128">
        <v>6.56</v>
      </c>
      <c r="BA128">
        <v>1</v>
      </c>
      <c r="BB128">
        <v>1</v>
      </c>
      <c r="BC128">
        <v>6.56</v>
      </c>
      <c r="BD128" t="s">
        <v>6</v>
      </c>
      <c r="BE128" t="s">
        <v>6</v>
      </c>
      <c r="BF128" t="s">
        <v>6</v>
      </c>
      <c r="BG128" t="s">
        <v>6</v>
      </c>
      <c r="BH128">
        <v>3</v>
      </c>
      <c r="BI128">
        <v>1</v>
      </c>
      <c r="BJ128" t="s">
        <v>359</v>
      </c>
      <c r="BM128">
        <v>15001</v>
      </c>
      <c r="BN128">
        <v>0</v>
      </c>
      <c r="BO128" t="s">
        <v>6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105</v>
      </c>
      <c r="CA128">
        <v>55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36"/>
        <v>4483.47</v>
      </c>
      <c r="CQ128">
        <f t="shared" si="137"/>
        <v>98.990399999999994</v>
      </c>
      <c r="CR128">
        <f t="shared" si="138"/>
        <v>0</v>
      </c>
      <c r="CS128">
        <f t="shared" si="139"/>
        <v>0</v>
      </c>
      <c r="CT128">
        <f t="shared" si="140"/>
        <v>0</v>
      </c>
      <c r="CU128">
        <f t="shared" si="141"/>
        <v>0</v>
      </c>
      <c r="CV128">
        <f t="shared" si="142"/>
        <v>0</v>
      </c>
      <c r="CW128">
        <f t="shared" si="143"/>
        <v>0</v>
      </c>
      <c r="CX128">
        <f t="shared" si="144"/>
        <v>0</v>
      </c>
      <c r="CY128">
        <f t="shared" si="145"/>
        <v>0</v>
      </c>
      <c r="CZ128">
        <f t="shared" si="146"/>
        <v>0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1009</v>
      </c>
      <c r="DV128" t="s">
        <v>341</v>
      </c>
      <c r="DW128" t="s">
        <v>341</v>
      </c>
      <c r="DX128">
        <v>1</v>
      </c>
      <c r="EE128">
        <v>16510513</v>
      </c>
      <c r="EF128">
        <v>2</v>
      </c>
      <c r="EG128" t="s">
        <v>22</v>
      </c>
      <c r="EH128">
        <v>0</v>
      </c>
      <c r="EI128" t="s">
        <v>6</v>
      </c>
      <c r="EJ128">
        <v>1</v>
      </c>
      <c r="EK128">
        <v>15001</v>
      </c>
      <c r="EL128" t="s">
        <v>229</v>
      </c>
      <c r="EM128" t="s">
        <v>230</v>
      </c>
      <c r="EO128" t="s">
        <v>6</v>
      </c>
      <c r="EQ128">
        <v>0</v>
      </c>
      <c r="ER128">
        <v>15.09</v>
      </c>
      <c r="ES128">
        <v>15.09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47"/>
        <v>0</v>
      </c>
      <c r="FS128">
        <v>0</v>
      </c>
      <c r="FT128" t="s">
        <v>25</v>
      </c>
      <c r="FU128" t="s">
        <v>26</v>
      </c>
      <c r="FX128">
        <v>94.5</v>
      </c>
      <c r="FY128">
        <v>46.75</v>
      </c>
      <c r="GA128" t="s">
        <v>6</v>
      </c>
      <c r="GD128">
        <v>0</v>
      </c>
      <c r="GF128">
        <v>1453462043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48"/>
        <v>0</v>
      </c>
      <c r="GM128">
        <f t="shared" si="149"/>
        <v>4483.47</v>
      </c>
      <c r="GN128">
        <f t="shared" si="150"/>
        <v>4483.47</v>
      </c>
      <c r="GO128">
        <f t="shared" si="151"/>
        <v>0</v>
      </c>
      <c r="GP128">
        <f t="shared" si="152"/>
        <v>0</v>
      </c>
      <c r="GR128">
        <v>0</v>
      </c>
      <c r="GS128">
        <v>3</v>
      </c>
      <c r="GT128">
        <v>0</v>
      </c>
      <c r="GU128" t="s">
        <v>6</v>
      </c>
      <c r="GV128">
        <f t="shared" si="153"/>
        <v>0</v>
      </c>
      <c r="GW128">
        <v>1</v>
      </c>
      <c r="GX128">
        <f t="shared" si="154"/>
        <v>0</v>
      </c>
      <c r="HA128">
        <v>0</v>
      </c>
      <c r="HB128">
        <v>0</v>
      </c>
      <c r="IK128">
        <v>0</v>
      </c>
    </row>
    <row r="129" spans="1:245" x14ac:dyDescent="0.2">
      <c r="A129">
        <v>18</v>
      </c>
      <c r="B129">
        <v>1</v>
      </c>
      <c r="C129">
        <v>185</v>
      </c>
      <c r="E129" t="s">
        <v>360</v>
      </c>
      <c r="F129" t="s">
        <v>361</v>
      </c>
      <c r="G129" t="s">
        <v>362</v>
      </c>
      <c r="H129" t="s">
        <v>100</v>
      </c>
      <c r="I129">
        <f>I127*J129</f>
        <v>4.5291999999999999E-2</v>
      </c>
      <c r="J129">
        <v>1.2999999999999999E-2</v>
      </c>
      <c r="O129">
        <f t="shared" si="121"/>
        <v>0</v>
      </c>
      <c r="P129">
        <f t="shared" si="122"/>
        <v>0</v>
      </c>
      <c r="Q129">
        <f t="shared" si="123"/>
        <v>0</v>
      </c>
      <c r="R129">
        <f t="shared" si="124"/>
        <v>0</v>
      </c>
      <c r="S129">
        <f t="shared" si="125"/>
        <v>0</v>
      </c>
      <c r="T129">
        <f t="shared" si="126"/>
        <v>0</v>
      </c>
      <c r="U129">
        <f t="shared" si="127"/>
        <v>0</v>
      </c>
      <c r="V129">
        <f t="shared" si="128"/>
        <v>0</v>
      </c>
      <c r="W129">
        <f t="shared" si="129"/>
        <v>0</v>
      </c>
      <c r="X129">
        <f t="shared" si="130"/>
        <v>0</v>
      </c>
      <c r="Y129">
        <f t="shared" si="131"/>
        <v>0</v>
      </c>
      <c r="AA129">
        <v>16742901</v>
      </c>
      <c r="AB129">
        <f t="shared" si="132"/>
        <v>0</v>
      </c>
      <c r="AC129">
        <f t="shared" si="133"/>
        <v>0</v>
      </c>
      <c r="AD129">
        <f t="shared" si="116"/>
        <v>0</v>
      </c>
      <c r="AE129">
        <f t="shared" si="117"/>
        <v>0</v>
      </c>
      <c r="AF129">
        <f t="shared" si="118"/>
        <v>0</v>
      </c>
      <c r="AG129">
        <f t="shared" si="134"/>
        <v>0</v>
      </c>
      <c r="AH129">
        <f t="shared" si="119"/>
        <v>0</v>
      </c>
      <c r="AI129">
        <f t="shared" si="120"/>
        <v>0</v>
      </c>
      <c r="AJ129">
        <f t="shared" si="135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6.56</v>
      </c>
      <c r="BA129">
        <v>1</v>
      </c>
      <c r="BB129">
        <v>1</v>
      </c>
      <c r="BC129">
        <v>6.56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6</v>
      </c>
      <c r="BM129">
        <v>15001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36"/>
        <v>0</v>
      </c>
      <c r="CQ129">
        <f t="shared" si="137"/>
        <v>0</v>
      </c>
      <c r="CR129">
        <f t="shared" si="138"/>
        <v>0</v>
      </c>
      <c r="CS129">
        <f t="shared" si="139"/>
        <v>0</v>
      </c>
      <c r="CT129">
        <f t="shared" si="140"/>
        <v>0</v>
      </c>
      <c r="CU129">
        <f t="shared" si="141"/>
        <v>0</v>
      </c>
      <c r="CV129">
        <f t="shared" si="142"/>
        <v>0</v>
      </c>
      <c r="CW129">
        <f t="shared" si="143"/>
        <v>0</v>
      </c>
      <c r="CX129">
        <f t="shared" si="144"/>
        <v>0</v>
      </c>
      <c r="CY129">
        <f t="shared" si="145"/>
        <v>0</v>
      </c>
      <c r="CZ129">
        <f t="shared" si="146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1009</v>
      </c>
      <c r="DV129" t="s">
        <v>100</v>
      </c>
      <c r="DW129" t="s">
        <v>100</v>
      </c>
      <c r="DX129">
        <v>1000</v>
      </c>
      <c r="EE129">
        <v>16510513</v>
      </c>
      <c r="EF129">
        <v>2</v>
      </c>
      <c r="EG129" t="s">
        <v>22</v>
      </c>
      <c r="EH129">
        <v>0</v>
      </c>
      <c r="EI129" t="s">
        <v>6</v>
      </c>
      <c r="EJ129">
        <v>1</v>
      </c>
      <c r="EK129">
        <v>15001</v>
      </c>
      <c r="EL129" t="s">
        <v>229</v>
      </c>
      <c r="EM129" t="s">
        <v>230</v>
      </c>
      <c r="EO129" t="s">
        <v>6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47"/>
        <v>0</v>
      </c>
      <c r="FS129">
        <v>0</v>
      </c>
      <c r="FT129" t="s">
        <v>25</v>
      </c>
      <c r="FU129" t="s">
        <v>26</v>
      </c>
      <c r="FX129">
        <v>94.5</v>
      </c>
      <c r="FY129">
        <v>46.75</v>
      </c>
      <c r="GA129" t="s">
        <v>6</v>
      </c>
      <c r="GD129">
        <v>0</v>
      </c>
      <c r="GF129">
        <v>-1212923053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48"/>
        <v>0</v>
      </c>
      <c r="GM129">
        <f t="shared" si="149"/>
        <v>0</v>
      </c>
      <c r="GN129">
        <f t="shared" si="150"/>
        <v>0</v>
      </c>
      <c r="GO129">
        <f t="shared" si="151"/>
        <v>0</v>
      </c>
      <c r="GP129">
        <f t="shared" si="152"/>
        <v>0</v>
      </c>
      <c r="GR129">
        <v>0</v>
      </c>
      <c r="GS129">
        <v>3</v>
      </c>
      <c r="GT129">
        <v>0</v>
      </c>
      <c r="GU129" t="s">
        <v>6</v>
      </c>
      <c r="GV129">
        <f t="shared" si="153"/>
        <v>0</v>
      </c>
      <c r="GW129">
        <v>1</v>
      </c>
      <c r="GX129">
        <f t="shared" si="154"/>
        <v>0</v>
      </c>
      <c r="HA129">
        <v>0</v>
      </c>
      <c r="HB129">
        <v>0</v>
      </c>
      <c r="IK129">
        <v>0</v>
      </c>
    </row>
    <row r="130" spans="1:245" x14ac:dyDescent="0.2">
      <c r="A130">
        <v>17</v>
      </c>
      <c r="B130">
        <v>1</v>
      </c>
      <c r="C130">
        <f>ROW(SmtRes!A193)</f>
        <v>193</v>
      </c>
      <c r="D130">
        <f>ROW(EtalonRes!A187)</f>
        <v>187</v>
      </c>
      <c r="E130" t="s">
        <v>363</v>
      </c>
      <c r="F130" t="s">
        <v>364</v>
      </c>
      <c r="G130" t="s">
        <v>365</v>
      </c>
      <c r="H130" t="s">
        <v>20</v>
      </c>
      <c r="I130">
        <f>ROUND(790.82/100,9)</f>
        <v>7.9081999999999999</v>
      </c>
      <c r="J130">
        <v>0</v>
      </c>
      <c r="O130">
        <f t="shared" si="121"/>
        <v>16680.27</v>
      </c>
      <c r="P130">
        <f t="shared" si="122"/>
        <v>64.849999999999994</v>
      </c>
      <c r="Q130">
        <f t="shared" si="123"/>
        <v>890.22</v>
      </c>
      <c r="R130">
        <f t="shared" si="124"/>
        <v>528.12</v>
      </c>
      <c r="S130">
        <f t="shared" si="125"/>
        <v>15725.2</v>
      </c>
      <c r="T130">
        <f t="shared" si="126"/>
        <v>0</v>
      </c>
      <c r="U130">
        <f t="shared" si="127"/>
        <v>283.35080599999998</v>
      </c>
      <c r="V130">
        <f t="shared" si="128"/>
        <v>7.4337079999999993</v>
      </c>
      <c r="W130">
        <f t="shared" si="129"/>
        <v>0</v>
      </c>
      <c r="X130">
        <f t="shared" si="130"/>
        <v>12840.12</v>
      </c>
      <c r="Y130">
        <f t="shared" si="131"/>
        <v>8126.66</v>
      </c>
      <c r="AA130">
        <v>16742901</v>
      </c>
      <c r="AB130">
        <f t="shared" si="132"/>
        <v>321.52999999999997</v>
      </c>
      <c r="AC130">
        <f t="shared" si="133"/>
        <v>1.25</v>
      </c>
      <c r="AD130">
        <f t="shared" si="116"/>
        <v>17.16</v>
      </c>
      <c r="AE130">
        <f t="shared" si="117"/>
        <v>10.18</v>
      </c>
      <c r="AF130">
        <f t="shared" si="118"/>
        <v>303.12</v>
      </c>
      <c r="AG130">
        <f t="shared" si="134"/>
        <v>0</v>
      </c>
      <c r="AH130">
        <f t="shared" si="119"/>
        <v>35.83</v>
      </c>
      <c r="AI130">
        <f t="shared" si="120"/>
        <v>0.94</v>
      </c>
      <c r="AJ130">
        <f t="shared" si="135"/>
        <v>0</v>
      </c>
      <c r="AK130">
        <v>321.52999999999997</v>
      </c>
      <c r="AL130">
        <v>1.25</v>
      </c>
      <c r="AM130">
        <v>17.16</v>
      </c>
      <c r="AN130">
        <v>10.18</v>
      </c>
      <c r="AO130">
        <v>303.12</v>
      </c>
      <c r="AP130">
        <v>0</v>
      </c>
      <c r="AQ130">
        <v>35.83</v>
      </c>
      <c r="AR130">
        <v>0.94</v>
      </c>
      <c r="AS130">
        <v>0</v>
      </c>
      <c r="AT130">
        <v>79</v>
      </c>
      <c r="AU130">
        <v>50</v>
      </c>
      <c r="AV130">
        <v>1</v>
      </c>
      <c r="AW130">
        <v>1</v>
      </c>
      <c r="AZ130">
        <v>6.56</v>
      </c>
      <c r="BA130">
        <v>6.56</v>
      </c>
      <c r="BB130">
        <v>6.56</v>
      </c>
      <c r="BC130">
        <v>6.56</v>
      </c>
      <c r="BD130" t="s">
        <v>6</v>
      </c>
      <c r="BE130" t="s">
        <v>6</v>
      </c>
      <c r="BF130" t="s">
        <v>6</v>
      </c>
      <c r="BG130" t="s">
        <v>6</v>
      </c>
      <c r="BH130">
        <v>0</v>
      </c>
      <c r="BI130">
        <v>1</v>
      </c>
      <c r="BJ130" t="s">
        <v>366</v>
      </c>
      <c r="BM130">
        <v>61001</v>
      </c>
      <c r="BN130">
        <v>0</v>
      </c>
      <c r="BO130" t="s">
        <v>6</v>
      </c>
      <c r="BP130">
        <v>0</v>
      </c>
      <c r="BQ130">
        <v>6</v>
      </c>
      <c r="BR130">
        <v>0</v>
      </c>
      <c r="BS130">
        <v>6.56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79</v>
      </c>
      <c r="CA130">
        <v>50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36"/>
        <v>16680.27</v>
      </c>
      <c r="CQ130">
        <f t="shared" si="137"/>
        <v>8.1999999999999993</v>
      </c>
      <c r="CR130">
        <f t="shared" si="138"/>
        <v>112.56959999999999</v>
      </c>
      <c r="CS130">
        <f t="shared" si="139"/>
        <v>66.780799999999999</v>
      </c>
      <c r="CT130">
        <f t="shared" si="140"/>
        <v>1988.4671999999998</v>
      </c>
      <c r="CU130">
        <f t="shared" si="141"/>
        <v>0</v>
      </c>
      <c r="CV130">
        <f t="shared" si="142"/>
        <v>35.83</v>
      </c>
      <c r="CW130">
        <f t="shared" si="143"/>
        <v>0.94</v>
      </c>
      <c r="CX130">
        <f t="shared" si="144"/>
        <v>0</v>
      </c>
      <c r="CY130">
        <f t="shared" si="145"/>
        <v>12840.122800000001</v>
      </c>
      <c r="CZ130">
        <f t="shared" si="146"/>
        <v>8126.6600000000008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20</v>
      </c>
      <c r="DW130" t="s">
        <v>20</v>
      </c>
      <c r="DX130">
        <v>100</v>
      </c>
      <c r="EE130">
        <v>16510570</v>
      </c>
      <c r="EF130">
        <v>6</v>
      </c>
      <c r="EG130" t="s">
        <v>36</v>
      </c>
      <c r="EH130">
        <v>0</v>
      </c>
      <c r="EI130" t="s">
        <v>6</v>
      </c>
      <c r="EJ130">
        <v>1</v>
      </c>
      <c r="EK130">
        <v>61001</v>
      </c>
      <c r="EL130" t="s">
        <v>289</v>
      </c>
      <c r="EM130" t="s">
        <v>290</v>
      </c>
      <c r="EO130" t="s">
        <v>6</v>
      </c>
      <c r="EQ130">
        <v>131072</v>
      </c>
      <c r="ER130">
        <v>321.52999999999997</v>
      </c>
      <c r="ES130">
        <v>1.25</v>
      </c>
      <c r="ET130">
        <v>17.16</v>
      </c>
      <c r="EU130">
        <v>10.18</v>
      </c>
      <c r="EV130">
        <v>303.12</v>
      </c>
      <c r="EW130">
        <v>35.83</v>
      </c>
      <c r="EX130">
        <v>0.94</v>
      </c>
      <c r="EY130">
        <v>0</v>
      </c>
      <c r="FQ130">
        <v>0</v>
      </c>
      <c r="FR130">
        <f t="shared" si="147"/>
        <v>0</v>
      </c>
      <c r="FS130">
        <v>0</v>
      </c>
      <c r="FX130">
        <v>79</v>
      </c>
      <c r="FY130">
        <v>50</v>
      </c>
      <c r="GA130" t="s">
        <v>6</v>
      </c>
      <c r="GD130">
        <v>0</v>
      </c>
      <c r="GF130">
        <v>1493145722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48"/>
        <v>0</v>
      </c>
      <c r="GM130">
        <f t="shared" si="149"/>
        <v>37647.050000000003</v>
      </c>
      <c r="GN130">
        <f t="shared" si="150"/>
        <v>37647.050000000003</v>
      </c>
      <c r="GO130">
        <f t="shared" si="151"/>
        <v>0</v>
      </c>
      <c r="GP130">
        <f t="shared" si="152"/>
        <v>0</v>
      </c>
      <c r="GR130">
        <v>0</v>
      </c>
      <c r="GS130">
        <v>3</v>
      </c>
      <c r="GT130">
        <v>0</v>
      </c>
      <c r="GU130" t="s">
        <v>6</v>
      </c>
      <c r="GV130">
        <f t="shared" si="153"/>
        <v>0</v>
      </c>
      <c r="GW130">
        <v>1</v>
      </c>
      <c r="GX130">
        <f t="shared" si="154"/>
        <v>0</v>
      </c>
      <c r="HA130">
        <v>0</v>
      </c>
      <c r="HB130">
        <v>0</v>
      </c>
      <c r="IK130">
        <v>0</v>
      </c>
    </row>
    <row r="131" spans="1:245" x14ac:dyDescent="0.2">
      <c r="A131">
        <v>18</v>
      </c>
      <c r="B131">
        <v>1</v>
      </c>
      <c r="C131">
        <v>192</v>
      </c>
      <c r="E131" t="s">
        <v>367</v>
      </c>
      <c r="F131" t="s">
        <v>368</v>
      </c>
      <c r="G131" t="s">
        <v>369</v>
      </c>
      <c r="H131" t="s">
        <v>341</v>
      </c>
      <c r="I131">
        <f>I130*J131</f>
        <v>6761.5111580000003</v>
      </c>
      <c r="J131">
        <v>855.00001997926211</v>
      </c>
      <c r="O131">
        <f t="shared" si="121"/>
        <v>91815.91</v>
      </c>
      <c r="P131">
        <f t="shared" si="122"/>
        <v>91815.91</v>
      </c>
      <c r="Q131">
        <f t="shared" si="123"/>
        <v>0</v>
      </c>
      <c r="R131">
        <f t="shared" si="124"/>
        <v>0</v>
      </c>
      <c r="S131">
        <f t="shared" si="125"/>
        <v>0</v>
      </c>
      <c r="T131">
        <f t="shared" si="126"/>
        <v>0</v>
      </c>
      <c r="U131">
        <f t="shared" si="127"/>
        <v>0</v>
      </c>
      <c r="V131">
        <f t="shared" si="128"/>
        <v>0</v>
      </c>
      <c r="W131">
        <f t="shared" si="129"/>
        <v>0</v>
      </c>
      <c r="X131">
        <f t="shared" si="130"/>
        <v>0</v>
      </c>
      <c r="Y131">
        <f t="shared" si="131"/>
        <v>0</v>
      </c>
      <c r="AA131">
        <v>16742901</v>
      </c>
      <c r="AB131">
        <f t="shared" si="132"/>
        <v>2.0699999999999998</v>
      </c>
      <c r="AC131">
        <f t="shared" si="133"/>
        <v>2.0699999999999998</v>
      </c>
      <c r="AD131">
        <f t="shared" si="116"/>
        <v>0</v>
      </c>
      <c r="AE131">
        <f t="shared" si="117"/>
        <v>0</v>
      </c>
      <c r="AF131">
        <f t="shared" si="118"/>
        <v>0</v>
      </c>
      <c r="AG131">
        <f t="shared" si="134"/>
        <v>0</v>
      </c>
      <c r="AH131">
        <f t="shared" si="119"/>
        <v>0</v>
      </c>
      <c r="AI131">
        <f t="shared" si="120"/>
        <v>0</v>
      </c>
      <c r="AJ131">
        <f t="shared" si="135"/>
        <v>0</v>
      </c>
      <c r="AK131">
        <v>2.0699999999999998</v>
      </c>
      <c r="AL131">
        <v>2.0699999999999998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79</v>
      </c>
      <c r="AU131">
        <v>50</v>
      </c>
      <c r="AV131">
        <v>1</v>
      </c>
      <c r="AW131">
        <v>1</v>
      </c>
      <c r="AZ131">
        <v>6.56</v>
      </c>
      <c r="BA131">
        <v>1</v>
      </c>
      <c r="BB131">
        <v>1</v>
      </c>
      <c r="BC131">
        <v>6.56</v>
      </c>
      <c r="BD131" t="s">
        <v>6</v>
      </c>
      <c r="BE131" t="s">
        <v>6</v>
      </c>
      <c r="BF131" t="s">
        <v>6</v>
      </c>
      <c r="BG131" t="s">
        <v>6</v>
      </c>
      <c r="BH131">
        <v>3</v>
      </c>
      <c r="BI131">
        <v>1</v>
      </c>
      <c r="BJ131" t="s">
        <v>370</v>
      </c>
      <c r="BM131">
        <v>61001</v>
      </c>
      <c r="BN131">
        <v>0</v>
      </c>
      <c r="BO131" t="s">
        <v>6</v>
      </c>
      <c r="BP131">
        <v>0</v>
      </c>
      <c r="BQ131">
        <v>6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79</v>
      </c>
      <c r="CA131">
        <v>50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36"/>
        <v>91815.91</v>
      </c>
      <c r="CQ131">
        <f t="shared" si="137"/>
        <v>13.579199999999998</v>
      </c>
      <c r="CR131">
        <f t="shared" si="138"/>
        <v>0</v>
      </c>
      <c r="CS131">
        <f t="shared" si="139"/>
        <v>0</v>
      </c>
      <c r="CT131">
        <f t="shared" si="140"/>
        <v>0</v>
      </c>
      <c r="CU131">
        <f t="shared" si="141"/>
        <v>0</v>
      </c>
      <c r="CV131">
        <f t="shared" si="142"/>
        <v>0</v>
      </c>
      <c r="CW131">
        <f t="shared" si="143"/>
        <v>0</v>
      </c>
      <c r="CX131">
        <f t="shared" si="144"/>
        <v>0</v>
      </c>
      <c r="CY131">
        <f t="shared" si="145"/>
        <v>0</v>
      </c>
      <c r="CZ131">
        <f t="shared" si="146"/>
        <v>0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1009</v>
      </c>
      <c r="DV131" t="s">
        <v>341</v>
      </c>
      <c r="DW131" t="s">
        <v>341</v>
      </c>
      <c r="DX131">
        <v>1</v>
      </c>
      <c r="EE131">
        <v>16510570</v>
      </c>
      <c r="EF131">
        <v>6</v>
      </c>
      <c r="EG131" t="s">
        <v>36</v>
      </c>
      <c r="EH131">
        <v>0</v>
      </c>
      <c r="EI131" t="s">
        <v>6</v>
      </c>
      <c r="EJ131">
        <v>1</v>
      </c>
      <c r="EK131">
        <v>61001</v>
      </c>
      <c r="EL131" t="s">
        <v>289</v>
      </c>
      <c r="EM131" t="s">
        <v>290</v>
      </c>
      <c r="EO131" t="s">
        <v>6</v>
      </c>
      <c r="EQ131">
        <v>0</v>
      </c>
      <c r="ER131">
        <v>2.0699999999999998</v>
      </c>
      <c r="ES131">
        <v>2.0699999999999998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47"/>
        <v>0</v>
      </c>
      <c r="FS131">
        <v>0</v>
      </c>
      <c r="FX131">
        <v>79</v>
      </c>
      <c r="FY131">
        <v>50</v>
      </c>
      <c r="GA131" t="s">
        <v>6</v>
      </c>
      <c r="GD131">
        <v>0</v>
      </c>
      <c r="GF131">
        <v>-60067644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48"/>
        <v>0</v>
      </c>
      <c r="GM131">
        <f t="shared" si="149"/>
        <v>91815.91</v>
      </c>
      <c r="GN131">
        <f t="shared" si="150"/>
        <v>91815.91</v>
      </c>
      <c r="GO131">
        <f t="shared" si="151"/>
        <v>0</v>
      </c>
      <c r="GP131">
        <f t="shared" si="152"/>
        <v>0</v>
      </c>
      <c r="GR131">
        <v>0</v>
      </c>
      <c r="GS131">
        <v>3</v>
      </c>
      <c r="GT131">
        <v>0</v>
      </c>
      <c r="GU131" t="s">
        <v>6</v>
      </c>
      <c r="GV131">
        <f t="shared" si="153"/>
        <v>0</v>
      </c>
      <c r="GW131">
        <v>1</v>
      </c>
      <c r="GX131">
        <f t="shared" si="154"/>
        <v>0</v>
      </c>
      <c r="HA131">
        <v>0</v>
      </c>
      <c r="HB131">
        <v>0</v>
      </c>
      <c r="IK131">
        <v>0</v>
      </c>
    </row>
    <row r="132" spans="1:245" x14ac:dyDescent="0.2">
      <c r="A132">
        <v>18</v>
      </c>
      <c r="B132">
        <v>1</v>
      </c>
      <c r="C132">
        <v>193</v>
      </c>
      <c r="E132" t="s">
        <v>371</v>
      </c>
      <c r="F132" t="s">
        <v>372</v>
      </c>
      <c r="G132" t="s">
        <v>373</v>
      </c>
      <c r="H132" t="s">
        <v>100</v>
      </c>
      <c r="I132">
        <f>I130*J132</f>
        <v>6.7615109999999996</v>
      </c>
      <c r="J132">
        <v>0.85499999999999998</v>
      </c>
      <c r="O132">
        <f t="shared" si="121"/>
        <v>0</v>
      </c>
      <c r="P132">
        <f t="shared" si="122"/>
        <v>0</v>
      </c>
      <c r="Q132">
        <f t="shared" si="123"/>
        <v>0</v>
      </c>
      <c r="R132">
        <f t="shared" si="124"/>
        <v>0</v>
      </c>
      <c r="S132">
        <f t="shared" si="125"/>
        <v>0</v>
      </c>
      <c r="T132">
        <f t="shared" si="126"/>
        <v>0</v>
      </c>
      <c r="U132">
        <f t="shared" si="127"/>
        <v>0</v>
      </c>
      <c r="V132">
        <f t="shared" si="128"/>
        <v>0</v>
      </c>
      <c r="W132">
        <f t="shared" si="129"/>
        <v>0</v>
      </c>
      <c r="X132">
        <f t="shared" si="130"/>
        <v>0</v>
      </c>
      <c r="Y132">
        <f t="shared" si="131"/>
        <v>0</v>
      </c>
      <c r="AA132">
        <v>16742901</v>
      </c>
      <c r="AB132">
        <f t="shared" si="132"/>
        <v>0</v>
      </c>
      <c r="AC132">
        <f t="shared" si="133"/>
        <v>0</v>
      </c>
      <c r="AD132">
        <f t="shared" si="116"/>
        <v>0</v>
      </c>
      <c r="AE132">
        <f t="shared" si="117"/>
        <v>0</v>
      </c>
      <c r="AF132">
        <f t="shared" si="118"/>
        <v>0</v>
      </c>
      <c r="AG132">
        <f t="shared" si="134"/>
        <v>0</v>
      </c>
      <c r="AH132">
        <f t="shared" si="119"/>
        <v>0</v>
      </c>
      <c r="AI132">
        <f t="shared" si="120"/>
        <v>0</v>
      </c>
      <c r="AJ132">
        <f t="shared" si="135"/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79</v>
      </c>
      <c r="AU132">
        <v>50</v>
      </c>
      <c r="AV132">
        <v>1</v>
      </c>
      <c r="AW132">
        <v>1</v>
      </c>
      <c r="AZ132">
        <v>6.56</v>
      </c>
      <c r="BA132">
        <v>1</v>
      </c>
      <c r="BB132">
        <v>1</v>
      </c>
      <c r="BC132">
        <v>6.56</v>
      </c>
      <c r="BD132" t="s">
        <v>6</v>
      </c>
      <c r="BE132" t="s">
        <v>6</v>
      </c>
      <c r="BF132" t="s">
        <v>6</v>
      </c>
      <c r="BG132" t="s">
        <v>6</v>
      </c>
      <c r="BH132">
        <v>3</v>
      </c>
      <c r="BI132">
        <v>1</v>
      </c>
      <c r="BJ132" t="s">
        <v>6</v>
      </c>
      <c r="BM132">
        <v>61001</v>
      </c>
      <c r="BN132">
        <v>0</v>
      </c>
      <c r="BO132" t="s">
        <v>6</v>
      </c>
      <c r="BP132">
        <v>0</v>
      </c>
      <c r="BQ132">
        <v>6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79</v>
      </c>
      <c r="CA132">
        <v>50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36"/>
        <v>0</v>
      </c>
      <c r="CQ132">
        <f t="shared" si="137"/>
        <v>0</v>
      </c>
      <c r="CR132">
        <f t="shared" si="138"/>
        <v>0</v>
      </c>
      <c r="CS132">
        <f t="shared" si="139"/>
        <v>0</v>
      </c>
      <c r="CT132">
        <f t="shared" si="140"/>
        <v>0</v>
      </c>
      <c r="CU132">
        <f t="shared" si="141"/>
        <v>0</v>
      </c>
      <c r="CV132">
        <f t="shared" si="142"/>
        <v>0</v>
      </c>
      <c r="CW132">
        <f t="shared" si="143"/>
        <v>0</v>
      </c>
      <c r="CX132">
        <f t="shared" si="144"/>
        <v>0</v>
      </c>
      <c r="CY132">
        <f t="shared" si="145"/>
        <v>0</v>
      </c>
      <c r="CZ132">
        <f t="shared" si="146"/>
        <v>0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1009</v>
      </c>
      <c r="DV132" t="s">
        <v>100</v>
      </c>
      <c r="DW132" t="s">
        <v>100</v>
      </c>
      <c r="DX132">
        <v>1000</v>
      </c>
      <c r="EE132">
        <v>16510570</v>
      </c>
      <c r="EF132">
        <v>6</v>
      </c>
      <c r="EG132" t="s">
        <v>36</v>
      </c>
      <c r="EH132">
        <v>0</v>
      </c>
      <c r="EI132" t="s">
        <v>6</v>
      </c>
      <c r="EJ132">
        <v>1</v>
      </c>
      <c r="EK132">
        <v>61001</v>
      </c>
      <c r="EL132" t="s">
        <v>289</v>
      </c>
      <c r="EM132" t="s">
        <v>290</v>
      </c>
      <c r="EO132" t="s">
        <v>6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47"/>
        <v>0</v>
      </c>
      <c r="FS132">
        <v>0</v>
      </c>
      <c r="FX132">
        <v>79</v>
      </c>
      <c r="FY132">
        <v>50</v>
      </c>
      <c r="GA132" t="s">
        <v>6</v>
      </c>
      <c r="GD132">
        <v>0</v>
      </c>
      <c r="GF132">
        <v>1880203204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48"/>
        <v>0</v>
      </c>
      <c r="GM132">
        <f t="shared" si="149"/>
        <v>0</v>
      </c>
      <c r="GN132">
        <f t="shared" si="150"/>
        <v>0</v>
      </c>
      <c r="GO132">
        <f t="shared" si="151"/>
        <v>0</v>
      </c>
      <c r="GP132">
        <f t="shared" si="152"/>
        <v>0</v>
      </c>
      <c r="GR132">
        <v>0</v>
      </c>
      <c r="GS132">
        <v>3</v>
      </c>
      <c r="GT132">
        <v>0</v>
      </c>
      <c r="GU132" t="s">
        <v>6</v>
      </c>
      <c r="GV132">
        <f t="shared" si="153"/>
        <v>0</v>
      </c>
      <c r="GW132">
        <v>1</v>
      </c>
      <c r="GX132">
        <f t="shared" si="154"/>
        <v>0</v>
      </c>
      <c r="HA132">
        <v>0</v>
      </c>
      <c r="HB132">
        <v>0</v>
      </c>
      <c r="IK132">
        <v>0</v>
      </c>
    </row>
    <row r="133" spans="1:245" x14ac:dyDescent="0.2">
      <c r="A133">
        <v>17</v>
      </c>
      <c r="B133">
        <v>1</v>
      </c>
      <c r="C133">
        <f>ROW(SmtRes!A201)</f>
        <v>201</v>
      </c>
      <c r="D133">
        <f>ROW(EtalonRes!A195)</f>
        <v>195</v>
      </c>
      <c r="E133" t="s">
        <v>374</v>
      </c>
      <c r="F133" t="s">
        <v>375</v>
      </c>
      <c r="G133" t="s">
        <v>376</v>
      </c>
      <c r="H133" t="s">
        <v>20</v>
      </c>
      <c r="I133">
        <f>ROUND(119/100,9)</f>
        <v>1.19</v>
      </c>
      <c r="J133">
        <v>0</v>
      </c>
      <c r="O133">
        <f t="shared" si="121"/>
        <v>15930.36</v>
      </c>
      <c r="P133">
        <f t="shared" si="122"/>
        <v>8824.35</v>
      </c>
      <c r="Q133">
        <f t="shared" si="123"/>
        <v>807.03</v>
      </c>
      <c r="R133">
        <f t="shared" si="124"/>
        <v>467.6</v>
      </c>
      <c r="S133">
        <f t="shared" si="125"/>
        <v>6298.98</v>
      </c>
      <c r="T133">
        <f t="shared" si="126"/>
        <v>0</v>
      </c>
      <c r="U133">
        <f t="shared" si="127"/>
        <v>102.14959999999999</v>
      </c>
      <c r="V133">
        <f t="shared" si="128"/>
        <v>7.4851000000000001</v>
      </c>
      <c r="W133">
        <f t="shared" si="129"/>
        <v>0</v>
      </c>
      <c r="X133">
        <f t="shared" si="130"/>
        <v>6428.25</v>
      </c>
      <c r="Y133">
        <f t="shared" si="131"/>
        <v>3180.29</v>
      </c>
      <c r="AA133">
        <v>16742901</v>
      </c>
      <c r="AB133">
        <f t="shared" si="132"/>
        <v>2040.68</v>
      </c>
      <c r="AC133">
        <f t="shared" si="133"/>
        <v>1130.4000000000001</v>
      </c>
      <c r="AD133">
        <f t="shared" si="116"/>
        <v>103.38</v>
      </c>
      <c r="AE133">
        <f t="shared" si="117"/>
        <v>59.9</v>
      </c>
      <c r="AF133">
        <f t="shared" si="118"/>
        <v>806.9</v>
      </c>
      <c r="AG133">
        <f t="shared" si="134"/>
        <v>0</v>
      </c>
      <c r="AH133">
        <f t="shared" si="119"/>
        <v>85.84</v>
      </c>
      <c r="AI133">
        <f t="shared" si="120"/>
        <v>6.29</v>
      </c>
      <c r="AJ133">
        <f t="shared" si="135"/>
        <v>0</v>
      </c>
      <c r="AK133">
        <v>2040.68</v>
      </c>
      <c r="AL133">
        <v>1130.4000000000001</v>
      </c>
      <c r="AM133">
        <v>103.38</v>
      </c>
      <c r="AN133">
        <v>59.9</v>
      </c>
      <c r="AO133">
        <v>806.9</v>
      </c>
      <c r="AP133">
        <v>0</v>
      </c>
      <c r="AQ133">
        <v>85.84</v>
      </c>
      <c r="AR133">
        <v>6.29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6.56</v>
      </c>
      <c r="BA133">
        <v>6.56</v>
      </c>
      <c r="BB133">
        <v>6.56</v>
      </c>
      <c r="BC133">
        <v>6.56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377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6.56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36"/>
        <v>15930.36</v>
      </c>
      <c r="CQ133">
        <f t="shared" si="137"/>
        <v>7415.424</v>
      </c>
      <c r="CR133">
        <f t="shared" si="138"/>
        <v>678.17279999999994</v>
      </c>
      <c r="CS133">
        <f t="shared" si="139"/>
        <v>392.94399999999996</v>
      </c>
      <c r="CT133">
        <f t="shared" si="140"/>
        <v>5293.2639999999992</v>
      </c>
      <c r="CU133">
        <f t="shared" si="141"/>
        <v>0</v>
      </c>
      <c r="CV133">
        <f t="shared" si="142"/>
        <v>85.84</v>
      </c>
      <c r="CW133">
        <f t="shared" si="143"/>
        <v>6.29</v>
      </c>
      <c r="CX133">
        <f t="shared" si="144"/>
        <v>0</v>
      </c>
      <c r="CY133">
        <f t="shared" si="145"/>
        <v>6428.2510000000002</v>
      </c>
      <c r="CZ133">
        <f t="shared" si="146"/>
        <v>3180.2926000000002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1005</v>
      </c>
      <c r="DV133" t="s">
        <v>20</v>
      </c>
      <c r="DW133" t="s">
        <v>20</v>
      </c>
      <c r="DX133">
        <v>100</v>
      </c>
      <c r="EE133">
        <v>16510513</v>
      </c>
      <c r="EF133">
        <v>2</v>
      </c>
      <c r="EG133" t="s">
        <v>22</v>
      </c>
      <c r="EH133">
        <v>0</v>
      </c>
      <c r="EI133" t="s">
        <v>6</v>
      </c>
      <c r="EJ133">
        <v>1</v>
      </c>
      <c r="EK133">
        <v>15001</v>
      </c>
      <c r="EL133" t="s">
        <v>229</v>
      </c>
      <c r="EM133" t="s">
        <v>230</v>
      </c>
      <c r="EO133" t="s">
        <v>6</v>
      </c>
      <c r="EQ133">
        <v>0</v>
      </c>
      <c r="ER133">
        <v>2040.68</v>
      </c>
      <c r="ES133">
        <v>1130.4000000000001</v>
      </c>
      <c r="ET133">
        <v>103.38</v>
      </c>
      <c r="EU133">
        <v>59.9</v>
      </c>
      <c r="EV133">
        <v>806.9</v>
      </c>
      <c r="EW133">
        <v>85.84</v>
      </c>
      <c r="EX133">
        <v>6.29</v>
      </c>
      <c r="EY133">
        <v>0</v>
      </c>
      <c r="FQ133">
        <v>0</v>
      </c>
      <c r="FR133">
        <f t="shared" si="147"/>
        <v>0</v>
      </c>
      <c r="FS133">
        <v>0</v>
      </c>
      <c r="FT133" t="s">
        <v>25</v>
      </c>
      <c r="FU133" t="s">
        <v>26</v>
      </c>
      <c r="FX133">
        <v>94.5</v>
      </c>
      <c r="FY133">
        <v>46.75</v>
      </c>
      <c r="GA133" t="s">
        <v>6</v>
      </c>
      <c r="GD133">
        <v>0</v>
      </c>
      <c r="GF133">
        <v>2119154356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48"/>
        <v>0</v>
      </c>
      <c r="GM133">
        <f t="shared" si="149"/>
        <v>25538.9</v>
      </c>
      <c r="GN133">
        <f t="shared" si="150"/>
        <v>25538.9</v>
      </c>
      <c r="GO133">
        <f t="shared" si="151"/>
        <v>0</v>
      </c>
      <c r="GP133">
        <f t="shared" si="152"/>
        <v>0</v>
      </c>
      <c r="GR133">
        <v>0</v>
      </c>
      <c r="GS133">
        <v>3</v>
      </c>
      <c r="GT133">
        <v>0</v>
      </c>
      <c r="GU133" t="s">
        <v>6</v>
      </c>
      <c r="GV133">
        <f t="shared" si="153"/>
        <v>0</v>
      </c>
      <c r="GW133">
        <v>1</v>
      </c>
      <c r="GX133">
        <f t="shared" si="154"/>
        <v>0</v>
      </c>
      <c r="HA133">
        <v>0</v>
      </c>
      <c r="HB133">
        <v>0</v>
      </c>
      <c r="IK133">
        <v>0</v>
      </c>
    </row>
    <row r="134" spans="1:245" x14ac:dyDescent="0.2">
      <c r="A134">
        <v>17</v>
      </c>
      <c r="B134">
        <v>1</v>
      </c>
      <c r="C134">
        <f>ROW(SmtRes!A214)</f>
        <v>214</v>
      </c>
      <c r="D134">
        <f>ROW(EtalonRes!A207)</f>
        <v>207</v>
      </c>
      <c r="E134" t="s">
        <v>378</v>
      </c>
      <c r="F134" t="s">
        <v>379</v>
      </c>
      <c r="G134" t="s">
        <v>380</v>
      </c>
      <c r="H134" t="s">
        <v>20</v>
      </c>
      <c r="I134">
        <f>ROUND(587.93/100,9)</f>
        <v>5.8792999999999997</v>
      </c>
      <c r="J134">
        <v>0</v>
      </c>
      <c r="O134">
        <f t="shared" si="121"/>
        <v>26292.34</v>
      </c>
      <c r="P134">
        <f t="shared" si="122"/>
        <v>16682.68</v>
      </c>
      <c r="Q134">
        <f t="shared" si="123"/>
        <v>272.68</v>
      </c>
      <c r="R134">
        <f t="shared" si="124"/>
        <v>79.06</v>
      </c>
      <c r="S134">
        <f t="shared" si="125"/>
        <v>9336.98</v>
      </c>
      <c r="T134">
        <f t="shared" si="126"/>
        <v>0</v>
      </c>
      <c r="U134">
        <f t="shared" si="127"/>
        <v>164.73798599999998</v>
      </c>
      <c r="V134">
        <f t="shared" si="128"/>
        <v>0.94068799999999997</v>
      </c>
      <c r="W134">
        <f t="shared" si="129"/>
        <v>0</v>
      </c>
      <c r="X134">
        <f t="shared" si="130"/>
        <v>7532.83</v>
      </c>
      <c r="Y134">
        <f t="shared" si="131"/>
        <v>4708.0200000000004</v>
      </c>
      <c r="AA134">
        <v>16742901</v>
      </c>
      <c r="AB134">
        <f t="shared" si="132"/>
        <v>681.71</v>
      </c>
      <c r="AC134">
        <f t="shared" si="133"/>
        <v>432.55</v>
      </c>
      <c r="AD134">
        <f t="shared" si="116"/>
        <v>7.07</v>
      </c>
      <c r="AE134">
        <f t="shared" si="117"/>
        <v>2.0499999999999998</v>
      </c>
      <c r="AF134">
        <f t="shared" si="118"/>
        <v>242.09</v>
      </c>
      <c r="AG134">
        <f t="shared" si="134"/>
        <v>0</v>
      </c>
      <c r="AH134">
        <f t="shared" si="119"/>
        <v>28.02</v>
      </c>
      <c r="AI134">
        <f t="shared" si="120"/>
        <v>0.16</v>
      </c>
      <c r="AJ134">
        <f t="shared" si="135"/>
        <v>0</v>
      </c>
      <c r="AK134">
        <v>681.71</v>
      </c>
      <c r="AL134">
        <v>432.55</v>
      </c>
      <c r="AM134">
        <v>7.07</v>
      </c>
      <c r="AN134">
        <v>2.0499999999999998</v>
      </c>
      <c r="AO134">
        <v>242.09</v>
      </c>
      <c r="AP134">
        <v>0</v>
      </c>
      <c r="AQ134">
        <v>28.02</v>
      </c>
      <c r="AR134">
        <v>0.16</v>
      </c>
      <c r="AS134">
        <v>0</v>
      </c>
      <c r="AT134">
        <v>80</v>
      </c>
      <c r="AU134">
        <v>50</v>
      </c>
      <c r="AV134">
        <v>1</v>
      </c>
      <c r="AW134">
        <v>1</v>
      </c>
      <c r="AZ134">
        <v>6.56</v>
      </c>
      <c r="BA134">
        <v>6.56</v>
      </c>
      <c r="BB134">
        <v>6.56</v>
      </c>
      <c r="BC134">
        <v>6.56</v>
      </c>
      <c r="BD134" t="s">
        <v>6</v>
      </c>
      <c r="BE134" t="s">
        <v>6</v>
      </c>
      <c r="BF134" t="s">
        <v>6</v>
      </c>
      <c r="BG134" t="s">
        <v>6</v>
      </c>
      <c r="BH134">
        <v>0</v>
      </c>
      <c r="BI134">
        <v>1</v>
      </c>
      <c r="BJ134" t="s">
        <v>381</v>
      </c>
      <c r="BM134">
        <v>62001</v>
      </c>
      <c r="BN134">
        <v>0</v>
      </c>
      <c r="BO134" t="s">
        <v>6</v>
      </c>
      <c r="BP134">
        <v>0</v>
      </c>
      <c r="BQ134">
        <v>6</v>
      </c>
      <c r="BR134">
        <v>0</v>
      </c>
      <c r="BS134">
        <v>6.56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80</v>
      </c>
      <c r="CA134">
        <v>50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36"/>
        <v>26292.34</v>
      </c>
      <c r="CQ134">
        <f t="shared" si="137"/>
        <v>2837.5279999999998</v>
      </c>
      <c r="CR134">
        <f t="shared" si="138"/>
        <v>46.379199999999997</v>
      </c>
      <c r="CS134">
        <f t="shared" si="139"/>
        <v>13.447999999999999</v>
      </c>
      <c r="CT134">
        <f t="shared" si="140"/>
        <v>1588.1104</v>
      </c>
      <c r="CU134">
        <f t="shared" si="141"/>
        <v>0</v>
      </c>
      <c r="CV134">
        <f t="shared" si="142"/>
        <v>28.02</v>
      </c>
      <c r="CW134">
        <f t="shared" si="143"/>
        <v>0.16</v>
      </c>
      <c r="CX134">
        <f t="shared" si="144"/>
        <v>0</v>
      </c>
      <c r="CY134">
        <f t="shared" si="145"/>
        <v>7532.8319999999994</v>
      </c>
      <c r="CZ134">
        <f t="shared" si="146"/>
        <v>4708.0199999999995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1005</v>
      </c>
      <c r="DV134" t="s">
        <v>20</v>
      </c>
      <c r="DW134" t="s">
        <v>20</v>
      </c>
      <c r="DX134">
        <v>100</v>
      </c>
      <c r="EE134">
        <v>16510571</v>
      </c>
      <c r="EF134">
        <v>6</v>
      </c>
      <c r="EG134" t="s">
        <v>36</v>
      </c>
      <c r="EH134">
        <v>0</v>
      </c>
      <c r="EI134" t="s">
        <v>6</v>
      </c>
      <c r="EJ134">
        <v>1</v>
      </c>
      <c r="EK134">
        <v>62001</v>
      </c>
      <c r="EL134" t="s">
        <v>382</v>
      </c>
      <c r="EM134" t="s">
        <v>383</v>
      </c>
      <c r="EO134" t="s">
        <v>6</v>
      </c>
      <c r="EQ134">
        <v>131072</v>
      </c>
      <c r="ER134">
        <v>681.71</v>
      </c>
      <c r="ES134">
        <v>432.55</v>
      </c>
      <c r="ET134">
        <v>7.07</v>
      </c>
      <c r="EU134">
        <v>2.0499999999999998</v>
      </c>
      <c r="EV134">
        <v>242.09</v>
      </c>
      <c r="EW134">
        <v>28.02</v>
      </c>
      <c r="EX134">
        <v>0.16</v>
      </c>
      <c r="EY134">
        <v>0</v>
      </c>
      <c r="FQ134">
        <v>0</v>
      </c>
      <c r="FR134">
        <f t="shared" si="147"/>
        <v>0</v>
      </c>
      <c r="FS134">
        <v>0</v>
      </c>
      <c r="FX134">
        <v>80</v>
      </c>
      <c r="FY134">
        <v>50</v>
      </c>
      <c r="GA134" t="s">
        <v>6</v>
      </c>
      <c r="GD134">
        <v>0</v>
      </c>
      <c r="GF134">
        <v>-4588488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48"/>
        <v>0</v>
      </c>
      <c r="GM134">
        <f t="shared" si="149"/>
        <v>38533.19</v>
      </c>
      <c r="GN134">
        <f t="shared" si="150"/>
        <v>38533.19</v>
      </c>
      <c r="GO134">
        <f t="shared" si="151"/>
        <v>0</v>
      </c>
      <c r="GP134">
        <f t="shared" si="152"/>
        <v>0</v>
      </c>
      <c r="GR134">
        <v>0</v>
      </c>
      <c r="GS134">
        <v>3</v>
      </c>
      <c r="GT134">
        <v>0</v>
      </c>
      <c r="GU134" t="s">
        <v>6</v>
      </c>
      <c r="GV134">
        <f t="shared" si="153"/>
        <v>0</v>
      </c>
      <c r="GW134">
        <v>1</v>
      </c>
      <c r="GX134">
        <f t="shared" si="154"/>
        <v>0</v>
      </c>
      <c r="HA134">
        <v>0</v>
      </c>
      <c r="HB134">
        <v>0</v>
      </c>
      <c r="IK134">
        <v>0</v>
      </c>
    </row>
    <row r="135" spans="1:245" x14ac:dyDescent="0.2">
      <c r="A135">
        <v>18</v>
      </c>
      <c r="B135">
        <v>1</v>
      </c>
      <c r="C135">
        <v>213</v>
      </c>
      <c r="E135" t="s">
        <v>384</v>
      </c>
      <c r="F135" t="s">
        <v>385</v>
      </c>
      <c r="G135" t="s">
        <v>386</v>
      </c>
      <c r="H135" t="s">
        <v>100</v>
      </c>
      <c r="I135">
        <f>I134*J135</f>
        <v>0.39391300000000001</v>
      </c>
      <c r="J135">
        <v>6.6999982991172422E-2</v>
      </c>
      <c r="O135">
        <f t="shared" si="121"/>
        <v>21977.51</v>
      </c>
      <c r="P135">
        <f t="shared" si="122"/>
        <v>21977.51</v>
      </c>
      <c r="Q135">
        <f t="shared" si="123"/>
        <v>0</v>
      </c>
      <c r="R135">
        <f t="shared" si="124"/>
        <v>0</v>
      </c>
      <c r="S135">
        <f t="shared" si="125"/>
        <v>0</v>
      </c>
      <c r="T135">
        <f t="shared" si="126"/>
        <v>0</v>
      </c>
      <c r="U135">
        <f t="shared" si="127"/>
        <v>0</v>
      </c>
      <c r="V135">
        <f t="shared" si="128"/>
        <v>0</v>
      </c>
      <c r="W135">
        <f t="shared" si="129"/>
        <v>0</v>
      </c>
      <c r="X135">
        <f t="shared" si="130"/>
        <v>0</v>
      </c>
      <c r="Y135">
        <f t="shared" si="131"/>
        <v>0</v>
      </c>
      <c r="AA135">
        <v>16742901</v>
      </c>
      <c r="AB135">
        <f t="shared" si="132"/>
        <v>8505</v>
      </c>
      <c r="AC135">
        <f t="shared" si="133"/>
        <v>8505</v>
      </c>
      <c r="AD135">
        <f t="shared" si="116"/>
        <v>0</v>
      </c>
      <c r="AE135">
        <f t="shared" si="117"/>
        <v>0</v>
      </c>
      <c r="AF135">
        <f t="shared" si="118"/>
        <v>0</v>
      </c>
      <c r="AG135">
        <f t="shared" si="134"/>
        <v>0</v>
      </c>
      <c r="AH135">
        <f t="shared" si="119"/>
        <v>0</v>
      </c>
      <c r="AI135">
        <f t="shared" si="120"/>
        <v>0</v>
      </c>
      <c r="AJ135">
        <f t="shared" si="135"/>
        <v>0</v>
      </c>
      <c r="AK135">
        <v>8505</v>
      </c>
      <c r="AL135">
        <v>8505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95</v>
      </c>
      <c r="AU135">
        <v>47</v>
      </c>
      <c r="AV135">
        <v>1</v>
      </c>
      <c r="AW135">
        <v>1</v>
      </c>
      <c r="AZ135">
        <v>6.56</v>
      </c>
      <c r="BA135">
        <v>1</v>
      </c>
      <c r="BB135">
        <v>1</v>
      </c>
      <c r="BC135">
        <v>6.56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387</v>
      </c>
      <c r="BM135">
        <v>15001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105</v>
      </c>
      <c r="CA135">
        <v>55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36"/>
        <v>21977.51</v>
      </c>
      <c r="CQ135">
        <f t="shared" si="137"/>
        <v>55792.799999999996</v>
      </c>
      <c r="CR135">
        <f t="shared" si="138"/>
        <v>0</v>
      </c>
      <c r="CS135">
        <f t="shared" si="139"/>
        <v>0</v>
      </c>
      <c r="CT135">
        <f t="shared" si="140"/>
        <v>0</v>
      </c>
      <c r="CU135">
        <f t="shared" si="141"/>
        <v>0</v>
      </c>
      <c r="CV135">
        <f t="shared" si="142"/>
        <v>0</v>
      </c>
      <c r="CW135">
        <f t="shared" si="143"/>
        <v>0</v>
      </c>
      <c r="CX135">
        <f t="shared" si="144"/>
        <v>0</v>
      </c>
      <c r="CY135">
        <f t="shared" si="145"/>
        <v>0</v>
      </c>
      <c r="CZ135">
        <f t="shared" si="146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1009</v>
      </c>
      <c r="DV135" t="s">
        <v>100</v>
      </c>
      <c r="DW135" t="s">
        <v>100</v>
      </c>
      <c r="DX135">
        <v>1000</v>
      </c>
      <c r="EE135">
        <v>16510513</v>
      </c>
      <c r="EF135">
        <v>2</v>
      </c>
      <c r="EG135" t="s">
        <v>22</v>
      </c>
      <c r="EH135">
        <v>0</v>
      </c>
      <c r="EI135" t="s">
        <v>6</v>
      </c>
      <c r="EJ135">
        <v>1</v>
      </c>
      <c r="EK135">
        <v>15001</v>
      </c>
      <c r="EL135" t="s">
        <v>229</v>
      </c>
      <c r="EM135" t="s">
        <v>230</v>
      </c>
      <c r="EO135" t="s">
        <v>6</v>
      </c>
      <c r="EQ135">
        <v>0</v>
      </c>
      <c r="ER135">
        <v>8505</v>
      </c>
      <c r="ES135">
        <v>8505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47"/>
        <v>0</v>
      </c>
      <c r="FS135">
        <v>0</v>
      </c>
      <c r="FT135" t="s">
        <v>25</v>
      </c>
      <c r="FU135" t="s">
        <v>26</v>
      </c>
      <c r="FX135">
        <v>94.5</v>
      </c>
      <c r="FY135">
        <v>46.75</v>
      </c>
      <c r="GA135" t="s">
        <v>6</v>
      </c>
      <c r="GD135">
        <v>0</v>
      </c>
      <c r="GF135">
        <v>1146787971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48"/>
        <v>0</v>
      </c>
      <c r="GM135">
        <f t="shared" si="149"/>
        <v>21977.51</v>
      </c>
      <c r="GN135">
        <f t="shared" si="150"/>
        <v>21977.51</v>
      </c>
      <c r="GO135">
        <f t="shared" si="151"/>
        <v>0</v>
      </c>
      <c r="GP135">
        <f t="shared" si="152"/>
        <v>0</v>
      </c>
      <c r="GR135">
        <v>0</v>
      </c>
      <c r="GS135">
        <v>3</v>
      </c>
      <c r="GT135">
        <v>0</v>
      </c>
      <c r="GU135" t="s">
        <v>6</v>
      </c>
      <c r="GV135">
        <f t="shared" si="153"/>
        <v>0</v>
      </c>
      <c r="GW135">
        <v>1</v>
      </c>
      <c r="GX135">
        <f t="shared" si="154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212</v>
      </c>
      <c r="E136" t="s">
        <v>388</v>
      </c>
      <c r="F136" t="s">
        <v>240</v>
      </c>
      <c r="G136" t="s">
        <v>241</v>
      </c>
      <c r="H136" t="s">
        <v>100</v>
      </c>
      <c r="I136">
        <f>I134*J136</f>
        <v>0.39391300000000001</v>
      </c>
      <c r="J136">
        <v>6.6999982991172422E-2</v>
      </c>
      <c r="O136">
        <f t="shared" si="121"/>
        <v>0</v>
      </c>
      <c r="P136">
        <f t="shared" si="122"/>
        <v>0</v>
      </c>
      <c r="Q136">
        <f t="shared" si="123"/>
        <v>0</v>
      </c>
      <c r="R136">
        <f t="shared" si="124"/>
        <v>0</v>
      </c>
      <c r="S136">
        <f t="shared" si="125"/>
        <v>0</v>
      </c>
      <c r="T136">
        <f t="shared" si="126"/>
        <v>0</v>
      </c>
      <c r="U136">
        <f t="shared" si="127"/>
        <v>0</v>
      </c>
      <c r="V136">
        <f t="shared" si="128"/>
        <v>0</v>
      </c>
      <c r="W136">
        <f t="shared" si="129"/>
        <v>0</v>
      </c>
      <c r="X136">
        <f t="shared" si="130"/>
        <v>0</v>
      </c>
      <c r="Y136">
        <f t="shared" si="131"/>
        <v>0</v>
      </c>
      <c r="AA136">
        <v>16742901</v>
      </c>
      <c r="AB136">
        <f t="shared" si="132"/>
        <v>0</v>
      </c>
      <c r="AC136">
        <f t="shared" si="133"/>
        <v>0</v>
      </c>
      <c r="AD136">
        <f t="shared" si="116"/>
        <v>0</v>
      </c>
      <c r="AE136">
        <f t="shared" si="117"/>
        <v>0</v>
      </c>
      <c r="AF136">
        <f t="shared" si="118"/>
        <v>0</v>
      </c>
      <c r="AG136">
        <f t="shared" si="134"/>
        <v>0</v>
      </c>
      <c r="AH136">
        <f t="shared" si="119"/>
        <v>0</v>
      </c>
      <c r="AI136">
        <f t="shared" si="120"/>
        <v>0</v>
      </c>
      <c r="AJ136">
        <f t="shared" si="135"/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80</v>
      </c>
      <c r="AU136">
        <v>50</v>
      </c>
      <c r="AV136">
        <v>1</v>
      </c>
      <c r="AW136">
        <v>1</v>
      </c>
      <c r="AZ136">
        <v>6.56</v>
      </c>
      <c r="BA136">
        <v>1</v>
      </c>
      <c r="BB136">
        <v>1</v>
      </c>
      <c r="BC136">
        <v>6.56</v>
      </c>
      <c r="BD136" t="s">
        <v>6</v>
      </c>
      <c r="BE136" t="s">
        <v>6</v>
      </c>
      <c r="BF136" t="s">
        <v>6</v>
      </c>
      <c r="BG136" t="s">
        <v>6</v>
      </c>
      <c r="BH136">
        <v>3</v>
      </c>
      <c r="BI136">
        <v>1</v>
      </c>
      <c r="BJ136" t="s">
        <v>6</v>
      </c>
      <c r="BM136">
        <v>62001</v>
      </c>
      <c r="BN136">
        <v>0</v>
      </c>
      <c r="BO136" t="s">
        <v>6</v>
      </c>
      <c r="BP136">
        <v>0</v>
      </c>
      <c r="BQ136">
        <v>6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80</v>
      </c>
      <c r="CA136">
        <v>50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36"/>
        <v>0</v>
      </c>
      <c r="CQ136">
        <f t="shared" si="137"/>
        <v>0</v>
      </c>
      <c r="CR136">
        <f t="shared" si="138"/>
        <v>0</v>
      </c>
      <c r="CS136">
        <f t="shared" si="139"/>
        <v>0</v>
      </c>
      <c r="CT136">
        <f t="shared" si="140"/>
        <v>0</v>
      </c>
      <c r="CU136">
        <f t="shared" si="141"/>
        <v>0</v>
      </c>
      <c r="CV136">
        <f t="shared" si="142"/>
        <v>0</v>
      </c>
      <c r="CW136">
        <f t="shared" si="143"/>
        <v>0</v>
      </c>
      <c r="CX136">
        <f t="shared" si="144"/>
        <v>0</v>
      </c>
      <c r="CY136">
        <f t="shared" si="145"/>
        <v>0</v>
      </c>
      <c r="CZ136">
        <f t="shared" si="146"/>
        <v>0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1009</v>
      </c>
      <c r="DV136" t="s">
        <v>100</v>
      </c>
      <c r="DW136" t="s">
        <v>100</v>
      </c>
      <c r="DX136">
        <v>1000</v>
      </c>
      <c r="EE136">
        <v>16510571</v>
      </c>
      <c r="EF136">
        <v>6</v>
      </c>
      <c r="EG136" t="s">
        <v>36</v>
      </c>
      <c r="EH136">
        <v>0</v>
      </c>
      <c r="EI136" t="s">
        <v>6</v>
      </c>
      <c r="EJ136">
        <v>1</v>
      </c>
      <c r="EK136">
        <v>62001</v>
      </c>
      <c r="EL136" t="s">
        <v>382</v>
      </c>
      <c r="EM136" t="s">
        <v>383</v>
      </c>
      <c r="EO136" t="s">
        <v>6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47"/>
        <v>0</v>
      </c>
      <c r="FS136">
        <v>0</v>
      </c>
      <c r="FX136">
        <v>80</v>
      </c>
      <c r="FY136">
        <v>50</v>
      </c>
      <c r="GA136" t="s">
        <v>6</v>
      </c>
      <c r="GD136">
        <v>0</v>
      </c>
      <c r="GF136">
        <v>1891904026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48"/>
        <v>0</v>
      </c>
      <c r="GM136">
        <f t="shared" si="149"/>
        <v>0</v>
      </c>
      <c r="GN136">
        <f t="shared" si="150"/>
        <v>0</v>
      </c>
      <c r="GO136">
        <f t="shared" si="151"/>
        <v>0</v>
      </c>
      <c r="GP136">
        <f t="shared" si="152"/>
        <v>0</v>
      </c>
      <c r="GR136">
        <v>0</v>
      </c>
      <c r="GS136">
        <v>3</v>
      </c>
      <c r="GT136">
        <v>0</v>
      </c>
      <c r="GU136" t="s">
        <v>6</v>
      </c>
      <c r="GV136">
        <f t="shared" si="153"/>
        <v>0</v>
      </c>
      <c r="GW136">
        <v>1</v>
      </c>
      <c r="GX136">
        <f t="shared" si="154"/>
        <v>0</v>
      </c>
      <c r="HA136">
        <v>0</v>
      </c>
      <c r="HB136">
        <v>0</v>
      </c>
      <c r="IK136">
        <v>0</v>
      </c>
    </row>
    <row r="137" spans="1:245" x14ac:dyDescent="0.2">
      <c r="A137">
        <v>17</v>
      </c>
      <c r="B137">
        <v>1</v>
      </c>
      <c r="C137">
        <f>ROW(SmtRes!A225)</f>
        <v>225</v>
      </c>
      <c r="D137">
        <f>ROW(EtalonRes!A218)</f>
        <v>218</v>
      </c>
      <c r="E137" t="s">
        <v>389</v>
      </c>
      <c r="F137" t="s">
        <v>390</v>
      </c>
      <c r="G137" t="s">
        <v>391</v>
      </c>
      <c r="H137" t="s">
        <v>20</v>
      </c>
      <c r="I137">
        <f>ROUND(209.53/100,9)</f>
        <v>2.0952999999999999</v>
      </c>
      <c r="J137">
        <v>0</v>
      </c>
      <c r="O137">
        <f t="shared" si="121"/>
        <v>5771.18</v>
      </c>
      <c r="P137">
        <f t="shared" si="122"/>
        <v>1662.34</v>
      </c>
      <c r="Q137">
        <f t="shared" si="123"/>
        <v>13.33</v>
      </c>
      <c r="R137">
        <f t="shared" si="124"/>
        <v>3.57</v>
      </c>
      <c r="S137">
        <f t="shared" si="125"/>
        <v>4095.51</v>
      </c>
      <c r="T137">
        <f t="shared" si="126"/>
        <v>0</v>
      </c>
      <c r="U137">
        <f t="shared" si="127"/>
        <v>70.464939000000001</v>
      </c>
      <c r="V137">
        <f t="shared" si="128"/>
        <v>4.1905999999999999E-2</v>
      </c>
      <c r="W137">
        <f t="shared" si="129"/>
        <v>0</v>
      </c>
      <c r="X137">
        <f t="shared" si="130"/>
        <v>3894.13</v>
      </c>
      <c r="Y137">
        <f t="shared" si="131"/>
        <v>1926.57</v>
      </c>
      <c r="AA137">
        <v>16742901</v>
      </c>
      <c r="AB137">
        <f t="shared" si="132"/>
        <v>419.87</v>
      </c>
      <c r="AC137">
        <f t="shared" si="133"/>
        <v>120.94</v>
      </c>
      <c r="AD137">
        <f t="shared" si="116"/>
        <v>0.97</v>
      </c>
      <c r="AE137">
        <f t="shared" si="117"/>
        <v>0.26</v>
      </c>
      <c r="AF137">
        <f t="shared" si="118"/>
        <v>297.95999999999998</v>
      </c>
      <c r="AG137">
        <f t="shared" si="134"/>
        <v>0</v>
      </c>
      <c r="AH137">
        <f t="shared" si="119"/>
        <v>33.630000000000003</v>
      </c>
      <c r="AI137">
        <f t="shared" si="120"/>
        <v>0.02</v>
      </c>
      <c r="AJ137">
        <f t="shared" si="135"/>
        <v>0</v>
      </c>
      <c r="AK137">
        <v>419.87</v>
      </c>
      <c r="AL137">
        <v>120.94</v>
      </c>
      <c r="AM137">
        <v>0.97</v>
      </c>
      <c r="AN137">
        <v>0.26</v>
      </c>
      <c r="AO137">
        <v>297.95999999999998</v>
      </c>
      <c r="AP137">
        <v>0</v>
      </c>
      <c r="AQ137">
        <v>33.630000000000003</v>
      </c>
      <c r="AR137">
        <v>0.02</v>
      </c>
      <c r="AS137">
        <v>0</v>
      </c>
      <c r="AT137">
        <v>95</v>
      </c>
      <c r="AU137">
        <v>47</v>
      </c>
      <c r="AV137">
        <v>1</v>
      </c>
      <c r="AW137">
        <v>1</v>
      </c>
      <c r="AZ137">
        <v>6.56</v>
      </c>
      <c r="BA137">
        <v>6.56</v>
      </c>
      <c r="BB137">
        <v>6.56</v>
      </c>
      <c r="BC137">
        <v>6.56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392</v>
      </c>
      <c r="BM137">
        <v>15001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6.56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105</v>
      </c>
      <c r="CA137">
        <v>55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36"/>
        <v>5771.18</v>
      </c>
      <c r="CQ137">
        <f t="shared" si="137"/>
        <v>793.36639999999989</v>
      </c>
      <c r="CR137">
        <f t="shared" si="138"/>
        <v>6.3631999999999991</v>
      </c>
      <c r="CS137">
        <f t="shared" si="139"/>
        <v>1.7056</v>
      </c>
      <c r="CT137">
        <f t="shared" si="140"/>
        <v>1954.6175999999998</v>
      </c>
      <c r="CU137">
        <f t="shared" si="141"/>
        <v>0</v>
      </c>
      <c r="CV137">
        <f t="shared" si="142"/>
        <v>33.630000000000003</v>
      </c>
      <c r="CW137">
        <f t="shared" si="143"/>
        <v>0.02</v>
      </c>
      <c r="CX137">
        <f t="shared" si="144"/>
        <v>0</v>
      </c>
      <c r="CY137">
        <f t="shared" si="145"/>
        <v>3894.1259999999997</v>
      </c>
      <c r="CZ137">
        <f t="shared" si="146"/>
        <v>1926.5676000000001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1005</v>
      </c>
      <c r="DV137" t="s">
        <v>20</v>
      </c>
      <c r="DW137" t="s">
        <v>20</v>
      </c>
      <c r="DX137">
        <v>100</v>
      </c>
      <c r="EE137">
        <v>16510513</v>
      </c>
      <c r="EF137">
        <v>2</v>
      </c>
      <c r="EG137" t="s">
        <v>22</v>
      </c>
      <c r="EH137">
        <v>0</v>
      </c>
      <c r="EI137" t="s">
        <v>6</v>
      </c>
      <c r="EJ137">
        <v>1</v>
      </c>
      <c r="EK137">
        <v>15001</v>
      </c>
      <c r="EL137" t="s">
        <v>229</v>
      </c>
      <c r="EM137" t="s">
        <v>230</v>
      </c>
      <c r="EO137" t="s">
        <v>6</v>
      </c>
      <c r="EQ137">
        <v>131072</v>
      </c>
      <c r="ER137">
        <v>419.87</v>
      </c>
      <c r="ES137">
        <v>120.94</v>
      </c>
      <c r="ET137">
        <v>0.97</v>
      </c>
      <c r="EU137">
        <v>0.26</v>
      </c>
      <c r="EV137">
        <v>297.95999999999998</v>
      </c>
      <c r="EW137">
        <v>33.630000000000003</v>
      </c>
      <c r="EX137">
        <v>0.02</v>
      </c>
      <c r="EY137">
        <v>0</v>
      </c>
      <c r="FQ137">
        <v>0</v>
      </c>
      <c r="FR137">
        <f t="shared" si="147"/>
        <v>0</v>
      </c>
      <c r="FS137">
        <v>0</v>
      </c>
      <c r="FT137" t="s">
        <v>25</v>
      </c>
      <c r="FU137" t="s">
        <v>26</v>
      </c>
      <c r="FX137">
        <v>94.5</v>
      </c>
      <c r="FY137">
        <v>46.75</v>
      </c>
      <c r="GA137" t="s">
        <v>6</v>
      </c>
      <c r="GD137">
        <v>0</v>
      </c>
      <c r="GF137">
        <v>33197345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48"/>
        <v>0</v>
      </c>
      <c r="GM137">
        <f t="shared" si="149"/>
        <v>11591.88</v>
      </c>
      <c r="GN137">
        <f t="shared" si="150"/>
        <v>11591.88</v>
      </c>
      <c r="GO137">
        <f t="shared" si="151"/>
        <v>0</v>
      </c>
      <c r="GP137">
        <f t="shared" si="152"/>
        <v>0</v>
      </c>
      <c r="GR137">
        <v>0</v>
      </c>
      <c r="GS137">
        <v>3</v>
      </c>
      <c r="GT137">
        <v>0</v>
      </c>
      <c r="GU137" t="s">
        <v>6</v>
      </c>
      <c r="GV137">
        <f t="shared" si="153"/>
        <v>0</v>
      </c>
      <c r="GW137">
        <v>1</v>
      </c>
      <c r="GX137">
        <f t="shared" si="154"/>
        <v>0</v>
      </c>
      <c r="HA137">
        <v>0</v>
      </c>
      <c r="HB137">
        <v>0</v>
      </c>
      <c r="IK137">
        <v>0</v>
      </c>
    </row>
    <row r="138" spans="1:245" x14ac:dyDescent="0.2">
      <c r="A138">
        <v>18</v>
      </c>
      <c r="B138">
        <v>1</v>
      </c>
      <c r="C138">
        <v>219</v>
      </c>
      <c r="E138" t="s">
        <v>393</v>
      </c>
      <c r="F138" t="s">
        <v>394</v>
      </c>
      <c r="G138" t="s">
        <v>395</v>
      </c>
      <c r="H138" t="s">
        <v>20</v>
      </c>
      <c r="I138">
        <f>I137*J138</f>
        <v>2.3676889999999995</v>
      </c>
      <c r="J138">
        <v>1.1299999999999999</v>
      </c>
      <c r="O138">
        <f t="shared" si="121"/>
        <v>0</v>
      </c>
      <c r="P138">
        <f t="shared" si="122"/>
        <v>0</v>
      </c>
      <c r="Q138">
        <f t="shared" si="123"/>
        <v>0</v>
      </c>
      <c r="R138">
        <f t="shared" si="124"/>
        <v>0</v>
      </c>
      <c r="S138">
        <f t="shared" si="125"/>
        <v>0</v>
      </c>
      <c r="T138">
        <f t="shared" si="126"/>
        <v>0</v>
      </c>
      <c r="U138">
        <f t="shared" si="127"/>
        <v>0</v>
      </c>
      <c r="V138">
        <f t="shared" si="128"/>
        <v>0</v>
      </c>
      <c r="W138">
        <f t="shared" si="129"/>
        <v>0</v>
      </c>
      <c r="X138">
        <f t="shared" si="130"/>
        <v>0</v>
      </c>
      <c r="Y138">
        <f t="shared" si="131"/>
        <v>0</v>
      </c>
      <c r="AA138">
        <v>16742901</v>
      </c>
      <c r="AB138">
        <f t="shared" si="132"/>
        <v>0</v>
      </c>
      <c r="AC138">
        <f t="shared" si="133"/>
        <v>0</v>
      </c>
      <c r="AD138">
        <f t="shared" si="116"/>
        <v>0</v>
      </c>
      <c r="AE138">
        <f t="shared" si="117"/>
        <v>0</v>
      </c>
      <c r="AF138">
        <f t="shared" si="118"/>
        <v>0</v>
      </c>
      <c r="AG138">
        <f t="shared" si="134"/>
        <v>0</v>
      </c>
      <c r="AH138">
        <f t="shared" si="119"/>
        <v>0</v>
      </c>
      <c r="AI138">
        <f t="shared" si="120"/>
        <v>0</v>
      </c>
      <c r="AJ138">
        <f t="shared" si="135"/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95</v>
      </c>
      <c r="AU138">
        <v>47</v>
      </c>
      <c r="AV138">
        <v>1</v>
      </c>
      <c r="AW138">
        <v>1</v>
      </c>
      <c r="AZ138">
        <v>6.56</v>
      </c>
      <c r="BA138">
        <v>1</v>
      </c>
      <c r="BB138">
        <v>1</v>
      </c>
      <c r="BC138">
        <v>6.56</v>
      </c>
      <c r="BD138" t="s">
        <v>6</v>
      </c>
      <c r="BE138" t="s">
        <v>6</v>
      </c>
      <c r="BF138" t="s">
        <v>6</v>
      </c>
      <c r="BG138" t="s">
        <v>6</v>
      </c>
      <c r="BH138">
        <v>3</v>
      </c>
      <c r="BI138">
        <v>1</v>
      </c>
      <c r="BJ138" t="s">
        <v>6</v>
      </c>
      <c r="BM138">
        <v>15001</v>
      </c>
      <c r="BN138">
        <v>0</v>
      </c>
      <c r="BO138" t="s">
        <v>6</v>
      </c>
      <c r="BP138">
        <v>0</v>
      </c>
      <c r="BQ138">
        <v>2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105</v>
      </c>
      <c r="CA138">
        <v>55</v>
      </c>
      <c r="CF138">
        <v>0</v>
      </c>
      <c r="CG138">
        <v>0</v>
      </c>
      <c r="CM138">
        <v>0</v>
      </c>
      <c r="CN138" t="s">
        <v>6</v>
      </c>
      <c r="CO138">
        <v>0</v>
      </c>
      <c r="CP138">
        <f t="shared" si="136"/>
        <v>0</v>
      </c>
      <c r="CQ138">
        <f t="shared" si="137"/>
        <v>0</v>
      </c>
      <c r="CR138">
        <f t="shared" si="138"/>
        <v>0</v>
      </c>
      <c r="CS138">
        <f t="shared" si="139"/>
        <v>0</v>
      </c>
      <c r="CT138">
        <f t="shared" si="140"/>
        <v>0</v>
      </c>
      <c r="CU138">
        <f t="shared" si="141"/>
        <v>0</v>
      </c>
      <c r="CV138">
        <f t="shared" si="142"/>
        <v>0</v>
      </c>
      <c r="CW138">
        <f t="shared" si="143"/>
        <v>0</v>
      </c>
      <c r="CX138">
        <f t="shared" si="144"/>
        <v>0</v>
      </c>
      <c r="CY138">
        <f t="shared" si="145"/>
        <v>0</v>
      </c>
      <c r="CZ138">
        <f t="shared" si="146"/>
        <v>0</v>
      </c>
      <c r="DC138" t="s">
        <v>6</v>
      </c>
      <c r="DD138" t="s">
        <v>6</v>
      </c>
      <c r="DE138" t="s">
        <v>6</v>
      </c>
      <c r="DF138" t="s">
        <v>6</v>
      </c>
      <c r="DG138" t="s">
        <v>6</v>
      </c>
      <c r="DH138" t="s">
        <v>6</v>
      </c>
      <c r="DI138" t="s">
        <v>6</v>
      </c>
      <c r="DJ138" t="s">
        <v>6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1005</v>
      </c>
      <c r="DV138" t="s">
        <v>20</v>
      </c>
      <c r="DW138" t="s">
        <v>20</v>
      </c>
      <c r="DX138">
        <v>100</v>
      </c>
      <c r="EE138">
        <v>16510513</v>
      </c>
      <c r="EF138">
        <v>2</v>
      </c>
      <c r="EG138" t="s">
        <v>22</v>
      </c>
      <c r="EH138">
        <v>0</v>
      </c>
      <c r="EI138" t="s">
        <v>6</v>
      </c>
      <c r="EJ138">
        <v>1</v>
      </c>
      <c r="EK138">
        <v>15001</v>
      </c>
      <c r="EL138" t="s">
        <v>229</v>
      </c>
      <c r="EM138" t="s">
        <v>230</v>
      </c>
      <c r="EO138" t="s">
        <v>6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47"/>
        <v>0</v>
      </c>
      <c r="FS138">
        <v>0</v>
      </c>
      <c r="FT138" t="s">
        <v>25</v>
      </c>
      <c r="FU138" t="s">
        <v>26</v>
      </c>
      <c r="FX138">
        <v>94.5</v>
      </c>
      <c r="FY138">
        <v>46.75</v>
      </c>
      <c r="GA138" t="s">
        <v>6</v>
      </c>
      <c r="GD138">
        <v>0</v>
      </c>
      <c r="GF138">
        <v>-93777278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48"/>
        <v>0</v>
      </c>
      <c r="GM138">
        <f t="shared" si="149"/>
        <v>0</v>
      </c>
      <c r="GN138">
        <f t="shared" si="150"/>
        <v>0</v>
      </c>
      <c r="GO138">
        <f t="shared" si="151"/>
        <v>0</v>
      </c>
      <c r="GP138">
        <f t="shared" si="152"/>
        <v>0</v>
      </c>
      <c r="GR138">
        <v>0</v>
      </c>
      <c r="GS138">
        <v>3</v>
      </c>
      <c r="GT138">
        <v>0</v>
      </c>
      <c r="GU138" t="s">
        <v>6</v>
      </c>
      <c r="GV138">
        <f t="shared" si="153"/>
        <v>0</v>
      </c>
      <c r="GW138">
        <v>1</v>
      </c>
      <c r="GX138">
        <f t="shared" si="154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ROW(SmtRes!A228)</f>
        <v>228</v>
      </c>
      <c r="D139">
        <f>ROW(EtalonRes!A220)</f>
        <v>220</v>
      </c>
      <c r="E139" t="s">
        <v>396</v>
      </c>
      <c r="F139" t="s">
        <v>397</v>
      </c>
      <c r="G139" t="s">
        <v>398</v>
      </c>
      <c r="H139" t="s">
        <v>20</v>
      </c>
      <c r="I139">
        <f>ROUND(209.53/100,9)</f>
        <v>2.0952999999999999</v>
      </c>
      <c r="J139">
        <v>0</v>
      </c>
      <c r="O139">
        <f t="shared" si="121"/>
        <v>1108.1400000000001</v>
      </c>
      <c r="P139">
        <f t="shared" si="122"/>
        <v>0</v>
      </c>
      <c r="Q139">
        <f t="shared" si="123"/>
        <v>0</v>
      </c>
      <c r="R139">
        <f t="shared" si="124"/>
        <v>0</v>
      </c>
      <c r="S139">
        <f t="shared" si="125"/>
        <v>1108.1400000000001</v>
      </c>
      <c r="T139">
        <f t="shared" si="126"/>
        <v>0</v>
      </c>
      <c r="U139">
        <f t="shared" si="127"/>
        <v>17.558614000000002</v>
      </c>
      <c r="V139">
        <f t="shared" si="128"/>
        <v>0</v>
      </c>
      <c r="W139">
        <f t="shared" si="129"/>
        <v>0</v>
      </c>
      <c r="X139">
        <f t="shared" si="130"/>
        <v>1052.73</v>
      </c>
      <c r="Y139">
        <f t="shared" si="131"/>
        <v>520.83000000000004</v>
      </c>
      <c r="AA139">
        <v>16742901</v>
      </c>
      <c r="AB139">
        <f t="shared" si="132"/>
        <v>80.62</v>
      </c>
      <c r="AC139">
        <f t="shared" si="133"/>
        <v>0</v>
      </c>
      <c r="AD139">
        <f t="shared" si="116"/>
        <v>0</v>
      </c>
      <c r="AE139">
        <f t="shared" si="117"/>
        <v>0</v>
      </c>
      <c r="AF139">
        <f t="shared" si="118"/>
        <v>80.62</v>
      </c>
      <c r="AG139">
        <f t="shared" si="134"/>
        <v>0</v>
      </c>
      <c r="AH139">
        <f t="shared" si="119"/>
        <v>8.3800000000000008</v>
      </c>
      <c r="AI139">
        <f t="shared" si="120"/>
        <v>0</v>
      </c>
      <c r="AJ139">
        <f t="shared" si="135"/>
        <v>0</v>
      </c>
      <c r="AK139">
        <v>80.62</v>
      </c>
      <c r="AL139">
        <v>0</v>
      </c>
      <c r="AM139">
        <v>0</v>
      </c>
      <c r="AN139">
        <v>0</v>
      </c>
      <c r="AO139">
        <v>80.62</v>
      </c>
      <c r="AP139">
        <v>0</v>
      </c>
      <c r="AQ139">
        <v>8.3800000000000008</v>
      </c>
      <c r="AR139">
        <v>0</v>
      </c>
      <c r="AS139">
        <v>0</v>
      </c>
      <c r="AT139">
        <v>95</v>
      </c>
      <c r="AU139">
        <v>47</v>
      </c>
      <c r="AV139">
        <v>1</v>
      </c>
      <c r="AW139">
        <v>1</v>
      </c>
      <c r="AZ139">
        <v>6.56</v>
      </c>
      <c r="BA139">
        <v>6.56</v>
      </c>
      <c r="BB139">
        <v>6.56</v>
      </c>
      <c r="BC139">
        <v>6.56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399</v>
      </c>
      <c r="BM139">
        <v>15001</v>
      </c>
      <c r="BN139">
        <v>0</v>
      </c>
      <c r="BO139" t="s">
        <v>6</v>
      </c>
      <c r="BP139">
        <v>0</v>
      </c>
      <c r="BQ139">
        <v>2</v>
      </c>
      <c r="BR139">
        <v>0</v>
      </c>
      <c r="BS139">
        <v>6.56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105</v>
      </c>
      <c r="CA139">
        <v>55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36"/>
        <v>1108.1400000000001</v>
      </c>
      <c r="CQ139">
        <f t="shared" si="137"/>
        <v>0</v>
      </c>
      <c r="CR139">
        <f t="shared" si="138"/>
        <v>0</v>
      </c>
      <c r="CS139">
        <f t="shared" si="139"/>
        <v>0</v>
      </c>
      <c r="CT139">
        <f t="shared" si="140"/>
        <v>528.86720000000003</v>
      </c>
      <c r="CU139">
        <f t="shared" si="141"/>
        <v>0</v>
      </c>
      <c r="CV139">
        <f t="shared" si="142"/>
        <v>8.3800000000000008</v>
      </c>
      <c r="CW139">
        <f t="shared" si="143"/>
        <v>0</v>
      </c>
      <c r="CX139">
        <f t="shared" si="144"/>
        <v>0</v>
      </c>
      <c r="CY139">
        <f t="shared" si="145"/>
        <v>1052.7329999999999</v>
      </c>
      <c r="CZ139">
        <f t="shared" si="146"/>
        <v>520.82580000000007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20</v>
      </c>
      <c r="DW139" t="s">
        <v>20</v>
      </c>
      <c r="DX139">
        <v>100</v>
      </c>
      <c r="EE139">
        <v>16510513</v>
      </c>
      <c r="EF139">
        <v>2</v>
      </c>
      <c r="EG139" t="s">
        <v>22</v>
      </c>
      <c r="EH139">
        <v>0</v>
      </c>
      <c r="EI139" t="s">
        <v>6</v>
      </c>
      <c r="EJ139">
        <v>1</v>
      </c>
      <c r="EK139">
        <v>15001</v>
      </c>
      <c r="EL139" t="s">
        <v>229</v>
      </c>
      <c r="EM139" t="s">
        <v>230</v>
      </c>
      <c r="EO139" t="s">
        <v>6</v>
      </c>
      <c r="EQ139">
        <v>131072</v>
      </c>
      <c r="ER139">
        <v>80.62</v>
      </c>
      <c r="ES139">
        <v>0</v>
      </c>
      <c r="ET139">
        <v>0</v>
      </c>
      <c r="EU139">
        <v>0</v>
      </c>
      <c r="EV139">
        <v>80.62</v>
      </c>
      <c r="EW139">
        <v>8.3800000000000008</v>
      </c>
      <c r="EX139">
        <v>0</v>
      </c>
      <c r="EY139">
        <v>0</v>
      </c>
      <c r="FQ139">
        <v>0</v>
      </c>
      <c r="FR139">
        <f t="shared" si="147"/>
        <v>0</v>
      </c>
      <c r="FS139">
        <v>0</v>
      </c>
      <c r="FT139" t="s">
        <v>25</v>
      </c>
      <c r="FU139" t="s">
        <v>26</v>
      </c>
      <c r="FX139">
        <v>94.5</v>
      </c>
      <c r="FY139">
        <v>46.75</v>
      </c>
      <c r="GA139" t="s">
        <v>6</v>
      </c>
      <c r="GD139">
        <v>0</v>
      </c>
      <c r="GF139">
        <v>-1713052478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48"/>
        <v>0</v>
      </c>
      <c r="GM139">
        <f t="shared" si="149"/>
        <v>2681.7</v>
      </c>
      <c r="GN139">
        <f t="shared" si="150"/>
        <v>2681.7</v>
      </c>
      <c r="GO139">
        <f t="shared" si="151"/>
        <v>0</v>
      </c>
      <c r="GP139">
        <f t="shared" si="152"/>
        <v>0</v>
      </c>
      <c r="GR139">
        <v>0</v>
      </c>
      <c r="GS139">
        <v>3</v>
      </c>
      <c r="GT139">
        <v>0</v>
      </c>
      <c r="GU139" t="s">
        <v>6</v>
      </c>
      <c r="GV139">
        <f t="shared" si="153"/>
        <v>0</v>
      </c>
      <c r="GW139">
        <v>1</v>
      </c>
      <c r="GX139">
        <f t="shared" si="154"/>
        <v>0</v>
      </c>
      <c r="HA139">
        <v>0</v>
      </c>
      <c r="HB139">
        <v>0</v>
      </c>
      <c r="IK139">
        <v>0</v>
      </c>
    </row>
    <row r="140" spans="1:245" x14ac:dyDescent="0.2">
      <c r="A140">
        <v>18</v>
      </c>
      <c r="B140">
        <v>1</v>
      </c>
      <c r="C140">
        <v>227</v>
      </c>
      <c r="E140" t="s">
        <v>400</v>
      </c>
      <c r="F140" t="s">
        <v>385</v>
      </c>
      <c r="G140" t="s">
        <v>386</v>
      </c>
      <c r="H140" t="s">
        <v>100</v>
      </c>
      <c r="I140">
        <f>I139*J140</f>
        <v>3.3524999999999999E-2</v>
      </c>
      <c r="J140">
        <v>1.6000095451725291E-2</v>
      </c>
      <c r="O140">
        <f t="shared" si="121"/>
        <v>1870.45</v>
      </c>
      <c r="P140">
        <f t="shared" si="122"/>
        <v>1870.45</v>
      </c>
      <c r="Q140">
        <f t="shared" si="123"/>
        <v>0</v>
      </c>
      <c r="R140">
        <f t="shared" si="124"/>
        <v>0</v>
      </c>
      <c r="S140">
        <f t="shared" si="125"/>
        <v>0</v>
      </c>
      <c r="T140">
        <f t="shared" si="126"/>
        <v>0</v>
      </c>
      <c r="U140">
        <f t="shared" si="127"/>
        <v>0</v>
      </c>
      <c r="V140">
        <f t="shared" si="128"/>
        <v>0</v>
      </c>
      <c r="W140">
        <f t="shared" si="129"/>
        <v>0</v>
      </c>
      <c r="X140">
        <f t="shared" si="130"/>
        <v>0</v>
      </c>
      <c r="Y140">
        <f t="shared" si="131"/>
        <v>0</v>
      </c>
      <c r="AA140">
        <v>16742901</v>
      </c>
      <c r="AB140">
        <f t="shared" si="132"/>
        <v>8505</v>
      </c>
      <c r="AC140">
        <f t="shared" si="133"/>
        <v>8505</v>
      </c>
      <c r="AD140">
        <f t="shared" si="116"/>
        <v>0</v>
      </c>
      <c r="AE140">
        <f t="shared" si="117"/>
        <v>0</v>
      </c>
      <c r="AF140">
        <f t="shared" si="118"/>
        <v>0</v>
      </c>
      <c r="AG140">
        <f t="shared" si="134"/>
        <v>0</v>
      </c>
      <c r="AH140">
        <f t="shared" si="119"/>
        <v>0</v>
      </c>
      <c r="AI140">
        <f t="shared" si="120"/>
        <v>0</v>
      </c>
      <c r="AJ140">
        <f t="shared" si="135"/>
        <v>0</v>
      </c>
      <c r="AK140">
        <v>8505</v>
      </c>
      <c r="AL140">
        <v>8505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95</v>
      </c>
      <c r="AU140">
        <v>47</v>
      </c>
      <c r="AV140">
        <v>1</v>
      </c>
      <c r="AW140">
        <v>1</v>
      </c>
      <c r="AZ140">
        <v>6.56</v>
      </c>
      <c r="BA140">
        <v>1</v>
      </c>
      <c r="BB140">
        <v>1</v>
      </c>
      <c r="BC140">
        <v>6.56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1</v>
      </c>
      <c r="BJ140" t="s">
        <v>387</v>
      </c>
      <c r="BM140">
        <v>15001</v>
      </c>
      <c r="BN140">
        <v>0</v>
      </c>
      <c r="BO140" t="s">
        <v>6</v>
      </c>
      <c r="BP140">
        <v>0</v>
      </c>
      <c r="BQ140">
        <v>2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105</v>
      </c>
      <c r="CA140">
        <v>55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36"/>
        <v>1870.45</v>
      </c>
      <c r="CQ140">
        <f t="shared" si="137"/>
        <v>55792.799999999996</v>
      </c>
      <c r="CR140">
        <f t="shared" si="138"/>
        <v>0</v>
      </c>
      <c r="CS140">
        <f t="shared" si="139"/>
        <v>0</v>
      </c>
      <c r="CT140">
        <f t="shared" si="140"/>
        <v>0</v>
      </c>
      <c r="CU140">
        <f t="shared" si="141"/>
        <v>0</v>
      </c>
      <c r="CV140">
        <f t="shared" si="142"/>
        <v>0</v>
      </c>
      <c r="CW140">
        <f t="shared" si="143"/>
        <v>0</v>
      </c>
      <c r="CX140">
        <f t="shared" si="144"/>
        <v>0</v>
      </c>
      <c r="CY140">
        <f t="shared" si="145"/>
        <v>0</v>
      </c>
      <c r="CZ140">
        <f t="shared" si="146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1009</v>
      </c>
      <c r="DV140" t="s">
        <v>100</v>
      </c>
      <c r="DW140" t="s">
        <v>100</v>
      </c>
      <c r="DX140">
        <v>1000</v>
      </c>
      <c r="EE140">
        <v>16510513</v>
      </c>
      <c r="EF140">
        <v>2</v>
      </c>
      <c r="EG140" t="s">
        <v>22</v>
      </c>
      <c r="EH140">
        <v>0</v>
      </c>
      <c r="EI140" t="s">
        <v>6</v>
      </c>
      <c r="EJ140">
        <v>1</v>
      </c>
      <c r="EK140">
        <v>15001</v>
      </c>
      <c r="EL140" t="s">
        <v>229</v>
      </c>
      <c r="EM140" t="s">
        <v>230</v>
      </c>
      <c r="EO140" t="s">
        <v>6</v>
      </c>
      <c r="EQ140">
        <v>0</v>
      </c>
      <c r="ER140">
        <v>8505</v>
      </c>
      <c r="ES140">
        <v>8505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47"/>
        <v>0</v>
      </c>
      <c r="FS140">
        <v>0</v>
      </c>
      <c r="FT140" t="s">
        <v>25</v>
      </c>
      <c r="FU140" t="s">
        <v>26</v>
      </c>
      <c r="FX140">
        <v>94.5</v>
      </c>
      <c r="FY140">
        <v>46.75</v>
      </c>
      <c r="GA140" t="s">
        <v>6</v>
      </c>
      <c r="GD140">
        <v>0</v>
      </c>
      <c r="GF140">
        <v>1146787971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48"/>
        <v>0</v>
      </c>
      <c r="GM140">
        <f t="shared" si="149"/>
        <v>1870.45</v>
      </c>
      <c r="GN140">
        <f t="shared" si="150"/>
        <v>1870.45</v>
      </c>
      <c r="GO140">
        <f t="shared" si="151"/>
        <v>0</v>
      </c>
      <c r="GP140">
        <f t="shared" si="152"/>
        <v>0</v>
      </c>
      <c r="GR140">
        <v>0</v>
      </c>
      <c r="GS140">
        <v>3</v>
      </c>
      <c r="GT140">
        <v>0</v>
      </c>
      <c r="GU140" t="s">
        <v>6</v>
      </c>
      <c r="GV140">
        <f t="shared" si="153"/>
        <v>0</v>
      </c>
      <c r="GW140">
        <v>1</v>
      </c>
      <c r="GX140">
        <f t="shared" si="154"/>
        <v>0</v>
      </c>
      <c r="HA140">
        <v>0</v>
      </c>
      <c r="HB140">
        <v>0</v>
      </c>
      <c r="IK140">
        <v>0</v>
      </c>
    </row>
    <row r="141" spans="1:245" x14ac:dyDescent="0.2">
      <c r="A141">
        <v>18</v>
      </c>
      <c r="B141">
        <v>1</v>
      </c>
      <c r="C141">
        <v>228</v>
      </c>
      <c r="E141" t="s">
        <v>401</v>
      </c>
      <c r="F141" t="s">
        <v>402</v>
      </c>
      <c r="G141" t="s">
        <v>403</v>
      </c>
      <c r="H141" t="s">
        <v>100</v>
      </c>
      <c r="I141">
        <f>I139*J141</f>
        <v>3.3524999999999999E-2</v>
      </c>
      <c r="J141">
        <v>1.6000095451725291E-2</v>
      </c>
      <c r="O141">
        <f t="shared" si="121"/>
        <v>0</v>
      </c>
      <c r="P141">
        <f t="shared" si="122"/>
        <v>0</v>
      </c>
      <c r="Q141">
        <f t="shared" si="123"/>
        <v>0</v>
      </c>
      <c r="R141">
        <f t="shared" si="124"/>
        <v>0</v>
      </c>
      <c r="S141">
        <f t="shared" si="125"/>
        <v>0</v>
      </c>
      <c r="T141">
        <f t="shared" si="126"/>
        <v>0</v>
      </c>
      <c r="U141">
        <f t="shared" si="127"/>
        <v>0</v>
      </c>
      <c r="V141">
        <f t="shared" si="128"/>
        <v>0</v>
      </c>
      <c r="W141">
        <f t="shared" si="129"/>
        <v>0</v>
      </c>
      <c r="X141">
        <f t="shared" si="130"/>
        <v>0</v>
      </c>
      <c r="Y141">
        <f t="shared" si="131"/>
        <v>0</v>
      </c>
      <c r="AA141">
        <v>16742901</v>
      </c>
      <c r="AB141">
        <f t="shared" si="132"/>
        <v>0</v>
      </c>
      <c r="AC141">
        <f t="shared" si="133"/>
        <v>0</v>
      </c>
      <c r="AD141">
        <f t="shared" si="116"/>
        <v>0</v>
      </c>
      <c r="AE141">
        <f t="shared" si="117"/>
        <v>0</v>
      </c>
      <c r="AF141">
        <f t="shared" si="118"/>
        <v>0</v>
      </c>
      <c r="AG141">
        <f t="shared" si="134"/>
        <v>0</v>
      </c>
      <c r="AH141">
        <f t="shared" si="119"/>
        <v>0</v>
      </c>
      <c r="AI141">
        <f t="shared" si="120"/>
        <v>0</v>
      </c>
      <c r="AJ141">
        <f t="shared" si="135"/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6.56</v>
      </c>
      <c r="BA141">
        <v>1</v>
      </c>
      <c r="BB141">
        <v>1</v>
      </c>
      <c r="BC141">
        <v>6.56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6</v>
      </c>
      <c r="BM141">
        <v>15001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105</v>
      </c>
      <c r="CA141">
        <v>55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36"/>
        <v>0</v>
      </c>
      <c r="CQ141">
        <f t="shared" si="137"/>
        <v>0</v>
      </c>
      <c r="CR141">
        <f t="shared" si="138"/>
        <v>0</v>
      </c>
      <c r="CS141">
        <f t="shared" si="139"/>
        <v>0</v>
      </c>
      <c r="CT141">
        <f t="shared" si="140"/>
        <v>0</v>
      </c>
      <c r="CU141">
        <f t="shared" si="141"/>
        <v>0</v>
      </c>
      <c r="CV141">
        <f t="shared" si="142"/>
        <v>0</v>
      </c>
      <c r="CW141">
        <f t="shared" si="143"/>
        <v>0</v>
      </c>
      <c r="CX141">
        <f t="shared" si="144"/>
        <v>0</v>
      </c>
      <c r="CY141">
        <f t="shared" si="145"/>
        <v>0</v>
      </c>
      <c r="CZ141">
        <f t="shared" si="146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100</v>
      </c>
      <c r="DW141" t="s">
        <v>100</v>
      </c>
      <c r="DX141">
        <v>1000</v>
      </c>
      <c r="EE141">
        <v>16510513</v>
      </c>
      <c r="EF141">
        <v>2</v>
      </c>
      <c r="EG141" t="s">
        <v>22</v>
      </c>
      <c r="EH141">
        <v>0</v>
      </c>
      <c r="EI141" t="s">
        <v>6</v>
      </c>
      <c r="EJ141">
        <v>1</v>
      </c>
      <c r="EK141">
        <v>15001</v>
      </c>
      <c r="EL141" t="s">
        <v>229</v>
      </c>
      <c r="EM141" t="s">
        <v>230</v>
      </c>
      <c r="EO141" t="s">
        <v>6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47"/>
        <v>0</v>
      </c>
      <c r="FS141">
        <v>0</v>
      </c>
      <c r="FT141" t="s">
        <v>25</v>
      </c>
      <c r="FU141" t="s">
        <v>26</v>
      </c>
      <c r="FX141">
        <v>94.5</v>
      </c>
      <c r="FY141">
        <v>46.75</v>
      </c>
      <c r="GA141" t="s">
        <v>6</v>
      </c>
      <c r="GD141">
        <v>0</v>
      </c>
      <c r="GF141">
        <v>973262446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48"/>
        <v>0</v>
      </c>
      <c r="GM141">
        <f t="shared" si="149"/>
        <v>0</v>
      </c>
      <c r="GN141">
        <f t="shared" si="150"/>
        <v>0</v>
      </c>
      <c r="GO141">
        <f t="shared" si="151"/>
        <v>0</v>
      </c>
      <c r="GP141">
        <f t="shared" si="152"/>
        <v>0</v>
      </c>
      <c r="GR141">
        <v>0</v>
      </c>
      <c r="GS141">
        <v>3</v>
      </c>
      <c r="GT141">
        <v>0</v>
      </c>
      <c r="GU141" t="s">
        <v>6</v>
      </c>
      <c r="GV141">
        <f t="shared" si="153"/>
        <v>0</v>
      </c>
      <c r="GW141">
        <v>1</v>
      </c>
      <c r="GX141">
        <f t="shared" si="154"/>
        <v>0</v>
      </c>
      <c r="HA141">
        <v>0</v>
      </c>
      <c r="HB141">
        <v>0</v>
      </c>
      <c r="IK141">
        <v>0</v>
      </c>
    </row>
    <row r="142" spans="1:245" x14ac:dyDescent="0.2">
      <c r="A142">
        <v>17</v>
      </c>
      <c r="B142">
        <v>1</v>
      </c>
      <c r="C142">
        <f>ROW(SmtRes!A236)</f>
        <v>236</v>
      </c>
      <c r="D142">
        <f>ROW(EtalonRes!A228)</f>
        <v>228</v>
      </c>
      <c r="E142" t="s">
        <v>404</v>
      </c>
      <c r="F142" t="s">
        <v>405</v>
      </c>
      <c r="G142" t="s">
        <v>406</v>
      </c>
      <c r="H142" t="s">
        <v>20</v>
      </c>
      <c r="I142">
        <f>ROUND(5.6/100,9)</f>
        <v>5.6000000000000001E-2</v>
      </c>
      <c r="J142">
        <v>0</v>
      </c>
      <c r="O142">
        <f t="shared" si="121"/>
        <v>1261.3900000000001</v>
      </c>
      <c r="P142">
        <f t="shared" si="122"/>
        <v>1054.18</v>
      </c>
      <c r="Q142">
        <f t="shared" si="123"/>
        <v>0.87</v>
      </c>
      <c r="R142">
        <f t="shared" si="124"/>
        <v>0.34</v>
      </c>
      <c r="S142">
        <f t="shared" si="125"/>
        <v>206.34</v>
      </c>
      <c r="T142">
        <f t="shared" si="126"/>
        <v>0</v>
      </c>
      <c r="U142">
        <f t="shared" si="127"/>
        <v>3.6875439999999995</v>
      </c>
      <c r="V142">
        <f t="shared" si="128"/>
        <v>4.1999999999999997E-3</v>
      </c>
      <c r="W142">
        <f t="shared" si="129"/>
        <v>0</v>
      </c>
      <c r="X142">
        <f t="shared" si="130"/>
        <v>196.35</v>
      </c>
      <c r="Y142">
        <f t="shared" si="131"/>
        <v>97.14</v>
      </c>
      <c r="AA142">
        <v>16742901</v>
      </c>
      <c r="AB142">
        <f t="shared" si="132"/>
        <v>3433.66</v>
      </c>
      <c r="AC142">
        <f t="shared" si="133"/>
        <v>2869.6</v>
      </c>
      <c r="AD142">
        <f>ROUND(((((ET142*1.25))-((EU142*1.25)))+AE142),2)</f>
        <v>2.37</v>
      </c>
      <c r="AE142">
        <f>ROUND(((EU142*1.25)),2)</f>
        <v>0.93</v>
      </c>
      <c r="AF142">
        <f>ROUND(((EV142*1.15)),2)</f>
        <v>561.69000000000005</v>
      </c>
      <c r="AG142">
        <f t="shared" si="134"/>
        <v>0</v>
      </c>
      <c r="AH142">
        <f>((EW142*1.15))</f>
        <v>65.84899999999999</v>
      </c>
      <c r="AI142">
        <f>((EX142*1.25))</f>
        <v>7.4999999999999997E-2</v>
      </c>
      <c r="AJ142">
        <f t="shared" si="135"/>
        <v>0</v>
      </c>
      <c r="AK142">
        <v>3359.92</v>
      </c>
      <c r="AL142">
        <v>2869.6</v>
      </c>
      <c r="AM142">
        <v>1.89</v>
      </c>
      <c r="AN142">
        <v>0.74</v>
      </c>
      <c r="AO142">
        <v>488.43</v>
      </c>
      <c r="AP142">
        <v>0</v>
      </c>
      <c r="AQ142">
        <v>57.26</v>
      </c>
      <c r="AR142">
        <v>0.06</v>
      </c>
      <c r="AS142">
        <v>0</v>
      </c>
      <c r="AT142">
        <v>95</v>
      </c>
      <c r="AU142">
        <v>47</v>
      </c>
      <c r="AV142">
        <v>1</v>
      </c>
      <c r="AW142">
        <v>1</v>
      </c>
      <c r="AZ142">
        <v>6.56</v>
      </c>
      <c r="BA142">
        <v>6.56</v>
      </c>
      <c r="BB142">
        <v>6.56</v>
      </c>
      <c r="BC142">
        <v>6.56</v>
      </c>
      <c r="BD142" t="s">
        <v>6</v>
      </c>
      <c r="BE142" t="s">
        <v>6</v>
      </c>
      <c r="BF142" t="s">
        <v>6</v>
      </c>
      <c r="BG142" t="s">
        <v>6</v>
      </c>
      <c r="BH142">
        <v>0</v>
      </c>
      <c r="BI142">
        <v>1</v>
      </c>
      <c r="BJ142" t="s">
        <v>407</v>
      </c>
      <c r="BM142">
        <v>15001</v>
      </c>
      <c r="BN142">
        <v>0</v>
      </c>
      <c r="BO142" t="s">
        <v>6</v>
      </c>
      <c r="BP142">
        <v>0</v>
      </c>
      <c r="BQ142">
        <v>2</v>
      </c>
      <c r="BR142">
        <v>0</v>
      </c>
      <c r="BS142">
        <v>6.56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105</v>
      </c>
      <c r="CA142">
        <v>55</v>
      </c>
      <c r="CF142">
        <v>0</v>
      </c>
      <c r="CG142">
        <v>0</v>
      </c>
      <c r="CM142">
        <v>0</v>
      </c>
      <c r="CN142" t="s">
        <v>1902</v>
      </c>
      <c r="CO142">
        <v>0</v>
      </c>
      <c r="CP142">
        <f t="shared" si="136"/>
        <v>1261.3899999999999</v>
      </c>
      <c r="CQ142">
        <f t="shared" si="137"/>
        <v>18824.575999999997</v>
      </c>
      <c r="CR142">
        <f t="shared" si="138"/>
        <v>15.5472</v>
      </c>
      <c r="CS142">
        <f t="shared" si="139"/>
        <v>6.1007999999999996</v>
      </c>
      <c r="CT142">
        <f t="shared" si="140"/>
        <v>3684.6864</v>
      </c>
      <c r="CU142">
        <f t="shared" si="141"/>
        <v>0</v>
      </c>
      <c r="CV142">
        <f t="shared" si="142"/>
        <v>65.84899999999999</v>
      </c>
      <c r="CW142">
        <f t="shared" si="143"/>
        <v>7.4999999999999997E-2</v>
      </c>
      <c r="CX142">
        <f t="shared" si="144"/>
        <v>0</v>
      </c>
      <c r="CY142">
        <f t="shared" si="145"/>
        <v>196.34600000000003</v>
      </c>
      <c r="CZ142">
        <f t="shared" si="146"/>
        <v>97.139600000000016</v>
      </c>
      <c r="DC142" t="s">
        <v>6</v>
      </c>
      <c r="DD142" t="s">
        <v>6</v>
      </c>
      <c r="DE142" t="s">
        <v>187</v>
      </c>
      <c r="DF142" t="s">
        <v>187</v>
      </c>
      <c r="DG142" t="s">
        <v>188</v>
      </c>
      <c r="DH142" t="s">
        <v>6</v>
      </c>
      <c r="DI142" t="s">
        <v>188</v>
      </c>
      <c r="DJ142" t="s">
        <v>187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1005</v>
      </c>
      <c r="DV142" t="s">
        <v>20</v>
      </c>
      <c r="DW142" t="s">
        <v>20</v>
      </c>
      <c r="DX142">
        <v>100</v>
      </c>
      <c r="EE142">
        <v>16510513</v>
      </c>
      <c r="EF142">
        <v>2</v>
      </c>
      <c r="EG142" t="s">
        <v>22</v>
      </c>
      <c r="EH142">
        <v>0</v>
      </c>
      <c r="EI142" t="s">
        <v>6</v>
      </c>
      <c r="EJ142">
        <v>1</v>
      </c>
      <c r="EK142">
        <v>15001</v>
      </c>
      <c r="EL142" t="s">
        <v>229</v>
      </c>
      <c r="EM142" t="s">
        <v>230</v>
      </c>
      <c r="EO142" t="s">
        <v>189</v>
      </c>
      <c r="EQ142">
        <v>131072</v>
      </c>
      <c r="ER142">
        <v>3359.92</v>
      </c>
      <c r="ES142">
        <v>2869.6</v>
      </c>
      <c r="ET142">
        <v>1.89</v>
      </c>
      <c r="EU142">
        <v>0.74</v>
      </c>
      <c r="EV142">
        <v>488.43</v>
      </c>
      <c r="EW142">
        <v>57.26</v>
      </c>
      <c r="EX142">
        <v>0.06</v>
      </c>
      <c r="EY142">
        <v>0</v>
      </c>
      <c r="FQ142">
        <v>0</v>
      </c>
      <c r="FR142">
        <f t="shared" si="147"/>
        <v>0</v>
      </c>
      <c r="FS142">
        <v>0</v>
      </c>
      <c r="FT142" t="s">
        <v>25</v>
      </c>
      <c r="FU142" t="s">
        <v>26</v>
      </c>
      <c r="FX142">
        <v>94.5</v>
      </c>
      <c r="FY142">
        <v>46.75</v>
      </c>
      <c r="GA142" t="s">
        <v>6</v>
      </c>
      <c r="GD142">
        <v>0</v>
      </c>
      <c r="GF142">
        <v>-889341211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48"/>
        <v>0</v>
      </c>
      <c r="GM142">
        <f t="shared" si="149"/>
        <v>1554.88</v>
      </c>
      <c r="GN142">
        <f t="shared" si="150"/>
        <v>1554.88</v>
      </c>
      <c r="GO142">
        <f t="shared" si="151"/>
        <v>0</v>
      </c>
      <c r="GP142">
        <f t="shared" si="152"/>
        <v>0</v>
      </c>
      <c r="GR142">
        <v>0</v>
      </c>
      <c r="GS142">
        <v>3</v>
      </c>
      <c r="GT142">
        <v>0</v>
      </c>
      <c r="GU142" t="s">
        <v>6</v>
      </c>
      <c r="GV142">
        <f t="shared" si="153"/>
        <v>0</v>
      </c>
      <c r="GW142">
        <v>1</v>
      </c>
      <c r="GX142">
        <f t="shared" si="154"/>
        <v>0</v>
      </c>
      <c r="HA142">
        <v>0</v>
      </c>
      <c r="HB142">
        <v>0</v>
      </c>
      <c r="IK142">
        <v>0</v>
      </c>
    </row>
    <row r="143" spans="1:245" x14ac:dyDescent="0.2">
      <c r="A143">
        <v>17</v>
      </c>
      <c r="B143">
        <v>1</v>
      </c>
      <c r="C143">
        <f>ROW(SmtRes!A242)</f>
        <v>242</v>
      </c>
      <c r="D143">
        <f>ROW(EtalonRes!A233)</f>
        <v>233</v>
      </c>
      <c r="E143" t="s">
        <v>408</v>
      </c>
      <c r="F143" t="s">
        <v>409</v>
      </c>
      <c r="G143" t="s">
        <v>410</v>
      </c>
      <c r="H143" t="s">
        <v>20</v>
      </c>
      <c r="I143">
        <f>ROUND(5.6/100,9)</f>
        <v>5.6000000000000001E-2</v>
      </c>
      <c r="J143">
        <v>0</v>
      </c>
      <c r="O143">
        <f t="shared" si="121"/>
        <v>542.76</v>
      </c>
      <c r="P143">
        <f t="shared" si="122"/>
        <v>463.37</v>
      </c>
      <c r="Q143">
        <f t="shared" si="123"/>
        <v>15.69</v>
      </c>
      <c r="R143">
        <f t="shared" si="124"/>
        <v>2.77</v>
      </c>
      <c r="S143">
        <f t="shared" si="125"/>
        <v>63.7</v>
      </c>
      <c r="T143">
        <f t="shared" si="126"/>
        <v>0</v>
      </c>
      <c r="U143">
        <f t="shared" si="127"/>
        <v>1.17852</v>
      </c>
      <c r="V143">
        <f t="shared" si="128"/>
        <v>3.6400000000000002E-2</v>
      </c>
      <c r="W143">
        <f t="shared" si="129"/>
        <v>0</v>
      </c>
      <c r="X143">
        <f t="shared" si="130"/>
        <v>70.459999999999994</v>
      </c>
      <c r="Y143">
        <f t="shared" si="131"/>
        <v>35.89</v>
      </c>
      <c r="AA143">
        <v>16742901</v>
      </c>
      <c r="AB143">
        <f t="shared" si="132"/>
        <v>1477.49</v>
      </c>
      <c r="AC143">
        <f t="shared" si="133"/>
        <v>1261.3599999999999</v>
      </c>
      <c r="AD143">
        <f>ROUND(((((ET143*1.25))-((EU143*1.25)))+AE143),2)</f>
        <v>42.72</v>
      </c>
      <c r="AE143">
        <f>ROUND(((EU143*1.25)),2)</f>
        <v>7.54</v>
      </c>
      <c r="AF143">
        <f>ROUND(((EV143*1.15)),2)</f>
        <v>173.41</v>
      </c>
      <c r="AG143">
        <f t="shared" si="134"/>
        <v>0</v>
      </c>
      <c r="AH143">
        <f>((EW143*1.15))</f>
        <v>21.044999999999998</v>
      </c>
      <c r="AI143">
        <f>((EX143*1.25))</f>
        <v>0.65</v>
      </c>
      <c r="AJ143">
        <f t="shared" si="135"/>
        <v>0</v>
      </c>
      <c r="AK143">
        <v>1446.32</v>
      </c>
      <c r="AL143">
        <v>1261.3599999999999</v>
      </c>
      <c r="AM143">
        <v>34.17</v>
      </c>
      <c r="AN143">
        <v>6.03</v>
      </c>
      <c r="AO143">
        <v>150.79</v>
      </c>
      <c r="AP143">
        <v>0</v>
      </c>
      <c r="AQ143">
        <v>18.3</v>
      </c>
      <c r="AR143">
        <v>0.52</v>
      </c>
      <c r="AS143">
        <v>0</v>
      </c>
      <c r="AT143">
        <v>106</v>
      </c>
      <c r="AU143">
        <v>54</v>
      </c>
      <c r="AV143">
        <v>1</v>
      </c>
      <c r="AW143">
        <v>1</v>
      </c>
      <c r="AZ143">
        <v>6.56</v>
      </c>
      <c r="BA143">
        <v>6.56</v>
      </c>
      <c r="BB143">
        <v>6.56</v>
      </c>
      <c r="BC143">
        <v>6.56</v>
      </c>
      <c r="BD143" t="s">
        <v>6</v>
      </c>
      <c r="BE143" t="s">
        <v>6</v>
      </c>
      <c r="BF143" t="s">
        <v>6</v>
      </c>
      <c r="BG143" t="s">
        <v>6</v>
      </c>
      <c r="BH143">
        <v>0</v>
      </c>
      <c r="BI143">
        <v>1</v>
      </c>
      <c r="BJ143" t="s">
        <v>411</v>
      </c>
      <c r="BM143">
        <v>10001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6.56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118</v>
      </c>
      <c r="CA143">
        <v>63</v>
      </c>
      <c r="CF143">
        <v>0</v>
      </c>
      <c r="CG143">
        <v>0</v>
      </c>
      <c r="CM143">
        <v>0</v>
      </c>
      <c r="CN143" t="s">
        <v>1902</v>
      </c>
      <c r="CO143">
        <v>0</v>
      </c>
      <c r="CP143">
        <f t="shared" si="136"/>
        <v>542.76</v>
      </c>
      <c r="CQ143">
        <f t="shared" si="137"/>
        <v>8274.5215999999982</v>
      </c>
      <c r="CR143">
        <f t="shared" si="138"/>
        <v>280.2432</v>
      </c>
      <c r="CS143">
        <f t="shared" si="139"/>
        <v>49.462399999999995</v>
      </c>
      <c r="CT143">
        <f t="shared" si="140"/>
        <v>1137.5695999999998</v>
      </c>
      <c r="CU143">
        <f t="shared" si="141"/>
        <v>0</v>
      </c>
      <c r="CV143">
        <f t="shared" si="142"/>
        <v>21.044999999999998</v>
      </c>
      <c r="CW143">
        <f t="shared" si="143"/>
        <v>0.65</v>
      </c>
      <c r="CX143">
        <f t="shared" si="144"/>
        <v>0</v>
      </c>
      <c r="CY143">
        <f t="shared" si="145"/>
        <v>70.458199999999991</v>
      </c>
      <c r="CZ143">
        <f t="shared" si="146"/>
        <v>35.893799999999999</v>
      </c>
      <c r="DC143" t="s">
        <v>6</v>
      </c>
      <c r="DD143" t="s">
        <v>6</v>
      </c>
      <c r="DE143" t="s">
        <v>187</v>
      </c>
      <c r="DF143" t="s">
        <v>187</v>
      </c>
      <c r="DG143" t="s">
        <v>188</v>
      </c>
      <c r="DH143" t="s">
        <v>6</v>
      </c>
      <c r="DI143" t="s">
        <v>188</v>
      </c>
      <c r="DJ143" t="s">
        <v>187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1005</v>
      </c>
      <c r="DV143" t="s">
        <v>20</v>
      </c>
      <c r="DW143" t="s">
        <v>20</v>
      </c>
      <c r="DX143">
        <v>100</v>
      </c>
      <c r="EE143">
        <v>16510487</v>
      </c>
      <c r="EF143">
        <v>2</v>
      </c>
      <c r="EG143" t="s">
        <v>22</v>
      </c>
      <c r="EH143">
        <v>0</v>
      </c>
      <c r="EI143" t="s">
        <v>6</v>
      </c>
      <c r="EJ143">
        <v>1</v>
      </c>
      <c r="EK143">
        <v>10001</v>
      </c>
      <c r="EL143" t="s">
        <v>50</v>
      </c>
      <c r="EM143" t="s">
        <v>51</v>
      </c>
      <c r="EO143" t="s">
        <v>189</v>
      </c>
      <c r="EQ143">
        <v>131072</v>
      </c>
      <c r="ER143">
        <v>1446.32</v>
      </c>
      <c r="ES143">
        <v>1261.3599999999999</v>
      </c>
      <c r="ET143">
        <v>34.17</v>
      </c>
      <c r="EU143">
        <v>6.03</v>
      </c>
      <c r="EV143">
        <v>150.79</v>
      </c>
      <c r="EW143">
        <v>18.3</v>
      </c>
      <c r="EX143">
        <v>0.52</v>
      </c>
      <c r="EY143">
        <v>0</v>
      </c>
      <c r="FQ143">
        <v>0</v>
      </c>
      <c r="FR143">
        <f t="shared" si="147"/>
        <v>0</v>
      </c>
      <c r="FS143">
        <v>0</v>
      </c>
      <c r="FT143" t="s">
        <v>25</v>
      </c>
      <c r="FU143" t="s">
        <v>26</v>
      </c>
      <c r="FX143">
        <v>106.2</v>
      </c>
      <c r="FY143">
        <v>53.55</v>
      </c>
      <c r="GA143" t="s">
        <v>6</v>
      </c>
      <c r="GD143">
        <v>0</v>
      </c>
      <c r="GF143">
        <v>285600130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48"/>
        <v>0</v>
      </c>
      <c r="GM143">
        <f t="shared" si="149"/>
        <v>649.11</v>
      </c>
      <c r="GN143">
        <f t="shared" si="150"/>
        <v>649.11</v>
      </c>
      <c r="GO143">
        <f t="shared" si="151"/>
        <v>0</v>
      </c>
      <c r="GP143">
        <f t="shared" si="152"/>
        <v>0</v>
      </c>
      <c r="GR143">
        <v>0</v>
      </c>
      <c r="GS143">
        <v>3</v>
      </c>
      <c r="GT143">
        <v>0</v>
      </c>
      <c r="GU143" t="s">
        <v>6</v>
      </c>
      <c r="GV143">
        <f t="shared" si="153"/>
        <v>0</v>
      </c>
      <c r="GW143">
        <v>1</v>
      </c>
      <c r="GX143">
        <f t="shared" si="154"/>
        <v>0</v>
      </c>
      <c r="HA143">
        <v>0</v>
      </c>
      <c r="HB143">
        <v>0</v>
      </c>
      <c r="IK143">
        <v>0</v>
      </c>
    </row>
    <row r="144" spans="1:245" x14ac:dyDescent="0.2">
      <c r="A144">
        <v>18</v>
      </c>
      <c r="B144">
        <v>1</v>
      </c>
      <c r="C144">
        <v>240</v>
      </c>
      <c r="E144" t="s">
        <v>412</v>
      </c>
      <c r="F144" t="s">
        <v>413</v>
      </c>
      <c r="G144" t="s">
        <v>414</v>
      </c>
      <c r="H144" t="s">
        <v>193</v>
      </c>
      <c r="I144">
        <f>I143*J144</f>
        <v>5.74</v>
      </c>
      <c r="J144">
        <v>102.5</v>
      </c>
      <c r="O144">
        <f t="shared" si="121"/>
        <v>770.79</v>
      </c>
      <c r="P144">
        <f t="shared" si="122"/>
        <v>770.79</v>
      </c>
      <c r="Q144">
        <f t="shared" si="123"/>
        <v>0</v>
      </c>
      <c r="R144">
        <f t="shared" si="124"/>
        <v>0</v>
      </c>
      <c r="S144">
        <f t="shared" si="125"/>
        <v>0</v>
      </c>
      <c r="T144">
        <f t="shared" si="126"/>
        <v>0</v>
      </c>
      <c r="U144">
        <f t="shared" si="127"/>
        <v>0</v>
      </c>
      <c r="V144">
        <f t="shared" si="128"/>
        <v>0</v>
      </c>
      <c r="W144">
        <f t="shared" si="129"/>
        <v>0</v>
      </c>
      <c r="X144">
        <f t="shared" si="130"/>
        <v>0</v>
      </c>
      <c r="Y144">
        <f t="shared" si="131"/>
        <v>0</v>
      </c>
      <c r="AA144">
        <v>16742901</v>
      </c>
      <c r="AB144">
        <f t="shared" si="132"/>
        <v>20.47</v>
      </c>
      <c r="AC144">
        <f t="shared" si="133"/>
        <v>20.47</v>
      </c>
      <c r="AD144">
        <f>ROUND((((ET144)-(EU144))+AE144),2)</f>
        <v>0</v>
      </c>
      <c r="AE144">
        <f>ROUND((EU144),2)</f>
        <v>0</v>
      </c>
      <c r="AF144">
        <f>ROUND((EV144),2)</f>
        <v>0</v>
      </c>
      <c r="AG144">
        <f t="shared" si="134"/>
        <v>0</v>
      </c>
      <c r="AH144">
        <f>(EW144)</f>
        <v>0</v>
      </c>
      <c r="AI144">
        <f>(EX144)</f>
        <v>0</v>
      </c>
      <c r="AJ144">
        <f t="shared" si="135"/>
        <v>0</v>
      </c>
      <c r="AK144">
        <v>20.47</v>
      </c>
      <c r="AL144">
        <v>20.47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106</v>
      </c>
      <c r="AU144">
        <v>54</v>
      </c>
      <c r="AV144">
        <v>1</v>
      </c>
      <c r="AW144">
        <v>1</v>
      </c>
      <c r="AZ144">
        <v>6.56</v>
      </c>
      <c r="BA144">
        <v>1</v>
      </c>
      <c r="BB144">
        <v>1</v>
      </c>
      <c r="BC144">
        <v>6.56</v>
      </c>
      <c r="BD144" t="s">
        <v>6</v>
      </c>
      <c r="BE144" t="s">
        <v>6</v>
      </c>
      <c r="BF144" t="s">
        <v>6</v>
      </c>
      <c r="BG144" t="s">
        <v>6</v>
      </c>
      <c r="BH144">
        <v>3</v>
      </c>
      <c r="BI144">
        <v>1</v>
      </c>
      <c r="BJ144" t="s">
        <v>415</v>
      </c>
      <c r="BM144">
        <v>10001</v>
      </c>
      <c r="BN144">
        <v>0</v>
      </c>
      <c r="BO144" t="s">
        <v>6</v>
      </c>
      <c r="BP144">
        <v>0</v>
      </c>
      <c r="BQ144">
        <v>2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118</v>
      </c>
      <c r="CA144">
        <v>63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 t="shared" si="136"/>
        <v>770.79</v>
      </c>
      <c r="CQ144">
        <f t="shared" si="137"/>
        <v>134.28319999999999</v>
      </c>
      <c r="CR144">
        <f t="shared" si="138"/>
        <v>0</v>
      </c>
      <c r="CS144">
        <f t="shared" si="139"/>
        <v>0</v>
      </c>
      <c r="CT144">
        <f t="shared" si="140"/>
        <v>0</v>
      </c>
      <c r="CU144">
        <f t="shared" si="141"/>
        <v>0</v>
      </c>
      <c r="CV144">
        <f t="shared" si="142"/>
        <v>0</v>
      </c>
      <c r="CW144">
        <f t="shared" si="143"/>
        <v>0</v>
      </c>
      <c r="CX144">
        <f t="shared" si="144"/>
        <v>0</v>
      </c>
      <c r="CY144">
        <f t="shared" si="145"/>
        <v>0</v>
      </c>
      <c r="CZ144">
        <f t="shared" si="146"/>
        <v>0</v>
      </c>
      <c r="DC144" t="s">
        <v>6</v>
      </c>
      <c r="DD144" t="s">
        <v>6</v>
      </c>
      <c r="DE144" t="s">
        <v>6</v>
      </c>
      <c r="DF144" t="s">
        <v>6</v>
      </c>
      <c r="DG144" t="s">
        <v>6</v>
      </c>
      <c r="DH144" t="s">
        <v>6</v>
      </c>
      <c r="DI144" t="s">
        <v>6</v>
      </c>
      <c r="DJ144" t="s">
        <v>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1005</v>
      </c>
      <c r="DV144" t="s">
        <v>193</v>
      </c>
      <c r="DW144" t="s">
        <v>193</v>
      </c>
      <c r="DX144">
        <v>1</v>
      </c>
      <c r="EE144">
        <v>16510487</v>
      </c>
      <c r="EF144">
        <v>2</v>
      </c>
      <c r="EG144" t="s">
        <v>22</v>
      </c>
      <c r="EH144">
        <v>0</v>
      </c>
      <c r="EI144" t="s">
        <v>6</v>
      </c>
      <c r="EJ144">
        <v>1</v>
      </c>
      <c r="EK144">
        <v>10001</v>
      </c>
      <c r="EL144" t="s">
        <v>50</v>
      </c>
      <c r="EM144" t="s">
        <v>51</v>
      </c>
      <c r="EO144" t="s">
        <v>6</v>
      </c>
      <c r="EQ144">
        <v>0</v>
      </c>
      <c r="ER144">
        <v>20.47</v>
      </c>
      <c r="ES144">
        <v>20.47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47"/>
        <v>0</v>
      </c>
      <c r="FS144">
        <v>0</v>
      </c>
      <c r="FT144" t="s">
        <v>25</v>
      </c>
      <c r="FU144" t="s">
        <v>26</v>
      </c>
      <c r="FX144">
        <v>106.2</v>
      </c>
      <c r="FY144">
        <v>53.55</v>
      </c>
      <c r="GA144" t="s">
        <v>6</v>
      </c>
      <c r="GD144">
        <v>0</v>
      </c>
      <c r="GF144">
        <v>675650468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48"/>
        <v>0</v>
      </c>
      <c r="GM144">
        <f t="shared" si="149"/>
        <v>770.79</v>
      </c>
      <c r="GN144">
        <f t="shared" si="150"/>
        <v>770.79</v>
      </c>
      <c r="GO144">
        <f t="shared" si="151"/>
        <v>0</v>
      </c>
      <c r="GP144">
        <f t="shared" si="152"/>
        <v>0</v>
      </c>
      <c r="GR144">
        <v>0</v>
      </c>
      <c r="GS144">
        <v>3</v>
      </c>
      <c r="GT144">
        <v>0</v>
      </c>
      <c r="GU144" t="s">
        <v>6</v>
      </c>
      <c r="GV144">
        <f t="shared" si="153"/>
        <v>0</v>
      </c>
      <c r="GW144">
        <v>1</v>
      </c>
      <c r="GX144">
        <f t="shared" si="154"/>
        <v>0</v>
      </c>
      <c r="HA144">
        <v>0</v>
      </c>
      <c r="HB144">
        <v>0</v>
      </c>
      <c r="IK144">
        <v>0</v>
      </c>
    </row>
    <row r="145" spans="1:245" x14ac:dyDescent="0.2">
      <c r="A145">
        <v>18</v>
      </c>
      <c r="B145">
        <v>1</v>
      </c>
      <c r="C145">
        <v>242</v>
      </c>
      <c r="E145" t="s">
        <v>416</v>
      </c>
      <c r="F145" t="s">
        <v>417</v>
      </c>
      <c r="G145" t="s">
        <v>418</v>
      </c>
      <c r="H145" t="s">
        <v>419</v>
      </c>
      <c r="I145">
        <f>I143*J145</f>
        <v>-5.7400000000000003E-3</v>
      </c>
      <c r="J145">
        <v>-0.10250000000000001</v>
      </c>
      <c r="O145">
        <f t="shared" si="121"/>
        <v>-451.85</v>
      </c>
      <c r="P145">
        <f t="shared" si="122"/>
        <v>-451.85</v>
      </c>
      <c r="Q145">
        <f t="shared" si="123"/>
        <v>0</v>
      </c>
      <c r="R145">
        <f t="shared" si="124"/>
        <v>0</v>
      </c>
      <c r="S145">
        <f t="shared" si="125"/>
        <v>0</v>
      </c>
      <c r="T145">
        <f t="shared" si="126"/>
        <v>0</v>
      </c>
      <c r="U145">
        <f t="shared" si="127"/>
        <v>0</v>
      </c>
      <c r="V145">
        <f t="shared" si="128"/>
        <v>0</v>
      </c>
      <c r="W145">
        <f t="shared" si="129"/>
        <v>0</v>
      </c>
      <c r="X145">
        <f t="shared" si="130"/>
        <v>0</v>
      </c>
      <c r="Y145">
        <f t="shared" si="131"/>
        <v>0</v>
      </c>
      <c r="AA145">
        <v>16742901</v>
      </c>
      <c r="AB145">
        <f t="shared" si="132"/>
        <v>12000</v>
      </c>
      <c r="AC145">
        <f t="shared" si="133"/>
        <v>12000</v>
      </c>
      <c r="AD145">
        <f>ROUND((((ET145)-(EU145))+AE145),2)</f>
        <v>0</v>
      </c>
      <c r="AE145">
        <f>ROUND((EU145),2)</f>
        <v>0</v>
      </c>
      <c r="AF145">
        <f>ROUND((EV145),2)</f>
        <v>0</v>
      </c>
      <c r="AG145">
        <f t="shared" si="134"/>
        <v>0</v>
      </c>
      <c r="AH145">
        <f>(EW145)</f>
        <v>0</v>
      </c>
      <c r="AI145">
        <f>(EX145)</f>
        <v>0</v>
      </c>
      <c r="AJ145">
        <f t="shared" si="135"/>
        <v>0</v>
      </c>
      <c r="AK145">
        <v>12000</v>
      </c>
      <c r="AL145">
        <v>12000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106</v>
      </c>
      <c r="AU145">
        <v>54</v>
      </c>
      <c r="AV145">
        <v>1</v>
      </c>
      <c r="AW145">
        <v>1</v>
      </c>
      <c r="AZ145">
        <v>6.56</v>
      </c>
      <c r="BA145">
        <v>1</v>
      </c>
      <c r="BB145">
        <v>1</v>
      </c>
      <c r="BC145">
        <v>6.56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420</v>
      </c>
      <c r="BM145">
        <v>10001</v>
      </c>
      <c r="BN145">
        <v>0</v>
      </c>
      <c r="BO145" t="s">
        <v>6</v>
      </c>
      <c r="BP145">
        <v>0</v>
      </c>
      <c r="BQ145">
        <v>2</v>
      </c>
      <c r="BR145">
        <v>1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118</v>
      </c>
      <c r="CA145">
        <v>63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36"/>
        <v>-451.85</v>
      </c>
      <c r="CQ145">
        <f t="shared" si="137"/>
        <v>78720</v>
      </c>
      <c r="CR145">
        <f t="shared" si="138"/>
        <v>0</v>
      </c>
      <c r="CS145">
        <f t="shared" si="139"/>
        <v>0</v>
      </c>
      <c r="CT145">
        <f t="shared" si="140"/>
        <v>0</v>
      </c>
      <c r="CU145">
        <f t="shared" si="141"/>
        <v>0</v>
      </c>
      <c r="CV145">
        <f t="shared" si="142"/>
        <v>0</v>
      </c>
      <c r="CW145">
        <f t="shared" si="143"/>
        <v>0</v>
      </c>
      <c r="CX145">
        <f t="shared" si="144"/>
        <v>0</v>
      </c>
      <c r="CY145">
        <f t="shared" si="145"/>
        <v>0</v>
      </c>
      <c r="CZ145">
        <f t="shared" si="146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1005</v>
      </c>
      <c r="DV145" t="s">
        <v>419</v>
      </c>
      <c r="DW145" t="s">
        <v>419</v>
      </c>
      <c r="DX145">
        <v>1000</v>
      </c>
      <c r="EE145">
        <v>16510487</v>
      </c>
      <c r="EF145">
        <v>2</v>
      </c>
      <c r="EG145" t="s">
        <v>22</v>
      </c>
      <c r="EH145">
        <v>0</v>
      </c>
      <c r="EI145" t="s">
        <v>6</v>
      </c>
      <c r="EJ145">
        <v>1</v>
      </c>
      <c r="EK145">
        <v>10001</v>
      </c>
      <c r="EL145" t="s">
        <v>50</v>
      </c>
      <c r="EM145" t="s">
        <v>51</v>
      </c>
      <c r="EO145" t="s">
        <v>6</v>
      </c>
      <c r="EQ145">
        <v>0</v>
      </c>
      <c r="ER145">
        <v>12000</v>
      </c>
      <c r="ES145">
        <v>12000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47"/>
        <v>0</v>
      </c>
      <c r="FS145">
        <v>0</v>
      </c>
      <c r="FT145" t="s">
        <v>25</v>
      </c>
      <c r="FU145" t="s">
        <v>26</v>
      </c>
      <c r="FX145">
        <v>106.2</v>
      </c>
      <c r="FY145">
        <v>53.55</v>
      </c>
      <c r="GA145" t="s">
        <v>6</v>
      </c>
      <c r="GD145">
        <v>0</v>
      </c>
      <c r="GF145">
        <v>1143569307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48"/>
        <v>0</v>
      </c>
      <c r="GM145">
        <f t="shared" si="149"/>
        <v>-451.85</v>
      </c>
      <c r="GN145">
        <f t="shared" si="150"/>
        <v>-451.85</v>
      </c>
      <c r="GO145">
        <f t="shared" si="151"/>
        <v>0</v>
      </c>
      <c r="GP145">
        <f t="shared" si="152"/>
        <v>0</v>
      </c>
      <c r="GR145">
        <v>0</v>
      </c>
      <c r="GS145">
        <v>3</v>
      </c>
      <c r="GT145">
        <v>0</v>
      </c>
      <c r="GU145" t="s">
        <v>6</v>
      </c>
      <c r="GV145">
        <f t="shared" si="153"/>
        <v>0</v>
      </c>
      <c r="GW145">
        <v>1</v>
      </c>
      <c r="GX145">
        <f t="shared" si="154"/>
        <v>0</v>
      </c>
      <c r="HA145">
        <v>0</v>
      </c>
      <c r="HB145">
        <v>0</v>
      </c>
      <c r="IK145">
        <v>0</v>
      </c>
    </row>
    <row r="146" spans="1:245" x14ac:dyDescent="0.2">
      <c r="A146">
        <v>17</v>
      </c>
      <c r="B146">
        <v>1</v>
      </c>
      <c r="C146">
        <f>ROW(SmtRes!A255)</f>
        <v>255</v>
      </c>
      <c r="D146">
        <f>ROW(EtalonRes!A243)</f>
        <v>243</v>
      </c>
      <c r="E146" t="s">
        <v>421</v>
      </c>
      <c r="F146" t="s">
        <v>422</v>
      </c>
      <c r="G146" t="s">
        <v>423</v>
      </c>
      <c r="H146" t="s">
        <v>20</v>
      </c>
      <c r="I146">
        <f>ROUND(119/100,9)</f>
        <v>1.19</v>
      </c>
      <c r="J146">
        <v>0</v>
      </c>
      <c r="O146">
        <f t="shared" si="121"/>
        <v>13493.44</v>
      </c>
      <c r="P146">
        <f t="shared" si="122"/>
        <v>24.82</v>
      </c>
      <c r="Q146">
        <f t="shared" si="123"/>
        <v>309.83999999999997</v>
      </c>
      <c r="R146">
        <f t="shared" si="124"/>
        <v>171.04</v>
      </c>
      <c r="S146">
        <f t="shared" si="125"/>
        <v>13158.78</v>
      </c>
      <c r="T146">
        <f t="shared" si="126"/>
        <v>0</v>
      </c>
      <c r="U146">
        <f t="shared" si="127"/>
        <v>218.50839499999995</v>
      </c>
      <c r="V146">
        <f t="shared" si="128"/>
        <v>2.4543749999999998</v>
      </c>
      <c r="W146">
        <f t="shared" si="129"/>
        <v>0</v>
      </c>
      <c r="X146">
        <f t="shared" si="130"/>
        <v>12663.33</v>
      </c>
      <c r="Y146">
        <f t="shared" si="131"/>
        <v>6265.02</v>
      </c>
      <c r="AA146">
        <v>16742901</v>
      </c>
      <c r="AB146">
        <f t="shared" si="132"/>
        <v>1728.51</v>
      </c>
      <c r="AC146">
        <f t="shared" si="133"/>
        <v>3.18</v>
      </c>
      <c r="AD146">
        <f>ROUND(((((ET146*1.25))-((EU146*1.25)))+AE146),2)</f>
        <v>39.69</v>
      </c>
      <c r="AE146">
        <f>ROUND(((EU146*1.25)),2)</f>
        <v>21.91</v>
      </c>
      <c r="AF146">
        <f>ROUND(((EV146*1.15)),2)</f>
        <v>1685.64</v>
      </c>
      <c r="AG146">
        <f t="shared" si="134"/>
        <v>0</v>
      </c>
      <c r="AH146">
        <f>((EW146*1.15))</f>
        <v>183.62049999999996</v>
      </c>
      <c r="AI146">
        <f>((EX146*1.25))</f>
        <v>2.0625</v>
      </c>
      <c r="AJ146">
        <f t="shared" si="135"/>
        <v>0</v>
      </c>
      <c r="AK146">
        <v>1500.7</v>
      </c>
      <c r="AL146">
        <v>3.18</v>
      </c>
      <c r="AM146">
        <v>31.75</v>
      </c>
      <c r="AN146">
        <v>17.53</v>
      </c>
      <c r="AO146">
        <v>1465.77</v>
      </c>
      <c r="AP146">
        <v>0</v>
      </c>
      <c r="AQ146">
        <v>159.66999999999999</v>
      </c>
      <c r="AR146">
        <v>1.65</v>
      </c>
      <c r="AS146">
        <v>0</v>
      </c>
      <c r="AT146">
        <v>95</v>
      </c>
      <c r="AU146">
        <v>47</v>
      </c>
      <c r="AV146">
        <v>1</v>
      </c>
      <c r="AW146">
        <v>1</v>
      </c>
      <c r="AZ146">
        <v>6.56</v>
      </c>
      <c r="BA146">
        <v>6.56</v>
      </c>
      <c r="BB146">
        <v>6.56</v>
      </c>
      <c r="BC146">
        <v>6.56</v>
      </c>
      <c r="BD146" t="s">
        <v>6</v>
      </c>
      <c r="BE146" t="s">
        <v>6</v>
      </c>
      <c r="BF146" t="s">
        <v>6</v>
      </c>
      <c r="BG146" t="s">
        <v>6</v>
      </c>
      <c r="BH146">
        <v>0</v>
      </c>
      <c r="BI146">
        <v>1</v>
      </c>
      <c r="BJ146" t="s">
        <v>424</v>
      </c>
      <c r="BM146">
        <v>15001</v>
      </c>
      <c r="BN146">
        <v>0</v>
      </c>
      <c r="BO146" t="s">
        <v>6</v>
      </c>
      <c r="BP146">
        <v>0</v>
      </c>
      <c r="BQ146">
        <v>2</v>
      </c>
      <c r="BR146">
        <v>0</v>
      </c>
      <c r="BS146">
        <v>6.56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</v>
      </c>
      <c r="BZ146">
        <v>105</v>
      </c>
      <c r="CA146">
        <v>55</v>
      </c>
      <c r="CF146">
        <v>0</v>
      </c>
      <c r="CG146">
        <v>0</v>
      </c>
      <c r="CM146">
        <v>0</v>
      </c>
      <c r="CN146" t="s">
        <v>1902</v>
      </c>
      <c r="CO146">
        <v>0</v>
      </c>
      <c r="CP146">
        <f t="shared" si="136"/>
        <v>13493.44</v>
      </c>
      <c r="CQ146">
        <f t="shared" si="137"/>
        <v>20.860800000000001</v>
      </c>
      <c r="CR146">
        <f t="shared" si="138"/>
        <v>260.36639999999994</v>
      </c>
      <c r="CS146">
        <f t="shared" si="139"/>
        <v>143.7296</v>
      </c>
      <c r="CT146">
        <f t="shared" si="140"/>
        <v>11057.7984</v>
      </c>
      <c r="CU146">
        <f t="shared" si="141"/>
        <v>0</v>
      </c>
      <c r="CV146">
        <f t="shared" si="142"/>
        <v>183.62049999999996</v>
      </c>
      <c r="CW146">
        <f t="shared" si="143"/>
        <v>2.0625</v>
      </c>
      <c r="CX146">
        <f t="shared" si="144"/>
        <v>0</v>
      </c>
      <c r="CY146">
        <f t="shared" si="145"/>
        <v>12663.329000000002</v>
      </c>
      <c r="CZ146">
        <f t="shared" si="146"/>
        <v>6265.0154000000002</v>
      </c>
      <c r="DC146" t="s">
        <v>6</v>
      </c>
      <c r="DD146" t="s">
        <v>6</v>
      </c>
      <c r="DE146" t="s">
        <v>187</v>
      </c>
      <c r="DF146" t="s">
        <v>187</v>
      </c>
      <c r="DG146" t="s">
        <v>188</v>
      </c>
      <c r="DH146" t="s">
        <v>6</v>
      </c>
      <c r="DI146" t="s">
        <v>188</v>
      </c>
      <c r="DJ146" t="s">
        <v>187</v>
      </c>
      <c r="DK146" t="s">
        <v>6</v>
      </c>
      <c r="DL146" t="s">
        <v>6</v>
      </c>
      <c r="DM146" t="s">
        <v>6</v>
      </c>
      <c r="DN146">
        <v>0</v>
      </c>
      <c r="DO146">
        <v>0</v>
      </c>
      <c r="DP146">
        <v>1</v>
      </c>
      <c r="DQ146">
        <v>1</v>
      </c>
      <c r="DU146">
        <v>1005</v>
      </c>
      <c r="DV146" t="s">
        <v>20</v>
      </c>
      <c r="DW146" t="s">
        <v>20</v>
      </c>
      <c r="DX146">
        <v>100</v>
      </c>
      <c r="EE146">
        <v>16510513</v>
      </c>
      <c r="EF146">
        <v>2</v>
      </c>
      <c r="EG146" t="s">
        <v>22</v>
      </c>
      <c r="EH146">
        <v>0</v>
      </c>
      <c r="EI146" t="s">
        <v>6</v>
      </c>
      <c r="EJ146">
        <v>1</v>
      </c>
      <c r="EK146">
        <v>15001</v>
      </c>
      <c r="EL146" t="s">
        <v>229</v>
      </c>
      <c r="EM146" t="s">
        <v>230</v>
      </c>
      <c r="EO146" t="s">
        <v>189</v>
      </c>
      <c r="EQ146">
        <v>131072</v>
      </c>
      <c r="ER146">
        <v>1500.7</v>
      </c>
      <c r="ES146">
        <v>3.18</v>
      </c>
      <c r="ET146">
        <v>31.75</v>
      </c>
      <c r="EU146">
        <v>17.53</v>
      </c>
      <c r="EV146">
        <v>1465.77</v>
      </c>
      <c r="EW146">
        <v>159.66999999999999</v>
      </c>
      <c r="EX146">
        <v>1.65</v>
      </c>
      <c r="EY146">
        <v>0</v>
      </c>
      <c r="FQ146">
        <v>0</v>
      </c>
      <c r="FR146">
        <f t="shared" si="147"/>
        <v>0</v>
      </c>
      <c r="FS146">
        <v>0</v>
      </c>
      <c r="FT146" t="s">
        <v>25</v>
      </c>
      <c r="FU146" t="s">
        <v>26</v>
      </c>
      <c r="FX146">
        <v>94.5</v>
      </c>
      <c r="FY146">
        <v>46.75</v>
      </c>
      <c r="GA146" t="s">
        <v>6</v>
      </c>
      <c r="GD146">
        <v>0</v>
      </c>
      <c r="GF146">
        <v>2062515713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48"/>
        <v>0</v>
      </c>
      <c r="GM146">
        <f t="shared" si="149"/>
        <v>32421.79</v>
      </c>
      <c r="GN146">
        <f t="shared" si="150"/>
        <v>32421.79</v>
      </c>
      <c r="GO146">
        <f t="shared" si="151"/>
        <v>0</v>
      </c>
      <c r="GP146">
        <f t="shared" si="152"/>
        <v>0</v>
      </c>
      <c r="GR146">
        <v>0</v>
      </c>
      <c r="GS146">
        <v>3</v>
      </c>
      <c r="GT146">
        <v>0</v>
      </c>
      <c r="GU146" t="s">
        <v>6</v>
      </c>
      <c r="GV146">
        <f t="shared" si="153"/>
        <v>0</v>
      </c>
      <c r="GW146">
        <v>1</v>
      </c>
      <c r="GX146">
        <f t="shared" si="154"/>
        <v>0</v>
      </c>
      <c r="HA146">
        <v>0</v>
      </c>
      <c r="HB146">
        <v>0</v>
      </c>
      <c r="IK146">
        <v>0</v>
      </c>
    </row>
    <row r="147" spans="1:245" x14ac:dyDescent="0.2">
      <c r="A147">
        <v>18</v>
      </c>
      <c r="B147">
        <v>1</v>
      </c>
      <c r="C147">
        <v>250</v>
      </c>
      <c r="E147" t="s">
        <v>425</v>
      </c>
      <c r="F147" t="s">
        <v>372</v>
      </c>
      <c r="G147" t="s">
        <v>426</v>
      </c>
      <c r="H147" t="s">
        <v>100</v>
      </c>
      <c r="I147">
        <f>I146*J147</f>
        <v>5.9499999999999997E-2</v>
      </c>
      <c r="J147">
        <v>0.05</v>
      </c>
      <c r="O147">
        <f t="shared" si="121"/>
        <v>0</v>
      </c>
      <c r="P147">
        <f t="shared" si="122"/>
        <v>0</v>
      </c>
      <c r="Q147">
        <f t="shared" si="123"/>
        <v>0</v>
      </c>
      <c r="R147">
        <f t="shared" si="124"/>
        <v>0</v>
      </c>
      <c r="S147">
        <f t="shared" si="125"/>
        <v>0</v>
      </c>
      <c r="T147">
        <f t="shared" si="126"/>
        <v>0</v>
      </c>
      <c r="U147">
        <f t="shared" si="127"/>
        <v>0</v>
      </c>
      <c r="V147">
        <f t="shared" si="128"/>
        <v>0</v>
      </c>
      <c r="W147">
        <f t="shared" si="129"/>
        <v>0</v>
      </c>
      <c r="X147">
        <f t="shared" si="130"/>
        <v>0</v>
      </c>
      <c r="Y147">
        <f t="shared" si="131"/>
        <v>0</v>
      </c>
      <c r="AA147">
        <v>16742901</v>
      </c>
      <c r="AB147">
        <f t="shared" si="132"/>
        <v>0</v>
      </c>
      <c r="AC147">
        <f t="shared" si="133"/>
        <v>0</v>
      </c>
      <c r="AD147">
        <f t="shared" ref="AD147:AD152" si="155">ROUND((((ET147)-(EU147))+AE147),2)</f>
        <v>0</v>
      </c>
      <c r="AE147">
        <f t="shared" ref="AE147:AF152" si="156">ROUND((EU147),2)</f>
        <v>0</v>
      </c>
      <c r="AF147">
        <f t="shared" si="156"/>
        <v>0</v>
      </c>
      <c r="AG147">
        <f t="shared" si="134"/>
        <v>0</v>
      </c>
      <c r="AH147">
        <f t="shared" ref="AH147:AI152" si="157">(EW147)</f>
        <v>0</v>
      </c>
      <c r="AI147">
        <f t="shared" si="157"/>
        <v>0</v>
      </c>
      <c r="AJ147">
        <f t="shared" si="135"/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6.56</v>
      </c>
      <c r="BA147">
        <v>1</v>
      </c>
      <c r="BB147">
        <v>1</v>
      </c>
      <c r="BC147">
        <v>6.56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6</v>
      </c>
      <c r="BM147">
        <v>15001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105</v>
      </c>
      <c r="CA147">
        <v>55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36"/>
        <v>0</v>
      </c>
      <c r="CQ147">
        <f t="shared" si="137"/>
        <v>0</v>
      </c>
      <c r="CR147">
        <f t="shared" si="138"/>
        <v>0</v>
      </c>
      <c r="CS147">
        <f t="shared" si="139"/>
        <v>0</v>
      </c>
      <c r="CT147">
        <f t="shared" si="140"/>
        <v>0</v>
      </c>
      <c r="CU147">
        <f t="shared" si="141"/>
        <v>0</v>
      </c>
      <c r="CV147">
        <f t="shared" si="142"/>
        <v>0</v>
      </c>
      <c r="CW147">
        <f t="shared" si="143"/>
        <v>0</v>
      </c>
      <c r="CX147">
        <f t="shared" si="144"/>
        <v>0</v>
      </c>
      <c r="CY147">
        <f t="shared" si="145"/>
        <v>0</v>
      </c>
      <c r="CZ147">
        <f t="shared" si="146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1009</v>
      </c>
      <c r="DV147" t="s">
        <v>100</v>
      </c>
      <c r="DW147" t="s">
        <v>100</v>
      </c>
      <c r="DX147">
        <v>1000</v>
      </c>
      <c r="EE147">
        <v>16510513</v>
      </c>
      <c r="EF147">
        <v>2</v>
      </c>
      <c r="EG147" t="s">
        <v>22</v>
      </c>
      <c r="EH147">
        <v>0</v>
      </c>
      <c r="EI147" t="s">
        <v>6</v>
      </c>
      <c r="EJ147">
        <v>1</v>
      </c>
      <c r="EK147">
        <v>15001</v>
      </c>
      <c r="EL147" t="s">
        <v>229</v>
      </c>
      <c r="EM147" t="s">
        <v>230</v>
      </c>
      <c r="EO147" t="s">
        <v>6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47"/>
        <v>0</v>
      </c>
      <c r="FS147">
        <v>0</v>
      </c>
      <c r="FT147" t="s">
        <v>25</v>
      </c>
      <c r="FU147" t="s">
        <v>26</v>
      </c>
      <c r="FX147">
        <v>94.5</v>
      </c>
      <c r="FY147">
        <v>46.75</v>
      </c>
      <c r="GA147" t="s">
        <v>6</v>
      </c>
      <c r="GD147">
        <v>0</v>
      </c>
      <c r="GF147">
        <v>1531120620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48"/>
        <v>0</v>
      </c>
      <c r="GM147">
        <f t="shared" si="149"/>
        <v>0</v>
      </c>
      <c r="GN147">
        <f t="shared" si="150"/>
        <v>0</v>
      </c>
      <c r="GO147">
        <f t="shared" si="151"/>
        <v>0</v>
      </c>
      <c r="GP147">
        <f t="shared" si="152"/>
        <v>0</v>
      </c>
      <c r="GR147">
        <v>0</v>
      </c>
      <c r="GS147">
        <v>3</v>
      </c>
      <c r="GT147">
        <v>0</v>
      </c>
      <c r="GU147" t="s">
        <v>6</v>
      </c>
      <c r="GV147">
        <f t="shared" si="153"/>
        <v>0</v>
      </c>
      <c r="GW147">
        <v>1</v>
      </c>
      <c r="GX147">
        <f t="shared" si="154"/>
        <v>0</v>
      </c>
      <c r="HA147">
        <v>0</v>
      </c>
      <c r="HB147">
        <v>0</v>
      </c>
      <c r="IK147">
        <v>0</v>
      </c>
    </row>
    <row r="148" spans="1:245" x14ac:dyDescent="0.2">
      <c r="A148">
        <v>18</v>
      </c>
      <c r="B148">
        <v>1</v>
      </c>
      <c r="C148">
        <v>251</v>
      </c>
      <c r="E148" t="s">
        <v>427</v>
      </c>
      <c r="F148" t="s">
        <v>428</v>
      </c>
      <c r="G148" t="s">
        <v>429</v>
      </c>
      <c r="H148" t="s">
        <v>100</v>
      </c>
      <c r="I148">
        <f>I146*J148</f>
        <v>5.9499999999999997E-2</v>
      </c>
      <c r="J148">
        <v>0.05</v>
      </c>
      <c r="O148">
        <f t="shared" ref="O148:O179" si="158">ROUND(CP148,2)</f>
        <v>3512.88</v>
      </c>
      <c r="P148">
        <f t="shared" ref="P148:P179" si="159">ROUND(CQ148*I148,2)</f>
        <v>3512.88</v>
      </c>
      <c r="Q148">
        <f t="shared" ref="Q148:Q179" si="160">ROUND(CR148*I148,2)</f>
        <v>0</v>
      </c>
      <c r="R148">
        <f t="shared" ref="R148:R179" si="161">ROUND(CS148*I148,2)</f>
        <v>0</v>
      </c>
      <c r="S148">
        <f t="shared" ref="S148:S179" si="162">ROUND(CT148*I148,2)</f>
        <v>0</v>
      </c>
      <c r="T148">
        <f t="shared" ref="T148:T179" si="163">ROUND(CU148*I148,2)</f>
        <v>0</v>
      </c>
      <c r="U148">
        <f t="shared" ref="U148:U179" si="164">CV148*I148</f>
        <v>0</v>
      </c>
      <c r="V148">
        <f t="shared" ref="V148:V179" si="165">CW148*I148</f>
        <v>0</v>
      </c>
      <c r="W148">
        <f t="shared" ref="W148:W179" si="166">ROUND(CX148*I148,2)</f>
        <v>0</v>
      </c>
      <c r="X148">
        <f t="shared" ref="X148:X179" si="167">ROUND(CY148,2)</f>
        <v>0</v>
      </c>
      <c r="Y148">
        <f t="shared" ref="Y148:Y179" si="168">ROUND(CZ148,2)</f>
        <v>0</v>
      </c>
      <c r="AA148">
        <v>16742901</v>
      </c>
      <c r="AB148">
        <f t="shared" ref="AB148:AB179" si="169">ROUND((AC148+AD148+AF148),2)</f>
        <v>9000</v>
      </c>
      <c r="AC148">
        <f t="shared" ref="AC148:AC158" si="170">ROUND((ES148),2)</f>
        <v>9000</v>
      </c>
      <c r="AD148">
        <f t="shared" si="155"/>
        <v>0</v>
      </c>
      <c r="AE148">
        <f t="shared" si="156"/>
        <v>0</v>
      </c>
      <c r="AF148">
        <f t="shared" si="156"/>
        <v>0</v>
      </c>
      <c r="AG148">
        <f t="shared" ref="AG148:AG179" si="171">ROUND((AP148),2)</f>
        <v>0</v>
      </c>
      <c r="AH148">
        <f t="shared" si="157"/>
        <v>0</v>
      </c>
      <c r="AI148">
        <f t="shared" si="157"/>
        <v>0</v>
      </c>
      <c r="AJ148">
        <f t="shared" ref="AJ148:AJ179" si="172">ROUND((AS148),2)</f>
        <v>0</v>
      </c>
      <c r="AK148">
        <v>9000</v>
      </c>
      <c r="AL148">
        <v>9000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95</v>
      </c>
      <c r="AU148">
        <v>47</v>
      </c>
      <c r="AV148">
        <v>1</v>
      </c>
      <c r="AW148">
        <v>1</v>
      </c>
      <c r="AZ148">
        <v>6.56</v>
      </c>
      <c r="BA148">
        <v>1</v>
      </c>
      <c r="BB148">
        <v>1</v>
      </c>
      <c r="BC148">
        <v>6.56</v>
      </c>
      <c r="BD148" t="s">
        <v>6</v>
      </c>
      <c r="BE148" t="s">
        <v>6</v>
      </c>
      <c r="BF148" t="s">
        <v>6</v>
      </c>
      <c r="BG148" t="s">
        <v>6</v>
      </c>
      <c r="BH148">
        <v>3</v>
      </c>
      <c r="BI148">
        <v>1</v>
      </c>
      <c r="BJ148" t="s">
        <v>430</v>
      </c>
      <c r="BM148">
        <v>15001</v>
      </c>
      <c r="BN148">
        <v>0</v>
      </c>
      <c r="BO148" t="s">
        <v>6</v>
      </c>
      <c r="BP148">
        <v>0</v>
      </c>
      <c r="BQ148">
        <v>2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105</v>
      </c>
      <c r="CA148">
        <v>55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 t="shared" ref="CP148:CP179" si="173">(P148+Q148+S148)</f>
        <v>3512.88</v>
      </c>
      <c r="CQ148">
        <f t="shared" ref="CQ148:CQ179" si="174">AC148*BC148</f>
        <v>59040</v>
      </c>
      <c r="CR148">
        <f t="shared" ref="CR148:CR179" si="175">AD148*BB148</f>
        <v>0</v>
      </c>
      <c r="CS148">
        <f t="shared" ref="CS148:CS179" si="176">AE148*BS148</f>
        <v>0</v>
      </c>
      <c r="CT148">
        <f t="shared" ref="CT148:CT179" si="177">AF148*BA148</f>
        <v>0</v>
      </c>
      <c r="CU148">
        <f t="shared" ref="CU148:CU179" si="178">AG148</f>
        <v>0</v>
      </c>
      <c r="CV148">
        <f t="shared" ref="CV148:CV179" si="179">AH148</f>
        <v>0</v>
      </c>
      <c r="CW148">
        <f t="shared" ref="CW148:CW179" si="180">AI148</f>
        <v>0</v>
      </c>
      <c r="CX148">
        <f t="shared" ref="CX148:CX179" si="181">AJ148</f>
        <v>0</v>
      </c>
      <c r="CY148">
        <f t="shared" ref="CY148:CY179" si="182">(((S148+R148)*AT148)/100)</f>
        <v>0</v>
      </c>
      <c r="CZ148">
        <f t="shared" ref="CZ148:CZ179" si="183">(((S148+R148)*AU148)/100)</f>
        <v>0</v>
      </c>
      <c r="DC148" t="s">
        <v>6</v>
      </c>
      <c r="DD148" t="s">
        <v>6</v>
      </c>
      <c r="DE148" t="s">
        <v>6</v>
      </c>
      <c r="DF148" t="s">
        <v>6</v>
      </c>
      <c r="DG148" t="s">
        <v>6</v>
      </c>
      <c r="DH148" t="s">
        <v>6</v>
      </c>
      <c r="DI148" t="s">
        <v>6</v>
      </c>
      <c r="DJ148" t="s">
        <v>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1009</v>
      </c>
      <c r="DV148" t="s">
        <v>100</v>
      </c>
      <c r="DW148" t="s">
        <v>100</v>
      </c>
      <c r="DX148">
        <v>1000</v>
      </c>
      <c r="EE148">
        <v>16510513</v>
      </c>
      <c r="EF148">
        <v>2</v>
      </c>
      <c r="EG148" t="s">
        <v>22</v>
      </c>
      <c r="EH148">
        <v>0</v>
      </c>
      <c r="EI148" t="s">
        <v>6</v>
      </c>
      <c r="EJ148">
        <v>1</v>
      </c>
      <c r="EK148">
        <v>15001</v>
      </c>
      <c r="EL148" t="s">
        <v>229</v>
      </c>
      <c r="EM148" t="s">
        <v>230</v>
      </c>
      <c r="EO148" t="s">
        <v>6</v>
      </c>
      <c r="EQ148">
        <v>0</v>
      </c>
      <c r="ER148">
        <v>9000</v>
      </c>
      <c r="ES148">
        <v>9000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ref="FR148:FR179" si="184">ROUND(IF(AND(BH148=3,BI148=3),P148,0),2)</f>
        <v>0</v>
      </c>
      <c r="FS148">
        <v>0</v>
      </c>
      <c r="FT148" t="s">
        <v>25</v>
      </c>
      <c r="FU148" t="s">
        <v>26</v>
      </c>
      <c r="FX148">
        <v>94.5</v>
      </c>
      <c r="FY148">
        <v>46.75</v>
      </c>
      <c r="GA148" t="s">
        <v>6</v>
      </c>
      <c r="GD148">
        <v>0</v>
      </c>
      <c r="GF148">
        <v>-195795605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ref="GL148:GL179" si="185">ROUND(IF(AND(BH148=3,BI148=3,FS148&lt;&gt;0),P148,0),2)</f>
        <v>0</v>
      </c>
      <c r="GM148">
        <f t="shared" ref="GM148:GM179" si="186">ROUND(O148+X148+Y148+GK148,2)+GX148</f>
        <v>3512.88</v>
      </c>
      <c r="GN148">
        <f t="shared" ref="GN148:GN179" si="187">IF(OR(BI148=0,BI148=1),ROUND(O148+X148+Y148+GK148,2),0)</f>
        <v>3512.88</v>
      </c>
      <c r="GO148">
        <f t="shared" ref="GO148:GO179" si="188">IF(BI148=2,ROUND(O148+X148+Y148+GK148,2),0)</f>
        <v>0</v>
      </c>
      <c r="GP148">
        <f t="shared" ref="GP148:GP179" si="189">IF(BI148=4,ROUND(O148+X148+Y148+GK148,2)+GX148,0)</f>
        <v>0</v>
      </c>
      <c r="GR148">
        <v>0</v>
      </c>
      <c r="GS148">
        <v>3</v>
      </c>
      <c r="GT148">
        <v>0</v>
      </c>
      <c r="GU148" t="s">
        <v>6</v>
      </c>
      <c r="GV148">
        <f t="shared" ref="GV148:GV179" si="190">ROUND(GT148,2)</f>
        <v>0</v>
      </c>
      <c r="GW148">
        <v>1</v>
      </c>
      <c r="GX148">
        <f t="shared" ref="GX148:GX179" si="191">ROUND(GV148*GW148*I148,2)</f>
        <v>0</v>
      </c>
      <c r="HA148">
        <v>0</v>
      </c>
      <c r="HB148">
        <v>0</v>
      </c>
      <c r="IK148">
        <v>0</v>
      </c>
    </row>
    <row r="149" spans="1:245" x14ac:dyDescent="0.2">
      <c r="A149">
        <v>18</v>
      </c>
      <c r="B149">
        <v>1</v>
      </c>
      <c r="C149">
        <v>252</v>
      </c>
      <c r="E149" t="s">
        <v>431</v>
      </c>
      <c r="F149" t="s">
        <v>432</v>
      </c>
      <c r="G149" t="s">
        <v>433</v>
      </c>
      <c r="H149" t="s">
        <v>193</v>
      </c>
      <c r="I149">
        <f>I146*J149</f>
        <v>119</v>
      </c>
      <c r="J149">
        <v>100</v>
      </c>
      <c r="O149">
        <f t="shared" si="158"/>
        <v>84402.8</v>
      </c>
      <c r="P149">
        <f t="shared" si="159"/>
        <v>84402.8</v>
      </c>
      <c r="Q149">
        <f t="shared" si="160"/>
        <v>0</v>
      </c>
      <c r="R149">
        <f t="shared" si="161"/>
        <v>0</v>
      </c>
      <c r="S149">
        <f t="shared" si="162"/>
        <v>0</v>
      </c>
      <c r="T149">
        <f t="shared" si="163"/>
        <v>0</v>
      </c>
      <c r="U149">
        <f t="shared" si="164"/>
        <v>0</v>
      </c>
      <c r="V149">
        <f t="shared" si="165"/>
        <v>0</v>
      </c>
      <c r="W149">
        <f t="shared" si="166"/>
        <v>0</v>
      </c>
      <c r="X149">
        <f t="shared" si="167"/>
        <v>0</v>
      </c>
      <c r="Y149">
        <f t="shared" si="168"/>
        <v>0</v>
      </c>
      <c r="AA149">
        <v>16742901</v>
      </c>
      <c r="AB149">
        <f t="shared" si="169"/>
        <v>108.12</v>
      </c>
      <c r="AC149">
        <f t="shared" si="170"/>
        <v>108.12</v>
      </c>
      <c r="AD149">
        <f t="shared" si="155"/>
        <v>0</v>
      </c>
      <c r="AE149">
        <f t="shared" si="156"/>
        <v>0</v>
      </c>
      <c r="AF149">
        <f t="shared" si="156"/>
        <v>0</v>
      </c>
      <c r="AG149">
        <f t="shared" si="171"/>
        <v>0</v>
      </c>
      <c r="AH149">
        <f t="shared" si="157"/>
        <v>0</v>
      </c>
      <c r="AI149">
        <f t="shared" si="157"/>
        <v>0</v>
      </c>
      <c r="AJ149">
        <f t="shared" si="172"/>
        <v>0</v>
      </c>
      <c r="AK149">
        <v>108.12</v>
      </c>
      <c r="AL149">
        <v>108.12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47</v>
      </c>
      <c r="AV149">
        <v>1</v>
      </c>
      <c r="AW149">
        <v>1</v>
      </c>
      <c r="AZ149">
        <v>6.56</v>
      </c>
      <c r="BA149">
        <v>1</v>
      </c>
      <c r="BB149">
        <v>1</v>
      </c>
      <c r="BC149">
        <v>6.56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434</v>
      </c>
      <c r="BM149">
        <v>15001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105</v>
      </c>
      <c r="CA149">
        <v>55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73"/>
        <v>84402.8</v>
      </c>
      <c r="CQ149">
        <f t="shared" si="174"/>
        <v>709.2672</v>
      </c>
      <c r="CR149">
        <f t="shared" si="175"/>
        <v>0</v>
      </c>
      <c r="CS149">
        <f t="shared" si="176"/>
        <v>0</v>
      </c>
      <c r="CT149">
        <f t="shared" si="177"/>
        <v>0</v>
      </c>
      <c r="CU149">
        <f t="shared" si="178"/>
        <v>0</v>
      </c>
      <c r="CV149">
        <f t="shared" si="179"/>
        <v>0</v>
      </c>
      <c r="CW149">
        <f t="shared" si="180"/>
        <v>0</v>
      </c>
      <c r="CX149">
        <f t="shared" si="181"/>
        <v>0</v>
      </c>
      <c r="CY149">
        <f t="shared" si="182"/>
        <v>0</v>
      </c>
      <c r="CZ149">
        <f t="shared" si="183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1005</v>
      </c>
      <c r="DV149" t="s">
        <v>193</v>
      </c>
      <c r="DW149" t="s">
        <v>193</v>
      </c>
      <c r="DX149">
        <v>1</v>
      </c>
      <c r="EE149">
        <v>16510513</v>
      </c>
      <c r="EF149">
        <v>2</v>
      </c>
      <c r="EG149" t="s">
        <v>22</v>
      </c>
      <c r="EH149">
        <v>0</v>
      </c>
      <c r="EI149" t="s">
        <v>6</v>
      </c>
      <c r="EJ149">
        <v>1</v>
      </c>
      <c r="EK149">
        <v>15001</v>
      </c>
      <c r="EL149" t="s">
        <v>229</v>
      </c>
      <c r="EM149" t="s">
        <v>230</v>
      </c>
      <c r="EO149" t="s">
        <v>6</v>
      </c>
      <c r="EQ149">
        <v>0</v>
      </c>
      <c r="ER149">
        <v>108.12</v>
      </c>
      <c r="ES149">
        <v>108.12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84"/>
        <v>0</v>
      </c>
      <c r="FS149">
        <v>0</v>
      </c>
      <c r="FT149" t="s">
        <v>25</v>
      </c>
      <c r="FU149" t="s">
        <v>26</v>
      </c>
      <c r="FX149">
        <v>94.5</v>
      </c>
      <c r="FY149">
        <v>46.75</v>
      </c>
      <c r="GA149" t="s">
        <v>6</v>
      </c>
      <c r="GD149">
        <v>0</v>
      </c>
      <c r="GF149">
        <v>-1231952768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si="185"/>
        <v>0</v>
      </c>
      <c r="GM149">
        <f t="shared" si="186"/>
        <v>84402.8</v>
      </c>
      <c r="GN149">
        <f t="shared" si="187"/>
        <v>84402.8</v>
      </c>
      <c r="GO149">
        <f t="shared" si="188"/>
        <v>0</v>
      </c>
      <c r="GP149">
        <f t="shared" si="189"/>
        <v>0</v>
      </c>
      <c r="GR149">
        <v>0</v>
      </c>
      <c r="GS149">
        <v>3</v>
      </c>
      <c r="GT149">
        <v>0</v>
      </c>
      <c r="GU149" t="s">
        <v>6</v>
      </c>
      <c r="GV149">
        <f t="shared" si="190"/>
        <v>0</v>
      </c>
      <c r="GW149">
        <v>1</v>
      </c>
      <c r="GX149">
        <f t="shared" si="191"/>
        <v>0</v>
      </c>
      <c r="HA149">
        <v>0</v>
      </c>
      <c r="HB149">
        <v>0</v>
      </c>
      <c r="IK149">
        <v>0</v>
      </c>
    </row>
    <row r="150" spans="1:245" x14ac:dyDescent="0.2">
      <c r="A150">
        <v>18</v>
      </c>
      <c r="B150">
        <v>1</v>
      </c>
      <c r="C150">
        <v>255</v>
      </c>
      <c r="E150" t="s">
        <v>435</v>
      </c>
      <c r="F150" t="s">
        <v>436</v>
      </c>
      <c r="G150" t="s">
        <v>437</v>
      </c>
      <c r="H150" t="s">
        <v>100</v>
      </c>
      <c r="I150">
        <f>I146*J150</f>
        <v>0.44624999999999998</v>
      </c>
      <c r="J150">
        <v>0.375</v>
      </c>
      <c r="O150">
        <f t="shared" si="158"/>
        <v>16415.919999999998</v>
      </c>
      <c r="P150">
        <f t="shared" si="159"/>
        <v>16415.919999999998</v>
      </c>
      <c r="Q150">
        <f t="shared" si="160"/>
        <v>0</v>
      </c>
      <c r="R150">
        <f t="shared" si="161"/>
        <v>0</v>
      </c>
      <c r="S150">
        <f t="shared" si="162"/>
        <v>0</v>
      </c>
      <c r="T150">
        <f t="shared" si="163"/>
        <v>0</v>
      </c>
      <c r="U150">
        <f t="shared" si="164"/>
        <v>0</v>
      </c>
      <c r="V150">
        <f t="shared" si="165"/>
        <v>0</v>
      </c>
      <c r="W150">
        <f t="shared" si="166"/>
        <v>0</v>
      </c>
      <c r="X150">
        <f t="shared" si="167"/>
        <v>0</v>
      </c>
      <c r="Y150">
        <f t="shared" si="168"/>
        <v>0</v>
      </c>
      <c r="AA150">
        <v>16742901</v>
      </c>
      <c r="AB150">
        <f t="shared" si="169"/>
        <v>5607.68</v>
      </c>
      <c r="AC150">
        <f t="shared" si="170"/>
        <v>5607.68</v>
      </c>
      <c r="AD150">
        <f t="shared" si="155"/>
        <v>0</v>
      </c>
      <c r="AE150">
        <f t="shared" si="156"/>
        <v>0</v>
      </c>
      <c r="AF150">
        <f t="shared" si="156"/>
        <v>0</v>
      </c>
      <c r="AG150">
        <f t="shared" si="171"/>
        <v>0</v>
      </c>
      <c r="AH150">
        <f t="shared" si="157"/>
        <v>0</v>
      </c>
      <c r="AI150">
        <f t="shared" si="157"/>
        <v>0</v>
      </c>
      <c r="AJ150">
        <f t="shared" si="172"/>
        <v>0</v>
      </c>
      <c r="AK150">
        <v>5607.68</v>
      </c>
      <c r="AL150">
        <v>5607.68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95</v>
      </c>
      <c r="AU150">
        <v>47</v>
      </c>
      <c r="AV150">
        <v>1</v>
      </c>
      <c r="AW150">
        <v>1</v>
      </c>
      <c r="AZ150">
        <v>6.56</v>
      </c>
      <c r="BA150">
        <v>1</v>
      </c>
      <c r="BB150">
        <v>1</v>
      </c>
      <c r="BC150">
        <v>6.56</v>
      </c>
      <c r="BD150" t="s">
        <v>6</v>
      </c>
      <c r="BE150" t="s">
        <v>6</v>
      </c>
      <c r="BF150" t="s">
        <v>6</v>
      </c>
      <c r="BG150" t="s">
        <v>6</v>
      </c>
      <c r="BH150">
        <v>3</v>
      </c>
      <c r="BI150">
        <v>1</v>
      </c>
      <c r="BJ150" t="s">
        <v>438</v>
      </c>
      <c r="BM150">
        <v>15001</v>
      </c>
      <c r="BN150">
        <v>0</v>
      </c>
      <c r="BO150" t="s">
        <v>6</v>
      </c>
      <c r="BP150">
        <v>0</v>
      </c>
      <c r="BQ150">
        <v>2</v>
      </c>
      <c r="BR150">
        <v>0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</v>
      </c>
      <c r="BZ150">
        <v>105</v>
      </c>
      <c r="CA150">
        <v>55</v>
      </c>
      <c r="CF150">
        <v>0</v>
      </c>
      <c r="CG150">
        <v>0</v>
      </c>
      <c r="CM150">
        <v>0</v>
      </c>
      <c r="CN150" t="s">
        <v>6</v>
      </c>
      <c r="CO150">
        <v>0</v>
      </c>
      <c r="CP150">
        <f t="shared" si="173"/>
        <v>16415.919999999998</v>
      </c>
      <c r="CQ150">
        <f t="shared" si="174"/>
        <v>36786.380799999999</v>
      </c>
      <c r="CR150">
        <f t="shared" si="175"/>
        <v>0</v>
      </c>
      <c r="CS150">
        <f t="shared" si="176"/>
        <v>0</v>
      </c>
      <c r="CT150">
        <f t="shared" si="177"/>
        <v>0</v>
      </c>
      <c r="CU150">
        <f t="shared" si="178"/>
        <v>0</v>
      </c>
      <c r="CV150">
        <f t="shared" si="179"/>
        <v>0</v>
      </c>
      <c r="CW150">
        <f t="shared" si="180"/>
        <v>0</v>
      </c>
      <c r="CX150">
        <f t="shared" si="181"/>
        <v>0</v>
      </c>
      <c r="CY150">
        <f t="shared" si="182"/>
        <v>0</v>
      </c>
      <c r="CZ150">
        <f t="shared" si="183"/>
        <v>0</v>
      </c>
      <c r="DC150" t="s">
        <v>6</v>
      </c>
      <c r="DD150" t="s">
        <v>6</v>
      </c>
      <c r="DE150" t="s">
        <v>6</v>
      </c>
      <c r="DF150" t="s">
        <v>6</v>
      </c>
      <c r="DG150" t="s">
        <v>6</v>
      </c>
      <c r="DH150" t="s">
        <v>6</v>
      </c>
      <c r="DI150" t="s">
        <v>6</v>
      </c>
      <c r="DJ150" t="s">
        <v>6</v>
      </c>
      <c r="DK150" t="s">
        <v>6</v>
      </c>
      <c r="DL150" t="s">
        <v>6</v>
      </c>
      <c r="DM150" t="s">
        <v>6</v>
      </c>
      <c r="DN150">
        <v>0</v>
      </c>
      <c r="DO150">
        <v>0</v>
      </c>
      <c r="DP150">
        <v>1</v>
      </c>
      <c r="DQ150">
        <v>1</v>
      </c>
      <c r="DU150">
        <v>1009</v>
      </c>
      <c r="DV150" t="s">
        <v>100</v>
      </c>
      <c r="DW150" t="s">
        <v>100</v>
      </c>
      <c r="DX150">
        <v>1000</v>
      </c>
      <c r="EE150">
        <v>16510513</v>
      </c>
      <c r="EF150">
        <v>2</v>
      </c>
      <c r="EG150" t="s">
        <v>22</v>
      </c>
      <c r="EH150">
        <v>0</v>
      </c>
      <c r="EI150" t="s">
        <v>6</v>
      </c>
      <c r="EJ150">
        <v>1</v>
      </c>
      <c r="EK150">
        <v>15001</v>
      </c>
      <c r="EL150" t="s">
        <v>229</v>
      </c>
      <c r="EM150" t="s">
        <v>230</v>
      </c>
      <c r="EO150" t="s">
        <v>6</v>
      </c>
      <c r="EQ150">
        <v>0</v>
      </c>
      <c r="ER150">
        <v>5607.68</v>
      </c>
      <c r="ES150">
        <v>5607.68</v>
      </c>
      <c r="ET150">
        <v>0</v>
      </c>
      <c r="EU150">
        <v>0</v>
      </c>
      <c r="EV150">
        <v>0</v>
      </c>
      <c r="EW150">
        <v>0</v>
      </c>
      <c r="EX150">
        <v>0</v>
      </c>
      <c r="FQ150">
        <v>0</v>
      </c>
      <c r="FR150">
        <f t="shared" si="184"/>
        <v>0</v>
      </c>
      <c r="FS150">
        <v>0</v>
      </c>
      <c r="FT150" t="s">
        <v>25</v>
      </c>
      <c r="FU150" t="s">
        <v>26</v>
      </c>
      <c r="FX150">
        <v>94.5</v>
      </c>
      <c r="FY150">
        <v>46.75</v>
      </c>
      <c r="GA150" t="s">
        <v>6</v>
      </c>
      <c r="GD150">
        <v>0</v>
      </c>
      <c r="GF150">
        <v>43784864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85"/>
        <v>0</v>
      </c>
      <c r="GM150">
        <f t="shared" si="186"/>
        <v>16415.919999999998</v>
      </c>
      <c r="GN150">
        <f t="shared" si="187"/>
        <v>16415.919999999998</v>
      </c>
      <c r="GO150">
        <f t="shared" si="188"/>
        <v>0</v>
      </c>
      <c r="GP150">
        <f t="shared" si="189"/>
        <v>0</v>
      </c>
      <c r="GR150">
        <v>0</v>
      </c>
      <c r="GS150">
        <v>3</v>
      </c>
      <c r="GT150">
        <v>0</v>
      </c>
      <c r="GU150" t="s">
        <v>6</v>
      </c>
      <c r="GV150">
        <f t="shared" si="190"/>
        <v>0</v>
      </c>
      <c r="GW150">
        <v>1</v>
      </c>
      <c r="GX150">
        <f t="shared" si="191"/>
        <v>0</v>
      </c>
      <c r="HA150">
        <v>0</v>
      </c>
      <c r="HB150">
        <v>0</v>
      </c>
      <c r="IK150">
        <v>0</v>
      </c>
    </row>
    <row r="151" spans="1:245" x14ac:dyDescent="0.2">
      <c r="A151">
        <v>18</v>
      </c>
      <c r="B151">
        <v>1</v>
      </c>
      <c r="C151">
        <v>253</v>
      </c>
      <c r="E151" t="s">
        <v>439</v>
      </c>
      <c r="F151" t="s">
        <v>440</v>
      </c>
      <c r="G151" t="s">
        <v>441</v>
      </c>
      <c r="H151" t="s">
        <v>193</v>
      </c>
      <c r="I151">
        <f>I146*J151</f>
        <v>119</v>
      </c>
      <c r="J151">
        <v>100</v>
      </c>
      <c r="O151">
        <f t="shared" si="158"/>
        <v>0</v>
      </c>
      <c r="P151">
        <f t="shared" si="159"/>
        <v>0</v>
      </c>
      <c r="Q151">
        <f t="shared" si="160"/>
        <v>0</v>
      </c>
      <c r="R151">
        <f t="shared" si="161"/>
        <v>0</v>
      </c>
      <c r="S151">
        <f t="shared" si="162"/>
        <v>0</v>
      </c>
      <c r="T151">
        <f t="shared" si="163"/>
        <v>0</v>
      </c>
      <c r="U151">
        <f t="shared" si="164"/>
        <v>0</v>
      </c>
      <c r="V151">
        <f t="shared" si="165"/>
        <v>0</v>
      </c>
      <c r="W151">
        <f t="shared" si="166"/>
        <v>0</v>
      </c>
      <c r="X151">
        <f t="shared" si="167"/>
        <v>0</v>
      </c>
      <c r="Y151">
        <f t="shared" si="168"/>
        <v>0</v>
      </c>
      <c r="AA151">
        <v>16742901</v>
      </c>
      <c r="AB151">
        <f t="shared" si="169"/>
        <v>0</v>
      </c>
      <c r="AC151">
        <f t="shared" si="170"/>
        <v>0</v>
      </c>
      <c r="AD151">
        <f t="shared" si="155"/>
        <v>0</v>
      </c>
      <c r="AE151">
        <f t="shared" si="156"/>
        <v>0</v>
      </c>
      <c r="AF151">
        <f t="shared" si="156"/>
        <v>0</v>
      </c>
      <c r="AG151">
        <f t="shared" si="171"/>
        <v>0</v>
      </c>
      <c r="AH151">
        <f t="shared" si="157"/>
        <v>0</v>
      </c>
      <c r="AI151">
        <f t="shared" si="157"/>
        <v>0</v>
      </c>
      <c r="AJ151">
        <f t="shared" si="172"/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95</v>
      </c>
      <c r="AU151">
        <v>47</v>
      </c>
      <c r="AV151">
        <v>1</v>
      </c>
      <c r="AW151">
        <v>1</v>
      </c>
      <c r="AZ151">
        <v>6.56</v>
      </c>
      <c r="BA151">
        <v>1</v>
      </c>
      <c r="BB151">
        <v>1</v>
      </c>
      <c r="BC151">
        <v>6.56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6</v>
      </c>
      <c r="BM151">
        <v>15001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105</v>
      </c>
      <c r="CA151">
        <v>55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73"/>
        <v>0</v>
      </c>
      <c r="CQ151">
        <f t="shared" si="174"/>
        <v>0</v>
      </c>
      <c r="CR151">
        <f t="shared" si="175"/>
        <v>0</v>
      </c>
      <c r="CS151">
        <f t="shared" si="176"/>
        <v>0</v>
      </c>
      <c r="CT151">
        <f t="shared" si="177"/>
        <v>0</v>
      </c>
      <c r="CU151">
        <f t="shared" si="178"/>
        <v>0</v>
      </c>
      <c r="CV151">
        <f t="shared" si="179"/>
        <v>0</v>
      </c>
      <c r="CW151">
        <f t="shared" si="180"/>
        <v>0</v>
      </c>
      <c r="CX151">
        <f t="shared" si="181"/>
        <v>0</v>
      </c>
      <c r="CY151">
        <f t="shared" si="182"/>
        <v>0</v>
      </c>
      <c r="CZ151">
        <f t="shared" si="183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1005</v>
      </c>
      <c r="DV151" t="s">
        <v>193</v>
      </c>
      <c r="DW151" t="s">
        <v>193</v>
      </c>
      <c r="DX151">
        <v>1</v>
      </c>
      <c r="EE151">
        <v>16510513</v>
      </c>
      <c r="EF151">
        <v>2</v>
      </c>
      <c r="EG151" t="s">
        <v>22</v>
      </c>
      <c r="EH151">
        <v>0</v>
      </c>
      <c r="EI151" t="s">
        <v>6</v>
      </c>
      <c r="EJ151">
        <v>1</v>
      </c>
      <c r="EK151">
        <v>15001</v>
      </c>
      <c r="EL151" t="s">
        <v>229</v>
      </c>
      <c r="EM151" t="s">
        <v>230</v>
      </c>
      <c r="EO151" t="s">
        <v>6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84"/>
        <v>0</v>
      </c>
      <c r="FS151">
        <v>0</v>
      </c>
      <c r="FT151" t="s">
        <v>25</v>
      </c>
      <c r="FU151" t="s">
        <v>26</v>
      </c>
      <c r="FX151">
        <v>94.5</v>
      </c>
      <c r="FY151">
        <v>46.75</v>
      </c>
      <c r="GA151" t="s">
        <v>6</v>
      </c>
      <c r="GD151">
        <v>0</v>
      </c>
      <c r="GF151">
        <v>1109111119</v>
      </c>
      <c r="GG151">
        <v>1</v>
      </c>
      <c r="GH151">
        <v>1</v>
      </c>
      <c r="GI151">
        <v>4</v>
      </c>
      <c r="GJ151">
        <v>0</v>
      </c>
      <c r="GK151">
        <f>ROUND(R151*(R12)/100,2)</f>
        <v>0</v>
      </c>
      <c r="GL151">
        <f t="shared" si="185"/>
        <v>0</v>
      </c>
      <c r="GM151">
        <f t="shared" si="186"/>
        <v>0</v>
      </c>
      <c r="GN151">
        <f t="shared" si="187"/>
        <v>0</v>
      </c>
      <c r="GO151">
        <f t="shared" si="188"/>
        <v>0</v>
      </c>
      <c r="GP151">
        <f t="shared" si="189"/>
        <v>0</v>
      </c>
      <c r="GR151">
        <v>0</v>
      </c>
      <c r="GS151">
        <v>3</v>
      </c>
      <c r="GT151">
        <v>0</v>
      </c>
      <c r="GU151" t="s">
        <v>6</v>
      </c>
      <c r="GV151">
        <f t="shared" si="190"/>
        <v>0</v>
      </c>
      <c r="GW151">
        <v>1</v>
      </c>
      <c r="GX151">
        <f t="shared" si="191"/>
        <v>0</v>
      </c>
      <c r="HA151">
        <v>0</v>
      </c>
      <c r="HB151">
        <v>0</v>
      </c>
      <c r="IK151">
        <v>0</v>
      </c>
    </row>
    <row r="152" spans="1:245" x14ac:dyDescent="0.2">
      <c r="A152">
        <v>18</v>
      </c>
      <c r="B152">
        <v>1</v>
      </c>
      <c r="C152">
        <v>254</v>
      </c>
      <c r="E152" t="s">
        <v>442</v>
      </c>
      <c r="F152" t="s">
        <v>443</v>
      </c>
      <c r="G152" t="s">
        <v>444</v>
      </c>
      <c r="H152" t="s">
        <v>100</v>
      </c>
      <c r="I152">
        <f>I146*J152</f>
        <v>0.44624999999999998</v>
      </c>
      <c r="J152">
        <v>0.375</v>
      </c>
      <c r="O152">
        <f t="shared" si="158"/>
        <v>0</v>
      </c>
      <c r="P152">
        <f t="shared" si="159"/>
        <v>0</v>
      </c>
      <c r="Q152">
        <f t="shared" si="160"/>
        <v>0</v>
      </c>
      <c r="R152">
        <f t="shared" si="161"/>
        <v>0</v>
      </c>
      <c r="S152">
        <f t="shared" si="162"/>
        <v>0</v>
      </c>
      <c r="T152">
        <f t="shared" si="163"/>
        <v>0</v>
      </c>
      <c r="U152">
        <f t="shared" si="164"/>
        <v>0</v>
      </c>
      <c r="V152">
        <f t="shared" si="165"/>
        <v>0</v>
      </c>
      <c r="W152">
        <f t="shared" si="166"/>
        <v>0</v>
      </c>
      <c r="X152">
        <f t="shared" si="167"/>
        <v>0</v>
      </c>
      <c r="Y152">
        <f t="shared" si="168"/>
        <v>0</v>
      </c>
      <c r="AA152">
        <v>16742901</v>
      </c>
      <c r="AB152">
        <f t="shared" si="169"/>
        <v>0</v>
      </c>
      <c r="AC152">
        <f t="shared" si="170"/>
        <v>0</v>
      </c>
      <c r="AD152">
        <f t="shared" si="155"/>
        <v>0</v>
      </c>
      <c r="AE152">
        <f t="shared" si="156"/>
        <v>0</v>
      </c>
      <c r="AF152">
        <f t="shared" si="156"/>
        <v>0</v>
      </c>
      <c r="AG152">
        <f t="shared" si="171"/>
        <v>0</v>
      </c>
      <c r="AH152">
        <f t="shared" si="157"/>
        <v>0</v>
      </c>
      <c r="AI152">
        <f t="shared" si="157"/>
        <v>0</v>
      </c>
      <c r="AJ152">
        <f t="shared" si="172"/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95</v>
      </c>
      <c r="AU152">
        <v>47</v>
      </c>
      <c r="AV152">
        <v>1</v>
      </c>
      <c r="AW152">
        <v>1</v>
      </c>
      <c r="AZ152">
        <v>6.56</v>
      </c>
      <c r="BA152">
        <v>1</v>
      </c>
      <c r="BB152">
        <v>1</v>
      </c>
      <c r="BC152">
        <v>6.56</v>
      </c>
      <c r="BD152" t="s">
        <v>6</v>
      </c>
      <c r="BE152" t="s">
        <v>6</v>
      </c>
      <c r="BF152" t="s">
        <v>6</v>
      </c>
      <c r="BG152" t="s">
        <v>6</v>
      </c>
      <c r="BH152">
        <v>3</v>
      </c>
      <c r="BI152">
        <v>1</v>
      </c>
      <c r="BJ152" t="s">
        <v>6</v>
      </c>
      <c r="BM152">
        <v>15001</v>
      </c>
      <c r="BN152">
        <v>0</v>
      </c>
      <c r="BO152" t="s">
        <v>6</v>
      </c>
      <c r="BP152">
        <v>0</v>
      </c>
      <c r="BQ152">
        <v>2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</v>
      </c>
      <c r="BZ152">
        <v>105</v>
      </c>
      <c r="CA152">
        <v>55</v>
      </c>
      <c r="CF152">
        <v>0</v>
      </c>
      <c r="CG152">
        <v>0</v>
      </c>
      <c r="CM152">
        <v>0</v>
      </c>
      <c r="CN152" t="s">
        <v>6</v>
      </c>
      <c r="CO152">
        <v>0</v>
      </c>
      <c r="CP152">
        <f t="shared" si="173"/>
        <v>0</v>
      </c>
      <c r="CQ152">
        <f t="shared" si="174"/>
        <v>0</v>
      </c>
      <c r="CR152">
        <f t="shared" si="175"/>
        <v>0</v>
      </c>
      <c r="CS152">
        <f t="shared" si="176"/>
        <v>0</v>
      </c>
      <c r="CT152">
        <f t="shared" si="177"/>
        <v>0</v>
      </c>
      <c r="CU152">
        <f t="shared" si="178"/>
        <v>0</v>
      </c>
      <c r="CV152">
        <f t="shared" si="179"/>
        <v>0</v>
      </c>
      <c r="CW152">
        <f t="shared" si="180"/>
        <v>0</v>
      </c>
      <c r="CX152">
        <f t="shared" si="181"/>
        <v>0</v>
      </c>
      <c r="CY152">
        <f t="shared" si="182"/>
        <v>0</v>
      </c>
      <c r="CZ152">
        <f t="shared" si="183"/>
        <v>0</v>
      </c>
      <c r="DC152" t="s">
        <v>6</v>
      </c>
      <c r="DD152" t="s">
        <v>6</v>
      </c>
      <c r="DE152" t="s">
        <v>6</v>
      </c>
      <c r="DF152" t="s">
        <v>6</v>
      </c>
      <c r="DG152" t="s">
        <v>6</v>
      </c>
      <c r="DH152" t="s">
        <v>6</v>
      </c>
      <c r="DI152" t="s">
        <v>6</v>
      </c>
      <c r="DJ152" t="s">
        <v>6</v>
      </c>
      <c r="DK152" t="s">
        <v>6</v>
      </c>
      <c r="DL152" t="s">
        <v>6</v>
      </c>
      <c r="DM152" t="s">
        <v>6</v>
      </c>
      <c r="DN152">
        <v>0</v>
      </c>
      <c r="DO152">
        <v>0</v>
      </c>
      <c r="DP152">
        <v>1</v>
      </c>
      <c r="DQ152">
        <v>1</v>
      </c>
      <c r="DU152">
        <v>1009</v>
      </c>
      <c r="DV152" t="s">
        <v>100</v>
      </c>
      <c r="DW152" t="s">
        <v>100</v>
      </c>
      <c r="DX152">
        <v>1000</v>
      </c>
      <c r="EE152">
        <v>16510513</v>
      </c>
      <c r="EF152">
        <v>2</v>
      </c>
      <c r="EG152" t="s">
        <v>22</v>
      </c>
      <c r="EH152">
        <v>0</v>
      </c>
      <c r="EI152" t="s">
        <v>6</v>
      </c>
      <c r="EJ152">
        <v>1</v>
      </c>
      <c r="EK152">
        <v>15001</v>
      </c>
      <c r="EL152" t="s">
        <v>229</v>
      </c>
      <c r="EM152" t="s">
        <v>230</v>
      </c>
      <c r="EO152" t="s">
        <v>6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84"/>
        <v>0</v>
      </c>
      <c r="FS152">
        <v>0</v>
      </c>
      <c r="FT152" t="s">
        <v>25</v>
      </c>
      <c r="FU152" t="s">
        <v>26</v>
      </c>
      <c r="FX152">
        <v>94.5</v>
      </c>
      <c r="FY152">
        <v>46.75</v>
      </c>
      <c r="GA152" t="s">
        <v>6</v>
      </c>
      <c r="GD152">
        <v>0</v>
      </c>
      <c r="GF152">
        <v>-1969728098</v>
      </c>
      <c r="GG152">
        <v>1</v>
      </c>
      <c r="GH152">
        <v>1</v>
      </c>
      <c r="GI152">
        <v>4</v>
      </c>
      <c r="GJ152">
        <v>0</v>
      </c>
      <c r="GK152">
        <f>ROUND(R152*(R12)/100,2)</f>
        <v>0</v>
      </c>
      <c r="GL152">
        <f t="shared" si="185"/>
        <v>0</v>
      </c>
      <c r="GM152">
        <f t="shared" si="186"/>
        <v>0</v>
      </c>
      <c r="GN152">
        <f t="shared" si="187"/>
        <v>0</v>
      </c>
      <c r="GO152">
        <f t="shared" si="188"/>
        <v>0</v>
      </c>
      <c r="GP152">
        <f t="shared" si="189"/>
        <v>0</v>
      </c>
      <c r="GR152">
        <v>0</v>
      </c>
      <c r="GS152">
        <v>3</v>
      </c>
      <c r="GT152">
        <v>0</v>
      </c>
      <c r="GU152" t="s">
        <v>6</v>
      </c>
      <c r="GV152">
        <f t="shared" si="190"/>
        <v>0</v>
      </c>
      <c r="GW152">
        <v>1</v>
      </c>
      <c r="GX152">
        <f t="shared" si="191"/>
        <v>0</v>
      </c>
      <c r="HA152">
        <v>0</v>
      </c>
      <c r="HB152">
        <v>0</v>
      </c>
      <c r="IK152">
        <v>0</v>
      </c>
    </row>
    <row r="153" spans="1:245" x14ac:dyDescent="0.2">
      <c r="A153">
        <v>17</v>
      </c>
      <c r="B153">
        <v>1</v>
      </c>
      <c r="C153">
        <f>ROW(SmtRes!A263)</f>
        <v>263</v>
      </c>
      <c r="D153">
        <f>ROW(EtalonRes!A250)</f>
        <v>250</v>
      </c>
      <c r="E153" t="s">
        <v>445</v>
      </c>
      <c r="F153" t="s">
        <v>446</v>
      </c>
      <c r="G153" t="s">
        <v>447</v>
      </c>
      <c r="H153" t="s">
        <v>56</v>
      </c>
      <c r="I153">
        <v>2</v>
      </c>
      <c r="J153">
        <v>0</v>
      </c>
      <c r="O153">
        <f t="shared" si="158"/>
        <v>605.09</v>
      </c>
      <c r="P153">
        <f t="shared" si="159"/>
        <v>292.05</v>
      </c>
      <c r="Q153">
        <f t="shared" si="160"/>
        <v>119</v>
      </c>
      <c r="R153">
        <f t="shared" si="161"/>
        <v>7.61</v>
      </c>
      <c r="S153">
        <f t="shared" si="162"/>
        <v>194.04</v>
      </c>
      <c r="T153">
        <f t="shared" si="163"/>
        <v>0</v>
      </c>
      <c r="U153">
        <f t="shared" si="164"/>
        <v>2.8979999999999997</v>
      </c>
      <c r="V153">
        <f t="shared" si="165"/>
        <v>0.1</v>
      </c>
      <c r="W153">
        <f t="shared" si="166"/>
        <v>0</v>
      </c>
      <c r="X153">
        <f t="shared" si="167"/>
        <v>231.9</v>
      </c>
      <c r="Y153">
        <f t="shared" si="168"/>
        <v>143.16999999999999</v>
      </c>
      <c r="AA153">
        <v>16742901</v>
      </c>
      <c r="AB153">
        <f t="shared" si="169"/>
        <v>46.12</v>
      </c>
      <c r="AC153">
        <f t="shared" si="170"/>
        <v>22.26</v>
      </c>
      <c r="AD153">
        <f>ROUND(((((ET153*1.25))-((EU153*1.25)))+AE153),2)</f>
        <v>9.07</v>
      </c>
      <c r="AE153">
        <f>ROUND(((EU153*1.25)),2)</f>
        <v>0.57999999999999996</v>
      </c>
      <c r="AF153">
        <f>ROUND(((EV153*1.15)),2)</f>
        <v>14.79</v>
      </c>
      <c r="AG153">
        <f t="shared" si="171"/>
        <v>0</v>
      </c>
      <c r="AH153">
        <f>((EW153*1.15))</f>
        <v>1.4489999999999998</v>
      </c>
      <c r="AI153">
        <f>((EX153*1.25))</f>
        <v>0.05</v>
      </c>
      <c r="AJ153">
        <f t="shared" si="172"/>
        <v>0</v>
      </c>
      <c r="AK153">
        <v>42.37</v>
      </c>
      <c r="AL153">
        <v>22.26</v>
      </c>
      <c r="AM153">
        <v>7.25</v>
      </c>
      <c r="AN153">
        <v>0.46</v>
      </c>
      <c r="AO153">
        <v>12.86</v>
      </c>
      <c r="AP153">
        <v>0</v>
      </c>
      <c r="AQ153">
        <v>1.26</v>
      </c>
      <c r="AR153">
        <v>0.04</v>
      </c>
      <c r="AS153">
        <v>0</v>
      </c>
      <c r="AT153">
        <v>115</v>
      </c>
      <c r="AU153">
        <v>71</v>
      </c>
      <c r="AV153">
        <v>1</v>
      </c>
      <c r="AW153">
        <v>1</v>
      </c>
      <c r="AZ153">
        <v>6.56</v>
      </c>
      <c r="BA153">
        <v>6.56</v>
      </c>
      <c r="BB153">
        <v>6.56</v>
      </c>
      <c r="BC153">
        <v>6.56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448</v>
      </c>
      <c r="BM153">
        <v>20001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6.56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128</v>
      </c>
      <c r="CA153">
        <v>83</v>
      </c>
      <c r="CF153">
        <v>0</v>
      </c>
      <c r="CG153">
        <v>0</v>
      </c>
      <c r="CM153">
        <v>0</v>
      </c>
      <c r="CN153" t="s">
        <v>1902</v>
      </c>
      <c r="CO153">
        <v>0</v>
      </c>
      <c r="CP153">
        <f t="shared" si="173"/>
        <v>605.09</v>
      </c>
      <c r="CQ153">
        <f t="shared" si="174"/>
        <v>146.0256</v>
      </c>
      <c r="CR153">
        <f t="shared" si="175"/>
        <v>59.499200000000002</v>
      </c>
      <c r="CS153">
        <f t="shared" si="176"/>
        <v>3.8047999999999993</v>
      </c>
      <c r="CT153">
        <f t="shared" si="177"/>
        <v>97.02239999999999</v>
      </c>
      <c r="CU153">
        <f t="shared" si="178"/>
        <v>0</v>
      </c>
      <c r="CV153">
        <f t="shared" si="179"/>
        <v>1.4489999999999998</v>
      </c>
      <c r="CW153">
        <f t="shared" si="180"/>
        <v>0.05</v>
      </c>
      <c r="CX153">
        <f t="shared" si="181"/>
        <v>0</v>
      </c>
      <c r="CY153">
        <f t="shared" si="182"/>
        <v>231.89750000000001</v>
      </c>
      <c r="CZ153">
        <f t="shared" si="183"/>
        <v>143.17150000000001</v>
      </c>
      <c r="DC153" t="s">
        <v>6</v>
      </c>
      <c r="DD153" t="s">
        <v>6</v>
      </c>
      <c r="DE153" t="s">
        <v>187</v>
      </c>
      <c r="DF153" t="s">
        <v>187</v>
      </c>
      <c r="DG153" t="s">
        <v>188</v>
      </c>
      <c r="DH153" t="s">
        <v>6</v>
      </c>
      <c r="DI153" t="s">
        <v>188</v>
      </c>
      <c r="DJ153" t="s">
        <v>187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56</v>
      </c>
      <c r="DW153" t="s">
        <v>56</v>
      </c>
      <c r="DX153">
        <v>1</v>
      </c>
      <c r="EE153">
        <v>16510518</v>
      </c>
      <c r="EF153">
        <v>2</v>
      </c>
      <c r="EG153" t="s">
        <v>22</v>
      </c>
      <c r="EH153">
        <v>0</v>
      </c>
      <c r="EI153" t="s">
        <v>6</v>
      </c>
      <c r="EJ153">
        <v>1</v>
      </c>
      <c r="EK153">
        <v>20001</v>
      </c>
      <c r="EL153" t="s">
        <v>60</v>
      </c>
      <c r="EM153" t="s">
        <v>61</v>
      </c>
      <c r="EO153" t="s">
        <v>189</v>
      </c>
      <c r="EQ153">
        <v>131072</v>
      </c>
      <c r="ER153">
        <v>42.37</v>
      </c>
      <c r="ES153">
        <v>22.26</v>
      </c>
      <c r="ET153">
        <v>7.25</v>
      </c>
      <c r="EU153">
        <v>0.46</v>
      </c>
      <c r="EV153">
        <v>12.86</v>
      </c>
      <c r="EW153">
        <v>1.26</v>
      </c>
      <c r="EX153">
        <v>0.04</v>
      </c>
      <c r="EY153">
        <v>0</v>
      </c>
      <c r="FQ153">
        <v>0</v>
      </c>
      <c r="FR153">
        <f t="shared" si="184"/>
        <v>0</v>
      </c>
      <c r="FS153">
        <v>0</v>
      </c>
      <c r="FT153" t="s">
        <v>25</v>
      </c>
      <c r="FU153" t="s">
        <v>26</v>
      </c>
      <c r="FX153">
        <v>115.2</v>
      </c>
      <c r="FY153">
        <v>70.55</v>
      </c>
      <c r="GA153" t="s">
        <v>6</v>
      </c>
      <c r="GD153">
        <v>0</v>
      </c>
      <c r="GF153">
        <v>-2108331283</v>
      </c>
      <c r="GG153">
        <v>1</v>
      </c>
      <c r="GH153">
        <v>1</v>
      </c>
      <c r="GI153">
        <v>4</v>
      </c>
      <c r="GJ153">
        <v>0</v>
      </c>
      <c r="GK153">
        <f>ROUND(R153*(R12)/100,2)</f>
        <v>0</v>
      </c>
      <c r="GL153">
        <f t="shared" si="185"/>
        <v>0</v>
      </c>
      <c r="GM153">
        <f t="shared" si="186"/>
        <v>980.16</v>
      </c>
      <c r="GN153">
        <f t="shared" si="187"/>
        <v>980.16</v>
      </c>
      <c r="GO153">
        <f t="shared" si="188"/>
        <v>0</v>
      </c>
      <c r="GP153">
        <f t="shared" si="189"/>
        <v>0</v>
      </c>
      <c r="GR153">
        <v>0</v>
      </c>
      <c r="GS153">
        <v>3</v>
      </c>
      <c r="GT153">
        <v>0</v>
      </c>
      <c r="GU153" t="s">
        <v>6</v>
      </c>
      <c r="GV153">
        <f t="shared" si="190"/>
        <v>0</v>
      </c>
      <c r="GW153">
        <v>1</v>
      </c>
      <c r="GX153">
        <f t="shared" si="191"/>
        <v>0</v>
      </c>
      <c r="HA153">
        <v>0</v>
      </c>
      <c r="HB153">
        <v>0</v>
      </c>
      <c r="IK153">
        <v>0</v>
      </c>
    </row>
    <row r="154" spans="1:245" x14ac:dyDescent="0.2">
      <c r="A154">
        <v>18</v>
      </c>
      <c r="B154">
        <v>1</v>
      </c>
      <c r="C154">
        <v>263</v>
      </c>
      <c r="E154" t="s">
        <v>449</v>
      </c>
      <c r="F154" t="s">
        <v>450</v>
      </c>
      <c r="G154" t="s">
        <v>451</v>
      </c>
      <c r="H154" t="s">
        <v>73</v>
      </c>
      <c r="I154">
        <f>I153*J154</f>
        <v>2</v>
      </c>
      <c r="J154">
        <v>1</v>
      </c>
      <c r="O154">
        <f t="shared" si="158"/>
        <v>88.95</v>
      </c>
      <c r="P154">
        <f t="shared" si="159"/>
        <v>88.95</v>
      </c>
      <c r="Q154">
        <f t="shared" si="160"/>
        <v>0</v>
      </c>
      <c r="R154">
        <f t="shared" si="161"/>
        <v>0</v>
      </c>
      <c r="S154">
        <f t="shared" si="162"/>
        <v>0</v>
      </c>
      <c r="T154">
        <f t="shared" si="163"/>
        <v>0</v>
      </c>
      <c r="U154">
        <f t="shared" si="164"/>
        <v>0</v>
      </c>
      <c r="V154">
        <f t="shared" si="165"/>
        <v>0</v>
      </c>
      <c r="W154">
        <f t="shared" si="166"/>
        <v>0</v>
      </c>
      <c r="X154">
        <f t="shared" si="167"/>
        <v>0</v>
      </c>
      <c r="Y154">
        <f t="shared" si="168"/>
        <v>0</v>
      </c>
      <c r="AA154">
        <v>16742901</v>
      </c>
      <c r="AB154">
        <f t="shared" si="169"/>
        <v>6.78</v>
      </c>
      <c r="AC154">
        <f t="shared" si="170"/>
        <v>6.78</v>
      </c>
      <c r="AD154">
        <f>ROUND((((ET154)-(EU154))+AE154),2)</f>
        <v>0</v>
      </c>
      <c r="AE154">
        <f>ROUND((EU154),2)</f>
        <v>0</v>
      </c>
      <c r="AF154">
        <f>ROUND((EV154),2)</f>
        <v>0</v>
      </c>
      <c r="AG154">
        <f t="shared" si="171"/>
        <v>0</v>
      </c>
      <c r="AH154">
        <f>(EW154)</f>
        <v>0</v>
      </c>
      <c r="AI154">
        <f>(EX154)</f>
        <v>0</v>
      </c>
      <c r="AJ154">
        <f t="shared" si="172"/>
        <v>0</v>
      </c>
      <c r="AK154">
        <v>6.78</v>
      </c>
      <c r="AL154">
        <v>6.78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115</v>
      </c>
      <c r="AU154">
        <v>71</v>
      </c>
      <c r="AV154">
        <v>1</v>
      </c>
      <c r="AW154">
        <v>1</v>
      </c>
      <c r="AZ154">
        <v>6.56</v>
      </c>
      <c r="BA154">
        <v>1</v>
      </c>
      <c r="BB154">
        <v>1</v>
      </c>
      <c r="BC154">
        <v>6.56</v>
      </c>
      <c r="BD154" t="s">
        <v>6</v>
      </c>
      <c r="BE154" t="s">
        <v>6</v>
      </c>
      <c r="BF154" t="s">
        <v>6</v>
      </c>
      <c r="BG154" t="s">
        <v>6</v>
      </c>
      <c r="BH154">
        <v>3</v>
      </c>
      <c r="BI154">
        <v>1</v>
      </c>
      <c r="BJ154" t="s">
        <v>452</v>
      </c>
      <c r="BM154">
        <v>20001</v>
      </c>
      <c r="BN154">
        <v>0</v>
      </c>
      <c r="BO154" t="s">
        <v>6</v>
      </c>
      <c r="BP154">
        <v>0</v>
      </c>
      <c r="BQ154">
        <v>2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6</v>
      </c>
      <c r="BZ154">
        <v>128</v>
      </c>
      <c r="CA154">
        <v>83</v>
      </c>
      <c r="CF154">
        <v>0</v>
      </c>
      <c r="CG154">
        <v>0</v>
      </c>
      <c r="CM154">
        <v>0</v>
      </c>
      <c r="CN154" t="s">
        <v>6</v>
      </c>
      <c r="CO154">
        <v>0</v>
      </c>
      <c r="CP154">
        <f t="shared" si="173"/>
        <v>88.95</v>
      </c>
      <c r="CQ154">
        <f t="shared" si="174"/>
        <v>44.476799999999997</v>
      </c>
      <c r="CR154">
        <f t="shared" si="175"/>
        <v>0</v>
      </c>
      <c r="CS154">
        <f t="shared" si="176"/>
        <v>0</v>
      </c>
      <c r="CT154">
        <f t="shared" si="177"/>
        <v>0</v>
      </c>
      <c r="CU154">
        <f t="shared" si="178"/>
        <v>0</v>
      </c>
      <c r="CV154">
        <f t="shared" si="179"/>
        <v>0</v>
      </c>
      <c r="CW154">
        <f t="shared" si="180"/>
        <v>0</v>
      </c>
      <c r="CX154">
        <f t="shared" si="181"/>
        <v>0</v>
      </c>
      <c r="CY154">
        <f t="shared" si="182"/>
        <v>0</v>
      </c>
      <c r="CZ154">
        <f t="shared" si="183"/>
        <v>0</v>
      </c>
      <c r="DC154" t="s">
        <v>6</v>
      </c>
      <c r="DD154" t="s">
        <v>6</v>
      </c>
      <c r="DE154" t="s">
        <v>6</v>
      </c>
      <c r="DF154" t="s">
        <v>6</v>
      </c>
      <c r="DG154" t="s">
        <v>6</v>
      </c>
      <c r="DH154" t="s">
        <v>6</v>
      </c>
      <c r="DI154" t="s">
        <v>6</v>
      </c>
      <c r="DJ154" t="s">
        <v>6</v>
      </c>
      <c r="DK154" t="s">
        <v>6</v>
      </c>
      <c r="DL154" t="s">
        <v>6</v>
      </c>
      <c r="DM154" t="s">
        <v>6</v>
      </c>
      <c r="DN154">
        <v>0</v>
      </c>
      <c r="DO154">
        <v>0</v>
      </c>
      <c r="DP154">
        <v>1</v>
      </c>
      <c r="DQ154">
        <v>1</v>
      </c>
      <c r="DU154">
        <v>1010</v>
      </c>
      <c r="DV154" t="s">
        <v>73</v>
      </c>
      <c r="DW154" t="s">
        <v>73</v>
      </c>
      <c r="DX154">
        <v>1</v>
      </c>
      <c r="EE154">
        <v>16510518</v>
      </c>
      <c r="EF154">
        <v>2</v>
      </c>
      <c r="EG154" t="s">
        <v>22</v>
      </c>
      <c r="EH154">
        <v>0</v>
      </c>
      <c r="EI154" t="s">
        <v>6</v>
      </c>
      <c r="EJ154">
        <v>1</v>
      </c>
      <c r="EK154">
        <v>20001</v>
      </c>
      <c r="EL154" t="s">
        <v>60</v>
      </c>
      <c r="EM154" t="s">
        <v>61</v>
      </c>
      <c r="EO154" t="s">
        <v>6</v>
      </c>
      <c r="EQ154">
        <v>0</v>
      </c>
      <c r="ER154">
        <v>6.78</v>
      </c>
      <c r="ES154">
        <v>6.78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84"/>
        <v>0</v>
      </c>
      <c r="FS154">
        <v>0</v>
      </c>
      <c r="FT154" t="s">
        <v>25</v>
      </c>
      <c r="FU154" t="s">
        <v>26</v>
      </c>
      <c r="FX154">
        <v>115.2</v>
      </c>
      <c r="FY154">
        <v>70.55</v>
      </c>
      <c r="GA154" t="s">
        <v>6</v>
      </c>
      <c r="GD154">
        <v>0</v>
      </c>
      <c r="GF154">
        <v>-978336568</v>
      </c>
      <c r="GG154">
        <v>1</v>
      </c>
      <c r="GH154">
        <v>1</v>
      </c>
      <c r="GI154">
        <v>4</v>
      </c>
      <c r="GJ154">
        <v>0</v>
      </c>
      <c r="GK154">
        <f>ROUND(R154*(R12)/100,2)</f>
        <v>0</v>
      </c>
      <c r="GL154">
        <f t="shared" si="185"/>
        <v>0</v>
      </c>
      <c r="GM154">
        <f t="shared" si="186"/>
        <v>88.95</v>
      </c>
      <c r="GN154">
        <f t="shared" si="187"/>
        <v>88.95</v>
      </c>
      <c r="GO154">
        <f t="shared" si="188"/>
        <v>0</v>
      </c>
      <c r="GP154">
        <f t="shared" si="189"/>
        <v>0</v>
      </c>
      <c r="GR154">
        <v>0</v>
      </c>
      <c r="GS154">
        <v>3</v>
      </c>
      <c r="GT154">
        <v>0</v>
      </c>
      <c r="GU154" t="s">
        <v>6</v>
      </c>
      <c r="GV154">
        <f t="shared" si="190"/>
        <v>0</v>
      </c>
      <c r="GW154">
        <v>1</v>
      </c>
      <c r="GX154">
        <f t="shared" si="191"/>
        <v>0</v>
      </c>
      <c r="HA154">
        <v>0</v>
      </c>
      <c r="HB154">
        <v>0</v>
      </c>
      <c r="IK154">
        <v>0</v>
      </c>
    </row>
    <row r="155" spans="1:245" x14ac:dyDescent="0.2">
      <c r="A155">
        <v>18</v>
      </c>
      <c r="B155">
        <v>1</v>
      </c>
      <c r="C155">
        <v>262</v>
      </c>
      <c r="E155" t="s">
        <v>453</v>
      </c>
      <c r="F155" t="s">
        <v>454</v>
      </c>
      <c r="G155" t="s">
        <v>455</v>
      </c>
      <c r="H155" t="s">
        <v>73</v>
      </c>
      <c r="I155">
        <f>I153*J155</f>
        <v>2</v>
      </c>
      <c r="J155">
        <v>1</v>
      </c>
      <c r="O155">
        <f t="shared" si="158"/>
        <v>0</v>
      </c>
      <c r="P155">
        <f t="shared" si="159"/>
        <v>0</v>
      </c>
      <c r="Q155">
        <f t="shared" si="160"/>
        <v>0</v>
      </c>
      <c r="R155">
        <f t="shared" si="161"/>
        <v>0</v>
      </c>
      <c r="S155">
        <f t="shared" si="162"/>
        <v>0</v>
      </c>
      <c r="T155">
        <f t="shared" si="163"/>
        <v>0</v>
      </c>
      <c r="U155">
        <f t="shared" si="164"/>
        <v>0</v>
      </c>
      <c r="V155">
        <f t="shared" si="165"/>
        <v>0</v>
      </c>
      <c r="W155">
        <f t="shared" si="166"/>
        <v>0</v>
      </c>
      <c r="X155">
        <f t="shared" si="167"/>
        <v>0</v>
      </c>
      <c r="Y155">
        <f t="shared" si="168"/>
        <v>0</v>
      </c>
      <c r="AA155">
        <v>16742901</v>
      </c>
      <c r="AB155">
        <f t="shared" si="169"/>
        <v>0</v>
      </c>
      <c r="AC155">
        <f t="shared" si="170"/>
        <v>0</v>
      </c>
      <c r="AD155">
        <f>ROUND((((ET155)-(EU155))+AE155),2)</f>
        <v>0</v>
      </c>
      <c r="AE155">
        <f>ROUND((EU155),2)</f>
        <v>0</v>
      </c>
      <c r="AF155">
        <f>ROUND((EV155),2)</f>
        <v>0</v>
      </c>
      <c r="AG155">
        <f t="shared" si="171"/>
        <v>0</v>
      </c>
      <c r="AH155">
        <f>(EW155)</f>
        <v>0</v>
      </c>
      <c r="AI155">
        <f>(EX155)</f>
        <v>0</v>
      </c>
      <c r="AJ155">
        <f t="shared" si="172"/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115</v>
      </c>
      <c r="AU155">
        <v>71</v>
      </c>
      <c r="AV155">
        <v>1</v>
      </c>
      <c r="AW155">
        <v>1</v>
      </c>
      <c r="AZ155">
        <v>6.56</v>
      </c>
      <c r="BA155">
        <v>1</v>
      </c>
      <c r="BB155">
        <v>1</v>
      </c>
      <c r="BC155">
        <v>6.56</v>
      </c>
      <c r="BD155" t="s">
        <v>6</v>
      </c>
      <c r="BE155" t="s">
        <v>6</v>
      </c>
      <c r="BF155" t="s">
        <v>6</v>
      </c>
      <c r="BG155" t="s">
        <v>6</v>
      </c>
      <c r="BH155">
        <v>3</v>
      </c>
      <c r="BI155">
        <v>1</v>
      </c>
      <c r="BJ155" t="s">
        <v>6</v>
      </c>
      <c r="BM155">
        <v>20001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128</v>
      </c>
      <c r="CA155">
        <v>83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 t="shared" si="173"/>
        <v>0</v>
      </c>
      <c r="CQ155">
        <f t="shared" si="174"/>
        <v>0</v>
      </c>
      <c r="CR155">
        <f t="shared" si="175"/>
        <v>0</v>
      </c>
      <c r="CS155">
        <f t="shared" si="176"/>
        <v>0</v>
      </c>
      <c r="CT155">
        <f t="shared" si="177"/>
        <v>0</v>
      </c>
      <c r="CU155">
        <f t="shared" si="178"/>
        <v>0</v>
      </c>
      <c r="CV155">
        <f t="shared" si="179"/>
        <v>0</v>
      </c>
      <c r="CW155">
        <f t="shared" si="180"/>
        <v>0</v>
      </c>
      <c r="CX155">
        <f t="shared" si="181"/>
        <v>0</v>
      </c>
      <c r="CY155">
        <f t="shared" si="182"/>
        <v>0</v>
      </c>
      <c r="CZ155">
        <f t="shared" si="183"/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1010</v>
      </c>
      <c r="DV155" t="s">
        <v>73</v>
      </c>
      <c r="DW155" t="s">
        <v>73</v>
      </c>
      <c r="DX155">
        <v>1</v>
      </c>
      <c r="EE155">
        <v>16510518</v>
      </c>
      <c r="EF155">
        <v>2</v>
      </c>
      <c r="EG155" t="s">
        <v>22</v>
      </c>
      <c r="EH155">
        <v>0</v>
      </c>
      <c r="EI155" t="s">
        <v>6</v>
      </c>
      <c r="EJ155">
        <v>1</v>
      </c>
      <c r="EK155">
        <v>20001</v>
      </c>
      <c r="EL155" t="s">
        <v>60</v>
      </c>
      <c r="EM155" t="s">
        <v>61</v>
      </c>
      <c r="EO155" t="s">
        <v>6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84"/>
        <v>0</v>
      </c>
      <c r="FS155">
        <v>0</v>
      </c>
      <c r="FT155" t="s">
        <v>25</v>
      </c>
      <c r="FU155" t="s">
        <v>26</v>
      </c>
      <c r="FX155">
        <v>115.2</v>
      </c>
      <c r="FY155">
        <v>70.55</v>
      </c>
      <c r="GA155" t="s">
        <v>6</v>
      </c>
      <c r="GD155">
        <v>0</v>
      </c>
      <c r="GF155">
        <v>1087564240</v>
      </c>
      <c r="GG155">
        <v>1</v>
      </c>
      <c r="GH155">
        <v>1</v>
      </c>
      <c r="GI155">
        <v>4</v>
      </c>
      <c r="GJ155">
        <v>0</v>
      </c>
      <c r="GK155">
        <f>ROUND(R155*(R12)/100,2)</f>
        <v>0</v>
      </c>
      <c r="GL155">
        <f t="shared" si="185"/>
        <v>0</v>
      </c>
      <c r="GM155">
        <f t="shared" si="186"/>
        <v>0</v>
      </c>
      <c r="GN155">
        <f t="shared" si="187"/>
        <v>0</v>
      </c>
      <c r="GO155">
        <f t="shared" si="188"/>
        <v>0</v>
      </c>
      <c r="GP155">
        <f t="shared" si="189"/>
        <v>0</v>
      </c>
      <c r="GR155">
        <v>0</v>
      </c>
      <c r="GS155">
        <v>3</v>
      </c>
      <c r="GT155">
        <v>0</v>
      </c>
      <c r="GU155" t="s">
        <v>6</v>
      </c>
      <c r="GV155">
        <f t="shared" si="190"/>
        <v>0</v>
      </c>
      <c r="GW155">
        <v>1</v>
      </c>
      <c r="GX155">
        <f t="shared" si="191"/>
        <v>0</v>
      </c>
      <c r="HA155">
        <v>0</v>
      </c>
      <c r="HB155">
        <v>0</v>
      </c>
      <c r="IK155">
        <v>0</v>
      </c>
    </row>
    <row r="156" spans="1:245" x14ac:dyDescent="0.2">
      <c r="A156">
        <v>17</v>
      </c>
      <c r="B156">
        <v>1</v>
      </c>
      <c r="C156">
        <f>ROW(SmtRes!A270)</f>
        <v>270</v>
      </c>
      <c r="D156">
        <f>ROW(EtalonRes!A256)</f>
        <v>256</v>
      </c>
      <c r="E156" t="s">
        <v>456</v>
      </c>
      <c r="F156" t="s">
        <v>457</v>
      </c>
      <c r="G156" t="s">
        <v>458</v>
      </c>
      <c r="H156" t="s">
        <v>20</v>
      </c>
      <c r="I156">
        <f>ROUND(221.16/100,9)</f>
        <v>2.2115999999999998</v>
      </c>
      <c r="J156">
        <v>0</v>
      </c>
      <c r="O156">
        <f t="shared" si="158"/>
        <v>6176.68</v>
      </c>
      <c r="P156">
        <f t="shared" si="159"/>
        <v>123.9</v>
      </c>
      <c r="Q156">
        <f t="shared" si="160"/>
        <v>762.69</v>
      </c>
      <c r="R156">
        <f t="shared" si="161"/>
        <v>311.05</v>
      </c>
      <c r="S156">
        <f t="shared" si="162"/>
        <v>5290.09</v>
      </c>
      <c r="T156">
        <f t="shared" si="163"/>
        <v>0</v>
      </c>
      <c r="U156">
        <f t="shared" si="164"/>
        <v>103.38677099999998</v>
      </c>
      <c r="V156">
        <f t="shared" si="165"/>
        <v>3.5109149999999993</v>
      </c>
      <c r="W156">
        <f t="shared" si="166"/>
        <v>0</v>
      </c>
      <c r="X156">
        <f t="shared" si="167"/>
        <v>6217.27</v>
      </c>
      <c r="Y156">
        <f t="shared" si="168"/>
        <v>3584.73</v>
      </c>
      <c r="AA156">
        <v>16742901</v>
      </c>
      <c r="AB156">
        <f t="shared" si="169"/>
        <v>425.74</v>
      </c>
      <c r="AC156">
        <f t="shared" si="170"/>
        <v>8.5399999999999991</v>
      </c>
      <c r="AD156">
        <f>ROUND(((((ET156*1.25))-((EU156*1.25)))+AE156),2)</f>
        <v>52.57</v>
      </c>
      <c r="AE156">
        <f>ROUND(((EU156*1.25)),2)</f>
        <v>21.44</v>
      </c>
      <c r="AF156">
        <f>ROUND(((EV156*1.15)),2)</f>
        <v>364.63</v>
      </c>
      <c r="AG156">
        <f t="shared" si="171"/>
        <v>0</v>
      </c>
      <c r="AH156">
        <f>((EW156*1.15))</f>
        <v>46.747499999999995</v>
      </c>
      <c r="AI156">
        <f>((EX156*1.25))</f>
        <v>1.5874999999999999</v>
      </c>
      <c r="AJ156">
        <f t="shared" si="172"/>
        <v>0</v>
      </c>
      <c r="AK156">
        <v>367.66</v>
      </c>
      <c r="AL156">
        <v>8.5399999999999991</v>
      </c>
      <c r="AM156">
        <v>42.05</v>
      </c>
      <c r="AN156">
        <v>17.149999999999999</v>
      </c>
      <c r="AO156">
        <v>317.07</v>
      </c>
      <c r="AP156">
        <v>0</v>
      </c>
      <c r="AQ156">
        <v>40.65</v>
      </c>
      <c r="AR156">
        <v>1.27</v>
      </c>
      <c r="AS156">
        <v>0</v>
      </c>
      <c r="AT156">
        <v>111</v>
      </c>
      <c r="AU156">
        <v>64</v>
      </c>
      <c r="AV156">
        <v>1</v>
      </c>
      <c r="AW156">
        <v>1</v>
      </c>
      <c r="AZ156">
        <v>6.56</v>
      </c>
      <c r="BA156">
        <v>6.56</v>
      </c>
      <c r="BB156">
        <v>6.56</v>
      </c>
      <c r="BC156">
        <v>6.56</v>
      </c>
      <c r="BD156" t="s">
        <v>6</v>
      </c>
      <c r="BE156" t="s">
        <v>6</v>
      </c>
      <c r="BF156" t="s">
        <v>6</v>
      </c>
      <c r="BG156" t="s">
        <v>6</v>
      </c>
      <c r="BH156">
        <v>0</v>
      </c>
      <c r="BI156">
        <v>1</v>
      </c>
      <c r="BJ156" t="s">
        <v>459</v>
      </c>
      <c r="BM156">
        <v>11001</v>
      </c>
      <c r="BN156">
        <v>0</v>
      </c>
      <c r="BO156" t="s">
        <v>6</v>
      </c>
      <c r="BP156">
        <v>0</v>
      </c>
      <c r="BQ156">
        <v>2</v>
      </c>
      <c r="BR156">
        <v>0</v>
      </c>
      <c r="BS156">
        <v>6.56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</v>
      </c>
      <c r="BZ156">
        <v>123</v>
      </c>
      <c r="CA156">
        <v>75</v>
      </c>
      <c r="CF156">
        <v>0</v>
      </c>
      <c r="CG156">
        <v>0</v>
      </c>
      <c r="CM156">
        <v>0</v>
      </c>
      <c r="CN156" t="s">
        <v>1902</v>
      </c>
      <c r="CO156">
        <v>0</v>
      </c>
      <c r="CP156">
        <f t="shared" si="173"/>
        <v>6176.68</v>
      </c>
      <c r="CQ156">
        <f t="shared" si="174"/>
        <v>56.02239999999999</v>
      </c>
      <c r="CR156">
        <f t="shared" si="175"/>
        <v>344.85919999999999</v>
      </c>
      <c r="CS156">
        <f t="shared" si="176"/>
        <v>140.6464</v>
      </c>
      <c r="CT156">
        <f t="shared" si="177"/>
        <v>2391.9728</v>
      </c>
      <c r="CU156">
        <f t="shared" si="178"/>
        <v>0</v>
      </c>
      <c r="CV156">
        <f t="shared" si="179"/>
        <v>46.747499999999995</v>
      </c>
      <c r="CW156">
        <f t="shared" si="180"/>
        <v>1.5874999999999999</v>
      </c>
      <c r="CX156">
        <f t="shared" si="181"/>
        <v>0</v>
      </c>
      <c r="CY156">
        <f t="shared" si="182"/>
        <v>6217.2654000000002</v>
      </c>
      <c r="CZ156">
        <f t="shared" si="183"/>
        <v>3584.7296000000001</v>
      </c>
      <c r="DC156" t="s">
        <v>6</v>
      </c>
      <c r="DD156" t="s">
        <v>6</v>
      </c>
      <c r="DE156" t="s">
        <v>187</v>
      </c>
      <c r="DF156" t="s">
        <v>187</v>
      </c>
      <c r="DG156" t="s">
        <v>188</v>
      </c>
      <c r="DH156" t="s">
        <v>6</v>
      </c>
      <c r="DI156" t="s">
        <v>188</v>
      </c>
      <c r="DJ156" t="s">
        <v>187</v>
      </c>
      <c r="DK156" t="s">
        <v>6</v>
      </c>
      <c r="DL156" t="s">
        <v>6</v>
      </c>
      <c r="DM156" t="s">
        <v>6</v>
      </c>
      <c r="DN156">
        <v>0</v>
      </c>
      <c r="DO156">
        <v>0</v>
      </c>
      <c r="DP156">
        <v>1</v>
      </c>
      <c r="DQ156">
        <v>1</v>
      </c>
      <c r="DU156">
        <v>1005</v>
      </c>
      <c r="DV156" t="s">
        <v>20</v>
      </c>
      <c r="DW156" t="s">
        <v>20</v>
      </c>
      <c r="DX156">
        <v>100</v>
      </c>
      <c r="EE156">
        <v>16510488</v>
      </c>
      <c r="EF156">
        <v>2</v>
      </c>
      <c r="EG156" t="s">
        <v>22</v>
      </c>
      <c r="EH156">
        <v>0</v>
      </c>
      <c r="EI156" t="s">
        <v>6</v>
      </c>
      <c r="EJ156">
        <v>1</v>
      </c>
      <c r="EK156">
        <v>11001</v>
      </c>
      <c r="EL156" t="s">
        <v>91</v>
      </c>
      <c r="EM156" t="s">
        <v>460</v>
      </c>
      <c r="EO156" t="s">
        <v>189</v>
      </c>
      <c r="EQ156">
        <v>131072</v>
      </c>
      <c r="ER156">
        <v>367.66</v>
      </c>
      <c r="ES156">
        <v>8.5399999999999991</v>
      </c>
      <c r="ET156">
        <v>42.05</v>
      </c>
      <c r="EU156">
        <v>17.149999999999999</v>
      </c>
      <c r="EV156">
        <v>317.07</v>
      </c>
      <c r="EW156">
        <v>40.65</v>
      </c>
      <c r="EX156">
        <v>1.27</v>
      </c>
      <c r="EY156">
        <v>0</v>
      </c>
      <c r="FQ156">
        <v>0</v>
      </c>
      <c r="FR156">
        <f t="shared" si="184"/>
        <v>0</v>
      </c>
      <c r="FS156">
        <v>0</v>
      </c>
      <c r="FT156" t="s">
        <v>25</v>
      </c>
      <c r="FU156" t="s">
        <v>26</v>
      </c>
      <c r="FX156">
        <v>110.7</v>
      </c>
      <c r="FY156">
        <v>63.75</v>
      </c>
      <c r="GA156" t="s">
        <v>6</v>
      </c>
      <c r="GD156">
        <v>0</v>
      </c>
      <c r="GF156">
        <v>1315376555</v>
      </c>
      <c r="GG156">
        <v>1</v>
      </c>
      <c r="GH156">
        <v>1</v>
      </c>
      <c r="GI156">
        <v>4</v>
      </c>
      <c r="GJ156">
        <v>0</v>
      </c>
      <c r="GK156">
        <f>ROUND(R156*(R12)/100,2)</f>
        <v>0</v>
      </c>
      <c r="GL156">
        <f t="shared" si="185"/>
        <v>0</v>
      </c>
      <c r="GM156">
        <f t="shared" si="186"/>
        <v>15978.68</v>
      </c>
      <c r="GN156">
        <f t="shared" si="187"/>
        <v>15978.68</v>
      </c>
      <c r="GO156">
        <f t="shared" si="188"/>
        <v>0</v>
      </c>
      <c r="GP156">
        <f t="shared" si="189"/>
        <v>0</v>
      </c>
      <c r="GR156">
        <v>0</v>
      </c>
      <c r="GS156">
        <v>3</v>
      </c>
      <c r="GT156">
        <v>0</v>
      </c>
      <c r="GU156" t="s">
        <v>6</v>
      </c>
      <c r="GV156">
        <f t="shared" si="190"/>
        <v>0</v>
      </c>
      <c r="GW156">
        <v>1</v>
      </c>
      <c r="GX156">
        <f t="shared" si="191"/>
        <v>0</v>
      </c>
      <c r="HA156">
        <v>0</v>
      </c>
      <c r="HB156">
        <v>0</v>
      </c>
      <c r="IK156">
        <v>0</v>
      </c>
    </row>
    <row r="157" spans="1:245" x14ac:dyDescent="0.2">
      <c r="A157">
        <v>18</v>
      </c>
      <c r="B157">
        <v>1</v>
      </c>
      <c r="C157">
        <v>269</v>
      </c>
      <c r="E157" t="s">
        <v>461</v>
      </c>
      <c r="F157" t="s">
        <v>462</v>
      </c>
      <c r="G157" t="s">
        <v>463</v>
      </c>
      <c r="H157" t="s">
        <v>301</v>
      </c>
      <c r="I157">
        <f>I156*J157</f>
        <v>4.5116639999999997</v>
      </c>
      <c r="J157">
        <v>2.04</v>
      </c>
      <c r="O157">
        <f t="shared" si="158"/>
        <v>19043.29</v>
      </c>
      <c r="P157">
        <f t="shared" si="159"/>
        <v>19043.29</v>
      </c>
      <c r="Q157">
        <f t="shared" si="160"/>
        <v>0</v>
      </c>
      <c r="R157">
        <f t="shared" si="161"/>
        <v>0</v>
      </c>
      <c r="S157">
        <f t="shared" si="162"/>
        <v>0</v>
      </c>
      <c r="T157">
        <f t="shared" si="163"/>
        <v>0</v>
      </c>
      <c r="U157">
        <f t="shared" si="164"/>
        <v>0</v>
      </c>
      <c r="V157">
        <f t="shared" si="165"/>
        <v>0</v>
      </c>
      <c r="W157">
        <f t="shared" si="166"/>
        <v>0</v>
      </c>
      <c r="X157">
        <f t="shared" si="167"/>
        <v>0</v>
      </c>
      <c r="Y157">
        <f t="shared" si="168"/>
        <v>0</v>
      </c>
      <c r="AA157">
        <v>16742901</v>
      </c>
      <c r="AB157">
        <f t="shared" si="169"/>
        <v>643.42999999999995</v>
      </c>
      <c r="AC157">
        <f t="shared" si="170"/>
        <v>643.42999999999995</v>
      </c>
      <c r="AD157">
        <f>ROUND((((ET157)-(EU157))+AE157),2)</f>
        <v>0</v>
      </c>
      <c r="AE157">
        <f>ROUND((EU157),2)</f>
        <v>0</v>
      </c>
      <c r="AF157">
        <f>ROUND((EV157),2)</f>
        <v>0</v>
      </c>
      <c r="AG157">
        <f t="shared" si="171"/>
        <v>0</v>
      </c>
      <c r="AH157">
        <f>(EW157)</f>
        <v>0</v>
      </c>
      <c r="AI157">
        <f>(EX157)</f>
        <v>0</v>
      </c>
      <c r="AJ157">
        <f t="shared" si="172"/>
        <v>0</v>
      </c>
      <c r="AK157">
        <v>643.42999999999995</v>
      </c>
      <c r="AL157">
        <v>643.42999999999995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111</v>
      </c>
      <c r="AU157">
        <v>64</v>
      </c>
      <c r="AV157">
        <v>1</v>
      </c>
      <c r="AW157">
        <v>1</v>
      </c>
      <c r="AZ157">
        <v>6.56</v>
      </c>
      <c r="BA157">
        <v>1</v>
      </c>
      <c r="BB157">
        <v>1</v>
      </c>
      <c r="BC157">
        <v>6.56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464</v>
      </c>
      <c r="BM157">
        <v>11001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123</v>
      </c>
      <c r="CA157">
        <v>75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173"/>
        <v>19043.29</v>
      </c>
      <c r="CQ157">
        <f t="shared" si="174"/>
        <v>4220.9007999999994</v>
      </c>
      <c r="CR157">
        <f t="shared" si="175"/>
        <v>0</v>
      </c>
      <c r="CS157">
        <f t="shared" si="176"/>
        <v>0</v>
      </c>
      <c r="CT157">
        <f t="shared" si="177"/>
        <v>0</v>
      </c>
      <c r="CU157">
        <f t="shared" si="178"/>
        <v>0</v>
      </c>
      <c r="CV157">
        <f t="shared" si="179"/>
        <v>0</v>
      </c>
      <c r="CW157">
        <f t="shared" si="180"/>
        <v>0</v>
      </c>
      <c r="CX157">
        <f t="shared" si="181"/>
        <v>0</v>
      </c>
      <c r="CY157">
        <f t="shared" si="182"/>
        <v>0</v>
      </c>
      <c r="CZ157">
        <f t="shared" si="183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1007</v>
      </c>
      <c r="DV157" t="s">
        <v>301</v>
      </c>
      <c r="DW157" t="s">
        <v>301</v>
      </c>
      <c r="DX157">
        <v>1</v>
      </c>
      <c r="EE157">
        <v>16510488</v>
      </c>
      <c r="EF157">
        <v>2</v>
      </c>
      <c r="EG157" t="s">
        <v>22</v>
      </c>
      <c r="EH157">
        <v>0</v>
      </c>
      <c r="EI157" t="s">
        <v>6</v>
      </c>
      <c r="EJ157">
        <v>1</v>
      </c>
      <c r="EK157">
        <v>11001</v>
      </c>
      <c r="EL157" t="s">
        <v>91</v>
      </c>
      <c r="EM157" t="s">
        <v>460</v>
      </c>
      <c r="EO157" t="s">
        <v>6</v>
      </c>
      <c r="EQ157">
        <v>0</v>
      </c>
      <c r="ER157">
        <v>643.42999999999995</v>
      </c>
      <c r="ES157">
        <v>643.42999999999995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84"/>
        <v>0</v>
      </c>
      <c r="FS157">
        <v>0</v>
      </c>
      <c r="FT157" t="s">
        <v>25</v>
      </c>
      <c r="FU157" t="s">
        <v>26</v>
      </c>
      <c r="FX157">
        <v>110.7</v>
      </c>
      <c r="FY157">
        <v>63.75</v>
      </c>
      <c r="GA157" t="s">
        <v>6</v>
      </c>
      <c r="GD157">
        <v>0</v>
      </c>
      <c r="GF157">
        <v>1435212761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si="185"/>
        <v>0</v>
      </c>
      <c r="GM157">
        <f t="shared" si="186"/>
        <v>19043.29</v>
      </c>
      <c r="GN157">
        <f t="shared" si="187"/>
        <v>19043.29</v>
      </c>
      <c r="GO157">
        <f t="shared" si="188"/>
        <v>0</v>
      </c>
      <c r="GP157">
        <f t="shared" si="189"/>
        <v>0</v>
      </c>
      <c r="GR157">
        <v>0</v>
      </c>
      <c r="GS157">
        <v>3</v>
      </c>
      <c r="GT157">
        <v>0</v>
      </c>
      <c r="GU157" t="s">
        <v>6</v>
      </c>
      <c r="GV157">
        <f t="shared" si="190"/>
        <v>0</v>
      </c>
      <c r="GW157">
        <v>1</v>
      </c>
      <c r="GX157">
        <f t="shared" si="191"/>
        <v>0</v>
      </c>
      <c r="HA157">
        <v>0</v>
      </c>
      <c r="HB157">
        <v>0</v>
      </c>
      <c r="IK157">
        <v>0</v>
      </c>
    </row>
    <row r="158" spans="1:245" x14ac:dyDescent="0.2">
      <c r="A158">
        <v>18</v>
      </c>
      <c r="B158">
        <v>1</v>
      </c>
      <c r="C158">
        <v>270</v>
      </c>
      <c r="E158" t="s">
        <v>465</v>
      </c>
      <c r="F158" t="s">
        <v>466</v>
      </c>
      <c r="G158" t="s">
        <v>467</v>
      </c>
      <c r="H158" t="s">
        <v>301</v>
      </c>
      <c r="I158">
        <f>I156*J158</f>
        <v>4.5116639999999997</v>
      </c>
      <c r="J158">
        <v>2.04</v>
      </c>
      <c r="O158">
        <f t="shared" si="158"/>
        <v>0</v>
      </c>
      <c r="P158">
        <f t="shared" si="159"/>
        <v>0</v>
      </c>
      <c r="Q158">
        <f t="shared" si="160"/>
        <v>0</v>
      </c>
      <c r="R158">
        <f t="shared" si="161"/>
        <v>0</v>
      </c>
      <c r="S158">
        <f t="shared" si="162"/>
        <v>0</v>
      </c>
      <c r="T158">
        <f t="shared" si="163"/>
        <v>0</v>
      </c>
      <c r="U158">
        <f t="shared" si="164"/>
        <v>0</v>
      </c>
      <c r="V158">
        <f t="shared" si="165"/>
        <v>0</v>
      </c>
      <c r="W158">
        <f t="shared" si="166"/>
        <v>0</v>
      </c>
      <c r="X158">
        <f t="shared" si="167"/>
        <v>0</v>
      </c>
      <c r="Y158">
        <f t="shared" si="168"/>
        <v>0</v>
      </c>
      <c r="AA158">
        <v>16742901</v>
      </c>
      <c r="AB158">
        <f t="shared" si="169"/>
        <v>0</v>
      </c>
      <c r="AC158">
        <f t="shared" si="170"/>
        <v>0</v>
      </c>
      <c r="AD158">
        <f>ROUND((((ET158)-(EU158))+AE158),2)</f>
        <v>0</v>
      </c>
      <c r="AE158">
        <f>ROUND((EU158),2)</f>
        <v>0</v>
      </c>
      <c r="AF158">
        <f>ROUND((EV158),2)</f>
        <v>0</v>
      </c>
      <c r="AG158">
        <f t="shared" si="171"/>
        <v>0</v>
      </c>
      <c r="AH158">
        <f>(EW158)</f>
        <v>0</v>
      </c>
      <c r="AI158">
        <f>(EX158)</f>
        <v>0</v>
      </c>
      <c r="AJ158">
        <f t="shared" si="172"/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111</v>
      </c>
      <c r="AU158">
        <v>64</v>
      </c>
      <c r="AV158">
        <v>1</v>
      </c>
      <c r="AW158">
        <v>1</v>
      </c>
      <c r="AZ158">
        <v>6.56</v>
      </c>
      <c r="BA158">
        <v>1</v>
      </c>
      <c r="BB158">
        <v>1</v>
      </c>
      <c r="BC158">
        <v>6.56</v>
      </c>
      <c r="BD158" t="s">
        <v>6</v>
      </c>
      <c r="BE158" t="s">
        <v>6</v>
      </c>
      <c r="BF158" t="s">
        <v>6</v>
      </c>
      <c r="BG158" t="s">
        <v>6</v>
      </c>
      <c r="BH158">
        <v>3</v>
      </c>
      <c r="BI158">
        <v>1</v>
      </c>
      <c r="BJ158" t="s">
        <v>6</v>
      </c>
      <c r="BM158">
        <v>11001</v>
      </c>
      <c r="BN158">
        <v>0</v>
      </c>
      <c r="BO158" t="s">
        <v>6</v>
      </c>
      <c r="BP158">
        <v>0</v>
      </c>
      <c r="BQ158">
        <v>2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6</v>
      </c>
      <c r="BZ158">
        <v>123</v>
      </c>
      <c r="CA158">
        <v>75</v>
      </c>
      <c r="CF158">
        <v>0</v>
      </c>
      <c r="CG158">
        <v>0</v>
      </c>
      <c r="CM158">
        <v>0</v>
      </c>
      <c r="CN158" t="s">
        <v>6</v>
      </c>
      <c r="CO158">
        <v>0</v>
      </c>
      <c r="CP158">
        <f t="shared" si="173"/>
        <v>0</v>
      </c>
      <c r="CQ158">
        <f t="shared" si="174"/>
        <v>0</v>
      </c>
      <c r="CR158">
        <f t="shared" si="175"/>
        <v>0</v>
      </c>
      <c r="CS158">
        <f t="shared" si="176"/>
        <v>0</v>
      </c>
      <c r="CT158">
        <f t="shared" si="177"/>
        <v>0</v>
      </c>
      <c r="CU158">
        <f t="shared" si="178"/>
        <v>0</v>
      </c>
      <c r="CV158">
        <f t="shared" si="179"/>
        <v>0</v>
      </c>
      <c r="CW158">
        <f t="shared" si="180"/>
        <v>0</v>
      </c>
      <c r="CX158">
        <f t="shared" si="181"/>
        <v>0</v>
      </c>
      <c r="CY158">
        <f t="shared" si="182"/>
        <v>0</v>
      </c>
      <c r="CZ158">
        <f t="shared" si="183"/>
        <v>0</v>
      </c>
      <c r="DC158" t="s">
        <v>6</v>
      </c>
      <c r="DD158" t="s">
        <v>6</v>
      </c>
      <c r="DE158" t="s">
        <v>6</v>
      </c>
      <c r="DF158" t="s">
        <v>6</v>
      </c>
      <c r="DG158" t="s">
        <v>6</v>
      </c>
      <c r="DH158" t="s">
        <v>6</v>
      </c>
      <c r="DI158" t="s">
        <v>6</v>
      </c>
      <c r="DJ158" t="s">
        <v>6</v>
      </c>
      <c r="DK158" t="s">
        <v>6</v>
      </c>
      <c r="DL158" t="s">
        <v>6</v>
      </c>
      <c r="DM158" t="s">
        <v>6</v>
      </c>
      <c r="DN158">
        <v>0</v>
      </c>
      <c r="DO158">
        <v>0</v>
      </c>
      <c r="DP158">
        <v>1</v>
      </c>
      <c r="DQ158">
        <v>1</v>
      </c>
      <c r="DU158">
        <v>1007</v>
      </c>
      <c r="DV158" t="s">
        <v>301</v>
      </c>
      <c r="DW158" t="s">
        <v>301</v>
      </c>
      <c r="DX158">
        <v>1</v>
      </c>
      <c r="EE158">
        <v>16510488</v>
      </c>
      <c r="EF158">
        <v>2</v>
      </c>
      <c r="EG158" t="s">
        <v>22</v>
      </c>
      <c r="EH158">
        <v>0</v>
      </c>
      <c r="EI158" t="s">
        <v>6</v>
      </c>
      <c r="EJ158">
        <v>1</v>
      </c>
      <c r="EK158">
        <v>11001</v>
      </c>
      <c r="EL158" t="s">
        <v>91</v>
      </c>
      <c r="EM158" t="s">
        <v>460</v>
      </c>
      <c r="EO158" t="s">
        <v>6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184"/>
        <v>0</v>
      </c>
      <c r="FS158">
        <v>0</v>
      </c>
      <c r="FT158" t="s">
        <v>25</v>
      </c>
      <c r="FU158" t="s">
        <v>26</v>
      </c>
      <c r="FX158">
        <v>110.7</v>
      </c>
      <c r="FY158">
        <v>63.75</v>
      </c>
      <c r="GA158" t="s">
        <v>6</v>
      </c>
      <c r="GD158">
        <v>0</v>
      </c>
      <c r="GF158">
        <v>-355906858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185"/>
        <v>0</v>
      </c>
      <c r="GM158">
        <f t="shared" si="186"/>
        <v>0</v>
      </c>
      <c r="GN158">
        <f t="shared" si="187"/>
        <v>0</v>
      </c>
      <c r="GO158">
        <f t="shared" si="188"/>
        <v>0</v>
      </c>
      <c r="GP158">
        <f t="shared" si="189"/>
        <v>0</v>
      </c>
      <c r="GR158">
        <v>0</v>
      </c>
      <c r="GS158">
        <v>3</v>
      </c>
      <c r="GT158">
        <v>0</v>
      </c>
      <c r="GU158" t="s">
        <v>6</v>
      </c>
      <c r="GV158">
        <f t="shared" si="190"/>
        <v>0</v>
      </c>
      <c r="GW158">
        <v>1</v>
      </c>
      <c r="GX158">
        <f t="shared" si="191"/>
        <v>0</v>
      </c>
      <c r="HA158">
        <v>0</v>
      </c>
      <c r="HB158">
        <v>0</v>
      </c>
      <c r="IK158">
        <v>0</v>
      </c>
    </row>
    <row r="159" spans="1:245" x14ac:dyDescent="0.2">
      <c r="A159">
        <v>17</v>
      </c>
      <c r="B159">
        <v>1</v>
      </c>
      <c r="C159">
        <f>ROW(SmtRes!A276)</f>
        <v>276</v>
      </c>
      <c r="D159">
        <f>ROW(EtalonRes!A261)</f>
        <v>261</v>
      </c>
      <c r="E159" t="s">
        <v>468</v>
      </c>
      <c r="F159" t="s">
        <v>469</v>
      </c>
      <c r="G159" t="s">
        <v>470</v>
      </c>
      <c r="H159" t="s">
        <v>20</v>
      </c>
      <c r="I159">
        <f>ROUND(221.16/100,9)</f>
        <v>2.2115999999999998</v>
      </c>
      <c r="J159">
        <v>0</v>
      </c>
      <c r="O159">
        <f t="shared" si="158"/>
        <v>1230.43</v>
      </c>
      <c r="P159">
        <f t="shared" si="159"/>
        <v>0</v>
      </c>
      <c r="Q159">
        <f t="shared" si="160"/>
        <v>840.02</v>
      </c>
      <c r="R159">
        <f t="shared" si="161"/>
        <v>309.02</v>
      </c>
      <c r="S159">
        <f t="shared" si="162"/>
        <v>390.41</v>
      </c>
      <c r="T159">
        <f t="shared" si="163"/>
        <v>0</v>
      </c>
      <c r="U159">
        <f t="shared" si="164"/>
        <v>7.6300199999999982</v>
      </c>
      <c r="V159">
        <f t="shared" si="165"/>
        <v>3.4832700000000001</v>
      </c>
      <c r="W159">
        <f t="shared" si="166"/>
        <v>0</v>
      </c>
      <c r="X159">
        <f t="shared" si="167"/>
        <v>776.37</v>
      </c>
      <c r="Y159">
        <f t="shared" si="168"/>
        <v>447.64</v>
      </c>
      <c r="AA159">
        <v>16742901</v>
      </c>
      <c r="AB159">
        <f t="shared" si="169"/>
        <v>84.81</v>
      </c>
      <c r="AC159">
        <f>ROUND(((ES159*6)),2)</f>
        <v>0</v>
      </c>
      <c r="AD159">
        <f>ROUND(((((ET159*1.25*6))-((EU159*1.25*6)))+AE159),2)</f>
        <v>57.9</v>
      </c>
      <c r="AE159">
        <f>ROUND(((EU159*1.25*6)),2)</f>
        <v>21.3</v>
      </c>
      <c r="AF159">
        <f>ROUND(((EV159*1.15*6)),2)</f>
        <v>26.91</v>
      </c>
      <c r="AG159">
        <f t="shared" si="171"/>
        <v>0</v>
      </c>
      <c r="AH159">
        <f>((EW159*1.15*6))</f>
        <v>3.4499999999999997</v>
      </c>
      <c r="AI159">
        <f>((EX159*1.25*6))</f>
        <v>1.5750000000000002</v>
      </c>
      <c r="AJ159">
        <f t="shared" si="172"/>
        <v>0</v>
      </c>
      <c r="AK159">
        <v>11.62</v>
      </c>
      <c r="AL159">
        <v>0</v>
      </c>
      <c r="AM159">
        <v>7.72</v>
      </c>
      <c r="AN159">
        <v>2.84</v>
      </c>
      <c r="AO159">
        <v>3.9</v>
      </c>
      <c r="AP159">
        <v>0</v>
      </c>
      <c r="AQ159">
        <v>0.5</v>
      </c>
      <c r="AR159">
        <v>0.21</v>
      </c>
      <c r="AS159">
        <v>0</v>
      </c>
      <c r="AT159">
        <v>111</v>
      </c>
      <c r="AU159">
        <v>64</v>
      </c>
      <c r="AV159">
        <v>1</v>
      </c>
      <c r="AW159">
        <v>1</v>
      </c>
      <c r="AZ159">
        <v>6.56</v>
      </c>
      <c r="BA159">
        <v>6.56</v>
      </c>
      <c r="BB159">
        <v>6.56</v>
      </c>
      <c r="BC159">
        <v>6.56</v>
      </c>
      <c r="BD159" t="s">
        <v>6</v>
      </c>
      <c r="BE159" t="s">
        <v>6</v>
      </c>
      <c r="BF159" t="s">
        <v>6</v>
      </c>
      <c r="BG159" t="s">
        <v>6</v>
      </c>
      <c r="BH159">
        <v>0</v>
      </c>
      <c r="BI159">
        <v>1</v>
      </c>
      <c r="BJ159" t="s">
        <v>471</v>
      </c>
      <c r="BM159">
        <v>11001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6.56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123</v>
      </c>
      <c r="CA159">
        <v>75</v>
      </c>
      <c r="CF159">
        <v>0</v>
      </c>
      <c r="CG159">
        <v>0</v>
      </c>
      <c r="CM159">
        <v>0</v>
      </c>
      <c r="CN159" t="s">
        <v>1902</v>
      </c>
      <c r="CO159">
        <v>0</v>
      </c>
      <c r="CP159">
        <f t="shared" si="173"/>
        <v>1230.43</v>
      </c>
      <c r="CQ159">
        <f t="shared" si="174"/>
        <v>0</v>
      </c>
      <c r="CR159">
        <f t="shared" si="175"/>
        <v>379.82399999999996</v>
      </c>
      <c r="CS159">
        <f t="shared" si="176"/>
        <v>139.72800000000001</v>
      </c>
      <c r="CT159">
        <f t="shared" si="177"/>
        <v>176.52959999999999</v>
      </c>
      <c r="CU159">
        <f t="shared" si="178"/>
        <v>0</v>
      </c>
      <c r="CV159">
        <f t="shared" si="179"/>
        <v>3.4499999999999997</v>
      </c>
      <c r="CW159">
        <f t="shared" si="180"/>
        <v>1.5750000000000002</v>
      </c>
      <c r="CX159">
        <f t="shared" si="181"/>
        <v>0</v>
      </c>
      <c r="CY159">
        <f t="shared" si="182"/>
        <v>776.36730000000011</v>
      </c>
      <c r="CZ159">
        <f t="shared" si="183"/>
        <v>447.63520000000005</v>
      </c>
      <c r="DC159" t="s">
        <v>6</v>
      </c>
      <c r="DD159" t="s">
        <v>472</v>
      </c>
      <c r="DE159" t="s">
        <v>473</v>
      </c>
      <c r="DF159" t="s">
        <v>473</v>
      </c>
      <c r="DG159" t="s">
        <v>474</v>
      </c>
      <c r="DH159" t="s">
        <v>6</v>
      </c>
      <c r="DI159" t="s">
        <v>474</v>
      </c>
      <c r="DJ159" t="s">
        <v>473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1005</v>
      </c>
      <c r="DV159" t="s">
        <v>20</v>
      </c>
      <c r="DW159" t="s">
        <v>20</v>
      </c>
      <c r="DX159">
        <v>100</v>
      </c>
      <c r="EE159">
        <v>16510488</v>
      </c>
      <c r="EF159">
        <v>2</v>
      </c>
      <c r="EG159" t="s">
        <v>22</v>
      </c>
      <c r="EH159">
        <v>0</v>
      </c>
      <c r="EI159" t="s">
        <v>6</v>
      </c>
      <c r="EJ159">
        <v>1</v>
      </c>
      <c r="EK159">
        <v>11001</v>
      </c>
      <c r="EL159" t="s">
        <v>91</v>
      </c>
      <c r="EM159" t="s">
        <v>460</v>
      </c>
      <c r="EO159" t="s">
        <v>189</v>
      </c>
      <c r="EQ159">
        <v>131072</v>
      </c>
      <c r="ER159">
        <v>11.62</v>
      </c>
      <c r="ES159">
        <v>0</v>
      </c>
      <c r="ET159">
        <v>7.72</v>
      </c>
      <c r="EU159">
        <v>2.84</v>
      </c>
      <c r="EV159">
        <v>3.9</v>
      </c>
      <c r="EW159">
        <v>0.5</v>
      </c>
      <c r="EX159">
        <v>0.21</v>
      </c>
      <c r="EY159">
        <v>0</v>
      </c>
      <c r="FQ159">
        <v>0</v>
      </c>
      <c r="FR159">
        <f t="shared" si="184"/>
        <v>0</v>
      </c>
      <c r="FS159">
        <v>0</v>
      </c>
      <c r="FT159" t="s">
        <v>25</v>
      </c>
      <c r="FU159" t="s">
        <v>26</v>
      </c>
      <c r="FX159">
        <v>110.7</v>
      </c>
      <c r="FY159">
        <v>63.75</v>
      </c>
      <c r="GA159" t="s">
        <v>6</v>
      </c>
      <c r="GD159">
        <v>0</v>
      </c>
      <c r="GF159">
        <v>-303907149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185"/>
        <v>0</v>
      </c>
      <c r="GM159">
        <f t="shared" si="186"/>
        <v>2454.44</v>
      </c>
      <c r="GN159">
        <f t="shared" si="187"/>
        <v>2454.44</v>
      </c>
      <c r="GO159">
        <f t="shared" si="188"/>
        <v>0</v>
      </c>
      <c r="GP159">
        <f t="shared" si="189"/>
        <v>0</v>
      </c>
      <c r="GR159">
        <v>0</v>
      </c>
      <c r="GS159">
        <v>3</v>
      </c>
      <c r="GT159">
        <v>0</v>
      </c>
      <c r="GU159" t="s">
        <v>6</v>
      </c>
      <c r="GV159">
        <f t="shared" si="190"/>
        <v>0</v>
      </c>
      <c r="GW159">
        <v>1</v>
      </c>
      <c r="GX159">
        <f t="shared" si="191"/>
        <v>0</v>
      </c>
      <c r="HA159">
        <v>0</v>
      </c>
      <c r="HB159">
        <v>0</v>
      </c>
      <c r="IK159">
        <v>0</v>
      </c>
    </row>
    <row r="160" spans="1:245" x14ac:dyDescent="0.2">
      <c r="A160">
        <v>18</v>
      </c>
      <c r="B160">
        <v>1</v>
      </c>
      <c r="C160">
        <v>275</v>
      </c>
      <c r="E160" t="s">
        <v>475</v>
      </c>
      <c r="F160" t="s">
        <v>462</v>
      </c>
      <c r="G160" t="s">
        <v>463</v>
      </c>
      <c r="H160" t="s">
        <v>301</v>
      </c>
      <c r="I160">
        <f>I159*J160</f>
        <v>6.7674960000000004</v>
      </c>
      <c r="J160">
        <v>3.0600000000000005</v>
      </c>
      <c r="O160">
        <f t="shared" si="158"/>
        <v>28564.93</v>
      </c>
      <c r="P160">
        <f t="shared" si="159"/>
        <v>28564.93</v>
      </c>
      <c r="Q160">
        <f t="shared" si="160"/>
        <v>0</v>
      </c>
      <c r="R160">
        <f t="shared" si="161"/>
        <v>0</v>
      </c>
      <c r="S160">
        <f t="shared" si="162"/>
        <v>0</v>
      </c>
      <c r="T160">
        <f t="shared" si="163"/>
        <v>0</v>
      </c>
      <c r="U160">
        <f t="shared" si="164"/>
        <v>0</v>
      </c>
      <c r="V160">
        <f t="shared" si="165"/>
        <v>0</v>
      </c>
      <c r="W160">
        <f t="shared" si="166"/>
        <v>0</v>
      </c>
      <c r="X160">
        <f t="shared" si="167"/>
        <v>0</v>
      </c>
      <c r="Y160">
        <f t="shared" si="168"/>
        <v>0</v>
      </c>
      <c r="AA160">
        <v>16742901</v>
      </c>
      <c r="AB160">
        <f t="shared" si="169"/>
        <v>643.42999999999995</v>
      </c>
      <c r="AC160">
        <f>ROUND((ES160),2)</f>
        <v>643.42999999999995</v>
      </c>
      <c r="AD160">
        <f>ROUND((((ET160)-(EU160))+AE160),2)</f>
        <v>0</v>
      </c>
      <c r="AE160">
        <f>ROUND((EU160),2)</f>
        <v>0</v>
      </c>
      <c r="AF160">
        <f>ROUND((EV160),2)</f>
        <v>0</v>
      </c>
      <c r="AG160">
        <f t="shared" si="171"/>
        <v>0</v>
      </c>
      <c r="AH160">
        <f>(EW160)</f>
        <v>0</v>
      </c>
      <c r="AI160">
        <f>(EX160)</f>
        <v>0</v>
      </c>
      <c r="AJ160">
        <f t="shared" si="172"/>
        <v>0</v>
      </c>
      <c r="AK160">
        <v>643.42999999999995</v>
      </c>
      <c r="AL160">
        <v>643.42999999999995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111</v>
      </c>
      <c r="AU160">
        <v>64</v>
      </c>
      <c r="AV160">
        <v>1</v>
      </c>
      <c r="AW160">
        <v>1</v>
      </c>
      <c r="AZ160">
        <v>6.56</v>
      </c>
      <c r="BA160">
        <v>1</v>
      </c>
      <c r="BB160">
        <v>1</v>
      </c>
      <c r="BC160">
        <v>6.56</v>
      </c>
      <c r="BD160" t="s">
        <v>6</v>
      </c>
      <c r="BE160" t="s">
        <v>6</v>
      </c>
      <c r="BF160" t="s">
        <v>6</v>
      </c>
      <c r="BG160" t="s">
        <v>6</v>
      </c>
      <c r="BH160">
        <v>3</v>
      </c>
      <c r="BI160">
        <v>1</v>
      </c>
      <c r="BJ160" t="s">
        <v>464</v>
      </c>
      <c r="BM160">
        <v>11001</v>
      </c>
      <c r="BN160">
        <v>0</v>
      </c>
      <c r="BO160" t="s">
        <v>6</v>
      </c>
      <c r="BP160">
        <v>0</v>
      </c>
      <c r="BQ160">
        <v>2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123</v>
      </c>
      <c r="CA160">
        <v>75</v>
      </c>
      <c r="CF160">
        <v>0</v>
      </c>
      <c r="CG160">
        <v>0</v>
      </c>
      <c r="CM160">
        <v>0</v>
      </c>
      <c r="CN160" t="s">
        <v>1902</v>
      </c>
      <c r="CO160">
        <v>0</v>
      </c>
      <c r="CP160">
        <f t="shared" si="173"/>
        <v>28564.93</v>
      </c>
      <c r="CQ160">
        <f t="shared" si="174"/>
        <v>4220.9007999999994</v>
      </c>
      <c r="CR160">
        <f t="shared" si="175"/>
        <v>0</v>
      </c>
      <c r="CS160">
        <f t="shared" si="176"/>
        <v>0</v>
      </c>
      <c r="CT160">
        <f t="shared" si="177"/>
        <v>0</v>
      </c>
      <c r="CU160">
        <f t="shared" si="178"/>
        <v>0</v>
      </c>
      <c r="CV160">
        <f t="shared" si="179"/>
        <v>0</v>
      </c>
      <c r="CW160">
        <f t="shared" si="180"/>
        <v>0</v>
      </c>
      <c r="CX160">
        <f t="shared" si="181"/>
        <v>0</v>
      </c>
      <c r="CY160">
        <f t="shared" si="182"/>
        <v>0</v>
      </c>
      <c r="CZ160">
        <f t="shared" si="183"/>
        <v>0</v>
      </c>
      <c r="DC160" t="s">
        <v>6</v>
      </c>
      <c r="DD160" t="s">
        <v>6</v>
      </c>
      <c r="DE160" t="s">
        <v>6</v>
      </c>
      <c r="DF160" t="s">
        <v>6</v>
      </c>
      <c r="DG160" t="s">
        <v>6</v>
      </c>
      <c r="DH160" t="s">
        <v>6</v>
      </c>
      <c r="DI160" t="s">
        <v>6</v>
      </c>
      <c r="DJ160" t="s">
        <v>6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1007</v>
      </c>
      <c r="DV160" t="s">
        <v>301</v>
      </c>
      <c r="DW160" t="s">
        <v>301</v>
      </c>
      <c r="DX160">
        <v>1</v>
      </c>
      <c r="EE160">
        <v>16510488</v>
      </c>
      <c r="EF160">
        <v>2</v>
      </c>
      <c r="EG160" t="s">
        <v>22</v>
      </c>
      <c r="EH160">
        <v>0</v>
      </c>
      <c r="EI160" t="s">
        <v>6</v>
      </c>
      <c r="EJ160">
        <v>1</v>
      </c>
      <c r="EK160">
        <v>11001</v>
      </c>
      <c r="EL160" t="s">
        <v>91</v>
      </c>
      <c r="EM160" t="s">
        <v>460</v>
      </c>
      <c r="EO160" t="s">
        <v>189</v>
      </c>
      <c r="EQ160">
        <v>0</v>
      </c>
      <c r="ER160">
        <v>643.42999999999995</v>
      </c>
      <c r="ES160">
        <v>643.42999999999995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184"/>
        <v>0</v>
      </c>
      <c r="FS160">
        <v>0</v>
      </c>
      <c r="FT160" t="s">
        <v>25</v>
      </c>
      <c r="FU160" t="s">
        <v>26</v>
      </c>
      <c r="FX160">
        <v>110.7</v>
      </c>
      <c r="FY160">
        <v>63.75</v>
      </c>
      <c r="GA160" t="s">
        <v>6</v>
      </c>
      <c r="GD160">
        <v>0</v>
      </c>
      <c r="GF160">
        <v>1435212761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85"/>
        <v>0</v>
      </c>
      <c r="GM160">
        <f t="shared" si="186"/>
        <v>28564.93</v>
      </c>
      <c r="GN160">
        <f t="shared" si="187"/>
        <v>28564.93</v>
      </c>
      <c r="GO160">
        <f t="shared" si="188"/>
        <v>0</v>
      </c>
      <c r="GP160">
        <f t="shared" si="189"/>
        <v>0</v>
      </c>
      <c r="GR160">
        <v>0</v>
      </c>
      <c r="GS160">
        <v>3</v>
      </c>
      <c r="GT160">
        <v>0</v>
      </c>
      <c r="GU160" t="s">
        <v>6</v>
      </c>
      <c r="GV160">
        <f t="shared" si="190"/>
        <v>0</v>
      </c>
      <c r="GW160">
        <v>1</v>
      </c>
      <c r="GX160">
        <f t="shared" si="191"/>
        <v>0</v>
      </c>
      <c r="HA160">
        <v>0</v>
      </c>
      <c r="HB160">
        <v>0</v>
      </c>
      <c r="IK160">
        <v>0</v>
      </c>
    </row>
    <row r="161" spans="1:245" x14ac:dyDescent="0.2">
      <c r="A161">
        <v>18</v>
      </c>
      <c r="B161">
        <v>1</v>
      </c>
      <c r="C161">
        <v>276</v>
      </c>
      <c r="E161" t="s">
        <v>476</v>
      </c>
      <c r="F161" t="s">
        <v>466</v>
      </c>
      <c r="G161" t="s">
        <v>467</v>
      </c>
      <c r="H161" t="s">
        <v>301</v>
      </c>
      <c r="I161">
        <f>I159*J161</f>
        <v>6.7674960000000004</v>
      </c>
      <c r="J161">
        <v>3.0600000000000005</v>
      </c>
      <c r="O161">
        <f t="shared" si="158"/>
        <v>0</v>
      </c>
      <c r="P161">
        <f t="shared" si="159"/>
        <v>0</v>
      </c>
      <c r="Q161">
        <f t="shared" si="160"/>
        <v>0</v>
      </c>
      <c r="R161">
        <f t="shared" si="161"/>
        <v>0</v>
      </c>
      <c r="S161">
        <f t="shared" si="162"/>
        <v>0</v>
      </c>
      <c r="T161">
        <f t="shared" si="163"/>
        <v>0</v>
      </c>
      <c r="U161">
        <f t="shared" si="164"/>
        <v>0</v>
      </c>
      <c r="V161">
        <f t="shared" si="165"/>
        <v>0</v>
      </c>
      <c r="W161">
        <f t="shared" si="166"/>
        <v>0</v>
      </c>
      <c r="X161">
        <f t="shared" si="167"/>
        <v>0</v>
      </c>
      <c r="Y161">
        <f t="shared" si="168"/>
        <v>0</v>
      </c>
      <c r="AA161">
        <v>16742901</v>
      </c>
      <c r="AB161">
        <f t="shared" si="169"/>
        <v>0</v>
      </c>
      <c r="AC161">
        <f>ROUND((ES161),2)</f>
        <v>0</v>
      </c>
      <c r="AD161">
        <f>ROUND((((ET161)-(EU161))+AE161),2)</f>
        <v>0</v>
      </c>
      <c r="AE161">
        <f>ROUND((EU161),2)</f>
        <v>0</v>
      </c>
      <c r="AF161">
        <f>ROUND((EV161),2)</f>
        <v>0</v>
      </c>
      <c r="AG161">
        <f t="shared" si="171"/>
        <v>0</v>
      </c>
      <c r="AH161">
        <f>(EW161)</f>
        <v>0</v>
      </c>
      <c r="AI161">
        <f>(EX161)</f>
        <v>0</v>
      </c>
      <c r="AJ161">
        <f t="shared" si="172"/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111</v>
      </c>
      <c r="AU161">
        <v>64</v>
      </c>
      <c r="AV161">
        <v>1</v>
      </c>
      <c r="AW161">
        <v>1</v>
      </c>
      <c r="AZ161">
        <v>6.56</v>
      </c>
      <c r="BA161">
        <v>1</v>
      </c>
      <c r="BB161">
        <v>1</v>
      </c>
      <c r="BC161">
        <v>6.56</v>
      </c>
      <c r="BD161" t="s">
        <v>6</v>
      </c>
      <c r="BE161" t="s">
        <v>6</v>
      </c>
      <c r="BF161" t="s">
        <v>6</v>
      </c>
      <c r="BG161" t="s">
        <v>6</v>
      </c>
      <c r="BH161">
        <v>3</v>
      </c>
      <c r="BI161">
        <v>1</v>
      </c>
      <c r="BJ161" t="s">
        <v>6</v>
      </c>
      <c r="BM161">
        <v>11001</v>
      </c>
      <c r="BN161">
        <v>0</v>
      </c>
      <c r="BO161" t="s">
        <v>6</v>
      </c>
      <c r="BP161">
        <v>0</v>
      </c>
      <c r="BQ161">
        <v>2</v>
      </c>
      <c r="BR161">
        <v>0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123</v>
      </c>
      <c r="CA161">
        <v>75</v>
      </c>
      <c r="CF161">
        <v>0</v>
      </c>
      <c r="CG161">
        <v>0</v>
      </c>
      <c r="CM161">
        <v>0</v>
      </c>
      <c r="CN161" t="s">
        <v>1902</v>
      </c>
      <c r="CO161">
        <v>0</v>
      </c>
      <c r="CP161">
        <f t="shared" si="173"/>
        <v>0</v>
      </c>
      <c r="CQ161">
        <f t="shared" si="174"/>
        <v>0</v>
      </c>
      <c r="CR161">
        <f t="shared" si="175"/>
        <v>0</v>
      </c>
      <c r="CS161">
        <f t="shared" si="176"/>
        <v>0</v>
      </c>
      <c r="CT161">
        <f t="shared" si="177"/>
        <v>0</v>
      </c>
      <c r="CU161">
        <f t="shared" si="178"/>
        <v>0</v>
      </c>
      <c r="CV161">
        <f t="shared" si="179"/>
        <v>0</v>
      </c>
      <c r="CW161">
        <f t="shared" si="180"/>
        <v>0</v>
      </c>
      <c r="CX161">
        <f t="shared" si="181"/>
        <v>0</v>
      </c>
      <c r="CY161">
        <f t="shared" si="182"/>
        <v>0</v>
      </c>
      <c r="CZ161">
        <f t="shared" si="183"/>
        <v>0</v>
      </c>
      <c r="DC161" t="s">
        <v>6</v>
      </c>
      <c r="DD161" t="s">
        <v>6</v>
      </c>
      <c r="DE161" t="s">
        <v>6</v>
      </c>
      <c r="DF161" t="s">
        <v>6</v>
      </c>
      <c r="DG161" t="s">
        <v>6</v>
      </c>
      <c r="DH161" t="s">
        <v>6</v>
      </c>
      <c r="DI161" t="s">
        <v>6</v>
      </c>
      <c r="DJ161" t="s">
        <v>6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1007</v>
      </c>
      <c r="DV161" t="s">
        <v>301</v>
      </c>
      <c r="DW161" t="s">
        <v>301</v>
      </c>
      <c r="DX161">
        <v>1</v>
      </c>
      <c r="EE161">
        <v>16510488</v>
      </c>
      <c r="EF161">
        <v>2</v>
      </c>
      <c r="EG161" t="s">
        <v>22</v>
      </c>
      <c r="EH161">
        <v>0</v>
      </c>
      <c r="EI161" t="s">
        <v>6</v>
      </c>
      <c r="EJ161">
        <v>1</v>
      </c>
      <c r="EK161">
        <v>11001</v>
      </c>
      <c r="EL161" t="s">
        <v>91</v>
      </c>
      <c r="EM161" t="s">
        <v>460</v>
      </c>
      <c r="EO161" t="s">
        <v>189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FQ161">
        <v>0</v>
      </c>
      <c r="FR161">
        <f t="shared" si="184"/>
        <v>0</v>
      </c>
      <c r="FS161">
        <v>0</v>
      </c>
      <c r="FT161" t="s">
        <v>25</v>
      </c>
      <c r="FU161" t="s">
        <v>26</v>
      </c>
      <c r="FX161">
        <v>110.7</v>
      </c>
      <c r="FY161">
        <v>63.75</v>
      </c>
      <c r="GA161" t="s">
        <v>6</v>
      </c>
      <c r="GD161">
        <v>0</v>
      </c>
      <c r="GF161">
        <v>-355906858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85"/>
        <v>0</v>
      </c>
      <c r="GM161">
        <f t="shared" si="186"/>
        <v>0</v>
      </c>
      <c r="GN161">
        <f t="shared" si="187"/>
        <v>0</v>
      </c>
      <c r="GO161">
        <f t="shared" si="188"/>
        <v>0</v>
      </c>
      <c r="GP161">
        <f t="shared" si="189"/>
        <v>0</v>
      </c>
      <c r="GR161">
        <v>0</v>
      </c>
      <c r="GS161">
        <v>3</v>
      </c>
      <c r="GT161">
        <v>0</v>
      </c>
      <c r="GU161" t="s">
        <v>6</v>
      </c>
      <c r="GV161">
        <f t="shared" si="190"/>
        <v>0</v>
      </c>
      <c r="GW161">
        <v>1</v>
      </c>
      <c r="GX161">
        <f t="shared" si="191"/>
        <v>0</v>
      </c>
      <c r="HA161">
        <v>0</v>
      </c>
      <c r="HB161">
        <v>0</v>
      </c>
      <c r="IK161">
        <v>0</v>
      </c>
    </row>
    <row r="162" spans="1:245" x14ac:dyDescent="0.2">
      <c r="A162">
        <v>17</v>
      </c>
      <c r="B162">
        <v>1</v>
      </c>
      <c r="C162">
        <f>ROW(SmtRes!A283)</f>
        <v>283</v>
      </c>
      <c r="D162">
        <f>ROW(EtalonRes!A268)</f>
        <v>268</v>
      </c>
      <c r="E162" t="s">
        <v>477</v>
      </c>
      <c r="F162" t="s">
        <v>478</v>
      </c>
      <c r="G162" t="s">
        <v>479</v>
      </c>
      <c r="H162" t="s">
        <v>20</v>
      </c>
      <c r="I162">
        <f>ROUND(200.16/100,9)</f>
        <v>2.0015999999999998</v>
      </c>
      <c r="J162">
        <v>0</v>
      </c>
      <c r="O162">
        <f t="shared" si="158"/>
        <v>145468.17000000001</v>
      </c>
      <c r="P162">
        <f t="shared" si="159"/>
        <v>140513.76999999999</v>
      </c>
      <c r="Q162">
        <f t="shared" si="160"/>
        <v>102.29</v>
      </c>
      <c r="R162">
        <f t="shared" si="161"/>
        <v>32.299999999999997</v>
      </c>
      <c r="S162">
        <f t="shared" si="162"/>
        <v>4852.1099999999997</v>
      </c>
      <c r="T162">
        <f t="shared" si="163"/>
        <v>0</v>
      </c>
      <c r="U162">
        <f t="shared" si="164"/>
        <v>86.710312799999983</v>
      </c>
      <c r="V162">
        <f t="shared" si="165"/>
        <v>0.42534</v>
      </c>
      <c r="W162">
        <f t="shared" si="166"/>
        <v>0</v>
      </c>
      <c r="X162">
        <f t="shared" si="167"/>
        <v>5421.7</v>
      </c>
      <c r="Y162">
        <f t="shared" si="168"/>
        <v>3126.02</v>
      </c>
      <c r="AA162">
        <v>16742901</v>
      </c>
      <c r="AB162">
        <f t="shared" si="169"/>
        <v>11078.65</v>
      </c>
      <c r="AC162">
        <f>ROUND((ES162),2)</f>
        <v>10701.33</v>
      </c>
      <c r="AD162">
        <f>ROUND(((((ET162*1.25))-((EU162*1.25)))+AE162),2)</f>
        <v>7.79</v>
      </c>
      <c r="AE162">
        <f>ROUND(((EU162*1.25)),2)</f>
        <v>2.46</v>
      </c>
      <c r="AF162">
        <f>ROUND(((EV162*1.15)),2)</f>
        <v>369.53</v>
      </c>
      <c r="AG162">
        <f t="shared" si="171"/>
        <v>0</v>
      </c>
      <c r="AH162">
        <f>((EW162*1.15))</f>
        <v>43.320499999999996</v>
      </c>
      <c r="AI162">
        <f>((EX162*1.25))</f>
        <v>0.21250000000000002</v>
      </c>
      <c r="AJ162">
        <f t="shared" si="172"/>
        <v>0</v>
      </c>
      <c r="AK162">
        <v>11028.89</v>
      </c>
      <c r="AL162">
        <v>10701.33</v>
      </c>
      <c r="AM162">
        <v>6.23</v>
      </c>
      <c r="AN162">
        <v>1.97</v>
      </c>
      <c r="AO162">
        <v>321.33</v>
      </c>
      <c r="AP162">
        <v>0</v>
      </c>
      <c r="AQ162">
        <v>37.67</v>
      </c>
      <c r="AR162">
        <v>0.17</v>
      </c>
      <c r="AS162">
        <v>0</v>
      </c>
      <c r="AT162">
        <v>111</v>
      </c>
      <c r="AU162">
        <v>64</v>
      </c>
      <c r="AV162">
        <v>1</v>
      </c>
      <c r="AW162">
        <v>1</v>
      </c>
      <c r="AZ162">
        <v>6.56</v>
      </c>
      <c r="BA162">
        <v>6.56</v>
      </c>
      <c r="BB162">
        <v>6.56</v>
      </c>
      <c r="BC162">
        <v>6.56</v>
      </c>
      <c r="BD162" t="s">
        <v>6</v>
      </c>
      <c r="BE162" t="s">
        <v>6</v>
      </c>
      <c r="BF162" t="s">
        <v>6</v>
      </c>
      <c r="BG162" t="s">
        <v>6</v>
      </c>
      <c r="BH162">
        <v>0</v>
      </c>
      <c r="BI162">
        <v>1</v>
      </c>
      <c r="BJ162" t="s">
        <v>480</v>
      </c>
      <c r="BM162">
        <v>11001</v>
      </c>
      <c r="BN162">
        <v>0</v>
      </c>
      <c r="BO162" t="s">
        <v>6</v>
      </c>
      <c r="BP162">
        <v>0</v>
      </c>
      <c r="BQ162">
        <v>2</v>
      </c>
      <c r="BR162">
        <v>0</v>
      </c>
      <c r="BS162">
        <v>6.56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6</v>
      </c>
      <c r="BZ162">
        <v>123</v>
      </c>
      <c r="CA162">
        <v>75</v>
      </c>
      <c r="CF162">
        <v>0</v>
      </c>
      <c r="CG162">
        <v>0</v>
      </c>
      <c r="CM162">
        <v>0</v>
      </c>
      <c r="CN162" t="s">
        <v>1902</v>
      </c>
      <c r="CO162">
        <v>0</v>
      </c>
      <c r="CP162">
        <f t="shared" si="173"/>
        <v>145468.16999999998</v>
      </c>
      <c r="CQ162">
        <f t="shared" si="174"/>
        <v>70200.724799999996</v>
      </c>
      <c r="CR162">
        <f t="shared" si="175"/>
        <v>51.102399999999996</v>
      </c>
      <c r="CS162">
        <f t="shared" si="176"/>
        <v>16.137599999999999</v>
      </c>
      <c r="CT162">
        <f t="shared" si="177"/>
        <v>2424.1167999999998</v>
      </c>
      <c r="CU162">
        <f t="shared" si="178"/>
        <v>0</v>
      </c>
      <c r="CV162">
        <f t="shared" si="179"/>
        <v>43.320499999999996</v>
      </c>
      <c r="CW162">
        <f t="shared" si="180"/>
        <v>0.21250000000000002</v>
      </c>
      <c r="CX162">
        <f t="shared" si="181"/>
        <v>0</v>
      </c>
      <c r="CY162">
        <f t="shared" si="182"/>
        <v>5421.6950999999999</v>
      </c>
      <c r="CZ162">
        <f t="shared" si="183"/>
        <v>3126.0223999999998</v>
      </c>
      <c r="DC162" t="s">
        <v>6</v>
      </c>
      <c r="DD162" t="s">
        <v>6</v>
      </c>
      <c r="DE162" t="s">
        <v>187</v>
      </c>
      <c r="DF162" t="s">
        <v>187</v>
      </c>
      <c r="DG162" t="s">
        <v>188</v>
      </c>
      <c r="DH162" t="s">
        <v>6</v>
      </c>
      <c r="DI162" t="s">
        <v>188</v>
      </c>
      <c r="DJ162" t="s">
        <v>187</v>
      </c>
      <c r="DK162" t="s">
        <v>6</v>
      </c>
      <c r="DL162" t="s">
        <v>6</v>
      </c>
      <c r="DM162" t="s">
        <v>6</v>
      </c>
      <c r="DN162">
        <v>0</v>
      </c>
      <c r="DO162">
        <v>0</v>
      </c>
      <c r="DP162">
        <v>1</v>
      </c>
      <c r="DQ162">
        <v>1</v>
      </c>
      <c r="DU162">
        <v>1005</v>
      </c>
      <c r="DV162" t="s">
        <v>20</v>
      </c>
      <c r="DW162" t="s">
        <v>20</v>
      </c>
      <c r="DX162">
        <v>100</v>
      </c>
      <c r="EE162">
        <v>16510488</v>
      </c>
      <c r="EF162">
        <v>2</v>
      </c>
      <c r="EG162" t="s">
        <v>22</v>
      </c>
      <c r="EH162">
        <v>0</v>
      </c>
      <c r="EI162" t="s">
        <v>6</v>
      </c>
      <c r="EJ162">
        <v>1</v>
      </c>
      <c r="EK162">
        <v>11001</v>
      </c>
      <c r="EL162" t="s">
        <v>91</v>
      </c>
      <c r="EM162" t="s">
        <v>460</v>
      </c>
      <c r="EO162" t="s">
        <v>189</v>
      </c>
      <c r="EQ162">
        <v>131072</v>
      </c>
      <c r="ER162">
        <v>11028.89</v>
      </c>
      <c r="ES162">
        <v>10701.33</v>
      </c>
      <c r="ET162">
        <v>6.23</v>
      </c>
      <c r="EU162">
        <v>1.97</v>
      </c>
      <c r="EV162">
        <v>321.33</v>
      </c>
      <c r="EW162">
        <v>37.67</v>
      </c>
      <c r="EX162">
        <v>0.17</v>
      </c>
      <c r="EY162">
        <v>0</v>
      </c>
      <c r="FQ162">
        <v>0</v>
      </c>
      <c r="FR162">
        <f t="shared" si="184"/>
        <v>0</v>
      </c>
      <c r="FS162">
        <v>0</v>
      </c>
      <c r="FT162" t="s">
        <v>25</v>
      </c>
      <c r="FU162" t="s">
        <v>26</v>
      </c>
      <c r="FX162">
        <v>110.7</v>
      </c>
      <c r="FY162">
        <v>63.75</v>
      </c>
      <c r="GA162" t="s">
        <v>6</v>
      </c>
      <c r="GD162">
        <v>0</v>
      </c>
      <c r="GF162">
        <v>1715562049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85"/>
        <v>0</v>
      </c>
      <c r="GM162">
        <f t="shared" si="186"/>
        <v>154015.89000000001</v>
      </c>
      <c r="GN162">
        <f t="shared" si="187"/>
        <v>154015.89000000001</v>
      </c>
      <c r="GO162">
        <f t="shared" si="188"/>
        <v>0</v>
      </c>
      <c r="GP162">
        <f t="shared" si="189"/>
        <v>0</v>
      </c>
      <c r="GR162">
        <v>0</v>
      </c>
      <c r="GS162">
        <v>3</v>
      </c>
      <c r="GT162">
        <v>0</v>
      </c>
      <c r="GU162" t="s">
        <v>6</v>
      </c>
      <c r="GV162">
        <f t="shared" si="190"/>
        <v>0</v>
      </c>
      <c r="GW162">
        <v>1</v>
      </c>
      <c r="GX162">
        <f t="shared" si="191"/>
        <v>0</v>
      </c>
      <c r="HA162">
        <v>0</v>
      </c>
      <c r="HB162">
        <v>0</v>
      </c>
      <c r="IK162">
        <v>0</v>
      </c>
    </row>
    <row r="163" spans="1:245" x14ac:dyDescent="0.2">
      <c r="A163">
        <v>17</v>
      </c>
      <c r="B163">
        <v>1</v>
      </c>
      <c r="C163">
        <f>ROW(SmtRes!A289)</f>
        <v>289</v>
      </c>
      <c r="D163">
        <f>ROW(EtalonRes!A274)</f>
        <v>274</v>
      </c>
      <c r="E163" t="s">
        <v>481</v>
      </c>
      <c r="F163" t="s">
        <v>482</v>
      </c>
      <c r="G163" t="s">
        <v>483</v>
      </c>
      <c r="H163" t="s">
        <v>20</v>
      </c>
      <c r="I163">
        <f>ROUND(200.16/100,9)</f>
        <v>2.0015999999999998</v>
      </c>
      <c r="J163">
        <v>0</v>
      </c>
      <c r="O163">
        <f t="shared" si="158"/>
        <v>136163.25</v>
      </c>
      <c r="P163">
        <f t="shared" si="159"/>
        <v>134505.51999999999</v>
      </c>
      <c r="Q163">
        <f t="shared" si="160"/>
        <v>99.4</v>
      </c>
      <c r="R163">
        <f t="shared" si="161"/>
        <v>28.76</v>
      </c>
      <c r="S163">
        <f t="shared" si="162"/>
        <v>1558.33</v>
      </c>
      <c r="T163">
        <f t="shared" si="163"/>
        <v>0</v>
      </c>
      <c r="U163">
        <f t="shared" si="164"/>
        <v>27.852263999999995</v>
      </c>
      <c r="V163">
        <f t="shared" si="165"/>
        <v>0.37529999999999997</v>
      </c>
      <c r="W163">
        <f t="shared" si="166"/>
        <v>0</v>
      </c>
      <c r="X163">
        <f t="shared" si="167"/>
        <v>1761.67</v>
      </c>
      <c r="Y163">
        <f t="shared" si="168"/>
        <v>1015.74</v>
      </c>
      <c r="AA163">
        <v>16742901</v>
      </c>
      <c r="AB163">
        <f t="shared" si="169"/>
        <v>10370</v>
      </c>
      <c r="AC163">
        <f>ROUND(((ES163*5)),2)</f>
        <v>10243.75</v>
      </c>
      <c r="AD163">
        <f>ROUND(((((ET163*1.25*5))-((EU163*1.25*5)))+AE163),2)</f>
        <v>7.57</v>
      </c>
      <c r="AE163">
        <f>ROUND(((EU163*1.25*5)),2)</f>
        <v>2.19</v>
      </c>
      <c r="AF163">
        <f>ROUND(((EV163*1.15*5)),2)</f>
        <v>118.68</v>
      </c>
      <c r="AG163">
        <f t="shared" si="171"/>
        <v>0</v>
      </c>
      <c r="AH163">
        <f>((EW163*1.15*5))</f>
        <v>13.914999999999999</v>
      </c>
      <c r="AI163">
        <f>((EX163*1.25*5))</f>
        <v>0.1875</v>
      </c>
      <c r="AJ163">
        <f t="shared" si="172"/>
        <v>0</v>
      </c>
      <c r="AK163">
        <v>2070.6</v>
      </c>
      <c r="AL163">
        <v>2048.75</v>
      </c>
      <c r="AM163">
        <v>1.21</v>
      </c>
      <c r="AN163">
        <v>0.35</v>
      </c>
      <c r="AO163">
        <v>20.64</v>
      </c>
      <c r="AP163">
        <v>0</v>
      </c>
      <c r="AQ163">
        <v>2.42</v>
      </c>
      <c r="AR163">
        <v>0.03</v>
      </c>
      <c r="AS163">
        <v>0</v>
      </c>
      <c r="AT163">
        <v>111</v>
      </c>
      <c r="AU163">
        <v>64</v>
      </c>
      <c r="AV163">
        <v>1</v>
      </c>
      <c r="AW163">
        <v>1</v>
      </c>
      <c r="AZ163">
        <v>6.56</v>
      </c>
      <c r="BA163">
        <v>6.56</v>
      </c>
      <c r="BB163">
        <v>6.56</v>
      </c>
      <c r="BC163">
        <v>6.56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1</v>
      </c>
      <c r="BJ163" t="s">
        <v>484</v>
      </c>
      <c r="BM163">
        <v>11001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6.56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123</v>
      </c>
      <c r="CA163">
        <v>75</v>
      </c>
      <c r="CF163">
        <v>0</v>
      </c>
      <c r="CG163">
        <v>0</v>
      </c>
      <c r="CM163">
        <v>0</v>
      </c>
      <c r="CN163" t="s">
        <v>1902</v>
      </c>
      <c r="CO163">
        <v>0</v>
      </c>
      <c r="CP163">
        <f t="shared" si="173"/>
        <v>136163.24999999997</v>
      </c>
      <c r="CQ163">
        <f t="shared" si="174"/>
        <v>67199</v>
      </c>
      <c r="CR163">
        <f t="shared" si="175"/>
        <v>49.659199999999998</v>
      </c>
      <c r="CS163">
        <f t="shared" si="176"/>
        <v>14.366399999999999</v>
      </c>
      <c r="CT163">
        <f t="shared" si="177"/>
        <v>778.54079999999999</v>
      </c>
      <c r="CU163">
        <f t="shared" si="178"/>
        <v>0</v>
      </c>
      <c r="CV163">
        <f t="shared" si="179"/>
        <v>13.914999999999999</v>
      </c>
      <c r="CW163">
        <f t="shared" si="180"/>
        <v>0.1875</v>
      </c>
      <c r="CX163">
        <f t="shared" si="181"/>
        <v>0</v>
      </c>
      <c r="CY163">
        <f t="shared" si="182"/>
        <v>1761.6698999999999</v>
      </c>
      <c r="CZ163">
        <f t="shared" si="183"/>
        <v>1015.7375999999999</v>
      </c>
      <c r="DC163" t="s">
        <v>6</v>
      </c>
      <c r="DD163" t="s">
        <v>485</v>
      </c>
      <c r="DE163" t="s">
        <v>486</v>
      </c>
      <c r="DF163" t="s">
        <v>486</v>
      </c>
      <c r="DG163" t="s">
        <v>487</v>
      </c>
      <c r="DH163" t="s">
        <v>6</v>
      </c>
      <c r="DI163" t="s">
        <v>487</v>
      </c>
      <c r="DJ163" t="s">
        <v>486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1005</v>
      </c>
      <c r="DV163" t="s">
        <v>20</v>
      </c>
      <c r="DW163" t="s">
        <v>20</v>
      </c>
      <c r="DX163">
        <v>100</v>
      </c>
      <c r="EE163">
        <v>16510488</v>
      </c>
      <c r="EF163">
        <v>2</v>
      </c>
      <c r="EG163" t="s">
        <v>22</v>
      </c>
      <c r="EH163">
        <v>0</v>
      </c>
      <c r="EI163" t="s">
        <v>6</v>
      </c>
      <c r="EJ163">
        <v>1</v>
      </c>
      <c r="EK163">
        <v>11001</v>
      </c>
      <c r="EL163" t="s">
        <v>91</v>
      </c>
      <c r="EM163" t="s">
        <v>460</v>
      </c>
      <c r="EO163" t="s">
        <v>189</v>
      </c>
      <c r="EQ163">
        <v>131072</v>
      </c>
      <c r="ER163">
        <v>2070.6</v>
      </c>
      <c r="ES163">
        <v>2048.75</v>
      </c>
      <c r="ET163">
        <v>1.21</v>
      </c>
      <c r="EU163">
        <v>0.35</v>
      </c>
      <c r="EV163">
        <v>20.64</v>
      </c>
      <c r="EW163">
        <v>2.42</v>
      </c>
      <c r="EX163">
        <v>0.03</v>
      </c>
      <c r="EY163">
        <v>0</v>
      </c>
      <c r="FQ163">
        <v>0</v>
      </c>
      <c r="FR163">
        <f t="shared" si="184"/>
        <v>0</v>
      </c>
      <c r="FS163">
        <v>0</v>
      </c>
      <c r="FT163" t="s">
        <v>25</v>
      </c>
      <c r="FU163" t="s">
        <v>26</v>
      </c>
      <c r="FX163">
        <v>110.7</v>
      </c>
      <c r="FY163">
        <v>63.75</v>
      </c>
      <c r="GA163" t="s">
        <v>6</v>
      </c>
      <c r="GD163">
        <v>0</v>
      </c>
      <c r="GF163">
        <v>1032441513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85"/>
        <v>0</v>
      </c>
      <c r="GM163">
        <f t="shared" si="186"/>
        <v>138940.66</v>
      </c>
      <c r="GN163">
        <f t="shared" si="187"/>
        <v>138940.66</v>
      </c>
      <c r="GO163">
        <f t="shared" si="188"/>
        <v>0</v>
      </c>
      <c r="GP163">
        <f t="shared" si="189"/>
        <v>0</v>
      </c>
      <c r="GR163">
        <v>0</v>
      </c>
      <c r="GS163">
        <v>3</v>
      </c>
      <c r="GT163">
        <v>0</v>
      </c>
      <c r="GU163" t="s">
        <v>6</v>
      </c>
      <c r="GV163">
        <f t="shared" si="190"/>
        <v>0</v>
      </c>
      <c r="GW163">
        <v>1</v>
      </c>
      <c r="GX163">
        <f t="shared" si="191"/>
        <v>0</v>
      </c>
      <c r="HA163">
        <v>0</v>
      </c>
      <c r="HB163">
        <v>0</v>
      </c>
      <c r="IK163">
        <v>0</v>
      </c>
    </row>
    <row r="164" spans="1:245" x14ac:dyDescent="0.2">
      <c r="A164">
        <v>17</v>
      </c>
      <c r="B164">
        <v>1</v>
      </c>
      <c r="C164">
        <f>ROW(SmtRes!A298)</f>
        <v>298</v>
      </c>
      <c r="D164">
        <f>ROW(EtalonRes!A281)</f>
        <v>281</v>
      </c>
      <c r="E164" t="s">
        <v>488</v>
      </c>
      <c r="F164" t="s">
        <v>489</v>
      </c>
      <c r="G164" t="s">
        <v>490</v>
      </c>
      <c r="H164" t="s">
        <v>491</v>
      </c>
      <c r="I164">
        <f>ROUND(2/100,9)</f>
        <v>0.02</v>
      </c>
      <c r="J164">
        <v>0</v>
      </c>
      <c r="O164">
        <f t="shared" si="158"/>
        <v>427.85</v>
      </c>
      <c r="P164">
        <f t="shared" si="159"/>
        <v>0.03</v>
      </c>
      <c r="Q164">
        <f t="shared" si="160"/>
        <v>11.3</v>
      </c>
      <c r="R164">
        <f t="shared" si="161"/>
        <v>0</v>
      </c>
      <c r="S164">
        <f t="shared" si="162"/>
        <v>416.52</v>
      </c>
      <c r="T164">
        <f t="shared" si="163"/>
        <v>0</v>
      </c>
      <c r="U164">
        <f t="shared" si="164"/>
        <v>7.4436</v>
      </c>
      <c r="V164">
        <f t="shared" si="165"/>
        <v>0</v>
      </c>
      <c r="W164">
        <f t="shared" si="166"/>
        <v>0</v>
      </c>
      <c r="X164">
        <f t="shared" si="167"/>
        <v>333.22</v>
      </c>
      <c r="Y164">
        <f t="shared" si="168"/>
        <v>283.23</v>
      </c>
      <c r="AA164">
        <v>16742901</v>
      </c>
      <c r="AB164">
        <f t="shared" si="169"/>
        <v>3261.04</v>
      </c>
      <c r="AC164">
        <f t="shared" ref="AC164:AC195" si="192">ROUND((ES164),2)</f>
        <v>0.24</v>
      </c>
      <c r="AD164">
        <f t="shared" ref="AD164:AD169" si="193">ROUND((((ET164)-(EU164))+AE164),2)</f>
        <v>86.1</v>
      </c>
      <c r="AE164">
        <f t="shared" ref="AE164:AF169" si="194">ROUND((EU164),2)</f>
        <v>0</v>
      </c>
      <c r="AF164">
        <f t="shared" si="194"/>
        <v>3174.7</v>
      </c>
      <c r="AG164">
        <f t="shared" si="171"/>
        <v>0</v>
      </c>
      <c r="AH164">
        <f t="shared" ref="AH164:AI169" si="195">(EW164)</f>
        <v>372.18</v>
      </c>
      <c r="AI164">
        <f t="shared" si="195"/>
        <v>0</v>
      </c>
      <c r="AJ164">
        <f t="shared" si="172"/>
        <v>0</v>
      </c>
      <c r="AK164">
        <v>3261.04</v>
      </c>
      <c r="AL164">
        <v>0.24</v>
      </c>
      <c r="AM164">
        <v>86.1</v>
      </c>
      <c r="AN164">
        <v>0</v>
      </c>
      <c r="AO164">
        <v>3174.7</v>
      </c>
      <c r="AP164">
        <v>0</v>
      </c>
      <c r="AQ164">
        <v>372.18</v>
      </c>
      <c r="AR164">
        <v>0</v>
      </c>
      <c r="AS164">
        <v>0</v>
      </c>
      <c r="AT164">
        <v>80</v>
      </c>
      <c r="AU164">
        <v>68</v>
      </c>
      <c r="AV164">
        <v>1</v>
      </c>
      <c r="AW164">
        <v>1</v>
      </c>
      <c r="AZ164">
        <v>6.56</v>
      </c>
      <c r="BA164">
        <v>6.56</v>
      </c>
      <c r="BB164">
        <v>6.56</v>
      </c>
      <c r="BC164">
        <v>6.56</v>
      </c>
      <c r="BD164" t="s">
        <v>6</v>
      </c>
      <c r="BE164" t="s">
        <v>6</v>
      </c>
      <c r="BF164" t="s">
        <v>6</v>
      </c>
      <c r="BG164" t="s">
        <v>6</v>
      </c>
      <c r="BH164">
        <v>0</v>
      </c>
      <c r="BI164">
        <v>1</v>
      </c>
      <c r="BJ164" t="s">
        <v>492</v>
      </c>
      <c r="BM164">
        <v>57001</v>
      </c>
      <c r="BN164">
        <v>0</v>
      </c>
      <c r="BO164" t="s">
        <v>6</v>
      </c>
      <c r="BP164">
        <v>0</v>
      </c>
      <c r="BQ164">
        <v>6</v>
      </c>
      <c r="BR164">
        <v>0</v>
      </c>
      <c r="BS164">
        <v>6.56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80</v>
      </c>
      <c r="CA164">
        <v>68</v>
      </c>
      <c r="CF164">
        <v>0</v>
      </c>
      <c r="CG164">
        <v>0</v>
      </c>
      <c r="CM164">
        <v>0</v>
      </c>
      <c r="CN164" t="s">
        <v>6</v>
      </c>
      <c r="CO164">
        <v>0</v>
      </c>
      <c r="CP164">
        <f t="shared" si="173"/>
        <v>427.84999999999997</v>
      </c>
      <c r="CQ164">
        <f t="shared" si="174"/>
        <v>1.5743999999999998</v>
      </c>
      <c r="CR164">
        <f t="shared" si="175"/>
        <v>564.81599999999992</v>
      </c>
      <c r="CS164">
        <f t="shared" si="176"/>
        <v>0</v>
      </c>
      <c r="CT164">
        <f t="shared" si="177"/>
        <v>20826.031999999999</v>
      </c>
      <c r="CU164">
        <f t="shared" si="178"/>
        <v>0</v>
      </c>
      <c r="CV164">
        <f t="shared" si="179"/>
        <v>372.18</v>
      </c>
      <c r="CW164">
        <f t="shared" si="180"/>
        <v>0</v>
      </c>
      <c r="CX164">
        <f t="shared" si="181"/>
        <v>0</v>
      </c>
      <c r="CY164">
        <f t="shared" si="182"/>
        <v>333.21600000000001</v>
      </c>
      <c r="CZ164">
        <f t="shared" si="183"/>
        <v>283.23360000000002</v>
      </c>
      <c r="DC164" t="s">
        <v>6</v>
      </c>
      <c r="DD164" t="s">
        <v>6</v>
      </c>
      <c r="DE164" t="s">
        <v>6</v>
      </c>
      <c r="DF164" t="s">
        <v>6</v>
      </c>
      <c r="DG164" t="s">
        <v>6</v>
      </c>
      <c r="DH164" t="s">
        <v>6</v>
      </c>
      <c r="DI164" t="s">
        <v>6</v>
      </c>
      <c r="DJ164" t="s">
        <v>6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1013</v>
      </c>
      <c r="DV164" t="s">
        <v>491</v>
      </c>
      <c r="DW164" t="s">
        <v>491</v>
      </c>
      <c r="DX164">
        <v>1</v>
      </c>
      <c r="EE164">
        <v>16510566</v>
      </c>
      <c r="EF164">
        <v>6</v>
      </c>
      <c r="EG164" t="s">
        <v>36</v>
      </c>
      <c r="EH164">
        <v>0</v>
      </c>
      <c r="EI164" t="s">
        <v>6</v>
      </c>
      <c r="EJ164">
        <v>1</v>
      </c>
      <c r="EK164">
        <v>57001</v>
      </c>
      <c r="EL164" t="s">
        <v>91</v>
      </c>
      <c r="EM164" t="s">
        <v>92</v>
      </c>
      <c r="EO164" t="s">
        <v>6</v>
      </c>
      <c r="EQ164">
        <v>131072</v>
      </c>
      <c r="ER164">
        <v>3261.04</v>
      </c>
      <c r="ES164">
        <v>0.24</v>
      </c>
      <c r="ET164">
        <v>86.1</v>
      </c>
      <c r="EU164">
        <v>0</v>
      </c>
      <c r="EV164">
        <v>3174.7</v>
      </c>
      <c r="EW164">
        <v>372.18</v>
      </c>
      <c r="EX164">
        <v>0</v>
      </c>
      <c r="EY164">
        <v>0</v>
      </c>
      <c r="FQ164">
        <v>0</v>
      </c>
      <c r="FR164">
        <f t="shared" si="184"/>
        <v>0</v>
      </c>
      <c r="FS164">
        <v>0</v>
      </c>
      <c r="FX164">
        <v>80</v>
      </c>
      <c r="FY164">
        <v>68</v>
      </c>
      <c r="GA164" t="s">
        <v>6</v>
      </c>
      <c r="GD164">
        <v>0</v>
      </c>
      <c r="GF164">
        <v>-172669763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85"/>
        <v>0</v>
      </c>
      <c r="GM164">
        <f t="shared" si="186"/>
        <v>1044.3</v>
      </c>
      <c r="GN164">
        <f t="shared" si="187"/>
        <v>1044.3</v>
      </c>
      <c r="GO164">
        <f t="shared" si="188"/>
        <v>0</v>
      </c>
      <c r="GP164">
        <f t="shared" si="189"/>
        <v>0</v>
      </c>
      <c r="GR164">
        <v>0</v>
      </c>
      <c r="GS164">
        <v>3</v>
      </c>
      <c r="GT164">
        <v>0</v>
      </c>
      <c r="GU164" t="s">
        <v>6</v>
      </c>
      <c r="GV164">
        <f t="shared" si="190"/>
        <v>0</v>
      </c>
      <c r="GW164">
        <v>1</v>
      </c>
      <c r="GX164">
        <f t="shared" si="191"/>
        <v>0</v>
      </c>
      <c r="HA164">
        <v>0</v>
      </c>
      <c r="HB164">
        <v>0</v>
      </c>
      <c r="IK164">
        <v>0</v>
      </c>
    </row>
    <row r="165" spans="1:245" x14ac:dyDescent="0.2">
      <c r="A165">
        <v>18</v>
      </c>
      <c r="B165">
        <v>1</v>
      </c>
      <c r="C165">
        <v>296</v>
      </c>
      <c r="E165" t="s">
        <v>493</v>
      </c>
      <c r="F165" t="s">
        <v>494</v>
      </c>
      <c r="G165" t="s">
        <v>495</v>
      </c>
      <c r="H165" t="s">
        <v>301</v>
      </c>
      <c r="I165">
        <f>I164*J165</f>
        <v>4.2799999999999998E-2</v>
      </c>
      <c r="J165">
        <v>2.1399999999999997</v>
      </c>
      <c r="O165">
        <f t="shared" si="158"/>
        <v>160.6</v>
      </c>
      <c r="P165">
        <f t="shared" si="159"/>
        <v>160.6</v>
      </c>
      <c r="Q165">
        <f t="shared" si="160"/>
        <v>0</v>
      </c>
      <c r="R165">
        <f t="shared" si="161"/>
        <v>0</v>
      </c>
      <c r="S165">
        <f t="shared" si="162"/>
        <v>0</v>
      </c>
      <c r="T165">
        <f t="shared" si="163"/>
        <v>0</v>
      </c>
      <c r="U165">
        <f t="shared" si="164"/>
        <v>0</v>
      </c>
      <c r="V165">
        <f t="shared" si="165"/>
        <v>0</v>
      </c>
      <c r="W165">
        <f t="shared" si="166"/>
        <v>0</v>
      </c>
      <c r="X165">
        <f t="shared" si="167"/>
        <v>0</v>
      </c>
      <c r="Y165">
        <f t="shared" si="168"/>
        <v>0</v>
      </c>
      <c r="AA165">
        <v>16742901</v>
      </c>
      <c r="AB165">
        <f t="shared" si="169"/>
        <v>572</v>
      </c>
      <c r="AC165">
        <f t="shared" si="192"/>
        <v>572</v>
      </c>
      <c r="AD165">
        <f t="shared" si="193"/>
        <v>0</v>
      </c>
      <c r="AE165">
        <f t="shared" si="194"/>
        <v>0</v>
      </c>
      <c r="AF165">
        <f t="shared" si="194"/>
        <v>0</v>
      </c>
      <c r="AG165">
        <f t="shared" si="171"/>
        <v>0</v>
      </c>
      <c r="AH165">
        <f t="shared" si="195"/>
        <v>0</v>
      </c>
      <c r="AI165">
        <f t="shared" si="195"/>
        <v>0</v>
      </c>
      <c r="AJ165">
        <f t="shared" si="172"/>
        <v>0</v>
      </c>
      <c r="AK165">
        <v>572</v>
      </c>
      <c r="AL165">
        <v>572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80</v>
      </c>
      <c r="AU165">
        <v>68</v>
      </c>
      <c r="AV165">
        <v>1</v>
      </c>
      <c r="AW165">
        <v>1</v>
      </c>
      <c r="AZ165">
        <v>6.56</v>
      </c>
      <c r="BA165">
        <v>1</v>
      </c>
      <c r="BB165">
        <v>1</v>
      </c>
      <c r="BC165">
        <v>6.56</v>
      </c>
      <c r="BD165" t="s">
        <v>6</v>
      </c>
      <c r="BE165" t="s">
        <v>6</v>
      </c>
      <c r="BF165" t="s">
        <v>6</v>
      </c>
      <c r="BG165" t="s">
        <v>6</v>
      </c>
      <c r="BH165">
        <v>3</v>
      </c>
      <c r="BI165">
        <v>1</v>
      </c>
      <c r="BJ165" t="s">
        <v>496</v>
      </c>
      <c r="BM165">
        <v>57001</v>
      </c>
      <c r="BN165">
        <v>0</v>
      </c>
      <c r="BO165" t="s">
        <v>6</v>
      </c>
      <c r="BP165">
        <v>0</v>
      </c>
      <c r="BQ165">
        <v>6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80</v>
      </c>
      <c r="CA165">
        <v>68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 t="shared" si="173"/>
        <v>160.6</v>
      </c>
      <c r="CQ165">
        <f t="shared" si="174"/>
        <v>3752.3199999999997</v>
      </c>
      <c r="CR165">
        <f t="shared" si="175"/>
        <v>0</v>
      </c>
      <c r="CS165">
        <f t="shared" si="176"/>
        <v>0</v>
      </c>
      <c r="CT165">
        <f t="shared" si="177"/>
        <v>0</v>
      </c>
      <c r="CU165">
        <f t="shared" si="178"/>
        <v>0</v>
      </c>
      <c r="CV165">
        <f t="shared" si="179"/>
        <v>0</v>
      </c>
      <c r="CW165">
        <f t="shared" si="180"/>
        <v>0</v>
      </c>
      <c r="CX165">
        <f t="shared" si="181"/>
        <v>0</v>
      </c>
      <c r="CY165">
        <f t="shared" si="182"/>
        <v>0</v>
      </c>
      <c r="CZ165">
        <f t="shared" si="183"/>
        <v>0</v>
      </c>
      <c r="DC165" t="s">
        <v>6</v>
      </c>
      <c r="DD165" t="s">
        <v>6</v>
      </c>
      <c r="DE165" t="s">
        <v>6</v>
      </c>
      <c r="DF165" t="s">
        <v>6</v>
      </c>
      <c r="DG165" t="s">
        <v>6</v>
      </c>
      <c r="DH165" t="s">
        <v>6</v>
      </c>
      <c r="DI165" t="s">
        <v>6</v>
      </c>
      <c r="DJ165" t="s">
        <v>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1007</v>
      </c>
      <c r="DV165" t="s">
        <v>301</v>
      </c>
      <c r="DW165" t="s">
        <v>301</v>
      </c>
      <c r="DX165">
        <v>1</v>
      </c>
      <c r="EE165">
        <v>16510566</v>
      </c>
      <c r="EF165">
        <v>6</v>
      </c>
      <c r="EG165" t="s">
        <v>36</v>
      </c>
      <c r="EH165">
        <v>0</v>
      </c>
      <c r="EI165" t="s">
        <v>6</v>
      </c>
      <c r="EJ165">
        <v>1</v>
      </c>
      <c r="EK165">
        <v>57001</v>
      </c>
      <c r="EL165" t="s">
        <v>91</v>
      </c>
      <c r="EM165" t="s">
        <v>92</v>
      </c>
      <c r="EO165" t="s">
        <v>6</v>
      </c>
      <c r="EQ165">
        <v>0</v>
      </c>
      <c r="ER165">
        <v>572</v>
      </c>
      <c r="ES165">
        <v>572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184"/>
        <v>0</v>
      </c>
      <c r="FS165">
        <v>0</v>
      </c>
      <c r="FX165">
        <v>80</v>
      </c>
      <c r="FY165">
        <v>68</v>
      </c>
      <c r="GA165" t="s">
        <v>6</v>
      </c>
      <c r="GD165">
        <v>0</v>
      </c>
      <c r="GF165">
        <v>261522290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85"/>
        <v>0</v>
      </c>
      <c r="GM165">
        <f t="shared" si="186"/>
        <v>160.6</v>
      </c>
      <c r="GN165">
        <f t="shared" si="187"/>
        <v>160.6</v>
      </c>
      <c r="GO165">
        <f t="shared" si="188"/>
        <v>0</v>
      </c>
      <c r="GP165">
        <f t="shared" si="189"/>
        <v>0</v>
      </c>
      <c r="GR165">
        <v>0</v>
      </c>
      <c r="GS165">
        <v>3</v>
      </c>
      <c r="GT165">
        <v>0</v>
      </c>
      <c r="GU165" t="s">
        <v>6</v>
      </c>
      <c r="GV165">
        <f t="shared" si="190"/>
        <v>0</v>
      </c>
      <c r="GW165">
        <v>1</v>
      </c>
      <c r="GX165">
        <f t="shared" si="191"/>
        <v>0</v>
      </c>
      <c r="HA165">
        <v>0</v>
      </c>
      <c r="HB165">
        <v>0</v>
      </c>
      <c r="IK165">
        <v>0</v>
      </c>
    </row>
    <row r="166" spans="1:245" x14ac:dyDescent="0.2">
      <c r="A166">
        <v>18</v>
      </c>
      <c r="B166">
        <v>1</v>
      </c>
      <c r="C166">
        <v>298</v>
      </c>
      <c r="E166" t="s">
        <v>497</v>
      </c>
      <c r="F166" t="s">
        <v>498</v>
      </c>
      <c r="G166" t="s">
        <v>499</v>
      </c>
      <c r="H166" t="s">
        <v>301</v>
      </c>
      <c r="I166">
        <f>I164*J166</f>
        <v>3.0599999999999995E-2</v>
      </c>
      <c r="J166">
        <v>1.5299999999999998</v>
      </c>
      <c r="O166">
        <f t="shared" si="158"/>
        <v>110.06</v>
      </c>
      <c r="P166">
        <f t="shared" si="159"/>
        <v>110.06</v>
      </c>
      <c r="Q166">
        <f t="shared" si="160"/>
        <v>0</v>
      </c>
      <c r="R166">
        <f t="shared" si="161"/>
        <v>0</v>
      </c>
      <c r="S166">
        <f t="shared" si="162"/>
        <v>0</v>
      </c>
      <c r="T166">
        <f t="shared" si="163"/>
        <v>0</v>
      </c>
      <c r="U166">
        <f t="shared" si="164"/>
        <v>0</v>
      </c>
      <c r="V166">
        <f t="shared" si="165"/>
        <v>0</v>
      </c>
      <c r="W166">
        <f t="shared" si="166"/>
        <v>0</v>
      </c>
      <c r="X166">
        <f t="shared" si="167"/>
        <v>0</v>
      </c>
      <c r="Y166">
        <f t="shared" si="168"/>
        <v>0</v>
      </c>
      <c r="AA166">
        <v>16742901</v>
      </c>
      <c r="AB166">
        <f t="shared" si="169"/>
        <v>548.29999999999995</v>
      </c>
      <c r="AC166">
        <f t="shared" si="192"/>
        <v>548.29999999999995</v>
      </c>
      <c r="AD166">
        <f t="shared" si="193"/>
        <v>0</v>
      </c>
      <c r="AE166">
        <f t="shared" si="194"/>
        <v>0</v>
      </c>
      <c r="AF166">
        <f t="shared" si="194"/>
        <v>0</v>
      </c>
      <c r="AG166">
        <f t="shared" si="171"/>
        <v>0</v>
      </c>
      <c r="AH166">
        <f t="shared" si="195"/>
        <v>0</v>
      </c>
      <c r="AI166">
        <f t="shared" si="195"/>
        <v>0</v>
      </c>
      <c r="AJ166">
        <f t="shared" si="172"/>
        <v>0</v>
      </c>
      <c r="AK166">
        <v>548.29999999999995</v>
      </c>
      <c r="AL166">
        <v>548.29999999999995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80</v>
      </c>
      <c r="AU166">
        <v>68</v>
      </c>
      <c r="AV166">
        <v>1</v>
      </c>
      <c r="AW166">
        <v>1</v>
      </c>
      <c r="AZ166">
        <v>6.56</v>
      </c>
      <c r="BA166">
        <v>1</v>
      </c>
      <c r="BB166">
        <v>1</v>
      </c>
      <c r="BC166">
        <v>6.56</v>
      </c>
      <c r="BD166" t="s">
        <v>6</v>
      </c>
      <c r="BE166" t="s">
        <v>6</v>
      </c>
      <c r="BF166" t="s">
        <v>6</v>
      </c>
      <c r="BG166" t="s">
        <v>6</v>
      </c>
      <c r="BH166">
        <v>3</v>
      </c>
      <c r="BI166">
        <v>1</v>
      </c>
      <c r="BJ166" t="s">
        <v>500</v>
      </c>
      <c r="BM166">
        <v>57001</v>
      </c>
      <c r="BN166">
        <v>0</v>
      </c>
      <c r="BO166" t="s">
        <v>6</v>
      </c>
      <c r="BP166">
        <v>0</v>
      </c>
      <c r="BQ166">
        <v>6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80</v>
      </c>
      <c r="CA166">
        <v>68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si="173"/>
        <v>110.06</v>
      </c>
      <c r="CQ166">
        <f t="shared" si="174"/>
        <v>3596.8479999999995</v>
      </c>
      <c r="CR166">
        <f t="shared" si="175"/>
        <v>0</v>
      </c>
      <c r="CS166">
        <f t="shared" si="176"/>
        <v>0</v>
      </c>
      <c r="CT166">
        <f t="shared" si="177"/>
        <v>0</v>
      </c>
      <c r="CU166">
        <f t="shared" si="178"/>
        <v>0</v>
      </c>
      <c r="CV166">
        <f t="shared" si="179"/>
        <v>0</v>
      </c>
      <c r="CW166">
        <f t="shared" si="180"/>
        <v>0</v>
      </c>
      <c r="CX166">
        <f t="shared" si="181"/>
        <v>0</v>
      </c>
      <c r="CY166">
        <f t="shared" si="182"/>
        <v>0</v>
      </c>
      <c r="CZ166">
        <f t="shared" si="183"/>
        <v>0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1007</v>
      </c>
      <c r="DV166" t="s">
        <v>301</v>
      </c>
      <c r="DW166" t="s">
        <v>301</v>
      </c>
      <c r="DX166">
        <v>1</v>
      </c>
      <c r="EE166">
        <v>16510566</v>
      </c>
      <c r="EF166">
        <v>6</v>
      </c>
      <c r="EG166" t="s">
        <v>36</v>
      </c>
      <c r="EH166">
        <v>0</v>
      </c>
      <c r="EI166" t="s">
        <v>6</v>
      </c>
      <c r="EJ166">
        <v>1</v>
      </c>
      <c r="EK166">
        <v>57001</v>
      </c>
      <c r="EL166" t="s">
        <v>91</v>
      </c>
      <c r="EM166" t="s">
        <v>92</v>
      </c>
      <c r="EO166" t="s">
        <v>6</v>
      </c>
      <c r="EQ166">
        <v>0</v>
      </c>
      <c r="ER166">
        <v>548.29999999999995</v>
      </c>
      <c r="ES166">
        <v>548.29999999999995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84"/>
        <v>0</v>
      </c>
      <c r="FS166">
        <v>0</v>
      </c>
      <c r="FX166">
        <v>80</v>
      </c>
      <c r="FY166">
        <v>68</v>
      </c>
      <c r="GA166" t="s">
        <v>6</v>
      </c>
      <c r="GD166">
        <v>0</v>
      </c>
      <c r="GF166">
        <v>-1970722706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85"/>
        <v>0</v>
      </c>
      <c r="GM166">
        <f t="shared" si="186"/>
        <v>110.06</v>
      </c>
      <c r="GN166">
        <f t="shared" si="187"/>
        <v>110.06</v>
      </c>
      <c r="GO166">
        <f t="shared" si="188"/>
        <v>0</v>
      </c>
      <c r="GP166">
        <f t="shared" si="189"/>
        <v>0</v>
      </c>
      <c r="GR166">
        <v>0</v>
      </c>
      <c r="GS166">
        <v>3</v>
      </c>
      <c r="GT166">
        <v>0</v>
      </c>
      <c r="GU166" t="s">
        <v>6</v>
      </c>
      <c r="GV166">
        <f t="shared" si="190"/>
        <v>0</v>
      </c>
      <c r="GW166">
        <v>1</v>
      </c>
      <c r="GX166">
        <f t="shared" si="191"/>
        <v>0</v>
      </c>
      <c r="HA166">
        <v>0</v>
      </c>
      <c r="HB166">
        <v>0</v>
      </c>
      <c r="IK166">
        <v>0</v>
      </c>
    </row>
    <row r="167" spans="1:245" x14ac:dyDescent="0.2">
      <c r="A167">
        <v>18</v>
      </c>
      <c r="B167">
        <v>1</v>
      </c>
      <c r="C167">
        <v>294</v>
      </c>
      <c r="E167" t="s">
        <v>501</v>
      </c>
      <c r="F167" t="s">
        <v>98</v>
      </c>
      <c r="G167" t="s">
        <v>99</v>
      </c>
      <c r="H167" t="s">
        <v>100</v>
      </c>
      <c r="I167">
        <f>I164*J167</f>
        <v>5.0800000000000005E-2</v>
      </c>
      <c r="J167">
        <v>2.54</v>
      </c>
      <c r="O167">
        <f t="shared" si="158"/>
        <v>0</v>
      </c>
      <c r="P167">
        <f t="shared" si="159"/>
        <v>0</v>
      </c>
      <c r="Q167">
        <f t="shared" si="160"/>
        <v>0</v>
      </c>
      <c r="R167">
        <f t="shared" si="161"/>
        <v>0</v>
      </c>
      <c r="S167">
        <f t="shared" si="162"/>
        <v>0</v>
      </c>
      <c r="T167">
        <f t="shared" si="163"/>
        <v>0</v>
      </c>
      <c r="U167">
        <f t="shared" si="164"/>
        <v>0</v>
      </c>
      <c r="V167">
        <f t="shared" si="165"/>
        <v>0</v>
      </c>
      <c r="W167">
        <f t="shared" si="166"/>
        <v>0</v>
      </c>
      <c r="X167">
        <f t="shared" si="167"/>
        <v>0</v>
      </c>
      <c r="Y167">
        <f t="shared" si="168"/>
        <v>0</v>
      </c>
      <c r="AA167">
        <v>16742901</v>
      </c>
      <c r="AB167">
        <f t="shared" si="169"/>
        <v>0</v>
      </c>
      <c r="AC167">
        <f t="shared" si="192"/>
        <v>0</v>
      </c>
      <c r="AD167">
        <f t="shared" si="193"/>
        <v>0</v>
      </c>
      <c r="AE167">
        <f t="shared" si="194"/>
        <v>0</v>
      </c>
      <c r="AF167">
        <f t="shared" si="194"/>
        <v>0</v>
      </c>
      <c r="AG167">
        <f t="shared" si="171"/>
        <v>0</v>
      </c>
      <c r="AH167">
        <f t="shared" si="195"/>
        <v>0</v>
      </c>
      <c r="AI167">
        <f t="shared" si="195"/>
        <v>0</v>
      </c>
      <c r="AJ167">
        <f t="shared" si="172"/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80</v>
      </c>
      <c r="AU167">
        <v>68</v>
      </c>
      <c r="AV167">
        <v>1</v>
      </c>
      <c r="AW167">
        <v>1</v>
      </c>
      <c r="AZ167">
        <v>6.56</v>
      </c>
      <c r="BA167">
        <v>1</v>
      </c>
      <c r="BB167">
        <v>1</v>
      </c>
      <c r="BC167">
        <v>6.56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6</v>
      </c>
      <c r="BM167">
        <v>57001</v>
      </c>
      <c r="BN167">
        <v>0</v>
      </c>
      <c r="BO167" t="s">
        <v>6</v>
      </c>
      <c r="BP167">
        <v>0</v>
      </c>
      <c r="BQ167">
        <v>6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80</v>
      </c>
      <c r="CA167">
        <v>68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73"/>
        <v>0</v>
      </c>
      <c r="CQ167">
        <f t="shared" si="174"/>
        <v>0</v>
      </c>
      <c r="CR167">
        <f t="shared" si="175"/>
        <v>0</v>
      </c>
      <c r="CS167">
        <f t="shared" si="176"/>
        <v>0</v>
      </c>
      <c r="CT167">
        <f t="shared" si="177"/>
        <v>0</v>
      </c>
      <c r="CU167">
        <f t="shared" si="178"/>
        <v>0</v>
      </c>
      <c r="CV167">
        <f t="shared" si="179"/>
        <v>0</v>
      </c>
      <c r="CW167">
        <f t="shared" si="180"/>
        <v>0</v>
      </c>
      <c r="CX167">
        <f t="shared" si="181"/>
        <v>0</v>
      </c>
      <c r="CY167">
        <f t="shared" si="182"/>
        <v>0</v>
      </c>
      <c r="CZ167">
        <f t="shared" si="183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1009</v>
      </c>
      <c r="DV167" t="s">
        <v>100</v>
      </c>
      <c r="DW167" t="s">
        <v>100</v>
      </c>
      <c r="DX167">
        <v>1000</v>
      </c>
      <c r="EE167">
        <v>16510566</v>
      </c>
      <c r="EF167">
        <v>6</v>
      </c>
      <c r="EG167" t="s">
        <v>36</v>
      </c>
      <c r="EH167">
        <v>0</v>
      </c>
      <c r="EI167" t="s">
        <v>6</v>
      </c>
      <c r="EJ167">
        <v>1</v>
      </c>
      <c r="EK167">
        <v>57001</v>
      </c>
      <c r="EL167" t="s">
        <v>91</v>
      </c>
      <c r="EM167" t="s">
        <v>92</v>
      </c>
      <c r="EO167" t="s">
        <v>6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84"/>
        <v>0</v>
      </c>
      <c r="FS167">
        <v>0</v>
      </c>
      <c r="FX167">
        <v>80</v>
      </c>
      <c r="FY167">
        <v>68</v>
      </c>
      <c r="GA167" t="s">
        <v>6</v>
      </c>
      <c r="GD167">
        <v>0</v>
      </c>
      <c r="GF167">
        <v>-179832266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85"/>
        <v>0</v>
      </c>
      <c r="GM167">
        <f t="shared" si="186"/>
        <v>0</v>
      </c>
      <c r="GN167">
        <f t="shared" si="187"/>
        <v>0</v>
      </c>
      <c r="GO167">
        <f t="shared" si="188"/>
        <v>0</v>
      </c>
      <c r="GP167">
        <f t="shared" si="189"/>
        <v>0</v>
      </c>
      <c r="GR167">
        <v>0</v>
      </c>
      <c r="GS167">
        <v>3</v>
      </c>
      <c r="GT167">
        <v>0</v>
      </c>
      <c r="GU167" t="s">
        <v>6</v>
      </c>
      <c r="GV167">
        <f t="shared" si="190"/>
        <v>0</v>
      </c>
      <c r="GW167">
        <v>1</v>
      </c>
      <c r="GX167">
        <f t="shared" si="191"/>
        <v>0</v>
      </c>
      <c r="HA167">
        <v>0</v>
      </c>
      <c r="HB167">
        <v>0</v>
      </c>
      <c r="IK167">
        <v>0</v>
      </c>
    </row>
    <row r="168" spans="1:245" x14ac:dyDescent="0.2">
      <c r="A168">
        <v>18</v>
      </c>
      <c r="B168">
        <v>1</v>
      </c>
      <c r="C168">
        <v>295</v>
      </c>
      <c r="E168" t="s">
        <v>502</v>
      </c>
      <c r="F168" t="s">
        <v>503</v>
      </c>
      <c r="G168" t="s">
        <v>495</v>
      </c>
      <c r="H168" t="s">
        <v>301</v>
      </c>
      <c r="I168">
        <f>I164*J168</f>
        <v>4.2799999999999998E-2</v>
      </c>
      <c r="J168">
        <v>2.1399999999999997</v>
      </c>
      <c r="O168">
        <f t="shared" si="158"/>
        <v>0</v>
      </c>
      <c r="P168">
        <f t="shared" si="159"/>
        <v>0</v>
      </c>
      <c r="Q168">
        <f t="shared" si="160"/>
        <v>0</v>
      </c>
      <c r="R168">
        <f t="shared" si="161"/>
        <v>0</v>
      </c>
      <c r="S168">
        <f t="shared" si="162"/>
        <v>0</v>
      </c>
      <c r="T168">
        <f t="shared" si="163"/>
        <v>0</v>
      </c>
      <c r="U168">
        <f t="shared" si="164"/>
        <v>0</v>
      </c>
      <c r="V168">
        <f t="shared" si="165"/>
        <v>0</v>
      </c>
      <c r="W168">
        <f t="shared" si="166"/>
        <v>0</v>
      </c>
      <c r="X168">
        <f t="shared" si="167"/>
        <v>0</v>
      </c>
      <c r="Y168">
        <f t="shared" si="168"/>
        <v>0</v>
      </c>
      <c r="AA168">
        <v>16742901</v>
      </c>
      <c r="AB168">
        <f t="shared" si="169"/>
        <v>0</v>
      </c>
      <c r="AC168">
        <f t="shared" si="192"/>
        <v>0</v>
      </c>
      <c r="AD168">
        <f t="shared" si="193"/>
        <v>0</v>
      </c>
      <c r="AE168">
        <f t="shared" si="194"/>
        <v>0</v>
      </c>
      <c r="AF168">
        <f t="shared" si="194"/>
        <v>0</v>
      </c>
      <c r="AG168">
        <f t="shared" si="171"/>
        <v>0</v>
      </c>
      <c r="AH168">
        <f t="shared" si="195"/>
        <v>0</v>
      </c>
      <c r="AI168">
        <f t="shared" si="195"/>
        <v>0</v>
      </c>
      <c r="AJ168">
        <f t="shared" si="172"/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80</v>
      </c>
      <c r="AU168">
        <v>68</v>
      </c>
      <c r="AV168">
        <v>1</v>
      </c>
      <c r="AW168">
        <v>1</v>
      </c>
      <c r="AZ168">
        <v>6.56</v>
      </c>
      <c r="BA168">
        <v>1</v>
      </c>
      <c r="BB168">
        <v>1</v>
      </c>
      <c r="BC168">
        <v>6.56</v>
      </c>
      <c r="BD168" t="s">
        <v>6</v>
      </c>
      <c r="BE168" t="s">
        <v>6</v>
      </c>
      <c r="BF168" t="s">
        <v>6</v>
      </c>
      <c r="BG168" t="s">
        <v>6</v>
      </c>
      <c r="BH168">
        <v>3</v>
      </c>
      <c r="BI168">
        <v>1</v>
      </c>
      <c r="BJ168" t="s">
        <v>6</v>
      </c>
      <c r="BM168">
        <v>57001</v>
      </c>
      <c r="BN168">
        <v>0</v>
      </c>
      <c r="BO168" t="s">
        <v>6</v>
      </c>
      <c r="BP168">
        <v>0</v>
      </c>
      <c r="BQ168">
        <v>6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80</v>
      </c>
      <c r="CA168">
        <v>68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 t="shared" si="173"/>
        <v>0</v>
      </c>
      <c r="CQ168">
        <f t="shared" si="174"/>
        <v>0</v>
      </c>
      <c r="CR168">
        <f t="shared" si="175"/>
        <v>0</v>
      </c>
      <c r="CS168">
        <f t="shared" si="176"/>
        <v>0</v>
      </c>
      <c r="CT168">
        <f t="shared" si="177"/>
        <v>0</v>
      </c>
      <c r="CU168">
        <f t="shared" si="178"/>
        <v>0</v>
      </c>
      <c r="CV168">
        <f t="shared" si="179"/>
        <v>0</v>
      </c>
      <c r="CW168">
        <f t="shared" si="180"/>
        <v>0</v>
      </c>
      <c r="CX168">
        <f t="shared" si="181"/>
        <v>0</v>
      </c>
      <c r="CY168">
        <f t="shared" si="182"/>
        <v>0</v>
      </c>
      <c r="CZ168">
        <f t="shared" si="183"/>
        <v>0</v>
      </c>
      <c r="DC168" t="s">
        <v>6</v>
      </c>
      <c r="DD168" t="s">
        <v>6</v>
      </c>
      <c r="DE168" t="s">
        <v>6</v>
      </c>
      <c r="DF168" t="s">
        <v>6</v>
      </c>
      <c r="DG168" t="s">
        <v>6</v>
      </c>
      <c r="DH168" t="s">
        <v>6</v>
      </c>
      <c r="DI168" t="s">
        <v>6</v>
      </c>
      <c r="DJ168" t="s">
        <v>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1007</v>
      </c>
      <c r="DV168" t="s">
        <v>301</v>
      </c>
      <c r="DW168" t="s">
        <v>301</v>
      </c>
      <c r="DX168">
        <v>1</v>
      </c>
      <c r="EE168">
        <v>16510566</v>
      </c>
      <c r="EF168">
        <v>6</v>
      </c>
      <c r="EG168" t="s">
        <v>36</v>
      </c>
      <c r="EH168">
        <v>0</v>
      </c>
      <c r="EI168" t="s">
        <v>6</v>
      </c>
      <c r="EJ168">
        <v>1</v>
      </c>
      <c r="EK168">
        <v>57001</v>
      </c>
      <c r="EL168" t="s">
        <v>91</v>
      </c>
      <c r="EM168" t="s">
        <v>92</v>
      </c>
      <c r="EO168" t="s">
        <v>6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84"/>
        <v>0</v>
      </c>
      <c r="FS168">
        <v>0</v>
      </c>
      <c r="FX168">
        <v>80</v>
      </c>
      <c r="FY168">
        <v>68</v>
      </c>
      <c r="GA168" t="s">
        <v>6</v>
      </c>
      <c r="GD168">
        <v>0</v>
      </c>
      <c r="GF168">
        <v>425670577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85"/>
        <v>0</v>
      </c>
      <c r="GM168">
        <f t="shared" si="186"/>
        <v>0</v>
      </c>
      <c r="GN168">
        <f t="shared" si="187"/>
        <v>0</v>
      </c>
      <c r="GO168">
        <f t="shared" si="188"/>
        <v>0</v>
      </c>
      <c r="GP168">
        <f t="shared" si="189"/>
        <v>0</v>
      </c>
      <c r="GR168">
        <v>0</v>
      </c>
      <c r="GS168">
        <v>3</v>
      </c>
      <c r="GT168">
        <v>0</v>
      </c>
      <c r="GU168" t="s">
        <v>6</v>
      </c>
      <c r="GV168">
        <f t="shared" si="190"/>
        <v>0</v>
      </c>
      <c r="GW168">
        <v>1</v>
      </c>
      <c r="GX168">
        <f t="shared" si="191"/>
        <v>0</v>
      </c>
      <c r="HA168">
        <v>0</v>
      </c>
      <c r="HB168">
        <v>0</v>
      </c>
      <c r="IK168">
        <v>0</v>
      </c>
    </row>
    <row r="169" spans="1:245" x14ac:dyDescent="0.2">
      <c r="A169">
        <v>18</v>
      </c>
      <c r="B169">
        <v>1</v>
      </c>
      <c r="C169">
        <v>297</v>
      </c>
      <c r="E169" t="s">
        <v>504</v>
      </c>
      <c r="F169" t="s">
        <v>505</v>
      </c>
      <c r="G169" t="s">
        <v>506</v>
      </c>
      <c r="H169" t="s">
        <v>301</v>
      </c>
      <c r="I169">
        <f>I164*J169</f>
        <v>3.0599999999999995E-2</v>
      </c>
      <c r="J169">
        <v>1.5299999999999998</v>
      </c>
      <c r="O169">
        <f t="shared" si="158"/>
        <v>0</v>
      </c>
      <c r="P169">
        <f t="shared" si="159"/>
        <v>0</v>
      </c>
      <c r="Q169">
        <f t="shared" si="160"/>
        <v>0</v>
      </c>
      <c r="R169">
        <f t="shared" si="161"/>
        <v>0</v>
      </c>
      <c r="S169">
        <f t="shared" si="162"/>
        <v>0</v>
      </c>
      <c r="T169">
        <f t="shared" si="163"/>
        <v>0</v>
      </c>
      <c r="U169">
        <f t="shared" si="164"/>
        <v>0</v>
      </c>
      <c r="V169">
        <f t="shared" si="165"/>
        <v>0</v>
      </c>
      <c r="W169">
        <f t="shared" si="166"/>
        <v>0</v>
      </c>
      <c r="X169">
        <f t="shared" si="167"/>
        <v>0</v>
      </c>
      <c r="Y169">
        <f t="shared" si="168"/>
        <v>0</v>
      </c>
      <c r="AA169">
        <v>16742901</v>
      </c>
      <c r="AB169">
        <f t="shared" si="169"/>
        <v>0</v>
      </c>
      <c r="AC169">
        <f t="shared" si="192"/>
        <v>0</v>
      </c>
      <c r="AD169">
        <f t="shared" si="193"/>
        <v>0</v>
      </c>
      <c r="AE169">
        <f t="shared" si="194"/>
        <v>0</v>
      </c>
      <c r="AF169">
        <f t="shared" si="194"/>
        <v>0</v>
      </c>
      <c r="AG169">
        <f t="shared" si="171"/>
        <v>0</v>
      </c>
      <c r="AH169">
        <f t="shared" si="195"/>
        <v>0</v>
      </c>
      <c r="AI169">
        <f t="shared" si="195"/>
        <v>0</v>
      </c>
      <c r="AJ169">
        <f t="shared" si="172"/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80</v>
      </c>
      <c r="AU169">
        <v>68</v>
      </c>
      <c r="AV169">
        <v>1</v>
      </c>
      <c r="AW169">
        <v>1</v>
      </c>
      <c r="AZ169">
        <v>6.56</v>
      </c>
      <c r="BA169">
        <v>1</v>
      </c>
      <c r="BB169">
        <v>1</v>
      </c>
      <c r="BC169">
        <v>6.56</v>
      </c>
      <c r="BD169" t="s">
        <v>6</v>
      </c>
      <c r="BE169" t="s">
        <v>6</v>
      </c>
      <c r="BF169" t="s">
        <v>6</v>
      </c>
      <c r="BG169" t="s">
        <v>6</v>
      </c>
      <c r="BH169">
        <v>3</v>
      </c>
      <c r="BI169">
        <v>1</v>
      </c>
      <c r="BJ169" t="s">
        <v>6</v>
      </c>
      <c r="BM169">
        <v>57001</v>
      </c>
      <c r="BN169">
        <v>0</v>
      </c>
      <c r="BO169" t="s">
        <v>6</v>
      </c>
      <c r="BP169">
        <v>0</v>
      </c>
      <c r="BQ169">
        <v>6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80</v>
      </c>
      <c r="CA169">
        <v>68</v>
      </c>
      <c r="CF169">
        <v>0</v>
      </c>
      <c r="CG169">
        <v>0</v>
      </c>
      <c r="CM169">
        <v>0</v>
      </c>
      <c r="CN169" t="s">
        <v>6</v>
      </c>
      <c r="CO169">
        <v>0</v>
      </c>
      <c r="CP169">
        <f t="shared" si="173"/>
        <v>0</v>
      </c>
      <c r="CQ169">
        <f t="shared" si="174"/>
        <v>0</v>
      </c>
      <c r="CR169">
        <f t="shared" si="175"/>
        <v>0</v>
      </c>
      <c r="CS169">
        <f t="shared" si="176"/>
        <v>0</v>
      </c>
      <c r="CT169">
        <f t="shared" si="177"/>
        <v>0</v>
      </c>
      <c r="CU169">
        <f t="shared" si="178"/>
        <v>0</v>
      </c>
      <c r="CV169">
        <f t="shared" si="179"/>
        <v>0</v>
      </c>
      <c r="CW169">
        <f t="shared" si="180"/>
        <v>0</v>
      </c>
      <c r="CX169">
        <f t="shared" si="181"/>
        <v>0</v>
      </c>
      <c r="CY169">
        <f t="shared" si="182"/>
        <v>0</v>
      </c>
      <c r="CZ169">
        <f t="shared" si="183"/>
        <v>0</v>
      </c>
      <c r="DC169" t="s">
        <v>6</v>
      </c>
      <c r="DD169" t="s">
        <v>6</v>
      </c>
      <c r="DE169" t="s">
        <v>6</v>
      </c>
      <c r="DF169" t="s">
        <v>6</v>
      </c>
      <c r="DG169" t="s">
        <v>6</v>
      </c>
      <c r="DH169" t="s">
        <v>6</v>
      </c>
      <c r="DI169" t="s">
        <v>6</v>
      </c>
      <c r="DJ169" t="s">
        <v>6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1007</v>
      </c>
      <c r="DV169" t="s">
        <v>301</v>
      </c>
      <c r="DW169" t="s">
        <v>301</v>
      </c>
      <c r="DX169">
        <v>1</v>
      </c>
      <c r="EE169">
        <v>16510566</v>
      </c>
      <c r="EF169">
        <v>6</v>
      </c>
      <c r="EG169" t="s">
        <v>36</v>
      </c>
      <c r="EH169">
        <v>0</v>
      </c>
      <c r="EI169" t="s">
        <v>6</v>
      </c>
      <c r="EJ169">
        <v>1</v>
      </c>
      <c r="EK169">
        <v>57001</v>
      </c>
      <c r="EL169" t="s">
        <v>91</v>
      </c>
      <c r="EM169" t="s">
        <v>92</v>
      </c>
      <c r="EO169" t="s">
        <v>6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184"/>
        <v>0</v>
      </c>
      <c r="FS169">
        <v>0</v>
      </c>
      <c r="FX169">
        <v>80</v>
      </c>
      <c r="FY169">
        <v>68</v>
      </c>
      <c r="GA169" t="s">
        <v>6</v>
      </c>
      <c r="GD169">
        <v>0</v>
      </c>
      <c r="GF169">
        <v>-2113302258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85"/>
        <v>0</v>
      </c>
      <c r="GM169">
        <f t="shared" si="186"/>
        <v>0</v>
      </c>
      <c r="GN169">
        <f t="shared" si="187"/>
        <v>0</v>
      </c>
      <c r="GO169">
        <f t="shared" si="188"/>
        <v>0</v>
      </c>
      <c r="GP169">
        <f t="shared" si="189"/>
        <v>0</v>
      </c>
      <c r="GR169">
        <v>0</v>
      </c>
      <c r="GS169">
        <v>3</v>
      </c>
      <c r="GT169">
        <v>0</v>
      </c>
      <c r="GU169" t="s">
        <v>6</v>
      </c>
      <c r="GV169">
        <f t="shared" si="190"/>
        <v>0</v>
      </c>
      <c r="GW169">
        <v>1</v>
      </c>
      <c r="GX169">
        <f t="shared" si="191"/>
        <v>0</v>
      </c>
      <c r="HA169">
        <v>0</v>
      </c>
      <c r="HB169">
        <v>0</v>
      </c>
      <c r="IK169">
        <v>0</v>
      </c>
    </row>
    <row r="170" spans="1:245" x14ac:dyDescent="0.2">
      <c r="A170">
        <v>17</v>
      </c>
      <c r="B170">
        <v>1</v>
      </c>
      <c r="C170">
        <f>ROW(SmtRes!A304)</f>
        <v>304</v>
      </c>
      <c r="D170">
        <f>ROW(EtalonRes!A287)</f>
        <v>287</v>
      </c>
      <c r="E170" t="s">
        <v>507</v>
      </c>
      <c r="F170" t="s">
        <v>508</v>
      </c>
      <c r="G170" t="s">
        <v>509</v>
      </c>
      <c r="H170" t="s">
        <v>20</v>
      </c>
      <c r="I170">
        <f>ROUND(86.3/100,9)</f>
        <v>0.86299999999999999</v>
      </c>
      <c r="J170">
        <v>0</v>
      </c>
      <c r="O170">
        <f t="shared" si="158"/>
        <v>6489.41</v>
      </c>
      <c r="P170">
        <f t="shared" si="159"/>
        <v>92.28</v>
      </c>
      <c r="Q170">
        <f t="shared" si="160"/>
        <v>1670.81</v>
      </c>
      <c r="R170">
        <f t="shared" si="161"/>
        <v>148.84</v>
      </c>
      <c r="S170">
        <f t="shared" si="162"/>
        <v>4726.32</v>
      </c>
      <c r="T170">
        <f t="shared" si="163"/>
        <v>0</v>
      </c>
      <c r="U170">
        <f t="shared" si="164"/>
        <v>79.435698000000002</v>
      </c>
      <c r="V170">
        <f t="shared" si="165"/>
        <v>2.2545875</v>
      </c>
      <c r="W170">
        <f t="shared" si="166"/>
        <v>0</v>
      </c>
      <c r="X170">
        <f t="shared" si="167"/>
        <v>5411.43</v>
      </c>
      <c r="Y170">
        <f t="shared" si="168"/>
        <v>3120.1</v>
      </c>
      <c r="AA170">
        <v>16742901</v>
      </c>
      <c r="AB170">
        <f t="shared" si="169"/>
        <v>1146.28</v>
      </c>
      <c r="AC170">
        <f t="shared" si="192"/>
        <v>16.3</v>
      </c>
      <c r="AD170">
        <f>ROUND(((((ET170*1.25))-((EU170*1.25)))+AE170),2)</f>
        <v>295.13</v>
      </c>
      <c r="AE170">
        <f>ROUND(((EU170*1.25)),2)</f>
        <v>26.29</v>
      </c>
      <c r="AF170">
        <f>ROUND(((EV170*1.15)),2)</f>
        <v>834.85</v>
      </c>
      <c r="AG170">
        <f t="shared" si="171"/>
        <v>0</v>
      </c>
      <c r="AH170">
        <f>((EW170*1.15))</f>
        <v>92.046000000000006</v>
      </c>
      <c r="AI170">
        <f>((EX170*1.25))</f>
        <v>2.6124999999999998</v>
      </c>
      <c r="AJ170">
        <f t="shared" si="172"/>
        <v>0</v>
      </c>
      <c r="AK170">
        <v>978.36</v>
      </c>
      <c r="AL170">
        <v>16.3</v>
      </c>
      <c r="AM170">
        <v>236.1</v>
      </c>
      <c r="AN170">
        <v>21.03</v>
      </c>
      <c r="AO170">
        <v>725.96</v>
      </c>
      <c r="AP170">
        <v>0</v>
      </c>
      <c r="AQ170">
        <v>80.040000000000006</v>
      </c>
      <c r="AR170">
        <v>2.09</v>
      </c>
      <c r="AS170">
        <v>0</v>
      </c>
      <c r="AT170">
        <v>111</v>
      </c>
      <c r="AU170">
        <v>64</v>
      </c>
      <c r="AV170">
        <v>1</v>
      </c>
      <c r="AW170">
        <v>1</v>
      </c>
      <c r="AZ170">
        <v>6.56</v>
      </c>
      <c r="BA170">
        <v>6.56</v>
      </c>
      <c r="BB170">
        <v>6.56</v>
      </c>
      <c r="BC170">
        <v>6.56</v>
      </c>
      <c r="BD170" t="s">
        <v>6</v>
      </c>
      <c r="BE170" t="s">
        <v>6</v>
      </c>
      <c r="BF170" t="s">
        <v>6</v>
      </c>
      <c r="BG170" t="s">
        <v>6</v>
      </c>
      <c r="BH170">
        <v>0</v>
      </c>
      <c r="BI170">
        <v>1</v>
      </c>
      <c r="BJ170" t="s">
        <v>510</v>
      </c>
      <c r="BM170">
        <v>11001</v>
      </c>
      <c r="BN170">
        <v>0</v>
      </c>
      <c r="BO170" t="s">
        <v>6</v>
      </c>
      <c r="BP170">
        <v>0</v>
      </c>
      <c r="BQ170">
        <v>2</v>
      </c>
      <c r="BR170">
        <v>0</v>
      </c>
      <c r="BS170">
        <v>6.56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123</v>
      </c>
      <c r="CA170">
        <v>75</v>
      </c>
      <c r="CF170">
        <v>0</v>
      </c>
      <c r="CG170">
        <v>0</v>
      </c>
      <c r="CM170">
        <v>0</v>
      </c>
      <c r="CN170" t="s">
        <v>1902</v>
      </c>
      <c r="CO170">
        <v>0</v>
      </c>
      <c r="CP170">
        <f t="shared" si="173"/>
        <v>6489.41</v>
      </c>
      <c r="CQ170">
        <f t="shared" si="174"/>
        <v>106.928</v>
      </c>
      <c r="CR170">
        <f t="shared" si="175"/>
        <v>1936.0527999999999</v>
      </c>
      <c r="CS170">
        <f t="shared" si="176"/>
        <v>172.46239999999997</v>
      </c>
      <c r="CT170">
        <f t="shared" si="177"/>
        <v>5476.616</v>
      </c>
      <c r="CU170">
        <f t="shared" si="178"/>
        <v>0</v>
      </c>
      <c r="CV170">
        <f t="shared" si="179"/>
        <v>92.046000000000006</v>
      </c>
      <c r="CW170">
        <f t="shared" si="180"/>
        <v>2.6124999999999998</v>
      </c>
      <c r="CX170">
        <f t="shared" si="181"/>
        <v>0</v>
      </c>
      <c r="CY170">
        <f t="shared" si="182"/>
        <v>5411.4276</v>
      </c>
      <c r="CZ170">
        <f t="shared" si="183"/>
        <v>3120.1023999999998</v>
      </c>
      <c r="DC170" t="s">
        <v>6</v>
      </c>
      <c r="DD170" t="s">
        <v>6</v>
      </c>
      <c r="DE170" t="s">
        <v>187</v>
      </c>
      <c r="DF170" t="s">
        <v>187</v>
      </c>
      <c r="DG170" t="s">
        <v>188</v>
      </c>
      <c r="DH170" t="s">
        <v>6</v>
      </c>
      <c r="DI170" t="s">
        <v>188</v>
      </c>
      <c r="DJ170" t="s">
        <v>187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1005</v>
      </c>
      <c r="DV170" t="s">
        <v>20</v>
      </c>
      <c r="DW170" t="s">
        <v>20</v>
      </c>
      <c r="DX170">
        <v>100</v>
      </c>
      <c r="EE170">
        <v>16510488</v>
      </c>
      <c r="EF170">
        <v>2</v>
      </c>
      <c r="EG170" t="s">
        <v>22</v>
      </c>
      <c r="EH170">
        <v>0</v>
      </c>
      <c r="EI170" t="s">
        <v>6</v>
      </c>
      <c r="EJ170">
        <v>1</v>
      </c>
      <c r="EK170">
        <v>11001</v>
      </c>
      <c r="EL170" t="s">
        <v>91</v>
      </c>
      <c r="EM170" t="s">
        <v>460</v>
      </c>
      <c r="EO170" t="s">
        <v>189</v>
      </c>
      <c r="EQ170">
        <v>131072</v>
      </c>
      <c r="ER170">
        <v>978.36</v>
      </c>
      <c r="ES170">
        <v>16.3</v>
      </c>
      <c r="ET170">
        <v>236.1</v>
      </c>
      <c r="EU170">
        <v>21.03</v>
      </c>
      <c r="EV170">
        <v>725.96</v>
      </c>
      <c r="EW170">
        <v>80.040000000000006</v>
      </c>
      <c r="EX170">
        <v>2.09</v>
      </c>
      <c r="EY170">
        <v>0</v>
      </c>
      <c r="FQ170">
        <v>0</v>
      </c>
      <c r="FR170">
        <f t="shared" si="184"/>
        <v>0</v>
      </c>
      <c r="FS170">
        <v>0</v>
      </c>
      <c r="FT170" t="s">
        <v>25</v>
      </c>
      <c r="FU170" t="s">
        <v>26</v>
      </c>
      <c r="FX170">
        <v>110.7</v>
      </c>
      <c r="FY170">
        <v>63.75</v>
      </c>
      <c r="GA170" t="s">
        <v>6</v>
      </c>
      <c r="GD170">
        <v>0</v>
      </c>
      <c r="GF170">
        <v>-1130271558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85"/>
        <v>0</v>
      </c>
      <c r="GM170">
        <f t="shared" si="186"/>
        <v>15020.94</v>
      </c>
      <c r="GN170">
        <f t="shared" si="187"/>
        <v>15020.94</v>
      </c>
      <c r="GO170">
        <f t="shared" si="188"/>
        <v>0</v>
      </c>
      <c r="GP170">
        <f t="shared" si="189"/>
        <v>0</v>
      </c>
      <c r="GR170">
        <v>0</v>
      </c>
      <c r="GS170">
        <v>3</v>
      </c>
      <c r="GT170">
        <v>0</v>
      </c>
      <c r="GU170" t="s">
        <v>6</v>
      </c>
      <c r="GV170">
        <f t="shared" si="190"/>
        <v>0</v>
      </c>
      <c r="GW170">
        <v>1</v>
      </c>
      <c r="GX170">
        <f t="shared" si="191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ROW(SmtRes!A315)</f>
        <v>315</v>
      </c>
      <c r="D171">
        <f>ROW(EtalonRes!A299)</f>
        <v>299</v>
      </c>
      <c r="E171" t="s">
        <v>511</v>
      </c>
      <c r="F171" t="s">
        <v>512</v>
      </c>
      <c r="G171" t="s">
        <v>513</v>
      </c>
      <c r="H171" t="s">
        <v>20</v>
      </c>
      <c r="I171">
        <f>ROUND(21/100,9)</f>
        <v>0.21</v>
      </c>
      <c r="J171">
        <v>0</v>
      </c>
      <c r="O171">
        <f t="shared" si="158"/>
        <v>30293.23</v>
      </c>
      <c r="P171">
        <f t="shared" si="159"/>
        <v>25953.49</v>
      </c>
      <c r="Q171">
        <f t="shared" si="160"/>
        <v>41.59</v>
      </c>
      <c r="R171">
        <f t="shared" si="161"/>
        <v>30.16</v>
      </c>
      <c r="S171">
        <f t="shared" si="162"/>
        <v>4298.1499999999996</v>
      </c>
      <c r="T171">
        <f t="shared" si="163"/>
        <v>0</v>
      </c>
      <c r="U171">
        <f t="shared" si="164"/>
        <v>74.966430000000003</v>
      </c>
      <c r="V171">
        <f t="shared" si="165"/>
        <v>0.454125</v>
      </c>
      <c r="W171">
        <f t="shared" si="166"/>
        <v>0</v>
      </c>
      <c r="X171">
        <f t="shared" si="167"/>
        <v>4804.42</v>
      </c>
      <c r="Y171">
        <f t="shared" si="168"/>
        <v>2770.12</v>
      </c>
      <c r="AA171">
        <v>16742901</v>
      </c>
      <c r="AB171">
        <f t="shared" si="169"/>
        <v>21989.86</v>
      </c>
      <c r="AC171">
        <f t="shared" si="192"/>
        <v>18839.64</v>
      </c>
      <c r="AD171">
        <f>ROUND(((((ET171*1.25))-((EU171*1.25)))+AE171),2)</f>
        <v>30.19</v>
      </c>
      <c r="AE171">
        <f>ROUND(((EU171*1.25)),2)</f>
        <v>21.89</v>
      </c>
      <c r="AF171">
        <f>ROUND(((EV171*1.15)),2)</f>
        <v>3120.03</v>
      </c>
      <c r="AG171">
        <f t="shared" si="171"/>
        <v>0</v>
      </c>
      <c r="AH171">
        <f>((EW171*1.15))</f>
        <v>356.983</v>
      </c>
      <c r="AI171">
        <f>((EX171*1.25))</f>
        <v>2.1625000000000001</v>
      </c>
      <c r="AJ171">
        <f t="shared" si="172"/>
        <v>0</v>
      </c>
      <c r="AK171">
        <v>21576.86</v>
      </c>
      <c r="AL171">
        <v>18839.64</v>
      </c>
      <c r="AM171">
        <v>24.15</v>
      </c>
      <c r="AN171">
        <v>17.510000000000002</v>
      </c>
      <c r="AO171">
        <v>2713.07</v>
      </c>
      <c r="AP171">
        <v>0</v>
      </c>
      <c r="AQ171">
        <v>310.42</v>
      </c>
      <c r="AR171">
        <v>1.73</v>
      </c>
      <c r="AS171">
        <v>0</v>
      </c>
      <c r="AT171">
        <v>111</v>
      </c>
      <c r="AU171">
        <v>64</v>
      </c>
      <c r="AV171">
        <v>1</v>
      </c>
      <c r="AW171">
        <v>1</v>
      </c>
      <c r="AZ171">
        <v>6.56</v>
      </c>
      <c r="BA171">
        <v>6.56</v>
      </c>
      <c r="BB171">
        <v>6.56</v>
      </c>
      <c r="BC171">
        <v>6.56</v>
      </c>
      <c r="BD171" t="s">
        <v>6</v>
      </c>
      <c r="BE171" t="s">
        <v>6</v>
      </c>
      <c r="BF171" t="s">
        <v>6</v>
      </c>
      <c r="BG171" t="s">
        <v>6</v>
      </c>
      <c r="BH171">
        <v>0</v>
      </c>
      <c r="BI171">
        <v>1</v>
      </c>
      <c r="BJ171" t="s">
        <v>514</v>
      </c>
      <c r="BM171">
        <v>11001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6.56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123</v>
      </c>
      <c r="CA171">
        <v>75</v>
      </c>
      <c r="CF171">
        <v>0</v>
      </c>
      <c r="CG171">
        <v>0</v>
      </c>
      <c r="CM171">
        <v>0</v>
      </c>
      <c r="CN171" t="s">
        <v>1902</v>
      </c>
      <c r="CO171">
        <v>0</v>
      </c>
      <c r="CP171">
        <f t="shared" si="173"/>
        <v>30293.230000000003</v>
      </c>
      <c r="CQ171">
        <f t="shared" si="174"/>
        <v>123588.03839999999</v>
      </c>
      <c r="CR171">
        <f t="shared" si="175"/>
        <v>198.04640000000001</v>
      </c>
      <c r="CS171">
        <f t="shared" si="176"/>
        <v>143.5984</v>
      </c>
      <c r="CT171">
        <f t="shared" si="177"/>
        <v>20467.396799999999</v>
      </c>
      <c r="CU171">
        <f t="shared" si="178"/>
        <v>0</v>
      </c>
      <c r="CV171">
        <f t="shared" si="179"/>
        <v>356.983</v>
      </c>
      <c r="CW171">
        <f t="shared" si="180"/>
        <v>2.1625000000000001</v>
      </c>
      <c r="CX171">
        <f t="shared" si="181"/>
        <v>0</v>
      </c>
      <c r="CY171">
        <f t="shared" si="182"/>
        <v>4804.4240999999993</v>
      </c>
      <c r="CZ171">
        <f t="shared" si="183"/>
        <v>2770.1183999999998</v>
      </c>
      <c r="DC171" t="s">
        <v>6</v>
      </c>
      <c r="DD171" t="s">
        <v>6</v>
      </c>
      <c r="DE171" t="s">
        <v>187</v>
      </c>
      <c r="DF171" t="s">
        <v>187</v>
      </c>
      <c r="DG171" t="s">
        <v>188</v>
      </c>
      <c r="DH171" t="s">
        <v>6</v>
      </c>
      <c r="DI171" t="s">
        <v>188</v>
      </c>
      <c r="DJ171" t="s">
        <v>187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1005</v>
      </c>
      <c r="DV171" t="s">
        <v>20</v>
      </c>
      <c r="DW171" t="s">
        <v>20</v>
      </c>
      <c r="DX171">
        <v>100</v>
      </c>
      <c r="EE171">
        <v>16510488</v>
      </c>
      <c r="EF171">
        <v>2</v>
      </c>
      <c r="EG171" t="s">
        <v>22</v>
      </c>
      <c r="EH171">
        <v>0</v>
      </c>
      <c r="EI171" t="s">
        <v>6</v>
      </c>
      <c r="EJ171">
        <v>1</v>
      </c>
      <c r="EK171">
        <v>11001</v>
      </c>
      <c r="EL171" t="s">
        <v>91</v>
      </c>
      <c r="EM171" t="s">
        <v>460</v>
      </c>
      <c r="EO171" t="s">
        <v>189</v>
      </c>
      <c r="EQ171">
        <v>131072</v>
      </c>
      <c r="ER171">
        <v>21576.86</v>
      </c>
      <c r="ES171">
        <v>18839.64</v>
      </c>
      <c r="ET171">
        <v>24.15</v>
      </c>
      <c r="EU171">
        <v>17.510000000000002</v>
      </c>
      <c r="EV171">
        <v>2713.07</v>
      </c>
      <c r="EW171">
        <v>310.42</v>
      </c>
      <c r="EX171">
        <v>1.73</v>
      </c>
      <c r="EY171">
        <v>0</v>
      </c>
      <c r="FQ171">
        <v>0</v>
      </c>
      <c r="FR171">
        <f t="shared" si="184"/>
        <v>0</v>
      </c>
      <c r="FS171">
        <v>0</v>
      </c>
      <c r="FT171" t="s">
        <v>25</v>
      </c>
      <c r="FU171" t="s">
        <v>26</v>
      </c>
      <c r="FX171">
        <v>110.7</v>
      </c>
      <c r="FY171">
        <v>63.75</v>
      </c>
      <c r="GA171" t="s">
        <v>6</v>
      </c>
      <c r="GD171">
        <v>0</v>
      </c>
      <c r="GF171">
        <v>1016495109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85"/>
        <v>0</v>
      </c>
      <c r="GM171">
        <f t="shared" si="186"/>
        <v>37867.769999999997</v>
      </c>
      <c r="GN171">
        <f t="shared" si="187"/>
        <v>37867.769999999997</v>
      </c>
      <c r="GO171">
        <f t="shared" si="188"/>
        <v>0</v>
      </c>
      <c r="GP171">
        <f t="shared" si="189"/>
        <v>0</v>
      </c>
      <c r="GR171">
        <v>0</v>
      </c>
      <c r="GS171">
        <v>3</v>
      </c>
      <c r="GT171">
        <v>0</v>
      </c>
      <c r="GU171" t="s">
        <v>6</v>
      </c>
      <c r="GV171">
        <f t="shared" si="190"/>
        <v>0</v>
      </c>
      <c r="GW171">
        <v>1</v>
      </c>
      <c r="GX171">
        <f t="shared" si="191"/>
        <v>0</v>
      </c>
      <c r="HA171">
        <v>0</v>
      </c>
      <c r="HB171">
        <v>0</v>
      </c>
      <c r="IK171">
        <v>0</v>
      </c>
    </row>
    <row r="172" spans="1:245" x14ac:dyDescent="0.2">
      <c r="A172">
        <v>18</v>
      </c>
      <c r="B172">
        <v>1</v>
      </c>
      <c r="C172">
        <v>313</v>
      </c>
      <c r="E172" t="s">
        <v>515</v>
      </c>
      <c r="F172" t="s">
        <v>516</v>
      </c>
      <c r="G172" t="s">
        <v>517</v>
      </c>
      <c r="H172" t="s">
        <v>193</v>
      </c>
      <c r="I172">
        <f>I171*J172</f>
        <v>-21.42</v>
      </c>
      <c r="J172">
        <v>-102.00000000000001</v>
      </c>
      <c r="O172">
        <f t="shared" si="158"/>
        <v>-19735.36</v>
      </c>
      <c r="P172">
        <f t="shared" si="159"/>
        <v>-19735.36</v>
      </c>
      <c r="Q172">
        <f t="shared" si="160"/>
        <v>0</v>
      </c>
      <c r="R172">
        <f t="shared" si="161"/>
        <v>0</v>
      </c>
      <c r="S172">
        <f t="shared" si="162"/>
        <v>0</v>
      </c>
      <c r="T172">
        <f t="shared" si="163"/>
        <v>0</v>
      </c>
      <c r="U172">
        <f t="shared" si="164"/>
        <v>0</v>
      </c>
      <c r="V172">
        <f t="shared" si="165"/>
        <v>0</v>
      </c>
      <c r="W172">
        <f t="shared" si="166"/>
        <v>0</v>
      </c>
      <c r="X172">
        <f t="shared" si="167"/>
        <v>0</v>
      </c>
      <c r="Y172">
        <f t="shared" si="168"/>
        <v>0</v>
      </c>
      <c r="AA172">
        <v>16742901</v>
      </c>
      <c r="AB172">
        <f t="shared" si="169"/>
        <v>140.44999999999999</v>
      </c>
      <c r="AC172">
        <f t="shared" si="192"/>
        <v>140.44999999999999</v>
      </c>
      <c r="AD172">
        <f>ROUND((((ET172)-(EU172))+AE172),2)</f>
        <v>0</v>
      </c>
      <c r="AE172">
        <f>ROUND((EU172),2)</f>
        <v>0</v>
      </c>
      <c r="AF172">
        <f>ROUND((EV172),2)</f>
        <v>0</v>
      </c>
      <c r="AG172">
        <f t="shared" si="171"/>
        <v>0</v>
      </c>
      <c r="AH172">
        <f>(EW172)</f>
        <v>0</v>
      </c>
      <c r="AI172">
        <f>(EX172)</f>
        <v>0</v>
      </c>
      <c r="AJ172">
        <f t="shared" si="172"/>
        <v>0</v>
      </c>
      <c r="AK172">
        <v>140.44999999999999</v>
      </c>
      <c r="AL172">
        <v>140.44999999999999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111</v>
      </c>
      <c r="AU172">
        <v>64</v>
      </c>
      <c r="AV172">
        <v>1</v>
      </c>
      <c r="AW172">
        <v>1</v>
      </c>
      <c r="AZ172">
        <v>6.56</v>
      </c>
      <c r="BA172">
        <v>1</v>
      </c>
      <c r="BB172">
        <v>1</v>
      </c>
      <c r="BC172">
        <v>6.56</v>
      </c>
      <c r="BD172" t="s">
        <v>6</v>
      </c>
      <c r="BE172" t="s">
        <v>6</v>
      </c>
      <c r="BF172" t="s">
        <v>6</v>
      </c>
      <c r="BG172" t="s">
        <v>6</v>
      </c>
      <c r="BH172">
        <v>3</v>
      </c>
      <c r="BI172">
        <v>1</v>
      </c>
      <c r="BJ172" t="s">
        <v>518</v>
      </c>
      <c r="BM172">
        <v>11001</v>
      </c>
      <c r="BN172">
        <v>0</v>
      </c>
      <c r="BO172" t="s">
        <v>6</v>
      </c>
      <c r="BP172">
        <v>0</v>
      </c>
      <c r="BQ172">
        <v>2</v>
      </c>
      <c r="BR172">
        <v>1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123</v>
      </c>
      <c r="CA172">
        <v>75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173"/>
        <v>-19735.36</v>
      </c>
      <c r="CQ172">
        <f t="shared" si="174"/>
        <v>921.35199999999986</v>
      </c>
      <c r="CR172">
        <f t="shared" si="175"/>
        <v>0</v>
      </c>
      <c r="CS172">
        <f t="shared" si="176"/>
        <v>0</v>
      </c>
      <c r="CT172">
        <f t="shared" si="177"/>
        <v>0</v>
      </c>
      <c r="CU172">
        <f t="shared" si="178"/>
        <v>0</v>
      </c>
      <c r="CV172">
        <f t="shared" si="179"/>
        <v>0</v>
      </c>
      <c r="CW172">
        <f t="shared" si="180"/>
        <v>0</v>
      </c>
      <c r="CX172">
        <f t="shared" si="181"/>
        <v>0</v>
      </c>
      <c r="CY172">
        <f t="shared" si="182"/>
        <v>0</v>
      </c>
      <c r="CZ172">
        <f t="shared" si="183"/>
        <v>0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1005</v>
      </c>
      <c r="DV172" t="s">
        <v>193</v>
      </c>
      <c r="DW172" t="s">
        <v>193</v>
      </c>
      <c r="DX172">
        <v>1</v>
      </c>
      <c r="EE172">
        <v>16510488</v>
      </c>
      <c r="EF172">
        <v>2</v>
      </c>
      <c r="EG172" t="s">
        <v>22</v>
      </c>
      <c r="EH172">
        <v>0</v>
      </c>
      <c r="EI172" t="s">
        <v>6</v>
      </c>
      <c r="EJ172">
        <v>1</v>
      </c>
      <c r="EK172">
        <v>11001</v>
      </c>
      <c r="EL172" t="s">
        <v>91</v>
      </c>
      <c r="EM172" t="s">
        <v>460</v>
      </c>
      <c r="EO172" t="s">
        <v>6</v>
      </c>
      <c r="EQ172">
        <v>0</v>
      </c>
      <c r="ER172">
        <v>140.44999999999999</v>
      </c>
      <c r="ES172">
        <v>140.44999999999999</v>
      </c>
      <c r="ET172">
        <v>0</v>
      </c>
      <c r="EU172">
        <v>0</v>
      </c>
      <c r="EV172">
        <v>0</v>
      </c>
      <c r="EW172">
        <v>0</v>
      </c>
      <c r="EX172">
        <v>0</v>
      </c>
      <c r="FQ172">
        <v>0</v>
      </c>
      <c r="FR172">
        <f t="shared" si="184"/>
        <v>0</v>
      </c>
      <c r="FS172">
        <v>0</v>
      </c>
      <c r="FT172" t="s">
        <v>25</v>
      </c>
      <c r="FU172" t="s">
        <v>26</v>
      </c>
      <c r="FX172">
        <v>110.7</v>
      </c>
      <c r="FY172">
        <v>63.75</v>
      </c>
      <c r="GA172" t="s">
        <v>6</v>
      </c>
      <c r="GD172">
        <v>0</v>
      </c>
      <c r="GF172">
        <v>2046761779</v>
      </c>
      <c r="GG172">
        <v>1</v>
      </c>
      <c r="GH172">
        <v>1</v>
      </c>
      <c r="GI172">
        <v>4</v>
      </c>
      <c r="GJ172">
        <v>0</v>
      </c>
      <c r="GK172">
        <f>ROUND(R172*(R12)/100,2)</f>
        <v>0</v>
      </c>
      <c r="GL172">
        <f t="shared" si="185"/>
        <v>0</v>
      </c>
      <c r="GM172">
        <f t="shared" si="186"/>
        <v>-19735.36</v>
      </c>
      <c r="GN172">
        <f t="shared" si="187"/>
        <v>-19735.36</v>
      </c>
      <c r="GO172">
        <f t="shared" si="188"/>
        <v>0</v>
      </c>
      <c r="GP172">
        <f t="shared" si="189"/>
        <v>0</v>
      </c>
      <c r="GR172">
        <v>0</v>
      </c>
      <c r="GS172">
        <v>3</v>
      </c>
      <c r="GT172">
        <v>0</v>
      </c>
      <c r="GU172" t="s">
        <v>6</v>
      </c>
      <c r="GV172">
        <f t="shared" si="190"/>
        <v>0</v>
      </c>
      <c r="GW172">
        <v>1</v>
      </c>
      <c r="GX172">
        <f t="shared" si="191"/>
        <v>0</v>
      </c>
      <c r="HA172">
        <v>0</v>
      </c>
      <c r="HB172">
        <v>0</v>
      </c>
      <c r="IK172">
        <v>0</v>
      </c>
    </row>
    <row r="173" spans="1:245" x14ac:dyDescent="0.2">
      <c r="A173">
        <v>18</v>
      </c>
      <c r="B173">
        <v>1</v>
      </c>
      <c r="C173">
        <v>314</v>
      </c>
      <c r="E173" t="s">
        <v>519</v>
      </c>
      <c r="F173" t="s">
        <v>520</v>
      </c>
      <c r="G173" t="s">
        <v>521</v>
      </c>
      <c r="H173" t="s">
        <v>193</v>
      </c>
      <c r="I173">
        <f>I171*J173</f>
        <v>21.42</v>
      </c>
      <c r="J173">
        <v>102.00000000000001</v>
      </c>
      <c r="O173">
        <f t="shared" si="158"/>
        <v>7977.05</v>
      </c>
      <c r="P173">
        <f t="shared" si="159"/>
        <v>7977.05</v>
      </c>
      <c r="Q173">
        <f t="shared" si="160"/>
        <v>0</v>
      </c>
      <c r="R173">
        <f t="shared" si="161"/>
        <v>0</v>
      </c>
      <c r="S173">
        <f t="shared" si="162"/>
        <v>0</v>
      </c>
      <c r="T173">
        <f t="shared" si="163"/>
        <v>0</v>
      </c>
      <c r="U173">
        <f t="shared" si="164"/>
        <v>0</v>
      </c>
      <c r="V173">
        <f t="shared" si="165"/>
        <v>0</v>
      </c>
      <c r="W173">
        <f t="shared" si="166"/>
        <v>0</v>
      </c>
      <c r="X173">
        <f t="shared" si="167"/>
        <v>0</v>
      </c>
      <c r="Y173">
        <f t="shared" si="168"/>
        <v>0</v>
      </c>
      <c r="AA173">
        <v>16742901</v>
      </c>
      <c r="AB173">
        <f t="shared" si="169"/>
        <v>56.77</v>
      </c>
      <c r="AC173">
        <f t="shared" si="192"/>
        <v>56.77</v>
      </c>
      <c r="AD173">
        <f>ROUND((((ET173)-(EU173))+AE173),2)</f>
        <v>0</v>
      </c>
      <c r="AE173">
        <f>ROUND((EU173),2)</f>
        <v>0</v>
      </c>
      <c r="AF173">
        <f>ROUND((EV173),2)</f>
        <v>0</v>
      </c>
      <c r="AG173">
        <f t="shared" si="171"/>
        <v>0</v>
      </c>
      <c r="AH173">
        <f>(EW173)</f>
        <v>0</v>
      </c>
      <c r="AI173">
        <f>(EX173)</f>
        <v>0</v>
      </c>
      <c r="AJ173">
        <f t="shared" si="172"/>
        <v>0</v>
      </c>
      <c r="AK173">
        <v>56.77</v>
      </c>
      <c r="AL173">
        <v>56.77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111</v>
      </c>
      <c r="AU173">
        <v>64</v>
      </c>
      <c r="AV173">
        <v>1</v>
      </c>
      <c r="AW173">
        <v>1</v>
      </c>
      <c r="AZ173">
        <v>6.56</v>
      </c>
      <c r="BA173">
        <v>1</v>
      </c>
      <c r="BB173">
        <v>1</v>
      </c>
      <c r="BC173">
        <v>6.56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522</v>
      </c>
      <c r="BM173">
        <v>11001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123</v>
      </c>
      <c r="CA173">
        <v>75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73"/>
        <v>7977.05</v>
      </c>
      <c r="CQ173">
        <f t="shared" si="174"/>
        <v>372.41120000000001</v>
      </c>
      <c r="CR173">
        <f t="shared" si="175"/>
        <v>0</v>
      </c>
      <c r="CS173">
        <f t="shared" si="176"/>
        <v>0</v>
      </c>
      <c r="CT173">
        <f t="shared" si="177"/>
        <v>0</v>
      </c>
      <c r="CU173">
        <f t="shared" si="178"/>
        <v>0</v>
      </c>
      <c r="CV173">
        <f t="shared" si="179"/>
        <v>0</v>
      </c>
      <c r="CW173">
        <f t="shared" si="180"/>
        <v>0</v>
      </c>
      <c r="CX173">
        <f t="shared" si="181"/>
        <v>0</v>
      </c>
      <c r="CY173">
        <f t="shared" si="182"/>
        <v>0</v>
      </c>
      <c r="CZ173">
        <f t="shared" si="183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1005</v>
      </c>
      <c r="DV173" t="s">
        <v>193</v>
      </c>
      <c r="DW173" t="s">
        <v>193</v>
      </c>
      <c r="DX173">
        <v>1</v>
      </c>
      <c r="EE173">
        <v>16510488</v>
      </c>
      <c r="EF173">
        <v>2</v>
      </c>
      <c r="EG173" t="s">
        <v>22</v>
      </c>
      <c r="EH173">
        <v>0</v>
      </c>
      <c r="EI173" t="s">
        <v>6</v>
      </c>
      <c r="EJ173">
        <v>1</v>
      </c>
      <c r="EK173">
        <v>11001</v>
      </c>
      <c r="EL173" t="s">
        <v>91</v>
      </c>
      <c r="EM173" t="s">
        <v>460</v>
      </c>
      <c r="EO173" t="s">
        <v>6</v>
      </c>
      <c r="EQ173">
        <v>0</v>
      </c>
      <c r="ER173">
        <v>56.77</v>
      </c>
      <c r="ES173">
        <v>56.77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84"/>
        <v>0</v>
      </c>
      <c r="FS173">
        <v>0</v>
      </c>
      <c r="FT173" t="s">
        <v>25</v>
      </c>
      <c r="FU173" t="s">
        <v>26</v>
      </c>
      <c r="FX173">
        <v>110.7</v>
      </c>
      <c r="FY173">
        <v>63.75</v>
      </c>
      <c r="GA173" t="s">
        <v>6</v>
      </c>
      <c r="GD173">
        <v>0</v>
      </c>
      <c r="GF173">
        <v>1255404391</v>
      </c>
      <c r="GG173">
        <v>1</v>
      </c>
      <c r="GH173">
        <v>1</v>
      </c>
      <c r="GI173">
        <v>4</v>
      </c>
      <c r="GJ173">
        <v>0</v>
      </c>
      <c r="GK173">
        <f>ROUND(R173*(R12)/100,2)</f>
        <v>0</v>
      </c>
      <c r="GL173">
        <f t="shared" si="185"/>
        <v>0</v>
      </c>
      <c r="GM173">
        <f t="shared" si="186"/>
        <v>7977.05</v>
      </c>
      <c r="GN173">
        <f t="shared" si="187"/>
        <v>7977.05</v>
      </c>
      <c r="GO173">
        <f t="shared" si="188"/>
        <v>0</v>
      </c>
      <c r="GP173">
        <f t="shared" si="189"/>
        <v>0</v>
      </c>
      <c r="GR173">
        <v>0</v>
      </c>
      <c r="GS173">
        <v>3</v>
      </c>
      <c r="GT173">
        <v>0</v>
      </c>
      <c r="GU173" t="s">
        <v>6</v>
      </c>
      <c r="GV173">
        <f t="shared" si="190"/>
        <v>0</v>
      </c>
      <c r="GW173">
        <v>1</v>
      </c>
      <c r="GX173">
        <f t="shared" si="191"/>
        <v>0</v>
      </c>
      <c r="HA173">
        <v>0</v>
      </c>
      <c r="HB173">
        <v>0</v>
      </c>
      <c r="IK173">
        <v>0</v>
      </c>
    </row>
    <row r="174" spans="1:245" x14ac:dyDescent="0.2">
      <c r="A174">
        <v>17</v>
      </c>
      <c r="B174">
        <v>1</v>
      </c>
      <c r="C174">
        <f>ROW(SmtRes!A327)</f>
        <v>327</v>
      </c>
      <c r="D174">
        <f>ROW(EtalonRes!A311)</f>
        <v>311</v>
      </c>
      <c r="E174" t="s">
        <v>523</v>
      </c>
      <c r="F174" t="s">
        <v>524</v>
      </c>
      <c r="G174" t="s">
        <v>525</v>
      </c>
      <c r="H174" t="s">
        <v>20</v>
      </c>
      <c r="I174">
        <f>ROUND(21/100,9)</f>
        <v>0.21</v>
      </c>
      <c r="J174">
        <v>0</v>
      </c>
      <c r="O174">
        <f t="shared" si="158"/>
        <v>1692.29</v>
      </c>
      <c r="P174">
        <f t="shared" si="159"/>
        <v>954.15</v>
      </c>
      <c r="Q174">
        <f t="shared" si="160"/>
        <v>270.70999999999998</v>
      </c>
      <c r="R174">
        <f t="shared" si="161"/>
        <v>9.17</v>
      </c>
      <c r="S174">
        <f t="shared" si="162"/>
        <v>467.43</v>
      </c>
      <c r="T174">
        <f t="shared" si="163"/>
        <v>0</v>
      </c>
      <c r="U174">
        <f t="shared" si="164"/>
        <v>6.5132549999999991</v>
      </c>
      <c r="V174">
        <f t="shared" si="165"/>
        <v>0.11287499999999999</v>
      </c>
      <c r="W174">
        <f t="shared" si="166"/>
        <v>0</v>
      </c>
      <c r="X174">
        <f t="shared" si="167"/>
        <v>529.03</v>
      </c>
      <c r="Y174">
        <f t="shared" si="168"/>
        <v>305.02</v>
      </c>
      <c r="AA174">
        <v>16742901</v>
      </c>
      <c r="AB174">
        <f t="shared" si="169"/>
        <v>1228.44</v>
      </c>
      <c r="AC174">
        <f t="shared" si="192"/>
        <v>692.62</v>
      </c>
      <c r="AD174">
        <f>ROUND(((((ET174*1.25))-((EU174*1.25)))+AE174),2)</f>
        <v>196.51</v>
      </c>
      <c r="AE174">
        <f>ROUND(((EU174*1.25)),2)</f>
        <v>6.66</v>
      </c>
      <c r="AF174">
        <f>ROUND(((EV174*1.15)),2)</f>
        <v>339.31</v>
      </c>
      <c r="AG174">
        <f t="shared" si="171"/>
        <v>0</v>
      </c>
      <c r="AH174">
        <f>((EW174*1.15))</f>
        <v>31.015499999999996</v>
      </c>
      <c r="AI174">
        <f>((EX174*1.25))</f>
        <v>0.53749999999999998</v>
      </c>
      <c r="AJ174">
        <f t="shared" si="172"/>
        <v>0</v>
      </c>
      <c r="AK174">
        <v>1144.8800000000001</v>
      </c>
      <c r="AL174">
        <v>692.62</v>
      </c>
      <c r="AM174">
        <v>157.21</v>
      </c>
      <c r="AN174">
        <v>5.33</v>
      </c>
      <c r="AO174">
        <v>295.05</v>
      </c>
      <c r="AP174">
        <v>0</v>
      </c>
      <c r="AQ174">
        <v>26.97</v>
      </c>
      <c r="AR174">
        <v>0.43</v>
      </c>
      <c r="AS174">
        <v>0</v>
      </c>
      <c r="AT174">
        <v>111</v>
      </c>
      <c r="AU174">
        <v>64</v>
      </c>
      <c r="AV174">
        <v>1</v>
      </c>
      <c r="AW174">
        <v>1</v>
      </c>
      <c r="AZ174">
        <v>6.56</v>
      </c>
      <c r="BA174">
        <v>6.56</v>
      </c>
      <c r="BB174">
        <v>6.56</v>
      </c>
      <c r="BC174">
        <v>6.56</v>
      </c>
      <c r="BD174" t="s">
        <v>6</v>
      </c>
      <c r="BE174" t="s">
        <v>6</v>
      </c>
      <c r="BF174" t="s">
        <v>6</v>
      </c>
      <c r="BG174" t="s">
        <v>6</v>
      </c>
      <c r="BH174">
        <v>0</v>
      </c>
      <c r="BI174">
        <v>1</v>
      </c>
      <c r="BJ174" t="s">
        <v>526</v>
      </c>
      <c r="BM174">
        <v>11001</v>
      </c>
      <c r="BN174">
        <v>0</v>
      </c>
      <c r="BO174" t="s">
        <v>6</v>
      </c>
      <c r="BP174">
        <v>0</v>
      </c>
      <c r="BQ174">
        <v>2</v>
      </c>
      <c r="BR174">
        <v>0</v>
      </c>
      <c r="BS174">
        <v>6.56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123</v>
      </c>
      <c r="CA174">
        <v>75</v>
      </c>
      <c r="CF174">
        <v>0</v>
      </c>
      <c r="CG174">
        <v>0</v>
      </c>
      <c r="CM174">
        <v>0</v>
      </c>
      <c r="CN174" t="s">
        <v>1902</v>
      </c>
      <c r="CO174">
        <v>0</v>
      </c>
      <c r="CP174">
        <f t="shared" si="173"/>
        <v>1692.29</v>
      </c>
      <c r="CQ174">
        <f t="shared" si="174"/>
        <v>4543.5871999999999</v>
      </c>
      <c r="CR174">
        <f t="shared" si="175"/>
        <v>1289.1055999999999</v>
      </c>
      <c r="CS174">
        <f t="shared" si="176"/>
        <v>43.689599999999999</v>
      </c>
      <c r="CT174">
        <f t="shared" si="177"/>
        <v>2225.8735999999999</v>
      </c>
      <c r="CU174">
        <f t="shared" si="178"/>
        <v>0</v>
      </c>
      <c r="CV174">
        <f t="shared" si="179"/>
        <v>31.015499999999996</v>
      </c>
      <c r="CW174">
        <f t="shared" si="180"/>
        <v>0.53749999999999998</v>
      </c>
      <c r="CX174">
        <f t="shared" si="181"/>
        <v>0</v>
      </c>
      <c r="CY174">
        <f t="shared" si="182"/>
        <v>529.02600000000007</v>
      </c>
      <c r="CZ174">
        <f t="shared" si="183"/>
        <v>305.024</v>
      </c>
      <c r="DC174" t="s">
        <v>6</v>
      </c>
      <c r="DD174" t="s">
        <v>6</v>
      </c>
      <c r="DE174" t="s">
        <v>187</v>
      </c>
      <c r="DF174" t="s">
        <v>187</v>
      </c>
      <c r="DG174" t="s">
        <v>188</v>
      </c>
      <c r="DH174" t="s">
        <v>6</v>
      </c>
      <c r="DI174" t="s">
        <v>188</v>
      </c>
      <c r="DJ174" t="s">
        <v>187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1005</v>
      </c>
      <c r="DV174" t="s">
        <v>20</v>
      </c>
      <c r="DW174" t="s">
        <v>20</v>
      </c>
      <c r="DX174">
        <v>100</v>
      </c>
      <c r="EE174">
        <v>16510488</v>
      </c>
      <c r="EF174">
        <v>2</v>
      </c>
      <c r="EG174" t="s">
        <v>22</v>
      </c>
      <c r="EH174">
        <v>0</v>
      </c>
      <c r="EI174" t="s">
        <v>6</v>
      </c>
      <c r="EJ174">
        <v>1</v>
      </c>
      <c r="EK174">
        <v>11001</v>
      </c>
      <c r="EL174" t="s">
        <v>91</v>
      </c>
      <c r="EM174" t="s">
        <v>460</v>
      </c>
      <c r="EO174" t="s">
        <v>189</v>
      </c>
      <c r="EQ174">
        <v>131072</v>
      </c>
      <c r="ER174">
        <v>1144.8800000000001</v>
      </c>
      <c r="ES174">
        <v>692.62</v>
      </c>
      <c r="ET174">
        <v>157.21</v>
      </c>
      <c r="EU174">
        <v>5.33</v>
      </c>
      <c r="EV174">
        <v>295.05</v>
      </c>
      <c r="EW174">
        <v>26.97</v>
      </c>
      <c r="EX174">
        <v>0.43</v>
      </c>
      <c r="EY174">
        <v>0</v>
      </c>
      <c r="FQ174">
        <v>0</v>
      </c>
      <c r="FR174">
        <f t="shared" si="184"/>
        <v>0</v>
      </c>
      <c r="FS174">
        <v>0</v>
      </c>
      <c r="FT174" t="s">
        <v>25</v>
      </c>
      <c r="FU174" t="s">
        <v>26</v>
      </c>
      <c r="FX174">
        <v>110.7</v>
      </c>
      <c r="FY174">
        <v>63.75</v>
      </c>
      <c r="GA174" t="s">
        <v>6</v>
      </c>
      <c r="GD174">
        <v>0</v>
      </c>
      <c r="GF174">
        <v>-565640778</v>
      </c>
      <c r="GG174">
        <v>1</v>
      </c>
      <c r="GH174">
        <v>1</v>
      </c>
      <c r="GI174">
        <v>4</v>
      </c>
      <c r="GJ174">
        <v>0</v>
      </c>
      <c r="GK174">
        <f>ROUND(R174*(R12)/100,2)</f>
        <v>0</v>
      </c>
      <c r="GL174">
        <f t="shared" si="185"/>
        <v>0</v>
      </c>
      <c r="GM174">
        <f t="shared" si="186"/>
        <v>2526.34</v>
      </c>
      <c r="GN174">
        <f t="shared" si="187"/>
        <v>2526.34</v>
      </c>
      <c r="GO174">
        <f t="shared" si="188"/>
        <v>0</v>
      </c>
      <c r="GP174">
        <f t="shared" si="189"/>
        <v>0</v>
      </c>
      <c r="GR174">
        <v>0</v>
      </c>
      <c r="GS174">
        <v>3</v>
      </c>
      <c r="GT174">
        <v>0</v>
      </c>
      <c r="GU174" t="s">
        <v>6</v>
      </c>
      <c r="GV174">
        <f t="shared" si="190"/>
        <v>0</v>
      </c>
      <c r="GW174">
        <v>1</v>
      </c>
      <c r="GX174">
        <f t="shared" si="191"/>
        <v>0</v>
      </c>
      <c r="HA174">
        <v>0</v>
      </c>
      <c r="HB174">
        <v>0</v>
      </c>
      <c r="IK174">
        <v>0</v>
      </c>
    </row>
    <row r="175" spans="1:245" x14ac:dyDescent="0.2">
      <c r="A175">
        <v>17</v>
      </c>
      <c r="B175">
        <v>1</v>
      </c>
      <c r="C175">
        <f>ROW(SmtRes!A336)</f>
        <v>336</v>
      </c>
      <c r="D175">
        <f>ROW(EtalonRes!A318)</f>
        <v>318</v>
      </c>
      <c r="E175" t="s">
        <v>527</v>
      </c>
      <c r="F175" t="s">
        <v>528</v>
      </c>
      <c r="G175" t="s">
        <v>529</v>
      </c>
      <c r="H175" t="s">
        <v>20</v>
      </c>
      <c r="I175">
        <f>ROUND(99.9/100,9)</f>
        <v>0.999</v>
      </c>
      <c r="J175">
        <v>0</v>
      </c>
      <c r="O175">
        <f t="shared" si="158"/>
        <v>3020.15</v>
      </c>
      <c r="P175">
        <f t="shared" si="159"/>
        <v>5.96</v>
      </c>
      <c r="Q175">
        <f t="shared" si="160"/>
        <v>358.8</v>
      </c>
      <c r="R175">
        <f t="shared" si="161"/>
        <v>86.24</v>
      </c>
      <c r="S175">
        <f t="shared" si="162"/>
        <v>2655.39</v>
      </c>
      <c r="T175">
        <f t="shared" si="163"/>
        <v>0</v>
      </c>
      <c r="U175">
        <f t="shared" si="164"/>
        <v>48.711239999999997</v>
      </c>
      <c r="V175">
        <f t="shared" si="165"/>
        <v>1.0614375</v>
      </c>
      <c r="W175">
        <f t="shared" si="166"/>
        <v>0</v>
      </c>
      <c r="X175">
        <f t="shared" si="167"/>
        <v>3043.21</v>
      </c>
      <c r="Y175">
        <f t="shared" si="168"/>
        <v>1754.64</v>
      </c>
      <c r="AA175">
        <v>16742901</v>
      </c>
      <c r="AB175">
        <f t="shared" si="169"/>
        <v>460.85</v>
      </c>
      <c r="AC175">
        <f t="shared" si="192"/>
        <v>0.91</v>
      </c>
      <c r="AD175">
        <f>ROUND(((((ET175*1.25))-((EU175*1.25)))+AE175),2)</f>
        <v>54.75</v>
      </c>
      <c r="AE175">
        <f>ROUND(((EU175*1.25)),2)</f>
        <v>13.16</v>
      </c>
      <c r="AF175">
        <f>ROUND(((EV175*1.15)),2)</f>
        <v>405.19</v>
      </c>
      <c r="AG175">
        <f t="shared" si="171"/>
        <v>0</v>
      </c>
      <c r="AH175">
        <f>((EW175*1.15))</f>
        <v>48.76</v>
      </c>
      <c r="AI175">
        <f>((EX175*1.25))</f>
        <v>1.0625</v>
      </c>
      <c r="AJ175">
        <f t="shared" si="172"/>
        <v>0</v>
      </c>
      <c r="AK175">
        <v>397.05</v>
      </c>
      <c r="AL175">
        <v>0.91</v>
      </c>
      <c r="AM175">
        <v>43.8</v>
      </c>
      <c r="AN175">
        <v>10.53</v>
      </c>
      <c r="AO175">
        <v>352.34</v>
      </c>
      <c r="AP175">
        <v>0</v>
      </c>
      <c r="AQ175">
        <v>42.4</v>
      </c>
      <c r="AR175">
        <v>0.85</v>
      </c>
      <c r="AS175">
        <v>0</v>
      </c>
      <c r="AT175">
        <v>111</v>
      </c>
      <c r="AU175">
        <v>64</v>
      </c>
      <c r="AV175">
        <v>1</v>
      </c>
      <c r="AW175">
        <v>1</v>
      </c>
      <c r="AZ175">
        <v>6.56</v>
      </c>
      <c r="BA175">
        <v>6.56</v>
      </c>
      <c r="BB175">
        <v>6.56</v>
      </c>
      <c r="BC175">
        <v>6.56</v>
      </c>
      <c r="BD175" t="s">
        <v>6</v>
      </c>
      <c r="BE175" t="s">
        <v>6</v>
      </c>
      <c r="BF175" t="s">
        <v>6</v>
      </c>
      <c r="BG175" t="s">
        <v>6</v>
      </c>
      <c r="BH175">
        <v>0</v>
      </c>
      <c r="BI175">
        <v>1</v>
      </c>
      <c r="BJ175" t="s">
        <v>530</v>
      </c>
      <c r="BM175">
        <v>11001</v>
      </c>
      <c r="BN175">
        <v>0</v>
      </c>
      <c r="BO175" t="s">
        <v>6</v>
      </c>
      <c r="BP175">
        <v>0</v>
      </c>
      <c r="BQ175">
        <v>2</v>
      </c>
      <c r="BR175">
        <v>0</v>
      </c>
      <c r="BS175">
        <v>6.56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6</v>
      </c>
      <c r="BZ175">
        <v>123</v>
      </c>
      <c r="CA175">
        <v>75</v>
      </c>
      <c r="CF175">
        <v>0</v>
      </c>
      <c r="CG175">
        <v>0</v>
      </c>
      <c r="CM175">
        <v>0</v>
      </c>
      <c r="CN175" t="s">
        <v>1902</v>
      </c>
      <c r="CO175">
        <v>0</v>
      </c>
      <c r="CP175">
        <f t="shared" si="173"/>
        <v>3020.1499999999996</v>
      </c>
      <c r="CQ175">
        <f t="shared" si="174"/>
        <v>5.9695999999999998</v>
      </c>
      <c r="CR175">
        <f t="shared" si="175"/>
        <v>359.15999999999997</v>
      </c>
      <c r="CS175">
        <f t="shared" si="176"/>
        <v>86.329599999999999</v>
      </c>
      <c r="CT175">
        <f t="shared" si="177"/>
        <v>2658.0463999999997</v>
      </c>
      <c r="CU175">
        <f t="shared" si="178"/>
        <v>0</v>
      </c>
      <c r="CV175">
        <f t="shared" si="179"/>
        <v>48.76</v>
      </c>
      <c r="CW175">
        <f t="shared" si="180"/>
        <v>1.0625</v>
      </c>
      <c r="CX175">
        <f t="shared" si="181"/>
        <v>0</v>
      </c>
      <c r="CY175">
        <f t="shared" si="182"/>
        <v>3043.2092999999995</v>
      </c>
      <c r="CZ175">
        <f t="shared" si="183"/>
        <v>1754.6431999999998</v>
      </c>
      <c r="DC175" t="s">
        <v>6</v>
      </c>
      <c r="DD175" t="s">
        <v>6</v>
      </c>
      <c r="DE175" t="s">
        <v>187</v>
      </c>
      <c r="DF175" t="s">
        <v>187</v>
      </c>
      <c r="DG175" t="s">
        <v>188</v>
      </c>
      <c r="DH175" t="s">
        <v>6</v>
      </c>
      <c r="DI175" t="s">
        <v>188</v>
      </c>
      <c r="DJ175" t="s">
        <v>187</v>
      </c>
      <c r="DK175" t="s">
        <v>6</v>
      </c>
      <c r="DL175" t="s">
        <v>6</v>
      </c>
      <c r="DM175" t="s">
        <v>6</v>
      </c>
      <c r="DN175">
        <v>0</v>
      </c>
      <c r="DO175">
        <v>0</v>
      </c>
      <c r="DP175">
        <v>1</v>
      </c>
      <c r="DQ175">
        <v>1</v>
      </c>
      <c r="DU175">
        <v>1005</v>
      </c>
      <c r="DV175" t="s">
        <v>20</v>
      </c>
      <c r="DW175" t="s">
        <v>20</v>
      </c>
      <c r="DX175">
        <v>100</v>
      </c>
      <c r="EE175">
        <v>16510488</v>
      </c>
      <c r="EF175">
        <v>2</v>
      </c>
      <c r="EG175" t="s">
        <v>22</v>
      </c>
      <c r="EH175">
        <v>0</v>
      </c>
      <c r="EI175" t="s">
        <v>6</v>
      </c>
      <c r="EJ175">
        <v>1</v>
      </c>
      <c r="EK175">
        <v>11001</v>
      </c>
      <c r="EL175" t="s">
        <v>91</v>
      </c>
      <c r="EM175" t="s">
        <v>460</v>
      </c>
      <c r="EO175" t="s">
        <v>189</v>
      </c>
      <c r="EQ175">
        <v>131072</v>
      </c>
      <c r="ER175">
        <v>397.05</v>
      </c>
      <c r="ES175">
        <v>0.91</v>
      </c>
      <c r="ET175">
        <v>43.8</v>
      </c>
      <c r="EU175">
        <v>10.53</v>
      </c>
      <c r="EV175">
        <v>352.34</v>
      </c>
      <c r="EW175">
        <v>42.4</v>
      </c>
      <c r="EX175">
        <v>0.85</v>
      </c>
      <c r="EY175">
        <v>0</v>
      </c>
      <c r="FQ175">
        <v>0</v>
      </c>
      <c r="FR175">
        <f t="shared" si="184"/>
        <v>0</v>
      </c>
      <c r="FS175">
        <v>0</v>
      </c>
      <c r="FT175" t="s">
        <v>25</v>
      </c>
      <c r="FU175" t="s">
        <v>26</v>
      </c>
      <c r="FX175">
        <v>110.7</v>
      </c>
      <c r="FY175">
        <v>63.75</v>
      </c>
      <c r="GA175" t="s">
        <v>6</v>
      </c>
      <c r="GD175">
        <v>0</v>
      </c>
      <c r="GF175">
        <v>35623097</v>
      </c>
      <c r="GG175">
        <v>1</v>
      </c>
      <c r="GH175">
        <v>1</v>
      </c>
      <c r="GI175">
        <v>4</v>
      </c>
      <c r="GJ175">
        <v>0</v>
      </c>
      <c r="GK175">
        <f>ROUND(R175*(R12)/100,2)</f>
        <v>0</v>
      </c>
      <c r="GL175">
        <f t="shared" si="185"/>
        <v>0</v>
      </c>
      <c r="GM175">
        <f t="shared" si="186"/>
        <v>7818</v>
      </c>
      <c r="GN175">
        <f t="shared" si="187"/>
        <v>7818</v>
      </c>
      <c r="GO175">
        <f t="shared" si="188"/>
        <v>0</v>
      </c>
      <c r="GP175">
        <f t="shared" si="189"/>
        <v>0</v>
      </c>
      <c r="GR175">
        <v>0</v>
      </c>
      <c r="GS175">
        <v>3</v>
      </c>
      <c r="GT175">
        <v>0</v>
      </c>
      <c r="GU175" t="s">
        <v>6</v>
      </c>
      <c r="GV175">
        <f t="shared" si="190"/>
        <v>0</v>
      </c>
      <c r="GW175">
        <v>1</v>
      </c>
      <c r="GX175">
        <f t="shared" si="191"/>
        <v>0</v>
      </c>
      <c r="HA175">
        <v>0</v>
      </c>
      <c r="HB175">
        <v>0</v>
      </c>
      <c r="IK175">
        <v>0</v>
      </c>
    </row>
    <row r="176" spans="1:245" x14ac:dyDescent="0.2">
      <c r="A176">
        <v>18</v>
      </c>
      <c r="B176">
        <v>1</v>
      </c>
      <c r="C176">
        <v>333</v>
      </c>
      <c r="E176" t="s">
        <v>531</v>
      </c>
      <c r="F176" t="s">
        <v>532</v>
      </c>
      <c r="G176" t="s">
        <v>533</v>
      </c>
      <c r="H176" t="s">
        <v>193</v>
      </c>
      <c r="I176">
        <f>I175*J176</f>
        <v>101.898</v>
      </c>
      <c r="J176">
        <v>102</v>
      </c>
      <c r="O176">
        <f t="shared" si="158"/>
        <v>121210.2</v>
      </c>
      <c r="P176">
        <f t="shared" si="159"/>
        <v>121210.2</v>
      </c>
      <c r="Q176">
        <f t="shared" si="160"/>
        <v>0</v>
      </c>
      <c r="R176">
        <f t="shared" si="161"/>
        <v>0</v>
      </c>
      <c r="S176">
        <f t="shared" si="162"/>
        <v>0</v>
      </c>
      <c r="T176">
        <f t="shared" si="163"/>
        <v>0</v>
      </c>
      <c r="U176">
        <f t="shared" si="164"/>
        <v>0</v>
      </c>
      <c r="V176">
        <f t="shared" si="165"/>
        <v>0</v>
      </c>
      <c r="W176">
        <f t="shared" si="166"/>
        <v>0</v>
      </c>
      <c r="X176">
        <f t="shared" si="167"/>
        <v>0</v>
      </c>
      <c r="Y176">
        <f t="shared" si="168"/>
        <v>0</v>
      </c>
      <c r="AA176">
        <v>16742901</v>
      </c>
      <c r="AB176">
        <f t="shared" si="169"/>
        <v>181.33</v>
      </c>
      <c r="AC176">
        <f t="shared" si="192"/>
        <v>181.33</v>
      </c>
      <c r="AD176">
        <f>ROUND((((ET176)-(EU176))+AE176),2)</f>
        <v>0</v>
      </c>
      <c r="AE176">
        <f t="shared" ref="AE176:AF179" si="196">ROUND((EU176),2)</f>
        <v>0</v>
      </c>
      <c r="AF176">
        <f t="shared" si="196"/>
        <v>0</v>
      </c>
      <c r="AG176">
        <f t="shared" si="171"/>
        <v>0</v>
      </c>
      <c r="AH176">
        <f t="shared" ref="AH176:AI179" si="197">(EW176)</f>
        <v>0</v>
      </c>
      <c r="AI176">
        <f t="shared" si="197"/>
        <v>0</v>
      </c>
      <c r="AJ176">
        <f t="shared" si="172"/>
        <v>0</v>
      </c>
      <c r="AK176">
        <v>181.33</v>
      </c>
      <c r="AL176">
        <v>181.33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111</v>
      </c>
      <c r="AU176">
        <v>64</v>
      </c>
      <c r="AV176">
        <v>1</v>
      </c>
      <c r="AW176">
        <v>1</v>
      </c>
      <c r="AZ176">
        <v>6.56</v>
      </c>
      <c r="BA176">
        <v>1</v>
      </c>
      <c r="BB176">
        <v>1</v>
      </c>
      <c r="BC176">
        <v>6.56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1</v>
      </c>
      <c r="BJ176" t="s">
        <v>534</v>
      </c>
      <c r="BM176">
        <v>11001</v>
      </c>
      <c r="BN176">
        <v>0</v>
      </c>
      <c r="BO176" t="s">
        <v>6</v>
      </c>
      <c r="BP176">
        <v>0</v>
      </c>
      <c r="BQ176">
        <v>2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123</v>
      </c>
      <c r="CA176">
        <v>75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173"/>
        <v>121210.2</v>
      </c>
      <c r="CQ176">
        <f t="shared" si="174"/>
        <v>1189.5247999999999</v>
      </c>
      <c r="CR176">
        <f t="shared" si="175"/>
        <v>0</v>
      </c>
      <c r="CS176">
        <f t="shared" si="176"/>
        <v>0</v>
      </c>
      <c r="CT176">
        <f t="shared" si="177"/>
        <v>0</v>
      </c>
      <c r="CU176">
        <f t="shared" si="178"/>
        <v>0</v>
      </c>
      <c r="CV176">
        <f t="shared" si="179"/>
        <v>0</v>
      </c>
      <c r="CW176">
        <f t="shared" si="180"/>
        <v>0</v>
      </c>
      <c r="CX176">
        <f t="shared" si="181"/>
        <v>0</v>
      </c>
      <c r="CY176">
        <f t="shared" si="182"/>
        <v>0</v>
      </c>
      <c r="CZ176">
        <f t="shared" si="183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1005</v>
      </c>
      <c r="DV176" t="s">
        <v>193</v>
      </c>
      <c r="DW176" t="s">
        <v>193</v>
      </c>
      <c r="DX176">
        <v>1</v>
      </c>
      <c r="EE176">
        <v>16510488</v>
      </c>
      <c r="EF176">
        <v>2</v>
      </c>
      <c r="EG176" t="s">
        <v>22</v>
      </c>
      <c r="EH176">
        <v>0</v>
      </c>
      <c r="EI176" t="s">
        <v>6</v>
      </c>
      <c r="EJ176">
        <v>1</v>
      </c>
      <c r="EK176">
        <v>11001</v>
      </c>
      <c r="EL176" t="s">
        <v>91</v>
      </c>
      <c r="EM176" t="s">
        <v>460</v>
      </c>
      <c r="EO176" t="s">
        <v>6</v>
      </c>
      <c r="EQ176">
        <v>0</v>
      </c>
      <c r="ER176">
        <v>181.33</v>
      </c>
      <c r="ES176">
        <v>181.33</v>
      </c>
      <c r="ET176">
        <v>0</v>
      </c>
      <c r="EU176">
        <v>0</v>
      </c>
      <c r="EV176">
        <v>0</v>
      </c>
      <c r="EW176">
        <v>0</v>
      </c>
      <c r="EX176">
        <v>0</v>
      </c>
      <c r="FQ176">
        <v>0</v>
      </c>
      <c r="FR176">
        <f t="shared" si="184"/>
        <v>0</v>
      </c>
      <c r="FS176">
        <v>0</v>
      </c>
      <c r="FT176" t="s">
        <v>25</v>
      </c>
      <c r="FU176" t="s">
        <v>26</v>
      </c>
      <c r="FX176">
        <v>110.7</v>
      </c>
      <c r="FY176">
        <v>63.75</v>
      </c>
      <c r="GA176" t="s">
        <v>6</v>
      </c>
      <c r="GD176">
        <v>0</v>
      </c>
      <c r="GF176">
        <v>-1742019606</v>
      </c>
      <c r="GG176">
        <v>1</v>
      </c>
      <c r="GH176">
        <v>1</v>
      </c>
      <c r="GI176">
        <v>4</v>
      </c>
      <c r="GJ176">
        <v>0</v>
      </c>
      <c r="GK176">
        <f>ROUND(R176*(R12)/100,2)</f>
        <v>0</v>
      </c>
      <c r="GL176">
        <f t="shared" si="185"/>
        <v>0</v>
      </c>
      <c r="GM176">
        <f t="shared" si="186"/>
        <v>121210.2</v>
      </c>
      <c r="GN176">
        <f t="shared" si="187"/>
        <v>121210.2</v>
      </c>
      <c r="GO176">
        <f t="shared" si="188"/>
        <v>0</v>
      </c>
      <c r="GP176">
        <f t="shared" si="189"/>
        <v>0</v>
      </c>
      <c r="GR176">
        <v>0</v>
      </c>
      <c r="GS176">
        <v>3</v>
      </c>
      <c r="GT176">
        <v>0</v>
      </c>
      <c r="GU176" t="s">
        <v>6</v>
      </c>
      <c r="GV176">
        <f t="shared" si="190"/>
        <v>0</v>
      </c>
      <c r="GW176">
        <v>1</v>
      </c>
      <c r="GX176">
        <f t="shared" si="191"/>
        <v>0</v>
      </c>
      <c r="HA176">
        <v>0</v>
      </c>
      <c r="HB176">
        <v>0</v>
      </c>
      <c r="IK176">
        <v>0</v>
      </c>
    </row>
    <row r="177" spans="1:245" x14ac:dyDescent="0.2">
      <c r="A177">
        <v>18</v>
      </c>
      <c r="B177">
        <v>1</v>
      </c>
      <c r="C177">
        <v>332</v>
      </c>
      <c r="E177" t="s">
        <v>535</v>
      </c>
      <c r="F177" t="s">
        <v>536</v>
      </c>
      <c r="G177" t="s">
        <v>537</v>
      </c>
      <c r="H177" t="s">
        <v>193</v>
      </c>
      <c r="I177">
        <f>I175*J177</f>
        <v>101.898</v>
      </c>
      <c r="J177">
        <v>102</v>
      </c>
      <c r="O177">
        <f t="shared" si="158"/>
        <v>0</v>
      </c>
      <c r="P177">
        <f t="shared" si="159"/>
        <v>0</v>
      </c>
      <c r="Q177">
        <f t="shared" si="160"/>
        <v>0</v>
      </c>
      <c r="R177">
        <f t="shared" si="161"/>
        <v>0</v>
      </c>
      <c r="S177">
        <f t="shared" si="162"/>
        <v>0</v>
      </c>
      <c r="T177">
        <f t="shared" si="163"/>
        <v>0</v>
      </c>
      <c r="U177">
        <f t="shared" si="164"/>
        <v>0</v>
      </c>
      <c r="V177">
        <f t="shared" si="165"/>
        <v>0</v>
      </c>
      <c r="W177">
        <f t="shared" si="166"/>
        <v>0</v>
      </c>
      <c r="X177">
        <f t="shared" si="167"/>
        <v>0</v>
      </c>
      <c r="Y177">
        <f t="shared" si="168"/>
        <v>0</v>
      </c>
      <c r="AA177">
        <v>16742901</v>
      </c>
      <c r="AB177">
        <f t="shared" si="169"/>
        <v>0</v>
      </c>
      <c r="AC177">
        <f t="shared" si="192"/>
        <v>0</v>
      </c>
      <c r="AD177">
        <f>ROUND((((ET177)-(EU177))+AE177),2)</f>
        <v>0</v>
      </c>
      <c r="AE177">
        <f t="shared" si="196"/>
        <v>0</v>
      </c>
      <c r="AF177">
        <f t="shared" si="196"/>
        <v>0</v>
      </c>
      <c r="AG177">
        <f t="shared" si="171"/>
        <v>0</v>
      </c>
      <c r="AH177">
        <f t="shared" si="197"/>
        <v>0</v>
      </c>
      <c r="AI177">
        <f t="shared" si="197"/>
        <v>0</v>
      </c>
      <c r="AJ177">
        <f t="shared" si="172"/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111</v>
      </c>
      <c r="AU177">
        <v>64</v>
      </c>
      <c r="AV177">
        <v>1</v>
      </c>
      <c r="AW177">
        <v>1</v>
      </c>
      <c r="AZ177">
        <v>6.56</v>
      </c>
      <c r="BA177">
        <v>1</v>
      </c>
      <c r="BB177">
        <v>1</v>
      </c>
      <c r="BC177">
        <v>6.56</v>
      </c>
      <c r="BD177" t="s">
        <v>6</v>
      </c>
      <c r="BE177" t="s">
        <v>6</v>
      </c>
      <c r="BF177" t="s">
        <v>6</v>
      </c>
      <c r="BG177" t="s">
        <v>6</v>
      </c>
      <c r="BH177">
        <v>3</v>
      </c>
      <c r="BI177">
        <v>1</v>
      </c>
      <c r="BJ177" t="s">
        <v>6</v>
      </c>
      <c r="BM177">
        <v>11001</v>
      </c>
      <c r="BN177">
        <v>0</v>
      </c>
      <c r="BO177" t="s">
        <v>6</v>
      </c>
      <c r="BP177">
        <v>0</v>
      </c>
      <c r="BQ177">
        <v>2</v>
      </c>
      <c r="BR177">
        <v>0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6</v>
      </c>
      <c r="BZ177">
        <v>123</v>
      </c>
      <c r="CA177">
        <v>75</v>
      </c>
      <c r="CF177">
        <v>0</v>
      </c>
      <c r="CG177">
        <v>0</v>
      </c>
      <c r="CM177">
        <v>0</v>
      </c>
      <c r="CN177" t="s">
        <v>6</v>
      </c>
      <c r="CO177">
        <v>0</v>
      </c>
      <c r="CP177">
        <f t="shared" si="173"/>
        <v>0</v>
      </c>
      <c r="CQ177">
        <f t="shared" si="174"/>
        <v>0</v>
      </c>
      <c r="CR177">
        <f t="shared" si="175"/>
        <v>0</v>
      </c>
      <c r="CS177">
        <f t="shared" si="176"/>
        <v>0</v>
      </c>
      <c r="CT177">
        <f t="shared" si="177"/>
        <v>0</v>
      </c>
      <c r="CU177">
        <f t="shared" si="178"/>
        <v>0</v>
      </c>
      <c r="CV177">
        <f t="shared" si="179"/>
        <v>0</v>
      </c>
      <c r="CW177">
        <f t="shared" si="180"/>
        <v>0</v>
      </c>
      <c r="CX177">
        <f t="shared" si="181"/>
        <v>0</v>
      </c>
      <c r="CY177">
        <f t="shared" si="182"/>
        <v>0</v>
      </c>
      <c r="CZ177">
        <f t="shared" si="183"/>
        <v>0</v>
      </c>
      <c r="DC177" t="s">
        <v>6</v>
      </c>
      <c r="DD177" t="s">
        <v>6</v>
      </c>
      <c r="DE177" t="s">
        <v>6</v>
      </c>
      <c r="DF177" t="s">
        <v>6</v>
      </c>
      <c r="DG177" t="s">
        <v>6</v>
      </c>
      <c r="DH177" t="s">
        <v>6</v>
      </c>
      <c r="DI177" t="s">
        <v>6</v>
      </c>
      <c r="DJ177" t="s">
        <v>6</v>
      </c>
      <c r="DK177" t="s">
        <v>6</v>
      </c>
      <c r="DL177" t="s">
        <v>6</v>
      </c>
      <c r="DM177" t="s">
        <v>6</v>
      </c>
      <c r="DN177">
        <v>0</v>
      </c>
      <c r="DO177">
        <v>0</v>
      </c>
      <c r="DP177">
        <v>1</v>
      </c>
      <c r="DQ177">
        <v>1</v>
      </c>
      <c r="DU177">
        <v>1005</v>
      </c>
      <c r="DV177" t="s">
        <v>193</v>
      </c>
      <c r="DW177" t="s">
        <v>193</v>
      </c>
      <c r="DX177">
        <v>1</v>
      </c>
      <c r="EE177">
        <v>16510488</v>
      </c>
      <c r="EF177">
        <v>2</v>
      </c>
      <c r="EG177" t="s">
        <v>22</v>
      </c>
      <c r="EH177">
        <v>0</v>
      </c>
      <c r="EI177" t="s">
        <v>6</v>
      </c>
      <c r="EJ177">
        <v>1</v>
      </c>
      <c r="EK177">
        <v>11001</v>
      </c>
      <c r="EL177" t="s">
        <v>91</v>
      </c>
      <c r="EM177" t="s">
        <v>460</v>
      </c>
      <c r="EO177" t="s">
        <v>6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FQ177">
        <v>0</v>
      </c>
      <c r="FR177">
        <f t="shared" si="184"/>
        <v>0</v>
      </c>
      <c r="FS177">
        <v>0</v>
      </c>
      <c r="FT177" t="s">
        <v>25</v>
      </c>
      <c r="FU177" t="s">
        <v>26</v>
      </c>
      <c r="FX177">
        <v>110.7</v>
      </c>
      <c r="FY177">
        <v>63.75</v>
      </c>
      <c r="GA177" t="s">
        <v>6</v>
      </c>
      <c r="GD177">
        <v>0</v>
      </c>
      <c r="GF177">
        <v>-919469713</v>
      </c>
      <c r="GG177">
        <v>1</v>
      </c>
      <c r="GH177">
        <v>1</v>
      </c>
      <c r="GI177">
        <v>4</v>
      </c>
      <c r="GJ177">
        <v>0</v>
      </c>
      <c r="GK177">
        <f>ROUND(R177*(R12)/100,2)</f>
        <v>0</v>
      </c>
      <c r="GL177">
        <f t="shared" si="185"/>
        <v>0</v>
      </c>
      <c r="GM177">
        <f t="shared" si="186"/>
        <v>0</v>
      </c>
      <c r="GN177">
        <f t="shared" si="187"/>
        <v>0</v>
      </c>
      <c r="GO177">
        <f t="shared" si="188"/>
        <v>0</v>
      </c>
      <c r="GP177">
        <f t="shared" si="189"/>
        <v>0</v>
      </c>
      <c r="GR177">
        <v>0</v>
      </c>
      <c r="GS177">
        <v>3</v>
      </c>
      <c r="GT177">
        <v>0</v>
      </c>
      <c r="GU177" t="s">
        <v>6</v>
      </c>
      <c r="GV177">
        <f t="shared" si="190"/>
        <v>0</v>
      </c>
      <c r="GW177">
        <v>1</v>
      </c>
      <c r="GX177">
        <f t="shared" si="191"/>
        <v>0</v>
      </c>
      <c r="HA177">
        <v>0</v>
      </c>
      <c r="HB177">
        <v>0</v>
      </c>
      <c r="IK177">
        <v>0</v>
      </c>
    </row>
    <row r="178" spans="1:245" x14ac:dyDescent="0.2">
      <c r="A178">
        <v>18</v>
      </c>
      <c r="B178">
        <v>1</v>
      </c>
      <c r="C178">
        <v>335</v>
      </c>
      <c r="E178" t="s">
        <v>538</v>
      </c>
      <c r="F178" t="s">
        <v>539</v>
      </c>
      <c r="G178" t="s">
        <v>540</v>
      </c>
      <c r="H178" t="s">
        <v>341</v>
      </c>
      <c r="I178">
        <f>I175*J178</f>
        <v>49.95</v>
      </c>
      <c r="J178">
        <v>50</v>
      </c>
      <c r="O178">
        <f t="shared" si="158"/>
        <v>8375.2999999999993</v>
      </c>
      <c r="P178">
        <f t="shared" si="159"/>
        <v>8375.2999999999993</v>
      </c>
      <c r="Q178">
        <f t="shared" si="160"/>
        <v>0</v>
      </c>
      <c r="R178">
        <f t="shared" si="161"/>
        <v>0</v>
      </c>
      <c r="S178">
        <f t="shared" si="162"/>
        <v>0</v>
      </c>
      <c r="T178">
        <f t="shared" si="163"/>
        <v>0</v>
      </c>
      <c r="U178">
        <f t="shared" si="164"/>
        <v>0</v>
      </c>
      <c r="V178">
        <f t="shared" si="165"/>
        <v>0</v>
      </c>
      <c r="W178">
        <f t="shared" si="166"/>
        <v>0</v>
      </c>
      <c r="X178">
        <f t="shared" si="167"/>
        <v>0</v>
      </c>
      <c r="Y178">
        <f t="shared" si="168"/>
        <v>0</v>
      </c>
      <c r="AA178">
        <v>16742901</v>
      </c>
      <c r="AB178">
        <f t="shared" si="169"/>
        <v>25.56</v>
      </c>
      <c r="AC178">
        <f t="shared" si="192"/>
        <v>25.56</v>
      </c>
      <c r="AD178">
        <f>ROUND((((ET178)-(EU178))+AE178),2)</f>
        <v>0</v>
      </c>
      <c r="AE178">
        <f t="shared" si="196"/>
        <v>0</v>
      </c>
      <c r="AF178">
        <f t="shared" si="196"/>
        <v>0</v>
      </c>
      <c r="AG178">
        <f t="shared" si="171"/>
        <v>0</v>
      </c>
      <c r="AH178">
        <f t="shared" si="197"/>
        <v>0</v>
      </c>
      <c r="AI178">
        <f t="shared" si="197"/>
        <v>0</v>
      </c>
      <c r="AJ178">
        <f t="shared" si="172"/>
        <v>0</v>
      </c>
      <c r="AK178">
        <v>25.56</v>
      </c>
      <c r="AL178">
        <v>25.56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111</v>
      </c>
      <c r="AU178">
        <v>64</v>
      </c>
      <c r="AV178">
        <v>1</v>
      </c>
      <c r="AW178">
        <v>1</v>
      </c>
      <c r="AZ178">
        <v>6.56</v>
      </c>
      <c r="BA178">
        <v>1</v>
      </c>
      <c r="BB178">
        <v>1</v>
      </c>
      <c r="BC178">
        <v>6.56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1</v>
      </c>
      <c r="BJ178" t="s">
        <v>541</v>
      </c>
      <c r="BM178">
        <v>11001</v>
      </c>
      <c r="BN178">
        <v>0</v>
      </c>
      <c r="BO178" t="s">
        <v>6</v>
      </c>
      <c r="BP178">
        <v>0</v>
      </c>
      <c r="BQ178">
        <v>2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123</v>
      </c>
      <c r="CA178">
        <v>75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173"/>
        <v>8375.2999999999993</v>
      </c>
      <c r="CQ178">
        <f t="shared" si="174"/>
        <v>167.67359999999999</v>
      </c>
      <c r="CR178">
        <f t="shared" si="175"/>
        <v>0</v>
      </c>
      <c r="CS178">
        <f t="shared" si="176"/>
        <v>0</v>
      </c>
      <c r="CT178">
        <f t="shared" si="177"/>
        <v>0</v>
      </c>
      <c r="CU178">
        <f t="shared" si="178"/>
        <v>0</v>
      </c>
      <c r="CV178">
        <f t="shared" si="179"/>
        <v>0</v>
      </c>
      <c r="CW178">
        <f t="shared" si="180"/>
        <v>0</v>
      </c>
      <c r="CX178">
        <f t="shared" si="181"/>
        <v>0</v>
      </c>
      <c r="CY178">
        <f t="shared" si="182"/>
        <v>0</v>
      </c>
      <c r="CZ178">
        <f t="shared" si="183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1009</v>
      </c>
      <c r="DV178" t="s">
        <v>341</v>
      </c>
      <c r="DW178" t="s">
        <v>341</v>
      </c>
      <c r="DX178">
        <v>1</v>
      </c>
      <c r="EE178">
        <v>16510488</v>
      </c>
      <c r="EF178">
        <v>2</v>
      </c>
      <c r="EG178" t="s">
        <v>22</v>
      </c>
      <c r="EH178">
        <v>0</v>
      </c>
      <c r="EI178" t="s">
        <v>6</v>
      </c>
      <c r="EJ178">
        <v>1</v>
      </c>
      <c r="EK178">
        <v>11001</v>
      </c>
      <c r="EL178" t="s">
        <v>91</v>
      </c>
      <c r="EM178" t="s">
        <v>460</v>
      </c>
      <c r="EO178" t="s">
        <v>6</v>
      </c>
      <c r="EQ178">
        <v>0</v>
      </c>
      <c r="ER178">
        <v>25.56</v>
      </c>
      <c r="ES178">
        <v>25.56</v>
      </c>
      <c r="ET178">
        <v>0</v>
      </c>
      <c r="EU178">
        <v>0</v>
      </c>
      <c r="EV178">
        <v>0</v>
      </c>
      <c r="EW178">
        <v>0</v>
      </c>
      <c r="EX178">
        <v>0</v>
      </c>
      <c r="FQ178">
        <v>0</v>
      </c>
      <c r="FR178">
        <f t="shared" si="184"/>
        <v>0</v>
      </c>
      <c r="FS178">
        <v>0</v>
      </c>
      <c r="FT178" t="s">
        <v>25</v>
      </c>
      <c r="FU178" t="s">
        <v>26</v>
      </c>
      <c r="FX178">
        <v>110.7</v>
      </c>
      <c r="FY178">
        <v>63.75</v>
      </c>
      <c r="GA178" t="s">
        <v>6</v>
      </c>
      <c r="GD178">
        <v>0</v>
      </c>
      <c r="GF178">
        <v>-89726692</v>
      </c>
      <c r="GG178">
        <v>1</v>
      </c>
      <c r="GH178">
        <v>1</v>
      </c>
      <c r="GI178">
        <v>4</v>
      </c>
      <c r="GJ178">
        <v>0</v>
      </c>
      <c r="GK178">
        <f>ROUND(R178*(R12)/100,2)</f>
        <v>0</v>
      </c>
      <c r="GL178">
        <f t="shared" si="185"/>
        <v>0</v>
      </c>
      <c r="GM178">
        <f t="shared" si="186"/>
        <v>8375.2999999999993</v>
      </c>
      <c r="GN178">
        <f t="shared" si="187"/>
        <v>8375.2999999999993</v>
      </c>
      <c r="GO178">
        <f t="shared" si="188"/>
        <v>0</v>
      </c>
      <c r="GP178">
        <f t="shared" si="189"/>
        <v>0</v>
      </c>
      <c r="GR178">
        <v>0</v>
      </c>
      <c r="GS178">
        <v>3</v>
      </c>
      <c r="GT178">
        <v>0</v>
      </c>
      <c r="GU178" t="s">
        <v>6</v>
      </c>
      <c r="GV178">
        <f t="shared" si="190"/>
        <v>0</v>
      </c>
      <c r="GW178">
        <v>1</v>
      </c>
      <c r="GX178">
        <f t="shared" si="191"/>
        <v>0</v>
      </c>
      <c r="HA178">
        <v>0</v>
      </c>
      <c r="HB178">
        <v>0</v>
      </c>
      <c r="IK178">
        <v>0</v>
      </c>
    </row>
    <row r="179" spans="1:245" x14ac:dyDescent="0.2">
      <c r="A179">
        <v>18</v>
      </c>
      <c r="B179">
        <v>1</v>
      </c>
      <c r="C179">
        <v>336</v>
      </c>
      <c r="E179" t="s">
        <v>542</v>
      </c>
      <c r="F179" t="s">
        <v>339</v>
      </c>
      <c r="G179" t="s">
        <v>340</v>
      </c>
      <c r="H179" t="s">
        <v>341</v>
      </c>
      <c r="I179">
        <f>I175*J179</f>
        <v>49.95</v>
      </c>
      <c r="J179">
        <v>50</v>
      </c>
      <c r="O179">
        <f t="shared" si="158"/>
        <v>0</v>
      </c>
      <c r="P179">
        <f t="shared" si="159"/>
        <v>0</v>
      </c>
      <c r="Q179">
        <f t="shared" si="160"/>
        <v>0</v>
      </c>
      <c r="R179">
        <f t="shared" si="161"/>
        <v>0</v>
      </c>
      <c r="S179">
        <f t="shared" si="162"/>
        <v>0</v>
      </c>
      <c r="T179">
        <f t="shared" si="163"/>
        <v>0</v>
      </c>
      <c r="U179">
        <f t="shared" si="164"/>
        <v>0</v>
      </c>
      <c r="V179">
        <f t="shared" si="165"/>
        <v>0</v>
      </c>
      <c r="W179">
        <f t="shared" si="166"/>
        <v>0</v>
      </c>
      <c r="X179">
        <f t="shared" si="167"/>
        <v>0</v>
      </c>
      <c r="Y179">
        <f t="shared" si="168"/>
        <v>0</v>
      </c>
      <c r="AA179">
        <v>16742901</v>
      </c>
      <c r="AB179">
        <f t="shared" si="169"/>
        <v>0</v>
      </c>
      <c r="AC179">
        <f t="shared" si="192"/>
        <v>0</v>
      </c>
      <c r="AD179">
        <f>ROUND((((ET179)-(EU179))+AE179),2)</f>
        <v>0</v>
      </c>
      <c r="AE179">
        <f t="shared" si="196"/>
        <v>0</v>
      </c>
      <c r="AF179">
        <f t="shared" si="196"/>
        <v>0</v>
      </c>
      <c r="AG179">
        <f t="shared" si="171"/>
        <v>0</v>
      </c>
      <c r="AH179">
        <f t="shared" si="197"/>
        <v>0</v>
      </c>
      <c r="AI179">
        <f t="shared" si="197"/>
        <v>0</v>
      </c>
      <c r="AJ179">
        <f t="shared" si="172"/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111</v>
      </c>
      <c r="AU179">
        <v>64</v>
      </c>
      <c r="AV179">
        <v>1</v>
      </c>
      <c r="AW179">
        <v>1</v>
      </c>
      <c r="AZ179">
        <v>6.56</v>
      </c>
      <c r="BA179">
        <v>1</v>
      </c>
      <c r="BB179">
        <v>1</v>
      </c>
      <c r="BC179">
        <v>6.56</v>
      </c>
      <c r="BD179" t="s">
        <v>6</v>
      </c>
      <c r="BE179" t="s">
        <v>6</v>
      </c>
      <c r="BF179" t="s">
        <v>6</v>
      </c>
      <c r="BG179" t="s">
        <v>6</v>
      </c>
      <c r="BH179">
        <v>3</v>
      </c>
      <c r="BI179">
        <v>1</v>
      </c>
      <c r="BJ179" t="s">
        <v>6</v>
      </c>
      <c r="BM179">
        <v>11001</v>
      </c>
      <c r="BN179">
        <v>0</v>
      </c>
      <c r="BO179" t="s">
        <v>6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6</v>
      </c>
      <c r="BZ179">
        <v>123</v>
      </c>
      <c r="CA179">
        <v>75</v>
      </c>
      <c r="CF179">
        <v>0</v>
      </c>
      <c r="CG179">
        <v>0</v>
      </c>
      <c r="CM179">
        <v>0</v>
      </c>
      <c r="CN179" t="s">
        <v>6</v>
      </c>
      <c r="CO179">
        <v>0</v>
      </c>
      <c r="CP179">
        <f t="shared" si="173"/>
        <v>0</v>
      </c>
      <c r="CQ179">
        <f t="shared" si="174"/>
        <v>0</v>
      </c>
      <c r="CR179">
        <f t="shared" si="175"/>
        <v>0</v>
      </c>
      <c r="CS179">
        <f t="shared" si="176"/>
        <v>0</v>
      </c>
      <c r="CT179">
        <f t="shared" si="177"/>
        <v>0</v>
      </c>
      <c r="CU179">
        <f t="shared" si="178"/>
        <v>0</v>
      </c>
      <c r="CV179">
        <f t="shared" si="179"/>
        <v>0</v>
      </c>
      <c r="CW179">
        <f t="shared" si="180"/>
        <v>0</v>
      </c>
      <c r="CX179">
        <f t="shared" si="181"/>
        <v>0</v>
      </c>
      <c r="CY179">
        <f t="shared" si="182"/>
        <v>0</v>
      </c>
      <c r="CZ179">
        <f t="shared" si="183"/>
        <v>0</v>
      </c>
      <c r="DC179" t="s">
        <v>6</v>
      </c>
      <c r="DD179" t="s">
        <v>6</v>
      </c>
      <c r="DE179" t="s">
        <v>6</v>
      </c>
      <c r="DF179" t="s">
        <v>6</v>
      </c>
      <c r="DG179" t="s">
        <v>6</v>
      </c>
      <c r="DH179" t="s">
        <v>6</v>
      </c>
      <c r="DI179" t="s">
        <v>6</v>
      </c>
      <c r="DJ179" t="s">
        <v>6</v>
      </c>
      <c r="DK179" t="s">
        <v>6</v>
      </c>
      <c r="DL179" t="s">
        <v>6</v>
      </c>
      <c r="DM179" t="s">
        <v>6</v>
      </c>
      <c r="DN179">
        <v>0</v>
      </c>
      <c r="DO179">
        <v>0</v>
      </c>
      <c r="DP179">
        <v>1</v>
      </c>
      <c r="DQ179">
        <v>1</v>
      </c>
      <c r="DU179">
        <v>1009</v>
      </c>
      <c r="DV179" t="s">
        <v>341</v>
      </c>
      <c r="DW179" t="s">
        <v>341</v>
      </c>
      <c r="DX179">
        <v>1</v>
      </c>
      <c r="EE179">
        <v>16510488</v>
      </c>
      <c r="EF179">
        <v>2</v>
      </c>
      <c r="EG179" t="s">
        <v>22</v>
      </c>
      <c r="EH179">
        <v>0</v>
      </c>
      <c r="EI179" t="s">
        <v>6</v>
      </c>
      <c r="EJ179">
        <v>1</v>
      </c>
      <c r="EK179">
        <v>11001</v>
      </c>
      <c r="EL179" t="s">
        <v>91</v>
      </c>
      <c r="EM179" t="s">
        <v>460</v>
      </c>
      <c r="EO179" t="s">
        <v>6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184"/>
        <v>0</v>
      </c>
      <c r="FS179">
        <v>0</v>
      </c>
      <c r="FT179" t="s">
        <v>25</v>
      </c>
      <c r="FU179" t="s">
        <v>26</v>
      </c>
      <c r="FX179">
        <v>110.7</v>
      </c>
      <c r="FY179">
        <v>63.75</v>
      </c>
      <c r="GA179" t="s">
        <v>6</v>
      </c>
      <c r="GD179">
        <v>0</v>
      </c>
      <c r="GF179">
        <v>290394019</v>
      </c>
      <c r="GG179">
        <v>1</v>
      </c>
      <c r="GH179">
        <v>1</v>
      </c>
      <c r="GI179">
        <v>4</v>
      </c>
      <c r="GJ179">
        <v>0</v>
      </c>
      <c r="GK179">
        <f>ROUND(R179*(R12)/100,2)</f>
        <v>0</v>
      </c>
      <c r="GL179">
        <f t="shared" si="185"/>
        <v>0</v>
      </c>
      <c r="GM179">
        <f t="shared" si="186"/>
        <v>0</v>
      </c>
      <c r="GN179">
        <f t="shared" si="187"/>
        <v>0</v>
      </c>
      <c r="GO179">
        <f t="shared" si="188"/>
        <v>0</v>
      </c>
      <c r="GP179">
        <f t="shared" si="189"/>
        <v>0</v>
      </c>
      <c r="GR179">
        <v>0</v>
      </c>
      <c r="GS179">
        <v>3</v>
      </c>
      <c r="GT179">
        <v>0</v>
      </c>
      <c r="GU179" t="s">
        <v>6</v>
      </c>
      <c r="GV179">
        <f t="shared" si="190"/>
        <v>0</v>
      </c>
      <c r="GW179">
        <v>1</v>
      </c>
      <c r="GX179">
        <f t="shared" si="191"/>
        <v>0</v>
      </c>
      <c r="HA179">
        <v>0</v>
      </c>
      <c r="HB179">
        <v>0</v>
      </c>
      <c r="IK179">
        <v>0</v>
      </c>
    </row>
    <row r="180" spans="1:245" x14ac:dyDescent="0.2">
      <c r="A180">
        <v>17</v>
      </c>
      <c r="B180">
        <v>1</v>
      </c>
      <c r="C180">
        <f>ROW(SmtRes!A342)</f>
        <v>342</v>
      </c>
      <c r="D180">
        <f>ROW(EtalonRes!A323)</f>
        <v>323</v>
      </c>
      <c r="E180" t="s">
        <v>543</v>
      </c>
      <c r="F180" t="s">
        <v>544</v>
      </c>
      <c r="G180" t="s">
        <v>545</v>
      </c>
      <c r="H180" t="s">
        <v>20</v>
      </c>
      <c r="I180">
        <f>ROUND(100.26/100,9)</f>
        <v>1.0025999999999999</v>
      </c>
      <c r="J180">
        <v>0</v>
      </c>
      <c r="O180">
        <f t="shared" ref="O180:O214" si="198">ROUND(CP180,2)</f>
        <v>4284.95</v>
      </c>
      <c r="P180">
        <f t="shared" ref="P180:P214" si="199">ROUND(CQ180*I180,2)</f>
        <v>2410.16</v>
      </c>
      <c r="Q180">
        <f t="shared" ref="Q180:Q214" si="200">ROUND(CR180*I180,2)</f>
        <v>54</v>
      </c>
      <c r="R180">
        <f t="shared" ref="R180:R214" si="201">ROUND(CS180*I180,2)</f>
        <v>9.5399999999999991</v>
      </c>
      <c r="S180">
        <f t="shared" ref="S180:S214" si="202">ROUND(CT180*I180,2)</f>
        <v>1820.79</v>
      </c>
      <c r="T180">
        <f t="shared" ref="T180:T214" si="203">ROUND(CU180*I180,2)</f>
        <v>0</v>
      </c>
      <c r="U180">
        <f t="shared" ref="U180:U214" si="204">CV180*I180</f>
        <v>29.528073899999995</v>
      </c>
      <c r="V180">
        <f t="shared" ref="V180:V214" si="205">CW180*I180</f>
        <v>0.12532499999999999</v>
      </c>
      <c r="W180">
        <f t="shared" ref="W180:W214" si="206">ROUND(CX180*I180,2)</f>
        <v>0</v>
      </c>
      <c r="X180">
        <f t="shared" ref="X180:X214" si="207">ROUND(CY180,2)</f>
        <v>2031.67</v>
      </c>
      <c r="Y180">
        <f t="shared" ref="Y180:Y214" si="208">ROUND(CZ180,2)</f>
        <v>1171.4100000000001</v>
      </c>
      <c r="AA180">
        <v>16742901</v>
      </c>
      <c r="AB180">
        <f t="shared" ref="AB180:AB211" si="209">ROUND((AC180+AD180+AF180),2)</f>
        <v>651.5</v>
      </c>
      <c r="AC180">
        <f t="shared" si="192"/>
        <v>366.45</v>
      </c>
      <c r="AD180">
        <f>ROUND(((((ET180*1.25))-((EU180*1.25)))+AE180),2)</f>
        <v>8.2100000000000009</v>
      </c>
      <c r="AE180">
        <f>ROUND(((EU180*1.25)),2)</f>
        <v>1.45</v>
      </c>
      <c r="AF180">
        <f>ROUND(((EV180*1.15)),2)</f>
        <v>276.83999999999997</v>
      </c>
      <c r="AG180">
        <f t="shared" ref="AG180:AG214" si="210">ROUND((AP180),2)</f>
        <v>0</v>
      </c>
      <c r="AH180">
        <f>((EW180*1.15))</f>
        <v>29.451499999999996</v>
      </c>
      <c r="AI180">
        <f>((EX180*1.25))</f>
        <v>0.125</v>
      </c>
      <c r="AJ180">
        <f t="shared" ref="AJ180:AJ214" si="211">ROUND((AS180),2)</f>
        <v>0</v>
      </c>
      <c r="AK180">
        <v>613.75</v>
      </c>
      <c r="AL180">
        <v>366.45</v>
      </c>
      <c r="AM180">
        <v>6.57</v>
      </c>
      <c r="AN180">
        <v>1.1599999999999999</v>
      </c>
      <c r="AO180">
        <v>240.73</v>
      </c>
      <c r="AP180">
        <v>0</v>
      </c>
      <c r="AQ180">
        <v>25.61</v>
      </c>
      <c r="AR180">
        <v>0.1</v>
      </c>
      <c r="AS180">
        <v>0</v>
      </c>
      <c r="AT180">
        <v>111</v>
      </c>
      <c r="AU180">
        <v>64</v>
      </c>
      <c r="AV180">
        <v>1</v>
      </c>
      <c r="AW180">
        <v>1</v>
      </c>
      <c r="AZ180">
        <v>6.56</v>
      </c>
      <c r="BA180">
        <v>6.56</v>
      </c>
      <c r="BB180">
        <v>6.56</v>
      </c>
      <c r="BC180">
        <v>6.56</v>
      </c>
      <c r="BD180" t="s">
        <v>6</v>
      </c>
      <c r="BE180" t="s">
        <v>6</v>
      </c>
      <c r="BF180" t="s">
        <v>6</v>
      </c>
      <c r="BG180" t="s">
        <v>6</v>
      </c>
      <c r="BH180">
        <v>0</v>
      </c>
      <c r="BI180">
        <v>1</v>
      </c>
      <c r="BJ180" t="s">
        <v>546</v>
      </c>
      <c r="BM180">
        <v>11001</v>
      </c>
      <c r="BN180">
        <v>0</v>
      </c>
      <c r="BO180" t="s">
        <v>6</v>
      </c>
      <c r="BP180">
        <v>0</v>
      </c>
      <c r="BQ180">
        <v>2</v>
      </c>
      <c r="BR180">
        <v>0</v>
      </c>
      <c r="BS180">
        <v>6.56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123</v>
      </c>
      <c r="CA180">
        <v>75</v>
      </c>
      <c r="CF180">
        <v>0</v>
      </c>
      <c r="CG180">
        <v>0</v>
      </c>
      <c r="CM180">
        <v>0</v>
      </c>
      <c r="CN180" t="s">
        <v>1902</v>
      </c>
      <c r="CO180">
        <v>0</v>
      </c>
      <c r="CP180">
        <f t="shared" ref="CP180:CP214" si="212">(P180+Q180+S180)</f>
        <v>4284.95</v>
      </c>
      <c r="CQ180">
        <f t="shared" ref="CQ180:CQ214" si="213">AC180*BC180</f>
        <v>2403.9119999999998</v>
      </c>
      <c r="CR180">
        <f t="shared" ref="CR180:CR214" si="214">AD180*BB180</f>
        <v>53.857600000000005</v>
      </c>
      <c r="CS180">
        <f t="shared" ref="CS180:CS214" si="215">AE180*BS180</f>
        <v>9.5119999999999987</v>
      </c>
      <c r="CT180">
        <f t="shared" ref="CT180:CT214" si="216">AF180*BA180</f>
        <v>1816.0703999999998</v>
      </c>
      <c r="CU180">
        <f t="shared" ref="CU180:CU214" si="217">AG180</f>
        <v>0</v>
      </c>
      <c r="CV180">
        <f t="shared" ref="CV180:CV214" si="218">AH180</f>
        <v>29.451499999999996</v>
      </c>
      <c r="CW180">
        <f t="shared" ref="CW180:CW214" si="219">AI180</f>
        <v>0.125</v>
      </c>
      <c r="CX180">
        <f t="shared" ref="CX180:CX214" si="220">AJ180</f>
        <v>0</v>
      </c>
      <c r="CY180">
        <f t="shared" ref="CY180:CY214" si="221">(((S180+R180)*AT180)/100)</f>
        <v>2031.6663000000001</v>
      </c>
      <c r="CZ180">
        <f t="shared" ref="CZ180:CZ214" si="222">(((S180+R180)*AU180)/100)</f>
        <v>1171.4112</v>
      </c>
      <c r="DC180" t="s">
        <v>6</v>
      </c>
      <c r="DD180" t="s">
        <v>6</v>
      </c>
      <c r="DE180" t="s">
        <v>187</v>
      </c>
      <c r="DF180" t="s">
        <v>187</v>
      </c>
      <c r="DG180" t="s">
        <v>188</v>
      </c>
      <c r="DH180" t="s">
        <v>6</v>
      </c>
      <c r="DI180" t="s">
        <v>188</v>
      </c>
      <c r="DJ180" t="s">
        <v>187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1005</v>
      </c>
      <c r="DV180" t="s">
        <v>20</v>
      </c>
      <c r="DW180" t="s">
        <v>20</v>
      </c>
      <c r="DX180">
        <v>100</v>
      </c>
      <c r="EE180">
        <v>16510488</v>
      </c>
      <c r="EF180">
        <v>2</v>
      </c>
      <c r="EG180" t="s">
        <v>22</v>
      </c>
      <c r="EH180">
        <v>0</v>
      </c>
      <c r="EI180" t="s">
        <v>6</v>
      </c>
      <c r="EJ180">
        <v>1</v>
      </c>
      <c r="EK180">
        <v>11001</v>
      </c>
      <c r="EL180" t="s">
        <v>91</v>
      </c>
      <c r="EM180" t="s">
        <v>460</v>
      </c>
      <c r="EO180" t="s">
        <v>189</v>
      </c>
      <c r="EQ180">
        <v>131072</v>
      </c>
      <c r="ER180">
        <v>613.75</v>
      </c>
      <c r="ES180">
        <v>366.45</v>
      </c>
      <c r="ET180">
        <v>6.57</v>
      </c>
      <c r="EU180">
        <v>1.1599999999999999</v>
      </c>
      <c r="EV180">
        <v>240.73</v>
      </c>
      <c r="EW180">
        <v>25.61</v>
      </c>
      <c r="EX180">
        <v>0.1</v>
      </c>
      <c r="EY180">
        <v>0</v>
      </c>
      <c r="FQ180">
        <v>0</v>
      </c>
      <c r="FR180">
        <f t="shared" ref="FR180:FR216" si="223">ROUND(IF(AND(BH180=3,BI180=3),P180,0),2)</f>
        <v>0</v>
      </c>
      <c r="FS180">
        <v>0</v>
      </c>
      <c r="FT180" t="s">
        <v>25</v>
      </c>
      <c r="FU180" t="s">
        <v>26</v>
      </c>
      <c r="FX180">
        <v>110.7</v>
      </c>
      <c r="FY180">
        <v>63.75</v>
      </c>
      <c r="GA180" t="s">
        <v>6</v>
      </c>
      <c r="GD180">
        <v>0</v>
      </c>
      <c r="GF180">
        <v>1120024045</v>
      </c>
      <c r="GG180">
        <v>1</v>
      </c>
      <c r="GH180">
        <v>1</v>
      </c>
      <c r="GI180">
        <v>4</v>
      </c>
      <c r="GJ180">
        <v>0</v>
      </c>
      <c r="GK180">
        <f>ROUND(R180*(R12)/100,2)</f>
        <v>0</v>
      </c>
      <c r="GL180">
        <f t="shared" ref="GL180:GL216" si="224">ROUND(IF(AND(BH180=3,BI180=3,FS180&lt;&gt;0),P180,0),2)</f>
        <v>0</v>
      </c>
      <c r="GM180">
        <f t="shared" ref="GM180:GM214" si="225">ROUND(O180+X180+Y180+GK180,2)+GX180</f>
        <v>7488.03</v>
      </c>
      <c r="GN180">
        <f t="shared" ref="GN180:GN214" si="226">IF(OR(BI180=0,BI180=1),ROUND(O180+X180+Y180+GK180,2),0)</f>
        <v>7488.03</v>
      </c>
      <c r="GO180">
        <f t="shared" ref="GO180:GO214" si="227">IF(BI180=2,ROUND(O180+X180+Y180+GK180,2),0)</f>
        <v>0</v>
      </c>
      <c r="GP180">
        <f t="shared" ref="GP180:GP214" si="228">IF(BI180=4,ROUND(O180+X180+Y180+GK180,2)+GX180,0)</f>
        <v>0</v>
      </c>
      <c r="GR180">
        <v>0</v>
      </c>
      <c r="GS180">
        <v>3</v>
      </c>
      <c r="GT180">
        <v>0</v>
      </c>
      <c r="GU180" t="s">
        <v>6</v>
      </c>
      <c r="GV180">
        <f t="shared" ref="GV180:GV214" si="229">ROUND(GT180,2)</f>
        <v>0</v>
      </c>
      <c r="GW180">
        <v>1</v>
      </c>
      <c r="GX180">
        <f t="shared" ref="GX180:GX211" si="230">ROUND(GV180*GW180*I180,2)</f>
        <v>0</v>
      </c>
      <c r="HA180">
        <v>0</v>
      </c>
      <c r="HB180">
        <v>0</v>
      </c>
      <c r="IK180">
        <v>0</v>
      </c>
    </row>
    <row r="181" spans="1:245" x14ac:dyDescent="0.2">
      <c r="A181">
        <v>18</v>
      </c>
      <c r="B181">
        <v>1</v>
      </c>
      <c r="C181">
        <v>341</v>
      </c>
      <c r="E181" t="s">
        <v>547</v>
      </c>
      <c r="F181" t="s">
        <v>548</v>
      </c>
      <c r="G181" t="s">
        <v>549</v>
      </c>
      <c r="H181" t="s">
        <v>193</v>
      </c>
      <c r="I181">
        <f>I180*J181</f>
        <v>102.76649999999999</v>
      </c>
      <c r="J181">
        <v>102.5</v>
      </c>
      <c r="O181">
        <f t="shared" si="198"/>
        <v>80992.17</v>
      </c>
      <c r="P181">
        <f t="shared" si="199"/>
        <v>80992.17</v>
      </c>
      <c r="Q181">
        <f t="shared" si="200"/>
        <v>0</v>
      </c>
      <c r="R181">
        <f t="shared" si="201"/>
        <v>0</v>
      </c>
      <c r="S181">
        <f t="shared" si="202"/>
        <v>0</v>
      </c>
      <c r="T181">
        <f t="shared" si="203"/>
        <v>0</v>
      </c>
      <c r="U181">
        <f t="shared" si="204"/>
        <v>0</v>
      </c>
      <c r="V181">
        <f t="shared" si="205"/>
        <v>0</v>
      </c>
      <c r="W181">
        <f t="shared" si="206"/>
        <v>0</v>
      </c>
      <c r="X181">
        <f t="shared" si="207"/>
        <v>0</v>
      </c>
      <c r="Y181">
        <f t="shared" si="208"/>
        <v>0</v>
      </c>
      <c r="AA181">
        <v>16742901</v>
      </c>
      <c r="AB181">
        <f t="shared" si="209"/>
        <v>120.14</v>
      </c>
      <c r="AC181">
        <f t="shared" si="192"/>
        <v>120.14</v>
      </c>
      <c r="AD181">
        <f>ROUND((((ET181)-(EU181))+AE181),2)</f>
        <v>0</v>
      </c>
      <c r="AE181">
        <f>ROUND((EU181),2)</f>
        <v>0</v>
      </c>
      <c r="AF181">
        <f>ROUND((EV181),2)</f>
        <v>0</v>
      </c>
      <c r="AG181">
        <f t="shared" si="210"/>
        <v>0</v>
      </c>
      <c r="AH181">
        <f>(EW181)</f>
        <v>0</v>
      </c>
      <c r="AI181">
        <f>(EX181)</f>
        <v>0</v>
      </c>
      <c r="AJ181">
        <f t="shared" si="211"/>
        <v>0</v>
      </c>
      <c r="AK181">
        <v>120.14</v>
      </c>
      <c r="AL181">
        <v>120.14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111</v>
      </c>
      <c r="AU181">
        <v>64</v>
      </c>
      <c r="AV181">
        <v>1</v>
      </c>
      <c r="AW181">
        <v>1</v>
      </c>
      <c r="AZ181">
        <v>6.56</v>
      </c>
      <c r="BA181">
        <v>1</v>
      </c>
      <c r="BB181">
        <v>1</v>
      </c>
      <c r="BC181">
        <v>6.56</v>
      </c>
      <c r="BD181" t="s">
        <v>6</v>
      </c>
      <c r="BE181" t="s">
        <v>6</v>
      </c>
      <c r="BF181" t="s">
        <v>6</v>
      </c>
      <c r="BG181" t="s">
        <v>6</v>
      </c>
      <c r="BH181">
        <v>3</v>
      </c>
      <c r="BI181">
        <v>1</v>
      </c>
      <c r="BJ181" t="s">
        <v>550</v>
      </c>
      <c r="BM181">
        <v>11001</v>
      </c>
      <c r="BN181">
        <v>0</v>
      </c>
      <c r="BO181" t="s">
        <v>6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6</v>
      </c>
      <c r="BZ181">
        <v>123</v>
      </c>
      <c r="CA181">
        <v>75</v>
      </c>
      <c r="CF181">
        <v>0</v>
      </c>
      <c r="CG181">
        <v>0</v>
      </c>
      <c r="CM181">
        <v>0</v>
      </c>
      <c r="CN181" t="s">
        <v>6</v>
      </c>
      <c r="CO181">
        <v>0</v>
      </c>
      <c r="CP181">
        <f t="shared" si="212"/>
        <v>80992.17</v>
      </c>
      <c r="CQ181">
        <f t="shared" si="213"/>
        <v>788.11839999999995</v>
      </c>
      <c r="CR181">
        <f t="shared" si="214"/>
        <v>0</v>
      </c>
      <c r="CS181">
        <f t="shared" si="215"/>
        <v>0</v>
      </c>
      <c r="CT181">
        <f t="shared" si="216"/>
        <v>0</v>
      </c>
      <c r="CU181">
        <f t="shared" si="217"/>
        <v>0</v>
      </c>
      <c r="CV181">
        <f t="shared" si="218"/>
        <v>0</v>
      </c>
      <c r="CW181">
        <f t="shared" si="219"/>
        <v>0</v>
      </c>
      <c r="CX181">
        <f t="shared" si="220"/>
        <v>0</v>
      </c>
      <c r="CY181">
        <f t="shared" si="221"/>
        <v>0</v>
      </c>
      <c r="CZ181">
        <f t="shared" si="222"/>
        <v>0</v>
      </c>
      <c r="DC181" t="s">
        <v>6</v>
      </c>
      <c r="DD181" t="s">
        <v>6</v>
      </c>
      <c r="DE181" t="s">
        <v>6</v>
      </c>
      <c r="DF181" t="s">
        <v>6</v>
      </c>
      <c r="DG181" t="s">
        <v>6</v>
      </c>
      <c r="DH181" t="s">
        <v>6</v>
      </c>
      <c r="DI181" t="s">
        <v>6</v>
      </c>
      <c r="DJ181" t="s">
        <v>6</v>
      </c>
      <c r="DK181" t="s">
        <v>6</v>
      </c>
      <c r="DL181" t="s">
        <v>6</v>
      </c>
      <c r="DM181" t="s">
        <v>6</v>
      </c>
      <c r="DN181">
        <v>0</v>
      </c>
      <c r="DO181">
        <v>0</v>
      </c>
      <c r="DP181">
        <v>1</v>
      </c>
      <c r="DQ181">
        <v>1</v>
      </c>
      <c r="DU181">
        <v>1005</v>
      </c>
      <c r="DV181" t="s">
        <v>193</v>
      </c>
      <c r="DW181" t="s">
        <v>193</v>
      </c>
      <c r="DX181">
        <v>1</v>
      </c>
      <c r="EE181">
        <v>16510488</v>
      </c>
      <c r="EF181">
        <v>2</v>
      </c>
      <c r="EG181" t="s">
        <v>22</v>
      </c>
      <c r="EH181">
        <v>0</v>
      </c>
      <c r="EI181" t="s">
        <v>6</v>
      </c>
      <c r="EJ181">
        <v>1</v>
      </c>
      <c r="EK181">
        <v>11001</v>
      </c>
      <c r="EL181" t="s">
        <v>91</v>
      </c>
      <c r="EM181" t="s">
        <v>460</v>
      </c>
      <c r="EO181" t="s">
        <v>6</v>
      </c>
      <c r="EQ181">
        <v>0</v>
      </c>
      <c r="ER181">
        <v>120.14</v>
      </c>
      <c r="ES181">
        <v>120.14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23"/>
        <v>0</v>
      </c>
      <c r="FS181">
        <v>0</v>
      </c>
      <c r="FT181" t="s">
        <v>25</v>
      </c>
      <c r="FU181" t="s">
        <v>26</v>
      </c>
      <c r="FX181">
        <v>110.7</v>
      </c>
      <c r="FY181">
        <v>63.75</v>
      </c>
      <c r="GA181" t="s">
        <v>6</v>
      </c>
      <c r="GD181">
        <v>0</v>
      </c>
      <c r="GF181">
        <v>-1950723936</v>
      </c>
      <c r="GG181">
        <v>1</v>
      </c>
      <c r="GH181">
        <v>1</v>
      </c>
      <c r="GI181">
        <v>4</v>
      </c>
      <c r="GJ181">
        <v>0</v>
      </c>
      <c r="GK181">
        <f>ROUND(R181*(R12)/100,2)</f>
        <v>0</v>
      </c>
      <c r="GL181">
        <f t="shared" si="224"/>
        <v>0</v>
      </c>
      <c r="GM181">
        <f t="shared" si="225"/>
        <v>80992.17</v>
      </c>
      <c r="GN181">
        <f t="shared" si="226"/>
        <v>80992.17</v>
      </c>
      <c r="GO181">
        <f t="shared" si="227"/>
        <v>0</v>
      </c>
      <c r="GP181">
        <f t="shared" si="228"/>
        <v>0</v>
      </c>
      <c r="GR181">
        <v>0</v>
      </c>
      <c r="GS181">
        <v>3</v>
      </c>
      <c r="GT181">
        <v>0</v>
      </c>
      <c r="GU181" t="s">
        <v>6</v>
      </c>
      <c r="GV181">
        <f t="shared" si="229"/>
        <v>0</v>
      </c>
      <c r="GW181">
        <v>1</v>
      </c>
      <c r="GX181">
        <f t="shared" si="230"/>
        <v>0</v>
      </c>
      <c r="HA181">
        <v>0</v>
      </c>
      <c r="HB181">
        <v>0</v>
      </c>
      <c r="IK181">
        <v>0</v>
      </c>
    </row>
    <row r="182" spans="1:245" x14ac:dyDescent="0.2">
      <c r="A182">
        <v>18</v>
      </c>
      <c r="B182">
        <v>1</v>
      </c>
      <c r="C182">
        <v>340</v>
      </c>
      <c r="E182" t="s">
        <v>551</v>
      </c>
      <c r="F182" t="s">
        <v>552</v>
      </c>
      <c r="G182" t="s">
        <v>553</v>
      </c>
      <c r="H182" t="s">
        <v>193</v>
      </c>
      <c r="I182">
        <f>I180*J182</f>
        <v>102.76649999999999</v>
      </c>
      <c r="J182">
        <v>102.5</v>
      </c>
      <c r="O182">
        <f t="shared" si="198"/>
        <v>0</v>
      </c>
      <c r="P182">
        <f t="shared" si="199"/>
        <v>0</v>
      </c>
      <c r="Q182">
        <f t="shared" si="200"/>
        <v>0</v>
      </c>
      <c r="R182">
        <f t="shared" si="201"/>
        <v>0</v>
      </c>
      <c r="S182">
        <f t="shared" si="202"/>
        <v>0</v>
      </c>
      <c r="T182">
        <f t="shared" si="203"/>
        <v>0</v>
      </c>
      <c r="U182">
        <f t="shared" si="204"/>
        <v>0</v>
      </c>
      <c r="V182">
        <f t="shared" si="205"/>
        <v>0</v>
      </c>
      <c r="W182">
        <f t="shared" si="206"/>
        <v>0</v>
      </c>
      <c r="X182">
        <f t="shared" si="207"/>
        <v>0</v>
      </c>
      <c r="Y182">
        <f t="shared" si="208"/>
        <v>0</v>
      </c>
      <c r="AA182">
        <v>16742901</v>
      </c>
      <c r="AB182">
        <f t="shared" si="209"/>
        <v>0</v>
      </c>
      <c r="AC182">
        <f t="shared" si="192"/>
        <v>0</v>
      </c>
      <c r="AD182">
        <f>ROUND((((ET182)-(EU182))+AE182),2)</f>
        <v>0</v>
      </c>
      <c r="AE182">
        <f>ROUND((EU182),2)</f>
        <v>0</v>
      </c>
      <c r="AF182">
        <f>ROUND((EV182),2)</f>
        <v>0</v>
      </c>
      <c r="AG182">
        <f t="shared" si="210"/>
        <v>0</v>
      </c>
      <c r="AH182">
        <f>(EW182)</f>
        <v>0</v>
      </c>
      <c r="AI182">
        <f>(EX182)</f>
        <v>0</v>
      </c>
      <c r="AJ182">
        <f t="shared" si="211"/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111</v>
      </c>
      <c r="AU182">
        <v>64</v>
      </c>
      <c r="AV182">
        <v>1</v>
      </c>
      <c r="AW182">
        <v>1</v>
      </c>
      <c r="AZ182">
        <v>6.56</v>
      </c>
      <c r="BA182">
        <v>1</v>
      </c>
      <c r="BB182">
        <v>1</v>
      </c>
      <c r="BC182">
        <v>6.56</v>
      </c>
      <c r="BD182" t="s">
        <v>6</v>
      </c>
      <c r="BE182" t="s">
        <v>6</v>
      </c>
      <c r="BF182" t="s">
        <v>6</v>
      </c>
      <c r="BG182" t="s">
        <v>6</v>
      </c>
      <c r="BH182">
        <v>3</v>
      </c>
      <c r="BI182">
        <v>1</v>
      </c>
      <c r="BJ182" t="s">
        <v>6</v>
      </c>
      <c r="BM182">
        <v>11001</v>
      </c>
      <c r="BN182">
        <v>0</v>
      </c>
      <c r="BO182" t="s">
        <v>6</v>
      </c>
      <c r="BP182">
        <v>0</v>
      </c>
      <c r="BQ182">
        <v>2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123</v>
      </c>
      <c r="CA182">
        <v>75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 t="shared" si="212"/>
        <v>0</v>
      </c>
      <c r="CQ182">
        <f t="shared" si="213"/>
        <v>0</v>
      </c>
      <c r="CR182">
        <f t="shared" si="214"/>
        <v>0</v>
      </c>
      <c r="CS182">
        <f t="shared" si="215"/>
        <v>0</v>
      </c>
      <c r="CT182">
        <f t="shared" si="216"/>
        <v>0</v>
      </c>
      <c r="CU182">
        <f t="shared" si="217"/>
        <v>0</v>
      </c>
      <c r="CV182">
        <f t="shared" si="218"/>
        <v>0</v>
      </c>
      <c r="CW182">
        <f t="shared" si="219"/>
        <v>0</v>
      </c>
      <c r="CX182">
        <f t="shared" si="220"/>
        <v>0</v>
      </c>
      <c r="CY182">
        <f t="shared" si="221"/>
        <v>0</v>
      </c>
      <c r="CZ182">
        <f t="shared" si="222"/>
        <v>0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1005</v>
      </c>
      <c r="DV182" t="s">
        <v>193</v>
      </c>
      <c r="DW182" t="s">
        <v>193</v>
      </c>
      <c r="DX182">
        <v>1</v>
      </c>
      <c r="EE182">
        <v>16510488</v>
      </c>
      <c r="EF182">
        <v>2</v>
      </c>
      <c r="EG182" t="s">
        <v>22</v>
      </c>
      <c r="EH182">
        <v>0</v>
      </c>
      <c r="EI182" t="s">
        <v>6</v>
      </c>
      <c r="EJ182">
        <v>1</v>
      </c>
      <c r="EK182">
        <v>11001</v>
      </c>
      <c r="EL182" t="s">
        <v>91</v>
      </c>
      <c r="EM182" t="s">
        <v>460</v>
      </c>
      <c r="EO182" t="s">
        <v>6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FQ182">
        <v>0</v>
      </c>
      <c r="FR182">
        <f t="shared" si="223"/>
        <v>0</v>
      </c>
      <c r="FS182">
        <v>0</v>
      </c>
      <c r="FT182" t="s">
        <v>25</v>
      </c>
      <c r="FU182" t="s">
        <v>26</v>
      </c>
      <c r="FX182">
        <v>110.7</v>
      </c>
      <c r="FY182">
        <v>63.75</v>
      </c>
      <c r="GA182" t="s">
        <v>6</v>
      </c>
      <c r="GD182">
        <v>0</v>
      </c>
      <c r="GF182">
        <v>-1235377378</v>
      </c>
      <c r="GG182">
        <v>1</v>
      </c>
      <c r="GH182">
        <v>1</v>
      </c>
      <c r="GI182">
        <v>4</v>
      </c>
      <c r="GJ182">
        <v>0</v>
      </c>
      <c r="GK182">
        <f>ROUND(R182*(R12)/100,2)</f>
        <v>0</v>
      </c>
      <c r="GL182">
        <f t="shared" si="224"/>
        <v>0</v>
      </c>
      <c r="GM182">
        <f t="shared" si="225"/>
        <v>0</v>
      </c>
      <c r="GN182">
        <f t="shared" si="226"/>
        <v>0</v>
      </c>
      <c r="GO182">
        <f t="shared" si="227"/>
        <v>0</v>
      </c>
      <c r="GP182">
        <f t="shared" si="228"/>
        <v>0</v>
      </c>
      <c r="GR182">
        <v>0</v>
      </c>
      <c r="GS182">
        <v>3</v>
      </c>
      <c r="GT182">
        <v>0</v>
      </c>
      <c r="GU182" t="s">
        <v>6</v>
      </c>
      <c r="GV182">
        <f t="shared" si="229"/>
        <v>0</v>
      </c>
      <c r="GW182">
        <v>1</v>
      </c>
      <c r="GX182">
        <f t="shared" si="230"/>
        <v>0</v>
      </c>
      <c r="HA182">
        <v>0</v>
      </c>
      <c r="HB182">
        <v>0</v>
      </c>
      <c r="IK182">
        <v>0</v>
      </c>
    </row>
    <row r="183" spans="1:245" x14ac:dyDescent="0.2">
      <c r="A183">
        <v>17</v>
      </c>
      <c r="B183">
        <v>1</v>
      </c>
      <c r="C183">
        <f>ROW(SmtRes!A349)</f>
        <v>349</v>
      </c>
      <c r="D183">
        <f>ROW(EtalonRes!A329)</f>
        <v>329</v>
      </c>
      <c r="E183" t="s">
        <v>554</v>
      </c>
      <c r="F183" t="s">
        <v>555</v>
      </c>
      <c r="G183" t="s">
        <v>556</v>
      </c>
      <c r="H183" t="s">
        <v>34</v>
      </c>
      <c r="I183">
        <f>ROUND(119.96/100,9)</f>
        <v>1.1996</v>
      </c>
      <c r="J183">
        <v>0</v>
      </c>
      <c r="O183">
        <f t="shared" si="198"/>
        <v>1155.6199999999999</v>
      </c>
      <c r="P183">
        <f t="shared" si="199"/>
        <v>338.78</v>
      </c>
      <c r="Q183">
        <f t="shared" si="200"/>
        <v>21.01</v>
      </c>
      <c r="R183">
        <f t="shared" si="201"/>
        <v>4.17</v>
      </c>
      <c r="S183">
        <f t="shared" si="202"/>
        <v>795.83</v>
      </c>
      <c r="T183">
        <f t="shared" si="203"/>
        <v>0</v>
      </c>
      <c r="U183">
        <f t="shared" si="204"/>
        <v>12.4296554</v>
      </c>
      <c r="V183">
        <f t="shared" si="205"/>
        <v>5.9980000000000006E-2</v>
      </c>
      <c r="W183">
        <f t="shared" si="206"/>
        <v>0</v>
      </c>
      <c r="X183">
        <f t="shared" si="207"/>
        <v>888</v>
      </c>
      <c r="Y183">
        <f t="shared" si="208"/>
        <v>512</v>
      </c>
      <c r="AA183">
        <v>16742901</v>
      </c>
      <c r="AB183">
        <f t="shared" si="209"/>
        <v>146.85</v>
      </c>
      <c r="AC183">
        <f t="shared" si="192"/>
        <v>43.05</v>
      </c>
      <c r="AD183">
        <f>ROUND(((((ET183*1.25))-((EU183*1.25)))+AE183),2)</f>
        <v>2.67</v>
      </c>
      <c r="AE183">
        <f>ROUND(((EU183*1.25)),2)</f>
        <v>0.53</v>
      </c>
      <c r="AF183">
        <f>ROUND(((EV183*1.15)),2)</f>
        <v>101.13</v>
      </c>
      <c r="AG183">
        <f t="shared" si="210"/>
        <v>0</v>
      </c>
      <c r="AH183">
        <f>((EW183*1.15))</f>
        <v>10.361499999999999</v>
      </c>
      <c r="AI183">
        <f>((EX183*1.25))</f>
        <v>0.05</v>
      </c>
      <c r="AJ183">
        <f t="shared" si="211"/>
        <v>0</v>
      </c>
      <c r="AK183">
        <v>133.12</v>
      </c>
      <c r="AL183">
        <v>43.05</v>
      </c>
      <c r="AM183">
        <v>2.13</v>
      </c>
      <c r="AN183">
        <v>0.42</v>
      </c>
      <c r="AO183">
        <v>87.94</v>
      </c>
      <c r="AP183">
        <v>0</v>
      </c>
      <c r="AQ183">
        <v>9.01</v>
      </c>
      <c r="AR183">
        <v>0.04</v>
      </c>
      <c r="AS183">
        <v>0</v>
      </c>
      <c r="AT183">
        <v>111</v>
      </c>
      <c r="AU183">
        <v>64</v>
      </c>
      <c r="AV183">
        <v>1</v>
      </c>
      <c r="AW183">
        <v>1</v>
      </c>
      <c r="AZ183">
        <v>6.56</v>
      </c>
      <c r="BA183">
        <v>6.56</v>
      </c>
      <c r="BB183">
        <v>6.56</v>
      </c>
      <c r="BC183">
        <v>6.56</v>
      </c>
      <c r="BD183" t="s">
        <v>6</v>
      </c>
      <c r="BE183" t="s">
        <v>6</v>
      </c>
      <c r="BF183" t="s">
        <v>6</v>
      </c>
      <c r="BG183" t="s">
        <v>6</v>
      </c>
      <c r="BH183">
        <v>0</v>
      </c>
      <c r="BI183">
        <v>1</v>
      </c>
      <c r="BJ183" t="s">
        <v>557</v>
      </c>
      <c r="BM183">
        <v>11001</v>
      </c>
      <c r="BN183">
        <v>0</v>
      </c>
      <c r="BO183" t="s">
        <v>6</v>
      </c>
      <c r="BP183">
        <v>0</v>
      </c>
      <c r="BQ183">
        <v>2</v>
      </c>
      <c r="BR183">
        <v>0</v>
      </c>
      <c r="BS183">
        <v>6.56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6</v>
      </c>
      <c r="BZ183">
        <v>123</v>
      </c>
      <c r="CA183">
        <v>75</v>
      </c>
      <c r="CF183">
        <v>0</v>
      </c>
      <c r="CG183">
        <v>0</v>
      </c>
      <c r="CM183">
        <v>0</v>
      </c>
      <c r="CN183" t="s">
        <v>1902</v>
      </c>
      <c r="CO183">
        <v>0</v>
      </c>
      <c r="CP183">
        <f t="shared" si="212"/>
        <v>1155.6199999999999</v>
      </c>
      <c r="CQ183">
        <f t="shared" si="213"/>
        <v>282.40799999999996</v>
      </c>
      <c r="CR183">
        <f t="shared" si="214"/>
        <v>17.5152</v>
      </c>
      <c r="CS183">
        <f t="shared" si="215"/>
        <v>3.4767999999999999</v>
      </c>
      <c r="CT183">
        <f t="shared" si="216"/>
        <v>663.41279999999995</v>
      </c>
      <c r="CU183">
        <f t="shared" si="217"/>
        <v>0</v>
      </c>
      <c r="CV183">
        <f t="shared" si="218"/>
        <v>10.361499999999999</v>
      </c>
      <c r="CW183">
        <f t="shared" si="219"/>
        <v>0.05</v>
      </c>
      <c r="CX183">
        <f t="shared" si="220"/>
        <v>0</v>
      </c>
      <c r="CY183">
        <f t="shared" si="221"/>
        <v>888</v>
      </c>
      <c r="CZ183">
        <f t="shared" si="222"/>
        <v>512</v>
      </c>
      <c r="DC183" t="s">
        <v>6</v>
      </c>
      <c r="DD183" t="s">
        <v>6</v>
      </c>
      <c r="DE183" t="s">
        <v>187</v>
      </c>
      <c r="DF183" t="s">
        <v>187</v>
      </c>
      <c r="DG183" t="s">
        <v>188</v>
      </c>
      <c r="DH183" t="s">
        <v>6</v>
      </c>
      <c r="DI183" t="s">
        <v>188</v>
      </c>
      <c r="DJ183" t="s">
        <v>187</v>
      </c>
      <c r="DK183" t="s">
        <v>6</v>
      </c>
      <c r="DL183" t="s">
        <v>6</v>
      </c>
      <c r="DM183" t="s">
        <v>6</v>
      </c>
      <c r="DN183">
        <v>0</v>
      </c>
      <c r="DO183">
        <v>0</v>
      </c>
      <c r="DP183">
        <v>1</v>
      </c>
      <c r="DQ183">
        <v>1</v>
      </c>
      <c r="DU183">
        <v>1003</v>
      </c>
      <c r="DV183" t="s">
        <v>34</v>
      </c>
      <c r="DW183" t="s">
        <v>34</v>
      </c>
      <c r="DX183">
        <v>100</v>
      </c>
      <c r="EE183">
        <v>16510488</v>
      </c>
      <c r="EF183">
        <v>2</v>
      </c>
      <c r="EG183" t="s">
        <v>22</v>
      </c>
      <c r="EH183">
        <v>0</v>
      </c>
      <c r="EI183" t="s">
        <v>6</v>
      </c>
      <c r="EJ183">
        <v>1</v>
      </c>
      <c r="EK183">
        <v>11001</v>
      </c>
      <c r="EL183" t="s">
        <v>91</v>
      </c>
      <c r="EM183" t="s">
        <v>460</v>
      </c>
      <c r="EO183" t="s">
        <v>189</v>
      </c>
      <c r="EQ183">
        <v>131072</v>
      </c>
      <c r="ER183">
        <v>133.12</v>
      </c>
      <c r="ES183">
        <v>43.05</v>
      </c>
      <c r="ET183">
        <v>2.13</v>
      </c>
      <c r="EU183">
        <v>0.42</v>
      </c>
      <c r="EV183">
        <v>87.94</v>
      </c>
      <c r="EW183">
        <v>9.01</v>
      </c>
      <c r="EX183">
        <v>0.04</v>
      </c>
      <c r="EY183">
        <v>0</v>
      </c>
      <c r="FQ183">
        <v>0</v>
      </c>
      <c r="FR183">
        <f t="shared" si="223"/>
        <v>0</v>
      </c>
      <c r="FS183">
        <v>0</v>
      </c>
      <c r="FT183" t="s">
        <v>25</v>
      </c>
      <c r="FU183" t="s">
        <v>26</v>
      </c>
      <c r="FX183">
        <v>110.7</v>
      </c>
      <c r="FY183">
        <v>63.75</v>
      </c>
      <c r="GA183" t="s">
        <v>6</v>
      </c>
      <c r="GD183">
        <v>0</v>
      </c>
      <c r="GF183">
        <v>1673334608</v>
      </c>
      <c r="GG183">
        <v>1</v>
      </c>
      <c r="GH183">
        <v>1</v>
      </c>
      <c r="GI183">
        <v>4</v>
      </c>
      <c r="GJ183">
        <v>0</v>
      </c>
      <c r="GK183">
        <f>ROUND(R183*(R12)/100,2)</f>
        <v>0</v>
      </c>
      <c r="GL183">
        <f t="shared" si="224"/>
        <v>0</v>
      </c>
      <c r="GM183">
        <f t="shared" si="225"/>
        <v>2555.62</v>
      </c>
      <c r="GN183">
        <f t="shared" si="226"/>
        <v>2555.62</v>
      </c>
      <c r="GO183">
        <f t="shared" si="227"/>
        <v>0</v>
      </c>
      <c r="GP183">
        <f t="shared" si="228"/>
        <v>0</v>
      </c>
      <c r="GR183">
        <v>0</v>
      </c>
      <c r="GS183">
        <v>3</v>
      </c>
      <c r="GT183">
        <v>0</v>
      </c>
      <c r="GU183" t="s">
        <v>6</v>
      </c>
      <c r="GV183">
        <f t="shared" si="229"/>
        <v>0</v>
      </c>
      <c r="GW183">
        <v>1</v>
      </c>
      <c r="GX183">
        <f t="shared" si="230"/>
        <v>0</v>
      </c>
      <c r="HA183">
        <v>0</v>
      </c>
      <c r="HB183">
        <v>0</v>
      </c>
      <c r="IK183">
        <v>0</v>
      </c>
    </row>
    <row r="184" spans="1:245" x14ac:dyDescent="0.2">
      <c r="A184">
        <v>18</v>
      </c>
      <c r="B184">
        <v>1</v>
      </c>
      <c r="C184">
        <v>348</v>
      </c>
      <c r="E184" t="s">
        <v>558</v>
      </c>
      <c r="F184" t="s">
        <v>559</v>
      </c>
      <c r="G184" t="s">
        <v>560</v>
      </c>
      <c r="H184" t="s">
        <v>220</v>
      </c>
      <c r="I184">
        <f>I183*J184</f>
        <v>121.1596</v>
      </c>
      <c r="J184">
        <v>101</v>
      </c>
      <c r="O184">
        <f t="shared" si="198"/>
        <v>16293.54</v>
      </c>
      <c r="P184">
        <f t="shared" si="199"/>
        <v>16293.54</v>
      </c>
      <c r="Q184">
        <f t="shared" si="200"/>
        <v>0</v>
      </c>
      <c r="R184">
        <f t="shared" si="201"/>
        <v>0</v>
      </c>
      <c r="S184">
        <f t="shared" si="202"/>
        <v>0</v>
      </c>
      <c r="T184">
        <f t="shared" si="203"/>
        <v>0</v>
      </c>
      <c r="U184">
        <f t="shared" si="204"/>
        <v>0</v>
      </c>
      <c r="V184">
        <f t="shared" si="205"/>
        <v>0</v>
      </c>
      <c r="W184">
        <f t="shared" si="206"/>
        <v>0</v>
      </c>
      <c r="X184">
        <f t="shared" si="207"/>
        <v>0</v>
      </c>
      <c r="Y184">
        <f t="shared" si="208"/>
        <v>0</v>
      </c>
      <c r="AA184">
        <v>16742901</v>
      </c>
      <c r="AB184">
        <f t="shared" si="209"/>
        <v>20.5</v>
      </c>
      <c r="AC184">
        <f t="shared" si="192"/>
        <v>20.5</v>
      </c>
      <c r="AD184">
        <f>ROUND((((ET184)-(EU184))+AE184),2)</f>
        <v>0</v>
      </c>
      <c r="AE184">
        <f>ROUND((EU184),2)</f>
        <v>0</v>
      </c>
      <c r="AF184">
        <f>ROUND((EV184),2)</f>
        <v>0</v>
      </c>
      <c r="AG184">
        <f t="shared" si="210"/>
        <v>0</v>
      </c>
      <c r="AH184">
        <f>(EW184)</f>
        <v>0</v>
      </c>
      <c r="AI184">
        <f>(EX184)</f>
        <v>0</v>
      </c>
      <c r="AJ184">
        <f t="shared" si="211"/>
        <v>0</v>
      </c>
      <c r="AK184">
        <v>20.5</v>
      </c>
      <c r="AL184">
        <v>20.5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111</v>
      </c>
      <c r="AU184">
        <v>64</v>
      </c>
      <c r="AV184">
        <v>1</v>
      </c>
      <c r="AW184">
        <v>1</v>
      </c>
      <c r="AZ184">
        <v>6.56</v>
      </c>
      <c r="BA184">
        <v>1</v>
      </c>
      <c r="BB184">
        <v>1</v>
      </c>
      <c r="BC184">
        <v>6.56</v>
      </c>
      <c r="BD184" t="s">
        <v>6</v>
      </c>
      <c r="BE184" t="s">
        <v>6</v>
      </c>
      <c r="BF184" t="s">
        <v>6</v>
      </c>
      <c r="BG184" t="s">
        <v>6</v>
      </c>
      <c r="BH184">
        <v>3</v>
      </c>
      <c r="BI184">
        <v>1</v>
      </c>
      <c r="BJ184" t="s">
        <v>561</v>
      </c>
      <c r="BM184">
        <v>11001</v>
      </c>
      <c r="BN184">
        <v>0</v>
      </c>
      <c r="BO184" t="s">
        <v>6</v>
      </c>
      <c r="BP184">
        <v>0</v>
      </c>
      <c r="BQ184">
        <v>2</v>
      </c>
      <c r="BR184">
        <v>0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6</v>
      </c>
      <c r="BZ184">
        <v>123</v>
      </c>
      <c r="CA184">
        <v>75</v>
      </c>
      <c r="CF184">
        <v>0</v>
      </c>
      <c r="CG184">
        <v>0</v>
      </c>
      <c r="CM184">
        <v>0</v>
      </c>
      <c r="CN184" t="s">
        <v>6</v>
      </c>
      <c r="CO184">
        <v>0</v>
      </c>
      <c r="CP184">
        <f t="shared" si="212"/>
        <v>16293.54</v>
      </c>
      <c r="CQ184">
        <f t="shared" si="213"/>
        <v>134.47999999999999</v>
      </c>
      <c r="CR184">
        <f t="shared" si="214"/>
        <v>0</v>
      </c>
      <c r="CS184">
        <f t="shared" si="215"/>
        <v>0</v>
      </c>
      <c r="CT184">
        <f t="shared" si="216"/>
        <v>0</v>
      </c>
      <c r="CU184">
        <f t="shared" si="217"/>
        <v>0</v>
      </c>
      <c r="CV184">
        <f t="shared" si="218"/>
        <v>0</v>
      </c>
      <c r="CW184">
        <f t="shared" si="219"/>
        <v>0</v>
      </c>
      <c r="CX184">
        <f t="shared" si="220"/>
        <v>0</v>
      </c>
      <c r="CY184">
        <f t="shared" si="221"/>
        <v>0</v>
      </c>
      <c r="CZ184">
        <f t="shared" si="222"/>
        <v>0</v>
      </c>
      <c r="DC184" t="s">
        <v>6</v>
      </c>
      <c r="DD184" t="s">
        <v>6</v>
      </c>
      <c r="DE184" t="s">
        <v>6</v>
      </c>
      <c r="DF184" t="s">
        <v>6</v>
      </c>
      <c r="DG184" t="s">
        <v>6</v>
      </c>
      <c r="DH184" t="s">
        <v>6</v>
      </c>
      <c r="DI184" t="s">
        <v>6</v>
      </c>
      <c r="DJ184" t="s">
        <v>6</v>
      </c>
      <c r="DK184" t="s">
        <v>6</v>
      </c>
      <c r="DL184" t="s">
        <v>6</v>
      </c>
      <c r="DM184" t="s">
        <v>6</v>
      </c>
      <c r="DN184">
        <v>0</v>
      </c>
      <c r="DO184">
        <v>0</v>
      </c>
      <c r="DP184">
        <v>1</v>
      </c>
      <c r="DQ184">
        <v>1</v>
      </c>
      <c r="DU184">
        <v>1003</v>
      </c>
      <c r="DV184" t="s">
        <v>220</v>
      </c>
      <c r="DW184" t="s">
        <v>220</v>
      </c>
      <c r="DX184">
        <v>1</v>
      </c>
      <c r="EE184">
        <v>16510488</v>
      </c>
      <c r="EF184">
        <v>2</v>
      </c>
      <c r="EG184" t="s">
        <v>22</v>
      </c>
      <c r="EH184">
        <v>0</v>
      </c>
      <c r="EI184" t="s">
        <v>6</v>
      </c>
      <c r="EJ184">
        <v>1</v>
      </c>
      <c r="EK184">
        <v>11001</v>
      </c>
      <c r="EL184" t="s">
        <v>91</v>
      </c>
      <c r="EM184" t="s">
        <v>460</v>
      </c>
      <c r="EO184" t="s">
        <v>6</v>
      </c>
      <c r="EQ184">
        <v>0</v>
      </c>
      <c r="ER184">
        <v>20.5</v>
      </c>
      <c r="ES184">
        <v>20.5</v>
      </c>
      <c r="ET184">
        <v>0</v>
      </c>
      <c r="EU184">
        <v>0</v>
      </c>
      <c r="EV184">
        <v>0</v>
      </c>
      <c r="EW184">
        <v>0</v>
      </c>
      <c r="EX184">
        <v>0</v>
      </c>
      <c r="FQ184">
        <v>0</v>
      </c>
      <c r="FR184">
        <f t="shared" si="223"/>
        <v>0</v>
      </c>
      <c r="FS184">
        <v>0</v>
      </c>
      <c r="FT184" t="s">
        <v>25</v>
      </c>
      <c r="FU184" t="s">
        <v>26</v>
      </c>
      <c r="FX184">
        <v>110.7</v>
      </c>
      <c r="FY184">
        <v>63.75</v>
      </c>
      <c r="GA184" t="s">
        <v>6</v>
      </c>
      <c r="GD184">
        <v>0</v>
      </c>
      <c r="GF184">
        <v>1244447769</v>
      </c>
      <c r="GG184">
        <v>1</v>
      </c>
      <c r="GH184">
        <v>1</v>
      </c>
      <c r="GI184">
        <v>4</v>
      </c>
      <c r="GJ184">
        <v>0</v>
      </c>
      <c r="GK184">
        <f>ROUND(R184*(R12)/100,2)</f>
        <v>0</v>
      </c>
      <c r="GL184">
        <f t="shared" si="224"/>
        <v>0</v>
      </c>
      <c r="GM184">
        <f t="shared" si="225"/>
        <v>16293.54</v>
      </c>
      <c r="GN184">
        <f t="shared" si="226"/>
        <v>16293.54</v>
      </c>
      <c r="GO184">
        <f t="shared" si="227"/>
        <v>0</v>
      </c>
      <c r="GP184">
        <f t="shared" si="228"/>
        <v>0</v>
      </c>
      <c r="GR184">
        <v>0</v>
      </c>
      <c r="GS184">
        <v>3</v>
      </c>
      <c r="GT184">
        <v>0</v>
      </c>
      <c r="GU184" t="s">
        <v>6</v>
      </c>
      <c r="GV184">
        <f t="shared" si="229"/>
        <v>0</v>
      </c>
      <c r="GW184">
        <v>1</v>
      </c>
      <c r="GX184">
        <f t="shared" si="230"/>
        <v>0</v>
      </c>
      <c r="HA184">
        <v>0</v>
      </c>
      <c r="HB184">
        <v>0</v>
      </c>
      <c r="IK184">
        <v>0</v>
      </c>
    </row>
    <row r="185" spans="1:245" x14ac:dyDescent="0.2">
      <c r="A185">
        <v>18</v>
      </c>
      <c r="B185">
        <v>1</v>
      </c>
      <c r="C185">
        <v>347</v>
      </c>
      <c r="E185" t="s">
        <v>562</v>
      </c>
      <c r="F185" t="s">
        <v>563</v>
      </c>
      <c r="G185" t="s">
        <v>564</v>
      </c>
      <c r="H185" t="s">
        <v>220</v>
      </c>
      <c r="I185">
        <f>I183*J185</f>
        <v>121.1596</v>
      </c>
      <c r="J185">
        <v>101</v>
      </c>
      <c r="O185">
        <f t="shared" si="198"/>
        <v>0</v>
      </c>
      <c r="P185">
        <f t="shared" si="199"/>
        <v>0</v>
      </c>
      <c r="Q185">
        <f t="shared" si="200"/>
        <v>0</v>
      </c>
      <c r="R185">
        <f t="shared" si="201"/>
        <v>0</v>
      </c>
      <c r="S185">
        <f t="shared" si="202"/>
        <v>0</v>
      </c>
      <c r="T185">
        <f t="shared" si="203"/>
        <v>0</v>
      </c>
      <c r="U185">
        <f t="shared" si="204"/>
        <v>0</v>
      </c>
      <c r="V185">
        <f t="shared" si="205"/>
        <v>0</v>
      </c>
      <c r="W185">
        <f t="shared" si="206"/>
        <v>0</v>
      </c>
      <c r="X185">
        <f t="shared" si="207"/>
        <v>0</v>
      </c>
      <c r="Y185">
        <f t="shared" si="208"/>
        <v>0</v>
      </c>
      <c r="AA185">
        <v>16742901</v>
      </c>
      <c r="AB185">
        <f t="shared" si="209"/>
        <v>0</v>
      </c>
      <c r="AC185">
        <f t="shared" si="192"/>
        <v>0</v>
      </c>
      <c r="AD185">
        <f>ROUND((((ET185)-(EU185))+AE185),2)</f>
        <v>0</v>
      </c>
      <c r="AE185">
        <f>ROUND((EU185),2)</f>
        <v>0</v>
      </c>
      <c r="AF185">
        <f>ROUND((EV185),2)</f>
        <v>0</v>
      </c>
      <c r="AG185">
        <f t="shared" si="210"/>
        <v>0</v>
      </c>
      <c r="AH185">
        <f>(EW185)</f>
        <v>0</v>
      </c>
      <c r="AI185">
        <f>(EX185)</f>
        <v>0</v>
      </c>
      <c r="AJ185">
        <f t="shared" si="211"/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111</v>
      </c>
      <c r="AU185">
        <v>64</v>
      </c>
      <c r="AV185">
        <v>1</v>
      </c>
      <c r="AW185">
        <v>1</v>
      </c>
      <c r="AZ185">
        <v>6.56</v>
      </c>
      <c r="BA185">
        <v>1</v>
      </c>
      <c r="BB185">
        <v>1</v>
      </c>
      <c r="BC185">
        <v>6.56</v>
      </c>
      <c r="BD185" t="s">
        <v>6</v>
      </c>
      <c r="BE185" t="s">
        <v>6</v>
      </c>
      <c r="BF185" t="s">
        <v>6</v>
      </c>
      <c r="BG185" t="s">
        <v>6</v>
      </c>
      <c r="BH185">
        <v>3</v>
      </c>
      <c r="BI185">
        <v>1</v>
      </c>
      <c r="BJ185" t="s">
        <v>6</v>
      </c>
      <c r="BM185">
        <v>11001</v>
      </c>
      <c r="BN185">
        <v>0</v>
      </c>
      <c r="BO185" t="s">
        <v>6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123</v>
      </c>
      <c r="CA185">
        <v>75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si="212"/>
        <v>0</v>
      </c>
      <c r="CQ185">
        <f t="shared" si="213"/>
        <v>0</v>
      </c>
      <c r="CR185">
        <f t="shared" si="214"/>
        <v>0</v>
      </c>
      <c r="CS185">
        <f t="shared" si="215"/>
        <v>0</v>
      </c>
      <c r="CT185">
        <f t="shared" si="216"/>
        <v>0</v>
      </c>
      <c r="CU185">
        <f t="shared" si="217"/>
        <v>0</v>
      </c>
      <c r="CV185">
        <f t="shared" si="218"/>
        <v>0</v>
      </c>
      <c r="CW185">
        <f t="shared" si="219"/>
        <v>0</v>
      </c>
      <c r="CX185">
        <f t="shared" si="220"/>
        <v>0</v>
      </c>
      <c r="CY185">
        <f t="shared" si="221"/>
        <v>0</v>
      </c>
      <c r="CZ185">
        <f t="shared" si="222"/>
        <v>0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220</v>
      </c>
      <c r="DW185" t="s">
        <v>220</v>
      </c>
      <c r="DX185">
        <v>1</v>
      </c>
      <c r="EE185">
        <v>16510488</v>
      </c>
      <c r="EF185">
        <v>2</v>
      </c>
      <c r="EG185" t="s">
        <v>22</v>
      </c>
      <c r="EH185">
        <v>0</v>
      </c>
      <c r="EI185" t="s">
        <v>6</v>
      </c>
      <c r="EJ185">
        <v>1</v>
      </c>
      <c r="EK185">
        <v>11001</v>
      </c>
      <c r="EL185" t="s">
        <v>91</v>
      </c>
      <c r="EM185" t="s">
        <v>460</v>
      </c>
      <c r="EO185" t="s">
        <v>6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223"/>
        <v>0</v>
      </c>
      <c r="FS185">
        <v>0</v>
      </c>
      <c r="FT185" t="s">
        <v>25</v>
      </c>
      <c r="FU185" t="s">
        <v>26</v>
      </c>
      <c r="FX185">
        <v>110.7</v>
      </c>
      <c r="FY185">
        <v>63.75</v>
      </c>
      <c r="GA185" t="s">
        <v>6</v>
      </c>
      <c r="GD185">
        <v>0</v>
      </c>
      <c r="GF185">
        <v>-2049262376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si="224"/>
        <v>0</v>
      </c>
      <c r="GM185">
        <f t="shared" si="225"/>
        <v>0</v>
      </c>
      <c r="GN185">
        <f t="shared" si="226"/>
        <v>0</v>
      </c>
      <c r="GO185">
        <f t="shared" si="227"/>
        <v>0</v>
      </c>
      <c r="GP185">
        <f t="shared" si="228"/>
        <v>0</v>
      </c>
      <c r="GR185">
        <v>0</v>
      </c>
      <c r="GS185">
        <v>3</v>
      </c>
      <c r="GT185">
        <v>0</v>
      </c>
      <c r="GU185" t="s">
        <v>6</v>
      </c>
      <c r="GV185">
        <f t="shared" si="229"/>
        <v>0</v>
      </c>
      <c r="GW185">
        <v>1</v>
      </c>
      <c r="GX185">
        <f t="shared" si="230"/>
        <v>0</v>
      </c>
      <c r="HA185">
        <v>0</v>
      </c>
      <c r="HB185"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ROW(SmtRes!A355)</f>
        <v>355</v>
      </c>
      <c r="D186">
        <f>ROW(EtalonRes!A335)</f>
        <v>335</v>
      </c>
      <c r="E186" t="s">
        <v>565</v>
      </c>
      <c r="F186" t="s">
        <v>566</v>
      </c>
      <c r="G186" t="s">
        <v>567</v>
      </c>
      <c r="H186" t="s">
        <v>34</v>
      </c>
      <c r="I186">
        <f>ROUND(70.8/100,9)</f>
        <v>0.70799999999999996</v>
      </c>
      <c r="J186">
        <v>0</v>
      </c>
      <c r="O186">
        <f t="shared" si="198"/>
        <v>1241.8800000000001</v>
      </c>
      <c r="P186">
        <f t="shared" si="199"/>
        <v>0</v>
      </c>
      <c r="Q186">
        <f t="shared" si="200"/>
        <v>31.95</v>
      </c>
      <c r="R186">
        <f t="shared" si="201"/>
        <v>8.0299999999999994</v>
      </c>
      <c r="S186">
        <f t="shared" si="202"/>
        <v>1209.93</v>
      </c>
      <c r="T186">
        <f t="shared" si="203"/>
        <v>0</v>
      </c>
      <c r="U186">
        <f t="shared" si="204"/>
        <v>19.394243999999997</v>
      </c>
      <c r="V186">
        <f t="shared" si="205"/>
        <v>9.7350000000000006E-2</v>
      </c>
      <c r="W186">
        <f t="shared" si="206"/>
        <v>0</v>
      </c>
      <c r="X186">
        <f t="shared" si="207"/>
        <v>1351.94</v>
      </c>
      <c r="Y186">
        <f t="shared" si="208"/>
        <v>779.49</v>
      </c>
      <c r="AA186">
        <v>16742901</v>
      </c>
      <c r="AB186">
        <f t="shared" si="209"/>
        <v>267.39</v>
      </c>
      <c r="AC186">
        <f t="shared" si="192"/>
        <v>0</v>
      </c>
      <c r="AD186">
        <f>ROUND(((((ET186*1.25))-((EU186*1.25)))+AE186),2)</f>
        <v>6.88</v>
      </c>
      <c r="AE186">
        <f>ROUND(((EU186*1.25)),2)</f>
        <v>1.73</v>
      </c>
      <c r="AF186">
        <f>ROUND(((EV186*1.15)),2)</f>
        <v>260.51</v>
      </c>
      <c r="AG186">
        <f t="shared" si="210"/>
        <v>0</v>
      </c>
      <c r="AH186">
        <f>((EW186*1.15))</f>
        <v>27.392999999999997</v>
      </c>
      <c r="AI186">
        <f>((EX186*1.25))</f>
        <v>0.13750000000000001</v>
      </c>
      <c r="AJ186">
        <f t="shared" si="211"/>
        <v>0</v>
      </c>
      <c r="AK186">
        <v>232.03</v>
      </c>
      <c r="AL186">
        <v>0</v>
      </c>
      <c r="AM186">
        <v>5.5</v>
      </c>
      <c r="AN186">
        <v>1.38</v>
      </c>
      <c r="AO186">
        <v>226.53</v>
      </c>
      <c r="AP186">
        <v>0</v>
      </c>
      <c r="AQ186">
        <v>23.82</v>
      </c>
      <c r="AR186">
        <v>0.11</v>
      </c>
      <c r="AS186">
        <v>0</v>
      </c>
      <c r="AT186">
        <v>111</v>
      </c>
      <c r="AU186">
        <v>64</v>
      </c>
      <c r="AV186">
        <v>1</v>
      </c>
      <c r="AW186">
        <v>1</v>
      </c>
      <c r="AZ186">
        <v>6.56</v>
      </c>
      <c r="BA186">
        <v>6.56</v>
      </c>
      <c r="BB186">
        <v>6.56</v>
      </c>
      <c r="BC186">
        <v>6.56</v>
      </c>
      <c r="BD186" t="s">
        <v>6</v>
      </c>
      <c r="BE186" t="s">
        <v>6</v>
      </c>
      <c r="BF186" t="s">
        <v>6</v>
      </c>
      <c r="BG186" t="s">
        <v>6</v>
      </c>
      <c r="BH186">
        <v>0</v>
      </c>
      <c r="BI186">
        <v>1</v>
      </c>
      <c r="BJ186" t="s">
        <v>568</v>
      </c>
      <c r="BM186">
        <v>11001</v>
      </c>
      <c r="BN186">
        <v>0</v>
      </c>
      <c r="BO186" t="s">
        <v>6</v>
      </c>
      <c r="BP186">
        <v>0</v>
      </c>
      <c r="BQ186">
        <v>2</v>
      </c>
      <c r="BR186">
        <v>0</v>
      </c>
      <c r="BS186">
        <v>6.56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123</v>
      </c>
      <c r="CA186">
        <v>75</v>
      </c>
      <c r="CF186">
        <v>0</v>
      </c>
      <c r="CG186">
        <v>0</v>
      </c>
      <c r="CM186">
        <v>0</v>
      </c>
      <c r="CN186" t="s">
        <v>1902</v>
      </c>
      <c r="CO186">
        <v>0</v>
      </c>
      <c r="CP186">
        <f t="shared" si="212"/>
        <v>1241.8800000000001</v>
      </c>
      <c r="CQ186">
        <f t="shared" si="213"/>
        <v>0</v>
      </c>
      <c r="CR186">
        <f t="shared" si="214"/>
        <v>45.132799999999996</v>
      </c>
      <c r="CS186">
        <f t="shared" si="215"/>
        <v>11.348799999999999</v>
      </c>
      <c r="CT186">
        <f t="shared" si="216"/>
        <v>1708.9455999999998</v>
      </c>
      <c r="CU186">
        <f t="shared" si="217"/>
        <v>0</v>
      </c>
      <c r="CV186">
        <f t="shared" si="218"/>
        <v>27.392999999999997</v>
      </c>
      <c r="CW186">
        <f t="shared" si="219"/>
        <v>0.13750000000000001</v>
      </c>
      <c r="CX186">
        <f t="shared" si="220"/>
        <v>0</v>
      </c>
      <c r="CY186">
        <f t="shared" si="221"/>
        <v>1351.9356</v>
      </c>
      <c r="CZ186">
        <f t="shared" si="222"/>
        <v>779.49440000000004</v>
      </c>
      <c r="DC186" t="s">
        <v>6</v>
      </c>
      <c r="DD186" t="s">
        <v>6</v>
      </c>
      <c r="DE186" t="s">
        <v>187</v>
      </c>
      <c r="DF186" t="s">
        <v>187</v>
      </c>
      <c r="DG186" t="s">
        <v>188</v>
      </c>
      <c r="DH186" t="s">
        <v>6</v>
      </c>
      <c r="DI186" t="s">
        <v>188</v>
      </c>
      <c r="DJ186" t="s">
        <v>187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1003</v>
      </c>
      <c r="DV186" t="s">
        <v>34</v>
      </c>
      <c r="DW186" t="s">
        <v>34</v>
      </c>
      <c r="DX186">
        <v>100</v>
      </c>
      <c r="EE186">
        <v>16510488</v>
      </c>
      <c r="EF186">
        <v>2</v>
      </c>
      <c r="EG186" t="s">
        <v>22</v>
      </c>
      <c r="EH186">
        <v>0</v>
      </c>
      <c r="EI186" t="s">
        <v>6</v>
      </c>
      <c r="EJ186">
        <v>1</v>
      </c>
      <c r="EK186">
        <v>11001</v>
      </c>
      <c r="EL186" t="s">
        <v>91</v>
      </c>
      <c r="EM186" t="s">
        <v>460</v>
      </c>
      <c r="EO186" t="s">
        <v>189</v>
      </c>
      <c r="EQ186">
        <v>131072</v>
      </c>
      <c r="ER186">
        <v>232.03</v>
      </c>
      <c r="ES186">
        <v>0</v>
      </c>
      <c r="ET186">
        <v>5.5</v>
      </c>
      <c r="EU186">
        <v>1.38</v>
      </c>
      <c r="EV186">
        <v>226.53</v>
      </c>
      <c r="EW186">
        <v>23.82</v>
      </c>
      <c r="EX186">
        <v>0.11</v>
      </c>
      <c r="EY186">
        <v>0</v>
      </c>
      <c r="FQ186">
        <v>0</v>
      </c>
      <c r="FR186">
        <f t="shared" si="223"/>
        <v>0</v>
      </c>
      <c r="FS186">
        <v>0</v>
      </c>
      <c r="FT186" t="s">
        <v>25</v>
      </c>
      <c r="FU186" t="s">
        <v>26</v>
      </c>
      <c r="FX186">
        <v>110.7</v>
      </c>
      <c r="FY186">
        <v>63.75</v>
      </c>
      <c r="GA186" t="s">
        <v>6</v>
      </c>
      <c r="GD186">
        <v>0</v>
      </c>
      <c r="GF186">
        <v>1990727352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224"/>
        <v>0</v>
      </c>
      <c r="GM186">
        <f t="shared" si="225"/>
        <v>3373.31</v>
      </c>
      <c r="GN186">
        <f t="shared" si="226"/>
        <v>3373.31</v>
      </c>
      <c r="GO186">
        <f t="shared" si="227"/>
        <v>0</v>
      </c>
      <c r="GP186">
        <f t="shared" si="228"/>
        <v>0</v>
      </c>
      <c r="GR186">
        <v>0</v>
      </c>
      <c r="GS186">
        <v>3</v>
      </c>
      <c r="GT186">
        <v>0</v>
      </c>
      <c r="GU186" t="s">
        <v>6</v>
      </c>
      <c r="GV186">
        <f t="shared" si="229"/>
        <v>0</v>
      </c>
      <c r="GW186">
        <v>1</v>
      </c>
      <c r="GX186">
        <f t="shared" si="230"/>
        <v>0</v>
      </c>
      <c r="HA186">
        <v>0</v>
      </c>
      <c r="HB186">
        <v>0</v>
      </c>
      <c r="IK186">
        <v>0</v>
      </c>
    </row>
    <row r="187" spans="1:245" x14ac:dyDescent="0.2">
      <c r="A187">
        <v>18</v>
      </c>
      <c r="B187">
        <v>1</v>
      </c>
      <c r="C187">
        <v>355</v>
      </c>
      <c r="E187" t="s">
        <v>569</v>
      </c>
      <c r="F187" t="s">
        <v>570</v>
      </c>
      <c r="G187" t="s">
        <v>571</v>
      </c>
      <c r="H187" t="s">
        <v>220</v>
      </c>
      <c r="I187">
        <f>I186*J187</f>
        <v>71.507999999999996</v>
      </c>
      <c r="J187">
        <v>101</v>
      </c>
      <c r="O187">
        <f t="shared" si="198"/>
        <v>11131.56</v>
      </c>
      <c r="P187">
        <f t="shared" si="199"/>
        <v>11131.56</v>
      </c>
      <c r="Q187">
        <f t="shared" si="200"/>
        <v>0</v>
      </c>
      <c r="R187">
        <f t="shared" si="201"/>
        <v>0</v>
      </c>
      <c r="S187">
        <f t="shared" si="202"/>
        <v>0</v>
      </c>
      <c r="T187">
        <f t="shared" si="203"/>
        <v>0</v>
      </c>
      <c r="U187">
        <f t="shared" si="204"/>
        <v>0</v>
      </c>
      <c r="V187">
        <f t="shared" si="205"/>
        <v>0</v>
      </c>
      <c r="W187">
        <f t="shared" si="206"/>
        <v>0</v>
      </c>
      <c r="X187">
        <f t="shared" si="207"/>
        <v>0</v>
      </c>
      <c r="Y187">
        <f t="shared" si="208"/>
        <v>0</v>
      </c>
      <c r="AA187">
        <v>16742901</v>
      </c>
      <c r="AB187">
        <f t="shared" si="209"/>
        <v>23.73</v>
      </c>
      <c r="AC187">
        <f t="shared" si="192"/>
        <v>23.73</v>
      </c>
      <c r="AD187">
        <f>ROUND((((ET187)-(EU187))+AE187),2)</f>
        <v>0</v>
      </c>
      <c r="AE187">
        <f>ROUND((EU187),2)</f>
        <v>0</v>
      </c>
      <c r="AF187">
        <f>ROUND((EV187),2)</f>
        <v>0</v>
      </c>
      <c r="AG187">
        <f t="shared" si="210"/>
        <v>0</v>
      </c>
      <c r="AH187">
        <f>(EW187)</f>
        <v>0</v>
      </c>
      <c r="AI187">
        <f>(EX187)</f>
        <v>0</v>
      </c>
      <c r="AJ187">
        <f t="shared" si="211"/>
        <v>0</v>
      </c>
      <c r="AK187">
        <v>23.73</v>
      </c>
      <c r="AL187">
        <v>23.73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111</v>
      </c>
      <c r="AU187">
        <v>64</v>
      </c>
      <c r="AV187">
        <v>1</v>
      </c>
      <c r="AW187">
        <v>1</v>
      </c>
      <c r="AZ187">
        <v>6.56</v>
      </c>
      <c r="BA187">
        <v>1</v>
      </c>
      <c r="BB187">
        <v>1</v>
      </c>
      <c r="BC187">
        <v>6.56</v>
      </c>
      <c r="BD187" t="s">
        <v>6</v>
      </c>
      <c r="BE187" t="s">
        <v>6</v>
      </c>
      <c r="BF187" t="s">
        <v>6</v>
      </c>
      <c r="BG187" t="s">
        <v>6</v>
      </c>
      <c r="BH187">
        <v>3</v>
      </c>
      <c r="BI187">
        <v>1</v>
      </c>
      <c r="BJ187" t="s">
        <v>572</v>
      </c>
      <c r="BM187">
        <v>11001</v>
      </c>
      <c r="BN187">
        <v>0</v>
      </c>
      <c r="BO187" t="s">
        <v>6</v>
      </c>
      <c r="BP187">
        <v>0</v>
      </c>
      <c r="BQ187">
        <v>2</v>
      </c>
      <c r="BR187">
        <v>0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123</v>
      </c>
      <c r="CA187">
        <v>75</v>
      </c>
      <c r="CF187">
        <v>0</v>
      </c>
      <c r="CG187">
        <v>0</v>
      </c>
      <c r="CM187">
        <v>0</v>
      </c>
      <c r="CN187" t="s">
        <v>6</v>
      </c>
      <c r="CO187">
        <v>0</v>
      </c>
      <c r="CP187">
        <f t="shared" si="212"/>
        <v>11131.56</v>
      </c>
      <c r="CQ187">
        <f t="shared" si="213"/>
        <v>155.6688</v>
      </c>
      <c r="CR187">
        <f t="shared" si="214"/>
        <v>0</v>
      </c>
      <c r="CS187">
        <f t="shared" si="215"/>
        <v>0</v>
      </c>
      <c r="CT187">
        <f t="shared" si="216"/>
        <v>0</v>
      </c>
      <c r="CU187">
        <f t="shared" si="217"/>
        <v>0</v>
      </c>
      <c r="CV187">
        <f t="shared" si="218"/>
        <v>0</v>
      </c>
      <c r="CW187">
        <f t="shared" si="219"/>
        <v>0</v>
      </c>
      <c r="CX187">
        <f t="shared" si="220"/>
        <v>0</v>
      </c>
      <c r="CY187">
        <f t="shared" si="221"/>
        <v>0</v>
      </c>
      <c r="CZ187">
        <f t="shared" si="222"/>
        <v>0</v>
      </c>
      <c r="DC187" t="s">
        <v>6</v>
      </c>
      <c r="DD187" t="s">
        <v>6</v>
      </c>
      <c r="DE187" t="s">
        <v>6</v>
      </c>
      <c r="DF187" t="s">
        <v>6</v>
      </c>
      <c r="DG187" t="s">
        <v>6</v>
      </c>
      <c r="DH187" t="s">
        <v>6</v>
      </c>
      <c r="DI187" t="s">
        <v>6</v>
      </c>
      <c r="DJ187" t="s">
        <v>6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1003</v>
      </c>
      <c r="DV187" t="s">
        <v>220</v>
      </c>
      <c r="DW187" t="s">
        <v>220</v>
      </c>
      <c r="DX187">
        <v>1</v>
      </c>
      <c r="EE187">
        <v>16510488</v>
      </c>
      <c r="EF187">
        <v>2</v>
      </c>
      <c r="EG187" t="s">
        <v>22</v>
      </c>
      <c r="EH187">
        <v>0</v>
      </c>
      <c r="EI187" t="s">
        <v>6</v>
      </c>
      <c r="EJ187">
        <v>1</v>
      </c>
      <c r="EK187">
        <v>11001</v>
      </c>
      <c r="EL187" t="s">
        <v>91</v>
      </c>
      <c r="EM187" t="s">
        <v>460</v>
      </c>
      <c r="EO187" t="s">
        <v>6</v>
      </c>
      <c r="EQ187">
        <v>0</v>
      </c>
      <c r="ER187">
        <v>23.73</v>
      </c>
      <c r="ES187">
        <v>23.73</v>
      </c>
      <c r="ET187">
        <v>0</v>
      </c>
      <c r="EU187">
        <v>0</v>
      </c>
      <c r="EV187">
        <v>0</v>
      </c>
      <c r="EW187">
        <v>0</v>
      </c>
      <c r="EX187">
        <v>0</v>
      </c>
      <c r="FQ187">
        <v>0</v>
      </c>
      <c r="FR187">
        <f t="shared" si="223"/>
        <v>0</v>
      </c>
      <c r="FS187">
        <v>0</v>
      </c>
      <c r="FT187" t="s">
        <v>25</v>
      </c>
      <c r="FU187" t="s">
        <v>26</v>
      </c>
      <c r="FX187">
        <v>110.7</v>
      </c>
      <c r="FY187">
        <v>63.75</v>
      </c>
      <c r="GA187" t="s">
        <v>6</v>
      </c>
      <c r="GD187">
        <v>0</v>
      </c>
      <c r="GF187">
        <v>831643793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224"/>
        <v>0</v>
      </c>
      <c r="GM187">
        <f t="shared" si="225"/>
        <v>11131.56</v>
      </c>
      <c r="GN187">
        <f t="shared" si="226"/>
        <v>11131.56</v>
      </c>
      <c r="GO187">
        <f t="shared" si="227"/>
        <v>0</v>
      </c>
      <c r="GP187">
        <f t="shared" si="228"/>
        <v>0</v>
      </c>
      <c r="GR187">
        <v>0</v>
      </c>
      <c r="GS187">
        <v>3</v>
      </c>
      <c r="GT187">
        <v>0</v>
      </c>
      <c r="GU187" t="s">
        <v>6</v>
      </c>
      <c r="GV187">
        <f t="shared" si="229"/>
        <v>0</v>
      </c>
      <c r="GW187">
        <v>1</v>
      </c>
      <c r="GX187">
        <f t="shared" si="230"/>
        <v>0</v>
      </c>
      <c r="HA187">
        <v>0</v>
      </c>
      <c r="HB187">
        <v>0</v>
      </c>
      <c r="IK187">
        <v>0</v>
      </c>
    </row>
    <row r="188" spans="1:245" x14ac:dyDescent="0.2">
      <c r="A188">
        <v>18</v>
      </c>
      <c r="B188">
        <v>1</v>
      </c>
      <c r="C188">
        <v>354</v>
      </c>
      <c r="E188" t="s">
        <v>573</v>
      </c>
      <c r="F188" t="s">
        <v>574</v>
      </c>
      <c r="G188" t="s">
        <v>575</v>
      </c>
      <c r="H188" t="s">
        <v>220</v>
      </c>
      <c r="I188">
        <f>I186*J188</f>
        <v>71.507999999999996</v>
      </c>
      <c r="J188">
        <v>101</v>
      </c>
      <c r="O188">
        <f t="shared" si="198"/>
        <v>0</v>
      </c>
      <c r="P188">
        <f t="shared" si="199"/>
        <v>0</v>
      </c>
      <c r="Q188">
        <f t="shared" si="200"/>
        <v>0</v>
      </c>
      <c r="R188">
        <f t="shared" si="201"/>
        <v>0</v>
      </c>
      <c r="S188">
        <f t="shared" si="202"/>
        <v>0</v>
      </c>
      <c r="T188">
        <f t="shared" si="203"/>
        <v>0</v>
      </c>
      <c r="U188">
        <f t="shared" si="204"/>
        <v>0</v>
      </c>
      <c r="V188">
        <f t="shared" si="205"/>
        <v>0</v>
      </c>
      <c r="W188">
        <f t="shared" si="206"/>
        <v>0</v>
      </c>
      <c r="X188">
        <f t="shared" si="207"/>
        <v>0</v>
      </c>
      <c r="Y188">
        <f t="shared" si="208"/>
        <v>0</v>
      </c>
      <c r="AA188">
        <v>16742901</v>
      </c>
      <c r="AB188">
        <f t="shared" si="209"/>
        <v>0</v>
      </c>
      <c r="AC188">
        <f t="shared" si="192"/>
        <v>0</v>
      </c>
      <c r="AD188">
        <f>ROUND((((ET188)-(EU188))+AE188),2)</f>
        <v>0</v>
      </c>
      <c r="AE188">
        <f>ROUND((EU188),2)</f>
        <v>0</v>
      </c>
      <c r="AF188">
        <f>ROUND((EV188),2)</f>
        <v>0</v>
      </c>
      <c r="AG188">
        <f t="shared" si="210"/>
        <v>0</v>
      </c>
      <c r="AH188">
        <f>(EW188)</f>
        <v>0</v>
      </c>
      <c r="AI188">
        <f>(EX188)</f>
        <v>0</v>
      </c>
      <c r="AJ188">
        <f t="shared" si="211"/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111</v>
      </c>
      <c r="AU188">
        <v>64</v>
      </c>
      <c r="AV188">
        <v>1</v>
      </c>
      <c r="AW188">
        <v>1</v>
      </c>
      <c r="AZ188">
        <v>6.56</v>
      </c>
      <c r="BA188">
        <v>1</v>
      </c>
      <c r="BB188">
        <v>1</v>
      </c>
      <c r="BC188">
        <v>6.56</v>
      </c>
      <c r="BD188" t="s">
        <v>6</v>
      </c>
      <c r="BE188" t="s">
        <v>6</v>
      </c>
      <c r="BF188" t="s">
        <v>6</v>
      </c>
      <c r="BG188" t="s">
        <v>6</v>
      </c>
      <c r="BH188">
        <v>3</v>
      </c>
      <c r="BI188">
        <v>1</v>
      </c>
      <c r="BJ188" t="s">
        <v>6</v>
      </c>
      <c r="BM188">
        <v>11001</v>
      </c>
      <c r="BN188">
        <v>0</v>
      </c>
      <c r="BO188" t="s">
        <v>6</v>
      </c>
      <c r="BP188">
        <v>0</v>
      </c>
      <c r="BQ188">
        <v>2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123</v>
      </c>
      <c r="CA188">
        <v>75</v>
      </c>
      <c r="CF188">
        <v>0</v>
      </c>
      <c r="CG188">
        <v>0</v>
      </c>
      <c r="CM188">
        <v>0</v>
      </c>
      <c r="CN188" t="s">
        <v>6</v>
      </c>
      <c r="CO188">
        <v>0</v>
      </c>
      <c r="CP188">
        <f t="shared" si="212"/>
        <v>0</v>
      </c>
      <c r="CQ188">
        <f t="shared" si="213"/>
        <v>0</v>
      </c>
      <c r="CR188">
        <f t="shared" si="214"/>
        <v>0</v>
      </c>
      <c r="CS188">
        <f t="shared" si="215"/>
        <v>0</v>
      </c>
      <c r="CT188">
        <f t="shared" si="216"/>
        <v>0</v>
      </c>
      <c r="CU188">
        <f t="shared" si="217"/>
        <v>0</v>
      </c>
      <c r="CV188">
        <f t="shared" si="218"/>
        <v>0</v>
      </c>
      <c r="CW188">
        <f t="shared" si="219"/>
        <v>0</v>
      </c>
      <c r="CX188">
        <f t="shared" si="220"/>
        <v>0</v>
      </c>
      <c r="CY188">
        <f t="shared" si="221"/>
        <v>0</v>
      </c>
      <c r="CZ188">
        <f t="shared" si="222"/>
        <v>0</v>
      </c>
      <c r="DC188" t="s">
        <v>6</v>
      </c>
      <c r="DD188" t="s">
        <v>6</v>
      </c>
      <c r="DE188" t="s">
        <v>6</v>
      </c>
      <c r="DF188" t="s">
        <v>6</v>
      </c>
      <c r="DG188" t="s">
        <v>6</v>
      </c>
      <c r="DH188" t="s">
        <v>6</v>
      </c>
      <c r="DI188" t="s">
        <v>6</v>
      </c>
      <c r="DJ188" t="s">
        <v>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1003</v>
      </c>
      <c r="DV188" t="s">
        <v>220</v>
      </c>
      <c r="DW188" t="s">
        <v>220</v>
      </c>
      <c r="DX188">
        <v>1</v>
      </c>
      <c r="EE188">
        <v>16510488</v>
      </c>
      <c r="EF188">
        <v>2</v>
      </c>
      <c r="EG188" t="s">
        <v>22</v>
      </c>
      <c r="EH188">
        <v>0</v>
      </c>
      <c r="EI188" t="s">
        <v>6</v>
      </c>
      <c r="EJ188">
        <v>1</v>
      </c>
      <c r="EK188">
        <v>11001</v>
      </c>
      <c r="EL188" t="s">
        <v>91</v>
      </c>
      <c r="EM188" t="s">
        <v>460</v>
      </c>
      <c r="EO188" t="s">
        <v>6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FQ188">
        <v>0</v>
      </c>
      <c r="FR188">
        <f t="shared" si="223"/>
        <v>0</v>
      </c>
      <c r="FS188">
        <v>0</v>
      </c>
      <c r="FT188" t="s">
        <v>25</v>
      </c>
      <c r="FU188" t="s">
        <v>26</v>
      </c>
      <c r="FX188">
        <v>110.7</v>
      </c>
      <c r="FY188">
        <v>63.75</v>
      </c>
      <c r="GA188" t="s">
        <v>6</v>
      </c>
      <c r="GD188">
        <v>0</v>
      </c>
      <c r="GF188">
        <v>1949164399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224"/>
        <v>0</v>
      </c>
      <c r="GM188">
        <f t="shared" si="225"/>
        <v>0</v>
      </c>
      <c r="GN188">
        <f t="shared" si="226"/>
        <v>0</v>
      </c>
      <c r="GO188">
        <f t="shared" si="227"/>
        <v>0</v>
      </c>
      <c r="GP188">
        <f t="shared" si="228"/>
        <v>0</v>
      </c>
      <c r="GR188">
        <v>0</v>
      </c>
      <c r="GS188">
        <v>3</v>
      </c>
      <c r="GT188">
        <v>0</v>
      </c>
      <c r="GU188" t="s">
        <v>6</v>
      </c>
      <c r="GV188">
        <f t="shared" si="229"/>
        <v>0</v>
      </c>
      <c r="GW188">
        <v>1</v>
      </c>
      <c r="GX188">
        <f t="shared" si="230"/>
        <v>0</v>
      </c>
      <c r="HA188">
        <v>0</v>
      </c>
      <c r="HB188"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ROW(SmtRes!A360)</f>
        <v>360</v>
      </c>
      <c r="D189">
        <f>ROW(EtalonRes!A338)</f>
        <v>338</v>
      </c>
      <c r="E189" t="s">
        <v>576</v>
      </c>
      <c r="F189" t="s">
        <v>577</v>
      </c>
      <c r="G189" t="s">
        <v>578</v>
      </c>
      <c r="H189" t="s">
        <v>34</v>
      </c>
      <c r="I189">
        <f>ROUND(9/100,9)</f>
        <v>0.09</v>
      </c>
      <c r="J189">
        <v>0</v>
      </c>
      <c r="O189">
        <f t="shared" si="198"/>
        <v>146.21</v>
      </c>
      <c r="P189">
        <f t="shared" si="199"/>
        <v>47.47</v>
      </c>
      <c r="Q189">
        <f t="shared" si="200"/>
        <v>0</v>
      </c>
      <c r="R189">
        <f t="shared" si="201"/>
        <v>0</v>
      </c>
      <c r="S189">
        <f t="shared" si="202"/>
        <v>98.74</v>
      </c>
      <c r="T189">
        <f t="shared" si="203"/>
        <v>0</v>
      </c>
      <c r="U189">
        <f t="shared" si="204"/>
        <v>1.7222399999999998</v>
      </c>
      <c r="V189">
        <f t="shared" si="205"/>
        <v>0</v>
      </c>
      <c r="W189">
        <f t="shared" si="206"/>
        <v>0</v>
      </c>
      <c r="X189">
        <f t="shared" si="207"/>
        <v>109.6</v>
      </c>
      <c r="Y189">
        <f t="shared" si="208"/>
        <v>63.19</v>
      </c>
      <c r="AA189">
        <v>16742901</v>
      </c>
      <c r="AB189">
        <f t="shared" si="209"/>
        <v>247.64</v>
      </c>
      <c r="AC189">
        <f t="shared" si="192"/>
        <v>80.400000000000006</v>
      </c>
      <c r="AD189">
        <f>ROUND(((((ET189*1.25))-((EU189*1.25)))+AE189),2)</f>
        <v>0</v>
      </c>
      <c r="AE189">
        <f>ROUND(((EU189*1.25)),2)</f>
        <v>0</v>
      </c>
      <c r="AF189">
        <f>ROUND(((EV189*1.15)),2)</f>
        <v>167.24</v>
      </c>
      <c r="AG189">
        <f t="shared" si="210"/>
        <v>0</v>
      </c>
      <c r="AH189">
        <f>((EW189*1.15))</f>
        <v>19.135999999999999</v>
      </c>
      <c r="AI189">
        <f>((EX189*1.25))</f>
        <v>0</v>
      </c>
      <c r="AJ189">
        <f t="shared" si="211"/>
        <v>0</v>
      </c>
      <c r="AK189">
        <v>225.83</v>
      </c>
      <c r="AL189">
        <v>80.400000000000006</v>
      </c>
      <c r="AM189">
        <v>0</v>
      </c>
      <c r="AN189">
        <v>0</v>
      </c>
      <c r="AO189">
        <v>145.43</v>
      </c>
      <c r="AP189">
        <v>0</v>
      </c>
      <c r="AQ189">
        <v>16.64</v>
      </c>
      <c r="AR189">
        <v>0</v>
      </c>
      <c r="AS189">
        <v>0</v>
      </c>
      <c r="AT189">
        <v>111</v>
      </c>
      <c r="AU189">
        <v>64</v>
      </c>
      <c r="AV189">
        <v>1</v>
      </c>
      <c r="AW189">
        <v>1</v>
      </c>
      <c r="AZ189">
        <v>6.56</v>
      </c>
      <c r="BA189">
        <v>6.56</v>
      </c>
      <c r="BB189">
        <v>6.56</v>
      </c>
      <c r="BC189">
        <v>6.56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1</v>
      </c>
      <c r="BJ189" t="s">
        <v>579</v>
      </c>
      <c r="BM189">
        <v>11001</v>
      </c>
      <c r="BN189">
        <v>0</v>
      </c>
      <c r="BO189" t="s">
        <v>6</v>
      </c>
      <c r="BP189">
        <v>0</v>
      </c>
      <c r="BQ189">
        <v>2</v>
      </c>
      <c r="BR189">
        <v>0</v>
      </c>
      <c r="BS189">
        <v>6.56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123</v>
      </c>
      <c r="CA189">
        <v>75</v>
      </c>
      <c r="CF189">
        <v>0</v>
      </c>
      <c r="CG189">
        <v>0</v>
      </c>
      <c r="CM189">
        <v>0</v>
      </c>
      <c r="CN189" t="s">
        <v>1902</v>
      </c>
      <c r="CO189">
        <v>0</v>
      </c>
      <c r="CP189">
        <f t="shared" si="212"/>
        <v>146.20999999999998</v>
      </c>
      <c r="CQ189">
        <f t="shared" si="213"/>
        <v>527.42399999999998</v>
      </c>
      <c r="CR189">
        <f t="shared" si="214"/>
        <v>0</v>
      </c>
      <c r="CS189">
        <f t="shared" si="215"/>
        <v>0</v>
      </c>
      <c r="CT189">
        <f t="shared" si="216"/>
        <v>1097.0944</v>
      </c>
      <c r="CU189">
        <f t="shared" si="217"/>
        <v>0</v>
      </c>
      <c r="CV189">
        <f t="shared" si="218"/>
        <v>19.135999999999999</v>
      </c>
      <c r="CW189">
        <f t="shared" si="219"/>
        <v>0</v>
      </c>
      <c r="CX189">
        <f t="shared" si="220"/>
        <v>0</v>
      </c>
      <c r="CY189">
        <f t="shared" si="221"/>
        <v>109.6014</v>
      </c>
      <c r="CZ189">
        <f t="shared" si="222"/>
        <v>63.193599999999996</v>
      </c>
      <c r="DC189" t="s">
        <v>6</v>
      </c>
      <c r="DD189" t="s">
        <v>6</v>
      </c>
      <c r="DE189" t="s">
        <v>187</v>
      </c>
      <c r="DF189" t="s">
        <v>187</v>
      </c>
      <c r="DG189" t="s">
        <v>188</v>
      </c>
      <c r="DH189" t="s">
        <v>6</v>
      </c>
      <c r="DI189" t="s">
        <v>188</v>
      </c>
      <c r="DJ189" t="s">
        <v>187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1003</v>
      </c>
      <c r="DV189" t="s">
        <v>34</v>
      </c>
      <c r="DW189" t="s">
        <v>34</v>
      </c>
      <c r="DX189">
        <v>100</v>
      </c>
      <c r="EE189">
        <v>16510488</v>
      </c>
      <c r="EF189">
        <v>2</v>
      </c>
      <c r="EG189" t="s">
        <v>22</v>
      </c>
      <c r="EH189">
        <v>0</v>
      </c>
      <c r="EI189" t="s">
        <v>6</v>
      </c>
      <c r="EJ189">
        <v>1</v>
      </c>
      <c r="EK189">
        <v>11001</v>
      </c>
      <c r="EL189" t="s">
        <v>91</v>
      </c>
      <c r="EM189" t="s">
        <v>460</v>
      </c>
      <c r="EO189" t="s">
        <v>189</v>
      </c>
      <c r="EQ189">
        <v>131072</v>
      </c>
      <c r="ER189">
        <v>225.83</v>
      </c>
      <c r="ES189">
        <v>80.400000000000006</v>
      </c>
      <c r="ET189">
        <v>0</v>
      </c>
      <c r="EU189">
        <v>0</v>
      </c>
      <c r="EV189">
        <v>145.43</v>
      </c>
      <c r="EW189">
        <v>16.64</v>
      </c>
      <c r="EX189">
        <v>0</v>
      </c>
      <c r="EY189">
        <v>0</v>
      </c>
      <c r="FQ189">
        <v>0</v>
      </c>
      <c r="FR189">
        <f t="shared" si="223"/>
        <v>0</v>
      </c>
      <c r="FS189">
        <v>0</v>
      </c>
      <c r="FT189" t="s">
        <v>25</v>
      </c>
      <c r="FU189" t="s">
        <v>26</v>
      </c>
      <c r="FX189">
        <v>110.7</v>
      </c>
      <c r="FY189">
        <v>63.75</v>
      </c>
      <c r="GA189" t="s">
        <v>6</v>
      </c>
      <c r="GD189">
        <v>0</v>
      </c>
      <c r="GF189">
        <v>30217037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224"/>
        <v>0</v>
      </c>
      <c r="GM189">
        <f t="shared" si="225"/>
        <v>319</v>
      </c>
      <c r="GN189">
        <f t="shared" si="226"/>
        <v>319</v>
      </c>
      <c r="GO189">
        <f t="shared" si="227"/>
        <v>0</v>
      </c>
      <c r="GP189">
        <f t="shared" si="228"/>
        <v>0</v>
      </c>
      <c r="GR189">
        <v>0</v>
      </c>
      <c r="GS189">
        <v>3</v>
      </c>
      <c r="GT189">
        <v>0</v>
      </c>
      <c r="GU189" t="s">
        <v>6</v>
      </c>
      <c r="GV189">
        <f t="shared" si="229"/>
        <v>0</v>
      </c>
      <c r="GW189">
        <v>1</v>
      </c>
      <c r="GX189">
        <f t="shared" si="230"/>
        <v>0</v>
      </c>
      <c r="HA189">
        <v>0</v>
      </c>
      <c r="HB189">
        <v>0</v>
      </c>
      <c r="IK189">
        <v>0</v>
      </c>
    </row>
    <row r="190" spans="1:245" x14ac:dyDescent="0.2">
      <c r="A190">
        <v>18</v>
      </c>
      <c r="B190">
        <v>1</v>
      </c>
      <c r="C190">
        <v>359</v>
      </c>
      <c r="E190" t="s">
        <v>580</v>
      </c>
      <c r="F190" t="s">
        <v>581</v>
      </c>
      <c r="G190" t="s">
        <v>582</v>
      </c>
      <c r="H190" t="s">
        <v>73</v>
      </c>
      <c r="I190">
        <f>I189*J190</f>
        <v>1.9999999999999998</v>
      </c>
      <c r="J190">
        <v>22.222222222222221</v>
      </c>
      <c r="O190">
        <f t="shared" si="198"/>
        <v>197.72</v>
      </c>
      <c r="P190">
        <f t="shared" si="199"/>
        <v>197.72</v>
      </c>
      <c r="Q190">
        <f t="shared" si="200"/>
        <v>0</v>
      </c>
      <c r="R190">
        <f t="shared" si="201"/>
        <v>0</v>
      </c>
      <c r="S190">
        <f t="shared" si="202"/>
        <v>0</v>
      </c>
      <c r="T190">
        <f t="shared" si="203"/>
        <v>0</v>
      </c>
      <c r="U190">
        <f t="shared" si="204"/>
        <v>0</v>
      </c>
      <c r="V190">
        <f t="shared" si="205"/>
        <v>0</v>
      </c>
      <c r="W190">
        <f t="shared" si="206"/>
        <v>0</v>
      </c>
      <c r="X190">
        <f t="shared" si="207"/>
        <v>0</v>
      </c>
      <c r="Y190">
        <f t="shared" si="208"/>
        <v>0</v>
      </c>
      <c r="AA190">
        <v>16742901</v>
      </c>
      <c r="AB190">
        <f t="shared" si="209"/>
        <v>15.07</v>
      </c>
      <c r="AC190">
        <f t="shared" si="192"/>
        <v>15.07</v>
      </c>
      <c r="AD190">
        <f>ROUND((((ET190)-(EU190))+AE190),2)</f>
        <v>0</v>
      </c>
      <c r="AE190">
        <f t="shared" ref="AE190:AF192" si="231">ROUND((EU190),2)</f>
        <v>0</v>
      </c>
      <c r="AF190">
        <f t="shared" si="231"/>
        <v>0</v>
      </c>
      <c r="AG190">
        <f t="shared" si="210"/>
        <v>0</v>
      </c>
      <c r="AH190">
        <f t="shared" ref="AH190:AI192" si="232">(EW190)</f>
        <v>0</v>
      </c>
      <c r="AI190">
        <f t="shared" si="232"/>
        <v>0</v>
      </c>
      <c r="AJ190">
        <f t="shared" si="211"/>
        <v>0</v>
      </c>
      <c r="AK190">
        <v>15.07</v>
      </c>
      <c r="AL190">
        <v>15.07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111</v>
      </c>
      <c r="AU190">
        <v>64</v>
      </c>
      <c r="AV190">
        <v>1</v>
      </c>
      <c r="AW190">
        <v>1</v>
      </c>
      <c r="AZ190">
        <v>6.56</v>
      </c>
      <c r="BA190">
        <v>1</v>
      </c>
      <c r="BB190">
        <v>1</v>
      </c>
      <c r="BC190">
        <v>6.56</v>
      </c>
      <c r="BD190" t="s">
        <v>6</v>
      </c>
      <c r="BE190" t="s">
        <v>6</v>
      </c>
      <c r="BF190" t="s">
        <v>6</v>
      </c>
      <c r="BG190" t="s">
        <v>6</v>
      </c>
      <c r="BH190">
        <v>3</v>
      </c>
      <c r="BI190">
        <v>1</v>
      </c>
      <c r="BJ190" t="s">
        <v>583</v>
      </c>
      <c r="BM190">
        <v>11001</v>
      </c>
      <c r="BN190">
        <v>0</v>
      </c>
      <c r="BO190" t="s">
        <v>6</v>
      </c>
      <c r="BP190">
        <v>0</v>
      </c>
      <c r="BQ190">
        <v>2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123</v>
      </c>
      <c r="CA190">
        <v>75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212"/>
        <v>197.72</v>
      </c>
      <c r="CQ190">
        <f t="shared" si="213"/>
        <v>98.859200000000001</v>
      </c>
      <c r="CR190">
        <f t="shared" si="214"/>
        <v>0</v>
      </c>
      <c r="CS190">
        <f t="shared" si="215"/>
        <v>0</v>
      </c>
      <c r="CT190">
        <f t="shared" si="216"/>
        <v>0</v>
      </c>
      <c r="CU190">
        <f t="shared" si="217"/>
        <v>0</v>
      </c>
      <c r="CV190">
        <f t="shared" si="218"/>
        <v>0</v>
      </c>
      <c r="CW190">
        <f t="shared" si="219"/>
        <v>0</v>
      </c>
      <c r="CX190">
        <f t="shared" si="220"/>
        <v>0</v>
      </c>
      <c r="CY190">
        <f t="shared" si="221"/>
        <v>0</v>
      </c>
      <c r="CZ190">
        <f t="shared" si="222"/>
        <v>0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1010</v>
      </c>
      <c r="DV190" t="s">
        <v>73</v>
      </c>
      <c r="DW190" t="s">
        <v>73</v>
      </c>
      <c r="DX190">
        <v>1</v>
      </c>
      <c r="EE190">
        <v>16510488</v>
      </c>
      <c r="EF190">
        <v>2</v>
      </c>
      <c r="EG190" t="s">
        <v>22</v>
      </c>
      <c r="EH190">
        <v>0</v>
      </c>
      <c r="EI190" t="s">
        <v>6</v>
      </c>
      <c r="EJ190">
        <v>1</v>
      </c>
      <c r="EK190">
        <v>11001</v>
      </c>
      <c r="EL190" t="s">
        <v>91</v>
      </c>
      <c r="EM190" t="s">
        <v>460</v>
      </c>
      <c r="EO190" t="s">
        <v>6</v>
      </c>
      <c r="EQ190">
        <v>0</v>
      </c>
      <c r="ER190">
        <v>15.07</v>
      </c>
      <c r="ES190">
        <v>15.07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223"/>
        <v>0</v>
      </c>
      <c r="FS190">
        <v>0</v>
      </c>
      <c r="FT190" t="s">
        <v>25</v>
      </c>
      <c r="FU190" t="s">
        <v>26</v>
      </c>
      <c r="FX190">
        <v>110.7</v>
      </c>
      <c r="FY190">
        <v>63.75</v>
      </c>
      <c r="GA190" t="s">
        <v>6</v>
      </c>
      <c r="GD190">
        <v>0</v>
      </c>
      <c r="GF190">
        <v>-1858633972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224"/>
        <v>0</v>
      </c>
      <c r="GM190">
        <f t="shared" si="225"/>
        <v>197.72</v>
      </c>
      <c r="GN190">
        <f t="shared" si="226"/>
        <v>197.72</v>
      </c>
      <c r="GO190">
        <f t="shared" si="227"/>
        <v>0</v>
      </c>
      <c r="GP190">
        <f t="shared" si="228"/>
        <v>0</v>
      </c>
      <c r="GR190">
        <v>0</v>
      </c>
      <c r="GS190">
        <v>3</v>
      </c>
      <c r="GT190">
        <v>0</v>
      </c>
      <c r="GU190" t="s">
        <v>6</v>
      </c>
      <c r="GV190">
        <f t="shared" si="229"/>
        <v>0</v>
      </c>
      <c r="GW190">
        <v>1</v>
      </c>
      <c r="GX190">
        <f t="shared" si="230"/>
        <v>0</v>
      </c>
      <c r="HA190">
        <v>0</v>
      </c>
      <c r="HB190">
        <v>0</v>
      </c>
      <c r="IK190">
        <v>0</v>
      </c>
    </row>
    <row r="191" spans="1:245" x14ac:dyDescent="0.2">
      <c r="A191">
        <v>18</v>
      </c>
      <c r="B191">
        <v>1</v>
      </c>
      <c r="C191">
        <v>360</v>
      </c>
      <c r="E191" t="s">
        <v>584</v>
      </c>
      <c r="F191" t="s">
        <v>585</v>
      </c>
      <c r="G191" t="s">
        <v>586</v>
      </c>
      <c r="H191" t="s">
        <v>73</v>
      </c>
      <c r="I191">
        <f>I189*J191</f>
        <v>3.9999999999999996</v>
      </c>
      <c r="J191">
        <v>44.444444444444443</v>
      </c>
      <c r="O191">
        <f t="shared" si="198"/>
        <v>820.79</v>
      </c>
      <c r="P191">
        <f t="shared" si="199"/>
        <v>820.79</v>
      </c>
      <c r="Q191">
        <f t="shared" si="200"/>
        <v>0</v>
      </c>
      <c r="R191">
        <f t="shared" si="201"/>
        <v>0</v>
      </c>
      <c r="S191">
        <f t="shared" si="202"/>
        <v>0</v>
      </c>
      <c r="T191">
        <f t="shared" si="203"/>
        <v>0</v>
      </c>
      <c r="U191">
        <f t="shared" si="204"/>
        <v>0</v>
      </c>
      <c r="V191">
        <f t="shared" si="205"/>
        <v>0</v>
      </c>
      <c r="W191">
        <f t="shared" si="206"/>
        <v>0</v>
      </c>
      <c r="X191">
        <f t="shared" si="207"/>
        <v>0</v>
      </c>
      <c r="Y191">
        <f t="shared" si="208"/>
        <v>0</v>
      </c>
      <c r="AA191">
        <v>16742901</v>
      </c>
      <c r="AB191">
        <f t="shared" si="209"/>
        <v>31.28</v>
      </c>
      <c r="AC191">
        <f t="shared" si="192"/>
        <v>31.28</v>
      </c>
      <c r="AD191">
        <f>ROUND((((ET191)-(EU191))+AE191),2)</f>
        <v>0</v>
      </c>
      <c r="AE191">
        <f t="shared" si="231"/>
        <v>0</v>
      </c>
      <c r="AF191">
        <f t="shared" si="231"/>
        <v>0</v>
      </c>
      <c r="AG191">
        <f t="shared" si="210"/>
        <v>0</v>
      </c>
      <c r="AH191">
        <f t="shared" si="232"/>
        <v>0</v>
      </c>
      <c r="AI191">
        <f t="shared" si="232"/>
        <v>0</v>
      </c>
      <c r="AJ191">
        <f t="shared" si="211"/>
        <v>0</v>
      </c>
      <c r="AK191">
        <v>31.28</v>
      </c>
      <c r="AL191">
        <v>31.28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111</v>
      </c>
      <c r="AU191">
        <v>64</v>
      </c>
      <c r="AV191">
        <v>1</v>
      </c>
      <c r="AW191">
        <v>1</v>
      </c>
      <c r="AZ191">
        <v>6.56</v>
      </c>
      <c r="BA191">
        <v>1</v>
      </c>
      <c r="BB191">
        <v>1</v>
      </c>
      <c r="BC191">
        <v>6.56</v>
      </c>
      <c r="BD191" t="s">
        <v>6</v>
      </c>
      <c r="BE191" t="s">
        <v>6</v>
      </c>
      <c r="BF191" t="s">
        <v>6</v>
      </c>
      <c r="BG191" t="s">
        <v>6</v>
      </c>
      <c r="BH191">
        <v>3</v>
      </c>
      <c r="BI191">
        <v>1</v>
      </c>
      <c r="BJ191" t="s">
        <v>587</v>
      </c>
      <c r="BM191">
        <v>11001</v>
      </c>
      <c r="BN191">
        <v>0</v>
      </c>
      <c r="BO191" t="s">
        <v>6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123</v>
      </c>
      <c r="CA191">
        <v>75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212"/>
        <v>820.79</v>
      </c>
      <c r="CQ191">
        <f t="shared" si="213"/>
        <v>205.1968</v>
      </c>
      <c r="CR191">
        <f t="shared" si="214"/>
        <v>0</v>
      </c>
      <c r="CS191">
        <f t="shared" si="215"/>
        <v>0</v>
      </c>
      <c r="CT191">
        <f t="shared" si="216"/>
        <v>0</v>
      </c>
      <c r="CU191">
        <f t="shared" si="217"/>
        <v>0</v>
      </c>
      <c r="CV191">
        <f t="shared" si="218"/>
        <v>0</v>
      </c>
      <c r="CW191">
        <f t="shared" si="219"/>
        <v>0</v>
      </c>
      <c r="CX191">
        <f t="shared" si="220"/>
        <v>0</v>
      </c>
      <c r="CY191">
        <f t="shared" si="221"/>
        <v>0</v>
      </c>
      <c r="CZ191">
        <f t="shared" si="222"/>
        <v>0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73</v>
      </c>
      <c r="DW191" t="s">
        <v>73</v>
      </c>
      <c r="DX191">
        <v>1</v>
      </c>
      <c r="EE191">
        <v>16510488</v>
      </c>
      <c r="EF191">
        <v>2</v>
      </c>
      <c r="EG191" t="s">
        <v>22</v>
      </c>
      <c r="EH191">
        <v>0</v>
      </c>
      <c r="EI191" t="s">
        <v>6</v>
      </c>
      <c r="EJ191">
        <v>1</v>
      </c>
      <c r="EK191">
        <v>11001</v>
      </c>
      <c r="EL191" t="s">
        <v>91</v>
      </c>
      <c r="EM191" t="s">
        <v>460</v>
      </c>
      <c r="EO191" t="s">
        <v>6</v>
      </c>
      <c r="EQ191">
        <v>0</v>
      </c>
      <c r="ER191">
        <v>31.28</v>
      </c>
      <c r="ES191">
        <v>31.28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23"/>
        <v>0</v>
      </c>
      <c r="FS191">
        <v>0</v>
      </c>
      <c r="FT191" t="s">
        <v>25</v>
      </c>
      <c r="FU191" t="s">
        <v>26</v>
      </c>
      <c r="FX191">
        <v>110.7</v>
      </c>
      <c r="FY191">
        <v>63.75</v>
      </c>
      <c r="GA191" t="s">
        <v>6</v>
      </c>
      <c r="GD191">
        <v>0</v>
      </c>
      <c r="GF191">
        <v>-94522557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224"/>
        <v>0</v>
      </c>
      <c r="GM191">
        <f t="shared" si="225"/>
        <v>820.79</v>
      </c>
      <c r="GN191">
        <f t="shared" si="226"/>
        <v>820.79</v>
      </c>
      <c r="GO191">
        <f t="shared" si="227"/>
        <v>0</v>
      </c>
      <c r="GP191">
        <f t="shared" si="228"/>
        <v>0</v>
      </c>
      <c r="GR191">
        <v>0</v>
      </c>
      <c r="GS191">
        <v>3</v>
      </c>
      <c r="GT191">
        <v>0</v>
      </c>
      <c r="GU191" t="s">
        <v>6</v>
      </c>
      <c r="GV191">
        <f t="shared" si="229"/>
        <v>0</v>
      </c>
      <c r="GW191">
        <v>1</v>
      </c>
      <c r="GX191">
        <f t="shared" si="230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C192">
        <v>358</v>
      </c>
      <c r="E192" t="s">
        <v>588</v>
      </c>
      <c r="F192" t="s">
        <v>589</v>
      </c>
      <c r="G192" t="s">
        <v>590</v>
      </c>
      <c r="H192" t="s">
        <v>220</v>
      </c>
      <c r="I192">
        <f>I189*J192</f>
        <v>9.4499999999999993</v>
      </c>
      <c r="J192">
        <v>105</v>
      </c>
      <c r="O192">
        <f t="shared" si="198"/>
        <v>0</v>
      </c>
      <c r="P192">
        <f t="shared" si="199"/>
        <v>0</v>
      </c>
      <c r="Q192">
        <f t="shared" si="200"/>
        <v>0</v>
      </c>
      <c r="R192">
        <f t="shared" si="201"/>
        <v>0</v>
      </c>
      <c r="S192">
        <f t="shared" si="202"/>
        <v>0</v>
      </c>
      <c r="T192">
        <f t="shared" si="203"/>
        <v>0</v>
      </c>
      <c r="U192">
        <f t="shared" si="204"/>
        <v>0</v>
      </c>
      <c r="V192">
        <f t="shared" si="205"/>
        <v>0</v>
      </c>
      <c r="W192">
        <f t="shared" si="206"/>
        <v>0</v>
      </c>
      <c r="X192">
        <f t="shared" si="207"/>
        <v>0</v>
      </c>
      <c r="Y192">
        <f t="shared" si="208"/>
        <v>0</v>
      </c>
      <c r="AA192">
        <v>16742901</v>
      </c>
      <c r="AB192">
        <f t="shared" si="209"/>
        <v>0</v>
      </c>
      <c r="AC192">
        <f t="shared" si="192"/>
        <v>0</v>
      </c>
      <c r="AD192">
        <f>ROUND((((ET192)-(EU192))+AE192),2)</f>
        <v>0</v>
      </c>
      <c r="AE192">
        <f t="shared" si="231"/>
        <v>0</v>
      </c>
      <c r="AF192">
        <f t="shared" si="231"/>
        <v>0</v>
      </c>
      <c r="AG192">
        <f t="shared" si="210"/>
        <v>0</v>
      </c>
      <c r="AH192">
        <f t="shared" si="232"/>
        <v>0</v>
      </c>
      <c r="AI192">
        <f t="shared" si="232"/>
        <v>0</v>
      </c>
      <c r="AJ192">
        <f t="shared" si="211"/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111</v>
      </c>
      <c r="AU192">
        <v>64</v>
      </c>
      <c r="AV192">
        <v>1</v>
      </c>
      <c r="AW192">
        <v>1</v>
      </c>
      <c r="AZ192">
        <v>6.56</v>
      </c>
      <c r="BA192">
        <v>1</v>
      </c>
      <c r="BB192">
        <v>1</v>
      </c>
      <c r="BC192">
        <v>6.56</v>
      </c>
      <c r="BD192" t="s">
        <v>6</v>
      </c>
      <c r="BE192" t="s">
        <v>6</v>
      </c>
      <c r="BF192" t="s">
        <v>6</v>
      </c>
      <c r="BG192" t="s">
        <v>6</v>
      </c>
      <c r="BH192">
        <v>3</v>
      </c>
      <c r="BI192">
        <v>1</v>
      </c>
      <c r="BJ192" t="s">
        <v>6</v>
      </c>
      <c r="BM192">
        <v>11001</v>
      </c>
      <c r="BN192">
        <v>0</v>
      </c>
      <c r="BO192" t="s">
        <v>6</v>
      </c>
      <c r="BP192">
        <v>0</v>
      </c>
      <c r="BQ192">
        <v>2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123</v>
      </c>
      <c r="CA192">
        <v>75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212"/>
        <v>0</v>
      </c>
      <c r="CQ192">
        <f t="shared" si="213"/>
        <v>0</v>
      </c>
      <c r="CR192">
        <f t="shared" si="214"/>
        <v>0</v>
      </c>
      <c r="CS192">
        <f t="shared" si="215"/>
        <v>0</v>
      </c>
      <c r="CT192">
        <f t="shared" si="216"/>
        <v>0</v>
      </c>
      <c r="CU192">
        <f t="shared" si="217"/>
        <v>0</v>
      </c>
      <c r="CV192">
        <f t="shared" si="218"/>
        <v>0</v>
      </c>
      <c r="CW192">
        <f t="shared" si="219"/>
        <v>0</v>
      </c>
      <c r="CX192">
        <f t="shared" si="220"/>
        <v>0</v>
      </c>
      <c r="CY192">
        <f t="shared" si="221"/>
        <v>0</v>
      </c>
      <c r="CZ192">
        <f t="shared" si="222"/>
        <v>0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1003</v>
      </c>
      <c r="DV192" t="s">
        <v>220</v>
      </c>
      <c r="DW192" t="s">
        <v>220</v>
      </c>
      <c r="DX192">
        <v>1</v>
      </c>
      <c r="EE192">
        <v>16510488</v>
      </c>
      <c r="EF192">
        <v>2</v>
      </c>
      <c r="EG192" t="s">
        <v>22</v>
      </c>
      <c r="EH192">
        <v>0</v>
      </c>
      <c r="EI192" t="s">
        <v>6</v>
      </c>
      <c r="EJ192">
        <v>1</v>
      </c>
      <c r="EK192">
        <v>11001</v>
      </c>
      <c r="EL192" t="s">
        <v>91</v>
      </c>
      <c r="EM192" t="s">
        <v>460</v>
      </c>
      <c r="EO192" t="s">
        <v>6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23"/>
        <v>0</v>
      </c>
      <c r="FS192">
        <v>0</v>
      </c>
      <c r="FT192" t="s">
        <v>25</v>
      </c>
      <c r="FU192" t="s">
        <v>26</v>
      </c>
      <c r="FX192">
        <v>110.7</v>
      </c>
      <c r="FY192">
        <v>63.75</v>
      </c>
      <c r="GA192" t="s">
        <v>6</v>
      </c>
      <c r="GD192">
        <v>0</v>
      </c>
      <c r="GF192">
        <v>2101938969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24"/>
        <v>0</v>
      </c>
      <c r="GM192">
        <f t="shared" si="225"/>
        <v>0</v>
      </c>
      <c r="GN192">
        <f t="shared" si="226"/>
        <v>0</v>
      </c>
      <c r="GO192">
        <f t="shared" si="227"/>
        <v>0</v>
      </c>
      <c r="GP192">
        <f t="shared" si="228"/>
        <v>0</v>
      </c>
      <c r="GR192">
        <v>0</v>
      </c>
      <c r="GS192">
        <v>3</v>
      </c>
      <c r="GT192">
        <v>0</v>
      </c>
      <c r="GU192" t="s">
        <v>6</v>
      </c>
      <c r="GV192">
        <f t="shared" si="229"/>
        <v>0</v>
      </c>
      <c r="GW192">
        <v>1</v>
      </c>
      <c r="GX192">
        <f t="shared" si="230"/>
        <v>0</v>
      </c>
      <c r="HA192">
        <v>0</v>
      </c>
      <c r="HB192"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ROW(SmtRes!A365)</f>
        <v>365</v>
      </c>
      <c r="D193">
        <f>ROW(EtalonRes!A343)</f>
        <v>343</v>
      </c>
      <c r="E193" t="s">
        <v>591</v>
      </c>
      <c r="F193" t="s">
        <v>592</v>
      </c>
      <c r="G193" t="s">
        <v>593</v>
      </c>
      <c r="H193" t="s">
        <v>20</v>
      </c>
      <c r="I193">
        <f>ROUND(223.86/100,9)</f>
        <v>2.2385999999999999</v>
      </c>
      <c r="J193">
        <v>0</v>
      </c>
      <c r="O193">
        <f t="shared" si="198"/>
        <v>100577.28</v>
      </c>
      <c r="P193">
        <f t="shared" si="199"/>
        <v>78351.5</v>
      </c>
      <c r="Q193">
        <f t="shared" si="200"/>
        <v>5960.58</v>
      </c>
      <c r="R193">
        <f t="shared" si="201"/>
        <v>1163.6600000000001</v>
      </c>
      <c r="S193">
        <f t="shared" si="202"/>
        <v>16265.2</v>
      </c>
      <c r="T193">
        <f t="shared" si="203"/>
        <v>0</v>
      </c>
      <c r="U193">
        <f t="shared" si="204"/>
        <v>263.77199939999997</v>
      </c>
      <c r="V193">
        <f t="shared" si="205"/>
        <v>14.942654999999998</v>
      </c>
      <c r="W193">
        <f t="shared" si="206"/>
        <v>0</v>
      </c>
      <c r="X193">
        <f t="shared" si="207"/>
        <v>16557.419999999998</v>
      </c>
      <c r="Y193">
        <f t="shared" si="208"/>
        <v>8191.56</v>
      </c>
      <c r="AA193">
        <v>16742901</v>
      </c>
      <c r="AB193">
        <f t="shared" si="209"/>
        <v>6848.88</v>
      </c>
      <c r="AC193">
        <f t="shared" si="192"/>
        <v>5335.4</v>
      </c>
      <c r="AD193">
        <f>ROUND(((((ET193*1.25))-((EU193*1.25)))+AE193),2)</f>
        <v>405.89</v>
      </c>
      <c r="AE193">
        <f>ROUND(((EU193*1.25)),2)</f>
        <v>79.239999999999995</v>
      </c>
      <c r="AF193">
        <f>ROUND(((EV193*1.15)),2)</f>
        <v>1107.5899999999999</v>
      </c>
      <c r="AG193">
        <f t="shared" si="210"/>
        <v>0</v>
      </c>
      <c r="AH193">
        <f>((EW193*1.15))</f>
        <v>117.82899999999998</v>
      </c>
      <c r="AI193">
        <f>((EX193*1.25))</f>
        <v>6.6749999999999998</v>
      </c>
      <c r="AJ193">
        <f t="shared" si="211"/>
        <v>0</v>
      </c>
      <c r="AK193">
        <v>6623.23</v>
      </c>
      <c r="AL193">
        <v>5335.4</v>
      </c>
      <c r="AM193">
        <v>324.70999999999998</v>
      </c>
      <c r="AN193">
        <v>63.39</v>
      </c>
      <c r="AO193">
        <v>963.12</v>
      </c>
      <c r="AP193">
        <v>0</v>
      </c>
      <c r="AQ193">
        <v>102.46</v>
      </c>
      <c r="AR193">
        <v>5.34</v>
      </c>
      <c r="AS193">
        <v>0</v>
      </c>
      <c r="AT193">
        <v>95</v>
      </c>
      <c r="AU193">
        <v>47</v>
      </c>
      <c r="AV193">
        <v>1</v>
      </c>
      <c r="AW193">
        <v>1</v>
      </c>
      <c r="AZ193">
        <v>6.56</v>
      </c>
      <c r="BA193">
        <v>6.56</v>
      </c>
      <c r="BB193">
        <v>6.56</v>
      </c>
      <c r="BC193">
        <v>6.56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1</v>
      </c>
      <c r="BJ193" t="s">
        <v>594</v>
      </c>
      <c r="BM193">
        <v>15001</v>
      </c>
      <c r="BN193">
        <v>0</v>
      </c>
      <c r="BO193" t="s">
        <v>6</v>
      </c>
      <c r="BP193">
        <v>0</v>
      </c>
      <c r="BQ193">
        <v>2</v>
      </c>
      <c r="BR193">
        <v>0</v>
      </c>
      <c r="BS193">
        <v>6.56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105</v>
      </c>
      <c r="CA193">
        <v>55</v>
      </c>
      <c r="CF193">
        <v>0</v>
      </c>
      <c r="CG193">
        <v>0</v>
      </c>
      <c r="CM193">
        <v>0</v>
      </c>
      <c r="CN193" t="s">
        <v>1902</v>
      </c>
      <c r="CO193">
        <v>0</v>
      </c>
      <c r="CP193">
        <f t="shared" si="212"/>
        <v>100577.28</v>
      </c>
      <c r="CQ193">
        <f t="shared" si="213"/>
        <v>35000.223999999995</v>
      </c>
      <c r="CR193">
        <f t="shared" si="214"/>
        <v>2662.6383999999998</v>
      </c>
      <c r="CS193">
        <f t="shared" si="215"/>
        <v>519.81439999999998</v>
      </c>
      <c r="CT193">
        <f t="shared" si="216"/>
        <v>7265.790399999999</v>
      </c>
      <c r="CU193">
        <f t="shared" si="217"/>
        <v>0</v>
      </c>
      <c r="CV193">
        <f t="shared" si="218"/>
        <v>117.82899999999998</v>
      </c>
      <c r="CW193">
        <f t="shared" si="219"/>
        <v>6.6749999999999998</v>
      </c>
      <c r="CX193">
        <f t="shared" si="220"/>
        <v>0</v>
      </c>
      <c r="CY193">
        <f t="shared" si="221"/>
        <v>16557.417000000001</v>
      </c>
      <c r="CZ193">
        <f t="shared" si="222"/>
        <v>8191.5642000000007</v>
      </c>
      <c r="DC193" t="s">
        <v>6</v>
      </c>
      <c r="DD193" t="s">
        <v>6</v>
      </c>
      <c r="DE193" t="s">
        <v>187</v>
      </c>
      <c r="DF193" t="s">
        <v>187</v>
      </c>
      <c r="DG193" t="s">
        <v>188</v>
      </c>
      <c r="DH193" t="s">
        <v>6</v>
      </c>
      <c r="DI193" t="s">
        <v>188</v>
      </c>
      <c r="DJ193" t="s">
        <v>187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1005</v>
      </c>
      <c r="DV193" t="s">
        <v>20</v>
      </c>
      <c r="DW193" t="s">
        <v>20</v>
      </c>
      <c r="DX193">
        <v>100</v>
      </c>
      <c r="EE193">
        <v>16510513</v>
      </c>
      <c r="EF193">
        <v>2</v>
      </c>
      <c r="EG193" t="s">
        <v>22</v>
      </c>
      <c r="EH193">
        <v>0</v>
      </c>
      <c r="EI193" t="s">
        <v>6</v>
      </c>
      <c r="EJ193">
        <v>1</v>
      </c>
      <c r="EK193">
        <v>15001</v>
      </c>
      <c r="EL193" t="s">
        <v>229</v>
      </c>
      <c r="EM193" t="s">
        <v>230</v>
      </c>
      <c r="EO193" t="s">
        <v>189</v>
      </c>
      <c r="EQ193">
        <v>131072</v>
      </c>
      <c r="ER193">
        <v>6623.23</v>
      </c>
      <c r="ES193">
        <v>5335.4</v>
      </c>
      <c r="ET193">
        <v>324.70999999999998</v>
      </c>
      <c r="EU193">
        <v>63.39</v>
      </c>
      <c r="EV193">
        <v>963.12</v>
      </c>
      <c r="EW193">
        <v>102.46</v>
      </c>
      <c r="EX193">
        <v>5.34</v>
      </c>
      <c r="EY193">
        <v>0</v>
      </c>
      <c r="FQ193">
        <v>0</v>
      </c>
      <c r="FR193">
        <f t="shared" si="223"/>
        <v>0</v>
      </c>
      <c r="FS193">
        <v>0</v>
      </c>
      <c r="FT193" t="s">
        <v>25</v>
      </c>
      <c r="FU193" t="s">
        <v>26</v>
      </c>
      <c r="FX193">
        <v>94.5</v>
      </c>
      <c r="FY193">
        <v>46.75</v>
      </c>
      <c r="GA193" t="s">
        <v>6</v>
      </c>
      <c r="GD193">
        <v>0</v>
      </c>
      <c r="GF193">
        <v>-59192285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24"/>
        <v>0</v>
      </c>
      <c r="GM193">
        <f t="shared" si="225"/>
        <v>125326.26</v>
      </c>
      <c r="GN193">
        <f t="shared" si="226"/>
        <v>125326.26</v>
      </c>
      <c r="GO193">
        <f t="shared" si="227"/>
        <v>0</v>
      </c>
      <c r="GP193">
        <f t="shared" si="228"/>
        <v>0</v>
      </c>
      <c r="GR193">
        <v>0</v>
      </c>
      <c r="GS193">
        <v>3</v>
      </c>
      <c r="GT193">
        <v>0</v>
      </c>
      <c r="GU193" t="s">
        <v>6</v>
      </c>
      <c r="GV193">
        <f t="shared" si="229"/>
        <v>0</v>
      </c>
      <c r="GW193">
        <v>1</v>
      </c>
      <c r="GX193">
        <f t="shared" si="230"/>
        <v>0</v>
      </c>
      <c r="HA193">
        <v>0</v>
      </c>
      <c r="HB193">
        <v>0</v>
      </c>
      <c r="IK193">
        <v>0</v>
      </c>
    </row>
    <row r="194" spans="1:245" x14ac:dyDescent="0.2">
      <c r="A194">
        <v>17</v>
      </c>
      <c r="B194">
        <v>1</v>
      </c>
      <c r="C194">
        <f>ROW(SmtRes!A375)</f>
        <v>375</v>
      </c>
      <c r="D194">
        <f>ROW(EtalonRes!A352)</f>
        <v>352</v>
      </c>
      <c r="E194" t="s">
        <v>595</v>
      </c>
      <c r="F194" t="s">
        <v>596</v>
      </c>
      <c r="G194" t="s">
        <v>597</v>
      </c>
      <c r="H194" t="s">
        <v>20</v>
      </c>
      <c r="I194">
        <f>ROUND(21/100,9)</f>
        <v>0.21</v>
      </c>
      <c r="J194">
        <v>0</v>
      </c>
      <c r="O194">
        <f t="shared" si="198"/>
        <v>40785.64</v>
      </c>
      <c r="P194">
        <f t="shared" si="199"/>
        <v>38915.410000000003</v>
      </c>
      <c r="Q194">
        <f t="shared" si="200"/>
        <v>256.55</v>
      </c>
      <c r="R194">
        <f t="shared" si="201"/>
        <v>8.61</v>
      </c>
      <c r="S194">
        <f t="shared" si="202"/>
        <v>1613.68</v>
      </c>
      <c r="T194">
        <f t="shared" si="203"/>
        <v>0</v>
      </c>
      <c r="U194">
        <f t="shared" si="204"/>
        <v>26.168939999999996</v>
      </c>
      <c r="V194">
        <f t="shared" si="205"/>
        <v>0.10237500000000001</v>
      </c>
      <c r="W194">
        <f t="shared" si="206"/>
        <v>0</v>
      </c>
      <c r="X194">
        <f t="shared" si="207"/>
        <v>1541.18</v>
      </c>
      <c r="Y194">
        <f t="shared" si="208"/>
        <v>762.48</v>
      </c>
      <c r="AA194">
        <v>16742901</v>
      </c>
      <c r="AB194">
        <f t="shared" si="209"/>
        <v>29606.3</v>
      </c>
      <c r="AC194">
        <f t="shared" si="192"/>
        <v>28248.7</v>
      </c>
      <c r="AD194">
        <f>ROUND(((((ET194*1.25))-((EU194*1.25)))+AE194),2)</f>
        <v>186.23</v>
      </c>
      <c r="AE194">
        <f>ROUND(((EU194*1.25)),2)</f>
        <v>6.25</v>
      </c>
      <c r="AF194">
        <f>ROUND(((EV194*1.15)),2)</f>
        <v>1171.3699999999999</v>
      </c>
      <c r="AG194">
        <f t="shared" si="210"/>
        <v>0</v>
      </c>
      <c r="AH194">
        <f>((EW194*1.15))</f>
        <v>124.61399999999999</v>
      </c>
      <c r="AI194">
        <f>((EX194*1.25))</f>
        <v>0.48750000000000004</v>
      </c>
      <c r="AJ194">
        <f t="shared" si="211"/>
        <v>0</v>
      </c>
      <c r="AK194">
        <v>29416.26</v>
      </c>
      <c r="AL194">
        <v>28248.7</v>
      </c>
      <c r="AM194">
        <v>148.97999999999999</v>
      </c>
      <c r="AN194">
        <v>5</v>
      </c>
      <c r="AO194">
        <v>1018.58</v>
      </c>
      <c r="AP194">
        <v>0</v>
      </c>
      <c r="AQ194">
        <v>108.36</v>
      </c>
      <c r="AR194">
        <v>0.39</v>
      </c>
      <c r="AS194">
        <v>0</v>
      </c>
      <c r="AT194">
        <v>95</v>
      </c>
      <c r="AU194">
        <v>47</v>
      </c>
      <c r="AV194">
        <v>1</v>
      </c>
      <c r="AW194">
        <v>1</v>
      </c>
      <c r="AZ194">
        <v>6.56</v>
      </c>
      <c r="BA194">
        <v>6.56</v>
      </c>
      <c r="BB194">
        <v>6.56</v>
      </c>
      <c r="BC194">
        <v>6.56</v>
      </c>
      <c r="BD194" t="s">
        <v>6</v>
      </c>
      <c r="BE194" t="s">
        <v>6</v>
      </c>
      <c r="BF194" t="s">
        <v>6</v>
      </c>
      <c r="BG194" t="s">
        <v>6</v>
      </c>
      <c r="BH194">
        <v>0</v>
      </c>
      <c r="BI194">
        <v>1</v>
      </c>
      <c r="BJ194" t="s">
        <v>598</v>
      </c>
      <c r="BM194">
        <v>15001</v>
      </c>
      <c r="BN194">
        <v>0</v>
      </c>
      <c r="BO194" t="s">
        <v>6</v>
      </c>
      <c r="BP194">
        <v>0</v>
      </c>
      <c r="BQ194">
        <v>2</v>
      </c>
      <c r="BR194">
        <v>0</v>
      </c>
      <c r="BS194">
        <v>6.56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105</v>
      </c>
      <c r="CA194">
        <v>55</v>
      </c>
      <c r="CF194">
        <v>0</v>
      </c>
      <c r="CG194">
        <v>0</v>
      </c>
      <c r="CM194">
        <v>0</v>
      </c>
      <c r="CN194" t="s">
        <v>1902</v>
      </c>
      <c r="CO194">
        <v>0</v>
      </c>
      <c r="CP194">
        <f t="shared" si="212"/>
        <v>40785.640000000007</v>
      </c>
      <c r="CQ194">
        <f t="shared" si="213"/>
        <v>185311.47199999998</v>
      </c>
      <c r="CR194">
        <f t="shared" si="214"/>
        <v>1221.6687999999999</v>
      </c>
      <c r="CS194">
        <f t="shared" si="215"/>
        <v>41</v>
      </c>
      <c r="CT194">
        <f t="shared" si="216"/>
        <v>7684.1871999999985</v>
      </c>
      <c r="CU194">
        <f t="shared" si="217"/>
        <v>0</v>
      </c>
      <c r="CV194">
        <f t="shared" si="218"/>
        <v>124.61399999999999</v>
      </c>
      <c r="CW194">
        <f t="shared" si="219"/>
        <v>0.48750000000000004</v>
      </c>
      <c r="CX194">
        <f t="shared" si="220"/>
        <v>0</v>
      </c>
      <c r="CY194">
        <f t="shared" si="221"/>
        <v>1541.1754999999998</v>
      </c>
      <c r="CZ194">
        <f t="shared" si="222"/>
        <v>762.47630000000004</v>
      </c>
      <c r="DC194" t="s">
        <v>6</v>
      </c>
      <c r="DD194" t="s">
        <v>6</v>
      </c>
      <c r="DE194" t="s">
        <v>187</v>
      </c>
      <c r="DF194" t="s">
        <v>187</v>
      </c>
      <c r="DG194" t="s">
        <v>188</v>
      </c>
      <c r="DH194" t="s">
        <v>6</v>
      </c>
      <c r="DI194" t="s">
        <v>188</v>
      </c>
      <c r="DJ194" t="s">
        <v>187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1005</v>
      </c>
      <c r="DV194" t="s">
        <v>20</v>
      </c>
      <c r="DW194" t="s">
        <v>20</v>
      </c>
      <c r="DX194">
        <v>100</v>
      </c>
      <c r="EE194">
        <v>16510513</v>
      </c>
      <c r="EF194">
        <v>2</v>
      </c>
      <c r="EG194" t="s">
        <v>22</v>
      </c>
      <c r="EH194">
        <v>0</v>
      </c>
      <c r="EI194" t="s">
        <v>6</v>
      </c>
      <c r="EJ194">
        <v>1</v>
      </c>
      <c r="EK194">
        <v>15001</v>
      </c>
      <c r="EL194" t="s">
        <v>229</v>
      </c>
      <c r="EM194" t="s">
        <v>230</v>
      </c>
      <c r="EO194" t="s">
        <v>189</v>
      </c>
      <c r="EQ194">
        <v>131072</v>
      </c>
      <c r="ER194">
        <v>29416.26</v>
      </c>
      <c r="ES194">
        <v>28248.7</v>
      </c>
      <c r="ET194">
        <v>148.97999999999999</v>
      </c>
      <c r="EU194">
        <v>5</v>
      </c>
      <c r="EV194">
        <v>1018.58</v>
      </c>
      <c r="EW194">
        <v>108.36</v>
      </c>
      <c r="EX194">
        <v>0.39</v>
      </c>
      <c r="EY194">
        <v>0</v>
      </c>
      <c r="FQ194">
        <v>0</v>
      </c>
      <c r="FR194">
        <f t="shared" si="223"/>
        <v>0</v>
      </c>
      <c r="FS194">
        <v>0</v>
      </c>
      <c r="FT194" t="s">
        <v>25</v>
      </c>
      <c r="FU194" t="s">
        <v>26</v>
      </c>
      <c r="FX194">
        <v>94.5</v>
      </c>
      <c r="FY194">
        <v>46.75</v>
      </c>
      <c r="GA194" t="s">
        <v>6</v>
      </c>
      <c r="GD194">
        <v>0</v>
      </c>
      <c r="GF194">
        <v>-1352553564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24"/>
        <v>0</v>
      </c>
      <c r="GM194">
        <f t="shared" si="225"/>
        <v>43089.3</v>
      </c>
      <c r="GN194">
        <f t="shared" si="226"/>
        <v>43089.3</v>
      </c>
      <c r="GO194">
        <f t="shared" si="227"/>
        <v>0</v>
      </c>
      <c r="GP194">
        <f t="shared" si="228"/>
        <v>0</v>
      </c>
      <c r="GR194">
        <v>0</v>
      </c>
      <c r="GS194">
        <v>3</v>
      </c>
      <c r="GT194">
        <v>0</v>
      </c>
      <c r="GU194" t="s">
        <v>6</v>
      </c>
      <c r="GV194">
        <f t="shared" si="229"/>
        <v>0</v>
      </c>
      <c r="GW194">
        <v>1</v>
      </c>
      <c r="GX194">
        <f t="shared" si="230"/>
        <v>0</v>
      </c>
      <c r="HA194">
        <v>0</v>
      </c>
      <c r="HB194">
        <v>0</v>
      </c>
      <c r="IK194">
        <v>0</v>
      </c>
    </row>
    <row r="195" spans="1:245" x14ac:dyDescent="0.2">
      <c r="A195">
        <v>18</v>
      </c>
      <c r="B195">
        <v>1</v>
      </c>
      <c r="C195">
        <v>373</v>
      </c>
      <c r="E195" t="s">
        <v>599</v>
      </c>
      <c r="F195" t="s">
        <v>600</v>
      </c>
      <c r="G195" t="s">
        <v>601</v>
      </c>
      <c r="H195" t="s">
        <v>220</v>
      </c>
      <c r="I195">
        <f>I194*J195</f>
        <v>11.986300999999999</v>
      </c>
      <c r="J195">
        <v>57.077623809523807</v>
      </c>
      <c r="O195">
        <f t="shared" si="198"/>
        <v>493.8</v>
      </c>
      <c r="P195">
        <f t="shared" si="199"/>
        <v>493.8</v>
      </c>
      <c r="Q195">
        <f t="shared" si="200"/>
        <v>0</v>
      </c>
      <c r="R195">
        <f t="shared" si="201"/>
        <v>0</v>
      </c>
      <c r="S195">
        <f t="shared" si="202"/>
        <v>0</v>
      </c>
      <c r="T195">
        <f t="shared" si="203"/>
        <v>0</v>
      </c>
      <c r="U195">
        <f t="shared" si="204"/>
        <v>0</v>
      </c>
      <c r="V195">
        <f t="shared" si="205"/>
        <v>0</v>
      </c>
      <c r="W195">
        <f t="shared" si="206"/>
        <v>0</v>
      </c>
      <c r="X195">
        <f t="shared" si="207"/>
        <v>0</v>
      </c>
      <c r="Y195">
        <f t="shared" si="208"/>
        <v>0</v>
      </c>
      <c r="AA195">
        <v>16742901</v>
      </c>
      <c r="AB195">
        <f t="shared" si="209"/>
        <v>6.28</v>
      </c>
      <c r="AC195">
        <f t="shared" si="192"/>
        <v>6.28</v>
      </c>
      <c r="AD195">
        <f t="shared" ref="AD195:AD203" si="233">ROUND((((ET195)-(EU195))+AE195),2)</f>
        <v>0</v>
      </c>
      <c r="AE195">
        <f t="shared" ref="AE195:AF197" si="234">ROUND((EU195),2)</f>
        <v>0</v>
      </c>
      <c r="AF195">
        <f t="shared" si="234"/>
        <v>0</v>
      </c>
      <c r="AG195">
        <f t="shared" si="210"/>
        <v>0</v>
      </c>
      <c r="AH195">
        <f t="shared" ref="AH195:AI197" si="235">(EW195)</f>
        <v>0</v>
      </c>
      <c r="AI195">
        <f t="shared" si="235"/>
        <v>0</v>
      </c>
      <c r="AJ195">
        <f t="shared" si="211"/>
        <v>0</v>
      </c>
      <c r="AK195">
        <v>6.28</v>
      </c>
      <c r="AL195">
        <v>6.28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95</v>
      </c>
      <c r="AU195">
        <v>47</v>
      </c>
      <c r="AV195">
        <v>1</v>
      </c>
      <c r="AW195">
        <v>1</v>
      </c>
      <c r="AZ195">
        <v>6.56</v>
      </c>
      <c r="BA195">
        <v>1</v>
      </c>
      <c r="BB195">
        <v>1</v>
      </c>
      <c r="BC195">
        <v>6.56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1</v>
      </c>
      <c r="BJ195" t="s">
        <v>602</v>
      </c>
      <c r="BM195">
        <v>15001</v>
      </c>
      <c r="BN195">
        <v>0</v>
      </c>
      <c r="BO195" t="s">
        <v>6</v>
      </c>
      <c r="BP195">
        <v>0</v>
      </c>
      <c r="BQ195">
        <v>2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105</v>
      </c>
      <c r="CA195">
        <v>55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12"/>
        <v>493.8</v>
      </c>
      <c r="CQ195">
        <f t="shared" si="213"/>
        <v>41.196799999999996</v>
      </c>
      <c r="CR195">
        <f t="shared" si="214"/>
        <v>0</v>
      </c>
      <c r="CS195">
        <f t="shared" si="215"/>
        <v>0</v>
      </c>
      <c r="CT195">
        <f t="shared" si="216"/>
        <v>0</v>
      </c>
      <c r="CU195">
        <f t="shared" si="217"/>
        <v>0</v>
      </c>
      <c r="CV195">
        <f t="shared" si="218"/>
        <v>0</v>
      </c>
      <c r="CW195">
        <f t="shared" si="219"/>
        <v>0</v>
      </c>
      <c r="CX195">
        <f t="shared" si="220"/>
        <v>0</v>
      </c>
      <c r="CY195">
        <f t="shared" si="221"/>
        <v>0</v>
      </c>
      <c r="CZ195">
        <f t="shared" si="222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1003</v>
      </c>
      <c r="DV195" t="s">
        <v>220</v>
      </c>
      <c r="DW195" t="s">
        <v>220</v>
      </c>
      <c r="DX195">
        <v>1</v>
      </c>
      <c r="EE195">
        <v>16510513</v>
      </c>
      <c r="EF195">
        <v>2</v>
      </c>
      <c r="EG195" t="s">
        <v>22</v>
      </c>
      <c r="EH195">
        <v>0</v>
      </c>
      <c r="EI195" t="s">
        <v>6</v>
      </c>
      <c r="EJ195">
        <v>1</v>
      </c>
      <c r="EK195">
        <v>15001</v>
      </c>
      <c r="EL195" t="s">
        <v>229</v>
      </c>
      <c r="EM195" t="s">
        <v>230</v>
      </c>
      <c r="EO195" t="s">
        <v>6</v>
      </c>
      <c r="EQ195">
        <v>0</v>
      </c>
      <c r="ER195">
        <v>6.28</v>
      </c>
      <c r="ES195">
        <v>6.28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23"/>
        <v>0</v>
      </c>
      <c r="FS195">
        <v>0</v>
      </c>
      <c r="FT195" t="s">
        <v>25</v>
      </c>
      <c r="FU195" t="s">
        <v>26</v>
      </c>
      <c r="FX195">
        <v>94.5</v>
      </c>
      <c r="FY195">
        <v>46.75</v>
      </c>
      <c r="GA195" t="s">
        <v>6</v>
      </c>
      <c r="GD195">
        <v>0</v>
      </c>
      <c r="GF195">
        <v>956506138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24"/>
        <v>0</v>
      </c>
      <c r="GM195">
        <f t="shared" si="225"/>
        <v>493.8</v>
      </c>
      <c r="GN195">
        <f t="shared" si="226"/>
        <v>493.8</v>
      </c>
      <c r="GO195">
        <f t="shared" si="227"/>
        <v>0</v>
      </c>
      <c r="GP195">
        <f t="shared" si="228"/>
        <v>0</v>
      </c>
      <c r="GR195">
        <v>0</v>
      </c>
      <c r="GS195">
        <v>3</v>
      </c>
      <c r="GT195">
        <v>0</v>
      </c>
      <c r="GU195" t="s">
        <v>6</v>
      </c>
      <c r="GV195">
        <f t="shared" si="229"/>
        <v>0</v>
      </c>
      <c r="GW195">
        <v>1</v>
      </c>
      <c r="GX195">
        <f t="shared" si="230"/>
        <v>0</v>
      </c>
      <c r="HA195">
        <v>0</v>
      </c>
      <c r="HB195">
        <v>0</v>
      </c>
      <c r="IK195">
        <v>0</v>
      </c>
    </row>
    <row r="196" spans="1:245" x14ac:dyDescent="0.2">
      <c r="A196">
        <v>18</v>
      </c>
      <c r="B196">
        <v>1</v>
      </c>
      <c r="C196">
        <v>375</v>
      </c>
      <c r="E196" t="s">
        <v>603</v>
      </c>
      <c r="F196" t="s">
        <v>604</v>
      </c>
      <c r="G196" t="s">
        <v>605</v>
      </c>
      <c r="H196" t="s">
        <v>220</v>
      </c>
      <c r="I196">
        <f>I194*J196</f>
        <v>-220.5</v>
      </c>
      <c r="J196">
        <v>-1050</v>
      </c>
      <c r="O196">
        <f t="shared" si="198"/>
        <v>-35742.519999999997</v>
      </c>
      <c r="P196">
        <f t="shared" si="199"/>
        <v>-35742.519999999997</v>
      </c>
      <c r="Q196">
        <f t="shared" si="200"/>
        <v>0</v>
      </c>
      <c r="R196">
        <f t="shared" si="201"/>
        <v>0</v>
      </c>
      <c r="S196">
        <f t="shared" si="202"/>
        <v>0</v>
      </c>
      <c r="T196">
        <f t="shared" si="203"/>
        <v>0</v>
      </c>
      <c r="U196">
        <f t="shared" si="204"/>
        <v>0</v>
      </c>
      <c r="V196">
        <f t="shared" si="205"/>
        <v>0</v>
      </c>
      <c r="W196">
        <f t="shared" si="206"/>
        <v>0</v>
      </c>
      <c r="X196">
        <f t="shared" si="207"/>
        <v>0</v>
      </c>
      <c r="Y196">
        <f t="shared" si="208"/>
        <v>0</v>
      </c>
      <c r="AA196">
        <v>16742901</v>
      </c>
      <c r="AB196">
        <f t="shared" si="209"/>
        <v>24.71</v>
      </c>
      <c r="AC196">
        <f t="shared" ref="AC196:AC214" si="236">ROUND((ES196),2)</f>
        <v>24.71</v>
      </c>
      <c r="AD196">
        <f t="shared" si="233"/>
        <v>0</v>
      </c>
      <c r="AE196">
        <f t="shared" si="234"/>
        <v>0</v>
      </c>
      <c r="AF196">
        <f t="shared" si="234"/>
        <v>0</v>
      </c>
      <c r="AG196">
        <f t="shared" si="210"/>
        <v>0</v>
      </c>
      <c r="AH196">
        <f t="shared" si="235"/>
        <v>0</v>
      </c>
      <c r="AI196">
        <f t="shared" si="235"/>
        <v>0</v>
      </c>
      <c r="AJ196">
        <f t="shared" si="211"/>
        <v>0</v>
      </c>
      <c r="AK196">
        <v>24.71</v>
      </c>
      <c r="AL196">
        <v>24.71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95</v>
      </c>
      <c r="AU196">
        <v>47</v>
      </c>
      <c r="AV196">
        <v>1</v>
      </c>
      <c r="AW196">
        <v>1</v>
      </c>
      <c r="AZ196">
        <v>6.56</v>
      </c>
      <c r="BA196">
        <v>1</v>
      </c>
      <c r="BB196">
        <v>1</v>
      </c>
      <c r="BC196">
        <v>6.56</v>
      </c>
      <c r="BD196" t="s">
        <v>6</v>
      </c>
      <c r="BE196" t="s">
        <v>6</v>
      </c>
      <c r="BF196" t="s">
        <v>6</v>
      </c>
      <c r="BG196" t="s">
        <v>6</v>
      </c>
      <c r="BH196">
        <v>3</v>
      </c>
      <c r="BI196">
        <v>1</v>
      </c>
      <c r="BJ196" t="s">
        <v>606</v>
      </c>
      <c r="BM196">
        <v>15001</v>
      </c>
      <c r="BN196">
        <v>0</v>
      </c>
      <c r="BO196" t="s">
        <v>6</v>
      </c>
      <c r="BP196">
        <v>0</v>
      </c>
      <c r="BQ196">
        <v>2</v>
      </c>
      <c r="BR196">
        <v>1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105</v>
      </c>
      <c r="CA196">
        <v>55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212"/>
        <v>-35742.519999999997</v>
      </c>
      <c r="CQ196">
        <f t="shared" si="213"/>
        <v>162.0976</v>
      </c>
      <c r="CR196">
        <f t="shared" si="214"/>
        <v>0</v>
      </c>
      <c r="CS196">
        <f t="shared" si="215"/>
        <v>0</v>
      </c>
      <c r="CT196">
        <f t="shared" si="216"/>
        <v>0</v>
      </c>
      <c r="CU196">
        <f t="shared" si="217"/>
        <v>0</v>
      </c>
      <c r="CV196">
        <f t="shared" si="218"/>
        <v>0</v>
      </c>
      <c r="CW196">
        <f t="shared" si="219"/>
        <v>0</v>
      </c>
      <c r="CX196">
        <f t="shared" si="220"/>
        <v>0</v>
      </c>
      <c r="CY196">
        <f t="shared" si="221"/>
        <v>0</v>
      </c>
      <c r="CZ196">
        <f t="shared" si="222"/>
        <v>0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1003</v>
      </c>
      <c r="DV196" t="s">
        <v>220</v>
      </c>
      <c r="DW196" t="s">
        <v>220</v>
      </c>
      <c r="DX196">
        <v>1</v>
      </c>
      <c r="EE196">
        <v>16510513</v>
      </c>
      <c r="EF196">
        <v>2</v>
      </c>
      <c r="EG196" t="s">
        <v>22</v>
      </c>
      <c r="EH196">
        <v>0</v>
      </c>
      <c r="EI196" t="s">
        <v>6</v>
      </c>
      <c r="EJ196">
        <v>1</v>
      </c>
      <c r="EK196">
        <v>15001</v>
      </c>
      <c r="EL196" t="s">
        <v>229</v>
      </c>
      <c r="EM196" t="s">
        <v>230</v>
      </c>
      <c r="EO196" t="s">
        <v>6</v>
      </c>
      <c r="EQ196">
        <v>0</v>
      </c>
      <c r="ER196">
        <v>24.71</v>
      </c>
      <c r="ES196">
        <v>24.71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23"/>
        <v>0</v>
      </c>
      <c r="FS196">
        <v>0</v>
      </c>
      <c r="FT196" t="s">
        <v>25</v>
      </c>
      <c r="FU196" t="s">
        <v>26</v>
      </c>
      <c r="FX196">
        <v>94.5</v>
      </c>
      <c r="FY196">
        <v>46.75</v>
      </c>
      <c r="GA196" t="s">
        <v>6</v>
      </c>
      <c r="GD196">
        <v>0</v>
      </c>
      <c r="GF196">
        <v>1265826934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24"/>
        <v>0</v>
      </c>
      <c r="GM196">
        <f t="shared" si="225"/>
        <v>-35742.519999999997</v>
      </c>
      <c r="GN196">
        <f t="shared" si="226"/>
        <v>-35742.519999999997</v>
      </c>
      <c r="GO196">
        <f t="shared" si="227"/>
        <v>0</v>
      </c>
      <c r="GP196">
        <f t="shared" si="228"/>
        <v>0</v>
      </c>
      <c r="GR196">
        <v>0</v>
      </c>
      <c r="GS196">
        <v>3</v>
      </c>
      <c r="GT196">
        <v>0</v>
      </c>
      <c r="GU196" t="s">
        <v>6</v>
      </c>
      <c r="GV196">
        <f t="shared" si="229"/>
        <v>0</v>
      </c>
      <c r="GW196">
        <v>1</v>
      </c>
      <c r="GX196">
        <f t="shared" si="230"/>
        <v>0</v>
      </c>
      <c r="HA196">
        <v>0</v>
      </c>
      <c r="HB196">
        <v>0</v>
      </c>
      <c r="IK196">
        <v>0</v>
      </c>
    </row>
    <row r="197" spans="1:245" x14ac:dyDescent="0.2">
      <c r="A197">
        <v>18</v>
      </c>
      <c r="B197">
        <v>1</v>
      </c>
      <c r="C197">
        <v>374</v>
      </c>
      <c r="E197" t="s">
        <v>607</v>
      </c>
      <c r="F197" t="s">
        <v>608</v>
      </c>
      <c r="G197" t="s">
        <v>609</v>
      </c>
      <c r="H197" t="s">
        <v>20</v>
      </c>
      <c r="I197">
        <f>I194*J197</f>
        <v>0.21</v>
      </c>
      <c r="J197">
        <v>1</v>
      </c>
      <c r="O197">
        <f t="shared" si="198"/>
        <v>23340.68</v>
      </c>
      <c r="P197">
        <f t="shared" si="199"/>
        <v>23340.68</v>
      </c>
      <c r="Q197">
        <f t="shared" si="200"/>
        <v>0</v>
      </c>
      <c r="R197">
        <f t="shared" si="201"/>
        <v>0</v>
      </c>
      <c r="S197">
        <f t="shared" si="202"/>
        <v>0</v>
      </c>
      <c r="T197">
        <f t="shared" si="203"/>
        <v>0</v>
      </c>
      <c r="U197">
        <f t="shared" si="204"/>
        <v>0</v>
      </c>
      <c r="V197">
        <f t="shared" si="205"/>
        <v>0</v>
      </c>
      <c r="W197">
        <f t="shared" si="206"/>
        <v>0</v>
      </c>
      <c r="X197">
        <f t="shared" si="207"/>
        <v>0</v>
      </c>
      <c r="Y197">
        <f t="shared" si="208"/>
        <v>0</v>
      </c>
      <c r="AA197">
        <v>16742901</v>
      </c>
      <c r="AB197">
        <f t="shared" si="209"/>
        <v>16943</v>
      </c>
      <c r="AC197">
        <f t="shared" si="236"/>
        <v>16943</v>
      </c>
      <c r="AD197">
        <f t="shared" si="233"/>
        <v>0</v>
      </c>
      <c r="AE197">
        <f t="shared" si="234"/>
        <v>0</v>
      </c>
      <c r="AF197">
        <f t="shared" si="234"/>
        <v>0</v>
      </c>
      <c r="AG197">
        <f t="shared" si="210"/>
        <v>0</v>
      </c>
      <c r="AH197">
        <f t="shared" si="235"/>
        <v>0</v>
      </c>
      <c r="AI197">
        <f t="shared" si="235"/>
        <v>0</v>
      </c>
      <c r="AJ197">
        <f t="shared" si="211"/>
        <v>0</v>
      </c>
      <c r="AK197">
        <v>16943</v>
      </c>
      <c r="AL197">
        <v>16943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47</v>
      </c>
      <c r="AV197">
        <v>1</v>
      </c>
      <c r="AW197">
        <v>1</v>
      </c>
      <c r="AZ197">
        <v>6.56</v>
      </c>
      <c r="BA197">
        <v>1</v>
      </c>
      <c r="BB197">
        <v>1</v>
      </c>
      <c r="BC197">
        <v>6.56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1</v>
      </c>
      <c r="BJ197" t="s">
        <v>610</v>
      </c>
      <c r="BM197">
        <v>15001</v>
      </c>
      <c r="BN197">
        <v>0</v>
      </c>
      <c r="BO197" t="s">
        <v>6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105</v>
      </c>
      <c r="CA197">
        <v>55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12"/>
        <v>23340.68</v>
      </c>
      <c r="CQ197">
        <f t="shared" si="213"/>
        <v>111146.07999999999</v>
      </c>
      <c r="CR197">
        <f t="shared" si="214"/>
        <v>0</v>
      </c>
      <c r="CS197">
        <f t="shared" si="215"/>
        <v>0</v>
      </c>
      <c r="CT197">
        <f t="shared" si="216"/>
        <v>0</v>
      </c>
      <c r="CU197">
        <f t="shared" si="217"/>
        <v>0</v>
      </c>
      <c r="CV197">
        <f t="shared" si="218"/>
        <v>0</v>
      </c>
      <c r="CW197">
        <f t="shared" si="219"/>
        <v>0</v>
      </c>
      <c r="CX197">
        <f t="shared" si="220"/>
        <v>0</v>
      </c>
      <c r="CY197">
        <f t="shared" si="221"/>
        <v>0</v>
      </c>
      <c r="CZ197">
        <f t="shared" si="222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1005</v>
      </c>
      <c r="DV197" t="s">
        <v>20</v>
      </c>
      <c r="DW197" t="s">
        <v>20</v>
      </c>
      <c r="DX197">
        <v>100</v>
      </c>
      <c r="EE197">
        <v>16510513</v>
      </c>
      <c r="EF197">
        <v>2</v>
      </c>
      <c r="EG197" t="s">
        <v>22</v>
      </c>
      <c r="EH197">
        <v>0</v>
      </c>
      <c r="EI197" t="s">
        <v>6</v>
      </c>
      <c r="EJ197">
        <v>1</v>
      </c>
      <c r="EK197">
        <v>15001</v>
      </c>
      <c r="EL197" t="s">
        <v>229</v>
      </c>
      <c r="EM197" t="s">
        <v>230</v>
      </c>
      <c r="EO197" t="s">
        <v>6</v>
      </c>
      <c r="EQ197">
        <v>0</v>
      </c>
      <c r="ER197">
        <v>16943</v>
      </c>
      <c r="ES197">
        <v>16943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23"/>
        <v>0</v>
      </c>
      <c r="FS197">
        <v>0</v>
      </c>
      <c r="FT197" t="s">
        <v>25</v>
      </c>
      <c r="FU197" t="s">
        <v>26</v>
      </c>
      <c r="FX197">
        <v>94.5</v>
      </c>
      <c r="FY197">
        <v>46.75</v>
      </c>
      <c r="GA197" t="s">
        <v>6</v>
      </c>
      <c r="GD197">
        <v>0</v>
      </c>
      <c r="GF197">
        <v>-359833592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24"/>
        <v>0</v>
      </c>
      <c r="GM197">
        <f t="shared" si="225"/>
        <v>23340.68</v>
      </c>
      <c r="GN197">
        <f t="shared" si="226"/>
        <v>23340.68</v>
      </c>
      <c r="GO197">
        <f t="shared" si="227"/>
        <v>0</v>
      </c>
      <c r="GP197">
        <f t="shared" si="228"/>
        <v>0</v>
      </c>
      <c r="GR197">
        <v>0</v>
      </c>
      <c r="GS197">
        <v>3</v>
      </c>
      <c r="GT197">
        <v>0</v>
      </c>
      <c r="GU197" t="s">
        <v>6</v>
      </c>
      <c r="GV197">
        <f t="shared" si="229"/>
        <v>0</v>
      </c>
      <c r="GW197">
        <v>1</v>
      </c>
      <c r="GX197">
        <f t="shared" si="230"/>
        <v>0</v>
      </c>
      <c r="HA197">
        <v>0</v>
      </c>
      <c r="HB197">
        <v>0</v>
      </c>
      <c r="IK197">
        <v>0</v>
      </c>
    </row>
    <row r="198" spans="1:245" x14ac:dyDescent="0.2">
      <c r="A198">
        <v>17</v>
      </c>
      <c r="B198">
        <v>1</v>
      </c>
      <c r="C198">
        <f>ROW(SmtRes!A383)</f>
        <v>383</v>
      </c>
      <c r="D198">
        <f>ROW(EtalonRes!A360)</f>
        <v>360</v>
      </c>
      <c r="E198" t="s">
        <v>611</v>
      </c>
      <c r="F198" t="s">
        <v>612</v>
      </c>
      <c r="G198" t="s">
        <v>613</v>
      </c>
      <c r="H198" t="s">
        <v>20</v>
      </c>
      <c r="I198">
        <f>ROUND(158.5/100,9)</f>
        <v>1.585</v>
      </c>
      <c r="J198">
        <v>0</v>
      </c>
      <c r="O198">
        <f t="shared" si="198"/>
        <v>4450.16</v>
      </c>
      <c r="P198">
        <f t="shared" si="199"/>
        <v>13.72</v>
      </c>
      <c r="Q198">
        <f t="shared" si="200"/>
        <v>186.84</v>
      </c>
      <c r="R198">
        <f t="shared" si="201"/>
        <v>111.46</v>
      </c>
      <c r="S198">
        <f t="shared" si="202"/>
        <v>4249.6000000000004</v>
      </c>
      <c r="T198">
        <f t="shared" si="203"/>
        <v>0</v>
      </c>
      <c r="U198">
        <f t="shared" si="204"/>
        <v>76.57372749999999</v>
      </c>
      <c r="V198">
        <f t="shared" si="205"/>
        <v>1.56915</v>
      </c>
      <c r="W198">
        <f t="shared" si="206"/>
        <v>0</v>
      </c>
      <c r="X198">
        <f t="shared" si="207"/>
        <v>3445.24</v>
      </c>
      <c r="Y198">
        <f t="shared" si="208"/>
        <v>2180.5300000000002</v>
      </c>
      <c r="AA198">
        <v>16742901</v>
      </c>
      <c r="AB198">
        <f t="shared" si="209"/>
        <v>428</v>
      </c>
      <c r="AC198">
        <f t="shared" si="236"/>
        <v>1.32</v>
      </c>
      <c r="AD198">
        <f t="shared" si="233"/>
        <v>17.97</v>
      </c>
      <c r="AE198">
        <f t="shared" ref="AE198:AE203" si="237">ROUND((EU198),2)</f>
        <v>10.72</v>
      </c>
      <c r="AF198">
        <f>ROUND(((EV198*1.15)),2)</f>
        <v>408.71</v>
      </c>
      <c r="AG198">
        <f t="shared" si="210"/>
        <v>0</v>
      </c>
      <c r="AH198">
        <f>((EW198*1.15))</f>
        <v>48.311499999999995</v>
      </c>
      <c r="AI198">
        <f t="shared" ref="AI198:AI203" si="238">(EX198)</f>
        <v>0.99</v>
      </c>
      <c r="AJ198">
        <f t="shared" si="211"/>
        <v>0</v>
      </c>
      <c r="AK198">
        <v>374.69</v>
      </c>
      <c r="AL198">
        <v>1.32</v>
      </c>
      <c r="AM198">
        <v>17.97</v>
      </c>
      <c r="AN198">
        <v>10.72</v>
      </c>
      <c r="AO198">
        <v>355.4</v>
      </c>
      <c r="AP198">
        <v>0</v>
      </c>
      <c r="AQ198">
        <v>42.01</v>
      </c>
      <c r="AR198">
        <v>0.99</v>
      </c>
      <c r="AS198">
        <v>0</v>
      </c>
      <c r="AT198">
        <v>79</v>
      </c>
      <c r="AU198">
        <v>50</v>
      </c>
      <c r="AV198">
        <v>1</v>
      </c>
      <c r="AW198">
        <v>1</v>
      </c>
      <c r="AZ198">
        <v>6.56</v>
      </c>
      <c r="BA198">
        <v>6.56</v>
      </c>
      <c r="BB198">
        <v>6.56</v>
      </c>
      <c r="BC198">
        <v>6.56</v>
      </c>
      <c r="BD198" t="s">
        <v>6</v>
      </c>
      <c r="BE198" t="s">
        <v>6</v>
      </c>
      <c r="BF198" t="s">
        <v>6</v>
      </c>
      <c r="BG198" t="s">
        <v>6</v>
      </c>
      <c r="BH198">
        <v>0</v>
      </c>
      <c r="BI198">
        <v>1</v>
      </c>
      <c r="BJ198" t="s">
        <v>614</v>
      </c>
      <c r="BM198">
        <v>61001</v>
      </c>
      <c r="BN198">
        <v>0</v>
      </c>
      <c r="BO198" t="s">
        <v>6</v>
      </c>
      <c r="BP198">
        <v>0</v>
      </c>
      <c r="BQ198">
        <v>6</v>
      </c>
      <c r="BR198">
        <v>0</v>
      </c>
      <c r="BS198">
        <v>6.56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79</v>
      </c>
      <c r="CA198">
        <v>50</v>
      </c>
      <c r="CF198">
        <v>0</v>
      </c>
      <c r="CG198">
        <v>0</v>
      </c>
      <c r="CM198">
        <v>0</v>
      </c>
      <c r="CN198" t="s">
        <v>1903</v>
      </c>
      <c r="CO198">
        <v>0</v>
      </c>
      <c r="CP198">
        <f t="shared" si="212"/>
        <v>4450.1600000000008</v>
      </c>
      <c r="CQ198">
        <f t="shared" si="213"/>
        <v>8.6592000000000002</v>
      </c>
      <c r="CR198">
        <f t="shared" si="214"/>
        <v>117.88319999999999</v>
      </c>
      <c r="CS198">
        <f t="shared" si="215"/>
        <v>70.3232</v>
      </c>
      <c r="CT198">
        <f t="shared" si="216"/>
        <v>2681.1375999999996</v>
      </c>
      <c r="CU198">
        <f t="shared" si="217"/>
        <v>0</v>
      </c>
      <c r="CV198">
        <f t="shared" si="218"/>
        <v>48.311499999999995</v>
      </c>
      <c r="CW198">
        <f t="shared" si="219"/>
        <v>0.99</v>
      </c>
      <c r="CX198">
        <f t="shared" si="220"/>
        <v>0</v>
      </c>
      <c r="CY198">
        <f t="shared" si="221"/>
        <v>3445.2374000000004</v>
      </c>
      <c r="CZ198">
        <f t="shared" si="222"/>
        <v>2180.5300000000002</v>
      </c>
      <c r="DC198" t="s">
        <v>6</v>
      </c>
      <c r="DD198" t="s">
        <v>6</v>
      </c>
      <c r="DE198" t="s">
        <v>6</v>
      </c>
      <c r="DF198" t="s">
        <v>6</v>
      </c>
      <c r="DG198" t="s">
        <v>188</v>
      </c>
      <c r="DH198" t="s">
        <v>6</v>
      </c>
      <c r="DI198" t="s">
        <v>188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1005</v>
      </c>
      <c r="DV198" t="s">
        <v>20</v>
      </c>
      <c r="DW198" t="s">
        <v>20</v>
      </c>
      <c r="DX198">
        <v>100</v>
      </c>
      <c r="EE198">
        <v>16510570</v>
      </c>
      <c r="EF198">
        <v>6</v>
      </c>
      <c r="EG198" t="s">
        <v>36</v>
      </c>
      <c r="EH198">
        <v>0</v>
      </c>
      <c r="EI198" t="s">
        <v>6</v>
      </c>
      <c r="EJ198">
        <v>1</v>
      </c>
      <c r="EK198">
        <v>61001</v>
      </c>
      <c r="EL198" t="s">
        <v>289</v>
      </c>
      <c r="EM198" t="s">
        <v>290</v>
      </c>
      <c r="EO198" t="s">
        <v>615</v>
      </c>
      <c r="EQ198">
        <v>0</v>
      </c>
      <c r="ER198">
        <v>374.69</v>
      </c>
      <c r="ES198">
        <v>1.32</v>
      </c>
      <c r="ET198">
        <v>17.97</v>
      </c>
      <c r="EU198">
        <v>10.72</v>
      </c>
      <c r="EV198">
        <v>355.4</v>
      </c>
      <c r="EW198">
        <v>42.01</v>
      </c>
      <c r="EX198">
        <v>0.99</v>
      </c>
      <c r="EY198">
        <v>0</v>
      </c>
      <c r="FQ198">
        <v>0</v>
      </c>
      <c r="FR198">
        <f t="shared" si="223"/>
        <v>0</v>
      </c>
      <c r="FS198">
        <v>0</v>
      </c>
      <c r="FX198">
        <v>79</v>
      </c>
      <c r="FY198">
        <v>50</v>
      </c>
      <c r="GA198" t="s">
        <v>6</v>
      </c>
      <c r="GD198">
        <v>0</v>
      </c>
      <c r="GF198">
        <v>1013192564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24"/>
        <v>0</v>
      </c>
      <c r="GM198">
        <f t="shared" si="225"/>
        <v>10075.93</v>
      </c>
      <c r="GN198">
        <f t="shared" si="226"/>
        <v>10075.93</v>
      </c>
      <c r="GO198">
        <f t="shared" si="227"/>
        <v>0</v>
      </c>
      <c r="GP198">
        <f t="shared" si="228"/>
        <v>0</v>
      </c>
      <c r="GR198">
        <v>0</v>
      </c>
      <c r="GS198">
        <v>3</v>
      </c>
      <c r="GT198">
        <v>0</v>
      </c>
      <c r="GU198" t="s">
        <v>6</v>
      </c>
      <c r="GV198">
        <f t="shared" si="229"/>
        <v>0</v>
      </c>
      <c r="GW198">
        <v>1</v>
      </c>
      <c r="GX198">
        <f t="shared" si="230"/>
        <v>0</v>
      </c>
      <c r="HA198">
        <v>0</v>
      </c>
      <c r="HB198">
        <v>0</v>
      </c>
      <c r="IK198">
        <v>0</v>
      </c>
    </row>
    <row r="199" spans="1:245" x14ac:dyDescent="0.2">
      <c r="A199">
        <v>18</v>
      </c>
      <c r="B199">
        <v>1</v>
      </c>
      <c r="C199">
        <v>383</v>
      </c>
      <c r="E199" t="s">
        <v>616</v>
      </c>
      <c r="F199" t="s">
        <v>372</v>
      </c>
      <c r="G199" t="s">
        <v>373</v>
      </c>
      <c r="H199" t="s">
        <v>100</v>
      </c>
      <c r="I199">
        <f>I198*J199</f>
        <v>1.437595</v>
      </c>
      <c r="J199">
        <v>0.90700000000000003</v>
      </c>
      <c r="O199">
        <f t="shared" si="198"/>
        <v>0</v>
      </c>
      <c r="P199">
        <f t="shared" si="199"/>
        <v>0</v>
      </c>
      <c r="Q199">
        <f t="shared" si="200"/>
        <v>0</v>
      </c>
      <c r="R199">
        <f t="shared" si="201"/>
        <v>0</v>
      </c>
      <c r="S199">
        <f t="shared" si="202"/>
        <v>0</v>
      </c>
      <c r="T199">
        <f t="shared" si="203"/>
        <v>0</v>
      </c>
      <c r="U199">
        <f t="shared" si="204"/>
        <v>0</v>
      </c>
      <c r="V199">
        <f t="shared" si="205"/>
        <v>0</v>
      </c>
      <c r="W199">
        <f t="shared" si="206"/>
        <v>0</v>
      </c>
      <c r="X199">
        <f t="shared" si="207"/>
        <v>0</v>
      </c>
      <c r="Y199">
        <f t="shared" si="208"/>
        <v>0</v>
      </c>
      <c r="AA199">
        <v>16742901</v>
      </c>
      <c r="AB199">
        <f t="shared" si="209"/>
        <v>0</v>
      </c>
      <c r="AC199">
        <f t="shared" si="236"/>
        <v>0</v>
      </c>
      <c r="AD199">
        <f t="shared" si="233"/>
        <v>0</v>
      </c>
      <c r="AE199">
        <f t="shared" si="237"/>
        <v>0</v>
      </c>
      <c r="AF199">
        <f>ROUND((EV199),2)</f>
        <v>0</v>
      </c>
      <c r="AG199">
        <f t="shared" si="210"/>
        <v>0</v>
      </c>
      <c r="AH199">
        <f>(EW199)</f>
        <v>0</v>
      </c>
      <c r="AI199">
        <f t="shared" si="238"/>
        <v>0</v>
      </c>
      <c r="AJ199">
        <f t="shared" si="211"/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79</v>
      </c>
      <c r="AU199">
        <v>50</v>
      </c>
      <c r="AV199">
        <v>1</v>
      </c>
      <c r="AW199">
        <v>1</v>
      </c>
      <c r="AZ199">
        <v>6.56</v>
      </c>
      <c r="BA199">
        <v>1</v>
      </c>
      <c r="BB199">
        <v>1</v>
      </c>
      <c r="BC199">
        <v>6.56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1</v>
      </c>
      <c r="BJ199" t="s">
        <v>6</v>
      </c>
      <c r="BM199">
        <v>61001</v>
      </c>
      <c r="BN199">
        <v>0</v>
      </c>
      <c r="BO199" t="s">
        <v>6</v>
      </c>
      <c r="BP199">
        <v>0</v>
      </c>
      <c r="BQ199">
        <v>6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79</v>
      </c>
      <c r="CA199">
        <v>50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12"/>
        <v>0</v>
      </c>
      <c r="CQ199">
        <f t="shared" si="213"/>
        <v>0</v>
      </c>
      <c r="CR199">
        <f t="shared" si="214"/>
        <v>0</v>
      </c>
      <c r="CS199">
        <f t="shared" si="215"/>
        <v>0</v>
      </c>
      <c r="CT199">
        <f t="shared" si="216"/>
        <v>0</v>
      </c>
      <c r="CU199">
        <f t="shared" si="217"/>
        <v>0</v>
      </c>
      <c r="CV199">
        <f t="shared" si="218"/>
        <v>0</v>
      </c>
      <c r="CW199">
        <f t="shared" si="219"/>
        <v>0</v>
      </c>
      <c r="CX199">
        <f t="shared" si="220"/>
        <v>0</v>
      </c>
      <c r="CY199">
        <f t="shared" si="221"/>
        <v>0</v>
      </c>
      <c r="CZ199">
        <f t="shared" si="222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1009</v>
      </c>
      <c r="DV199" t="s">
        <v>100</v>
      </c>
      <c r="DW199" t="s">
        <v>100</v>
      </c>
      <c r="DX199">
        <v>1000</v>
      </c>
      <c r="EE199">
        <v>16510570</v>
      </c>
      <c r="EF199">
        <v>6</v>
      </c>
      <c r="EG199" t="s">
        <v>36</v>
      </c>
      <c r="EH199">
        <v>0</v>
      </c>
      <c r="EI199" t="s">
        <v>6</v>
      </c>
      <c r="EJ199">
        <v>1</v>
      </c>
      <c r="EK199">
        <v>61001</v>
      </c>
      <c r="EL199" t="s">
        <v>289</v>
      </c>
      <c r="EM199" t="s">
        <v>290</v>
      </c>
      <c r="EO199" t="s">
        <v>6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23"/>
        <v>0</v>
      </c>
      <c r="FS199">
        <v>0</v>
      </c>
      <c r="FX199">
        <v>79</v>
      </c>
      <c r="FY199">
        <v>50</v>
      </c>
      <c r="GA199" t="s">
        <v>6</v>
      </c>
      <c r="GD199">
        <v>0</v>
      </c>
      <c r="GF199">
        <v>1880203204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24"/>
        <v>0</v>
      </c>
      <c r="GM199">
        <f t="shared" si="225"/>
        <v>0</v>
      </c>
      <c r="GN199">
        <f t="shared" si="226"/>
        <v>0</v>
      </c>
      <c r="GO199">
        <f t="shared" si="227"/>
        <v>0</v>
      </c>
      <c r="GP199">
        <f t="shared" si="228"/>
        <v>0</v>
      </c>
      <c r="GR199">
        <v>0</v>
      </c>
      <c r="GS199">
        <v>3</v>
      </c>
      <c r="GT199">
        <v>0</v>
      </c>
      <c r="GU199" t="s">
        <v>6</v>
      </c>
      <c r="GV199">
        <f t="shared" si="229"/>
        <v>0</v>
      </c>
      <c r="GW199">
        <v>1</v>
      </c>
      <c r="GX199">
        <f t="shared" si="230"/>
        <v>0</v>
      </c>
      <c r="HA199">
        <v>0</v>
      </c>
      <c r="HB199">
        <v>0</v>
      </c>
      <c r="IK199">
        <v>0</v>
      </c>
    </row>
    <row r="200" spans="1:245" x14ac:dyDescent="0.2">
      <c r="A200">
        <v>18</v>
      </c>
      <c r="B200">
        <v>1</v>
      </c>
      <c r="C200">
        <v>382</v>
      </c>
      <c r="E200" t="s">
        <v>617</v>
      </c>
      <c r="F200" t="s">
        <v>618</v>
      </c>
      <c r="G200" t="s">
        <v>619</v>
      </c>
      <c r="H200" t="s">
        <v>100</v>
      </c>
      <c r="I200">
        <f>I198*J200</f>
        <v>1.437595</v>
      </c>
      <c r="J200">
        <v>0.90700000000000003</v>
      </c>
      <c r="O200">
        <f t="shared" si="198"/>
        <v>22279.94</v>
      </c>
      <c r="P200">
        <f t="shared" si="199"/>
        <v>22279.94</v>
      </c>
      <c r="Q200">
        <f t="shared" si="200"/>
        <v>0</v>
      </c>
      <c r="R200">
        <f t="shared" si="201"/>
        <v>0</v>
      </c>
      <c r="S200">
        <f t="shared" si="202"/>
        <v>0</v>
      </c>
      <c r="T200">
        <f t="shared" si="203"/>
        <v>0</v>
      </c>
      <c r="U200">
        <f t="shared" si="204"/>
        <v>0</v>
      </c>
      <c r="V200">
        <f t="shared" si="205"/>
        <v>0</v>
      </c>
      <c r="W200">
        <f t="shared" si="206"/>
        <v>0</v>
      </c>
      <c r="X200">
        <f t="shared" si="207"/>
        <v>0</v>
      </c>
      <c r="Y200">
        <f t="shared" si="208"/>
        <v>0</v>
      </c>
      <c r="AA200">
        <v>16742901</v>
      </c>
      <c r="AB200">
        <f t="shared" si="209"/>
        <v>2362.5100000000002</v>
      </c>
      <c r="AC200">
        <f t="shared" si="236"/>
        <v>2362.5100000000002</v>
      </c>
      <c r="AD200">
        <f t="shared" si="233"/>
        <v>0</v>
      </c>
      <c r="AE200">
        <f t="shared" si="237"/>
        <v>0</v>
      </c>
      <c r="AF200">
        <f>ROUND((EV200),2)</f>
        <v>0</v>
      </c>
      <c r="AG200">
        <f t="shared" si="210"/>
        <v>0</v>
      </c>
      <c r="AH200">
        <f>(EW200)</f>
        <v>0</v>
      </c>
      <c r="AI200">
        <f t="shared" si="238"/>
        <v>0</v>
      </c>
      <c r="AJ200">
        <f t="shared" si="211"/>
        <v>0</v>
      </c>
      <c r="AK200">
        <v>2362.5100000000002</v>
      </c>
      <c r="AL200">
        <v>2362.5100000000002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79</v>
      </c>
      <c r="AU200">
        <v>50</v>
      </c>
      <c r="AV200">
        <v>1</v>
      </c>
      <c r="AW200">
        <v>1</v>
      </c>
      <c r="AZ200">
        <v>6.56</v>
      </c>
      <c r="BA200">
        <v>1</v>
      </c>
      <c r="BB200">
        <v>1</v>
      </c>
      <c r="BC200">
        <v>6.56</v>
      </c>
      <c r="BD200" t="s">
        <v>6</v>
      </c>
      <c r="BE200" t="s">
        <v>6</v>
      </c>
      <c r="BF200" t="s">
        <v>6</v>
      </c>
      <c r="BG200" t="s">
        <v>6</v>
      </c>
      <c r="BH200">
        <v>3</v>
      </c>
      <c r="BI200">
        <v>1</v>
      </c>
      <c r="BJ200" t="s">
        <v>620</v>
      </c>
      <c r="BM200">
        <v>61001</v>
      </c>
      <c r="BN200">
        <v>0</v>
      </c>
      <c r="BO200" t="s">
        <v>6</v>
      </c>
      <c r="BP200">
        <v>0</v>
      </c>
      <c r="BQ200">
        <v>6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79</v>
      </c>
      <c r="CA200">
        <v>50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12"/>
        <v>22279.94</v>
      </c>
      <c r="CQ200">
        <f t="shared" si="213"/>
        <v>15498.0656</v>
      </c>
      <c r="CR200">
        <f t="shared" si="214"/>
        <v>0</v>
      </c>
      <c r="CS200">
        <f t="shared" si="215"/>
        <v>0</v>
      </c>
      <c r="CT200">
        <f t="shared" si="216"/>
        <v>0</v>
      </c>
      <c r="CU200">
        <f t="shared" si="217"/>
        <v>0</v>
      </c>
      <c r="CV200">
        <f t="shared" si="218"/>
        <v>0</v>
      </c>
      <c r="CW200">
        <f t="shared" si="219"/>
        <v>0</v>
      </c>
      <c r="CX200">
        <f t="shared" si="220"/>
        <v>0</v>
      </c>
      <c r="CY200">
        <f t="shared" si="221"/>
        <v>0</v>
      </c>
      <c r="CZ200">
        <f t="shared" si="222"/>
        <v>0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1009</v>
      </c>
      <c r="DV200" t="s">
        <v>100</v>
      </c>
      <c r="DW200" t="s">
        <v>100</v>
      </c>
      <c r="DX200">
        <v>1000</v>
      </c>
      <c r="EE200">
        <v>16510570</v>
      </c>
      <c r="EF200">
        <v>6</v>
      </c>
      <c r="EG200" t="s">
        <v>36</v>
      </c>
      <c r="EH200">
        <v>0</v>
      </c>
      <c r="EI200" t="s">
        <v>6</v>
      </c>
      <c r="EJ200">
        <v>1</v>
      </c>
      <c r="EK200">
        <v>61001</v>
      </c>
      <c r="EL200" t="s">
        <v>289</v>
      </c>
      <c r="EM200" t="s">
        <v>290</v>
      </c>
      <c r="EO200" t="s">
        <v>6</v>
      </c>
      <c r="EQ200">
        <v>0</v>
      </c>
      <c r="ER200">
        <v>2362.5100000000002</v>
      </c>
      <c r="ES200">
        <v>2362.5100000000002</v>
      </c>
      <c r="ET200">
        <v>0</v>
      </c>
      <c r="EU200">
        <v>0</v>
      </c>
      <c r="EV200">
        <v>0</v>
      </c>
      <c r="EW200">
        <v>0</v>
      </c>
      <c r="EX200">
        <v>0</v>
      </c>
      <c r="FQ200">
        <v>0</v>
      </c>
      <c r="FR200">
        <f t="shared" si="223"/>
        <v>0</v>
      </c>
      <c r="FS200">
        <v>0</v>
      </c>
      <c r="FX200">
        <v>79</v>
      </c>
      <c r="FY200">
        <v>50</v>
      </c>
      <c r="GA200" t="s">
        <v>6</v>
      </c>
      <c r="GD200">
        <v>0</v>
      </c>
      <c r="GF200">
        <v>-759560707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24"/>
        <v>0</v>
      </c>
      <c r="GM200">
        <f t="shared" si="225"/>
        <v>22279.94</v>
      </c>
      <c r="GN200">
        <f t="shared" si="226"/>
        <v>22279.94</v>
      </c>
      <c r="GO200">
        <f t="shared" si="227"/>
        <v>0</v>
      </c>
      <c r="GP200">
        <f t="shared" si="228"/>
        <v>0</v>
      </c>
      <c r="GR200">
        <v>0</v>
      </c>
      <c r="GS200">
        <v>3</v>
      </c>
      <c r="GT200">
        <v>0</v>
      </c>
      <c r="GU200" t="s">
        <v>6</v>
      </c>
      <c r="GV200">
        <f t="shared" si="229"/>
        <v>0</v>
      </c>
      <c r="GW200">
        <v>1</v>
      </c>
      <c r="GX200">
        <f t="shared" si="230"/>
        <v>0</v>
      </c>
      <c r="HA200">
        <v>0</v>
      </c>
      <c r="HB200">
        <v>0</v>
      </c>
      <c r="IK200">
        <v>0</v>
      </c>
    </row>
    <row r="201" spans="1:245" x14ac:dyDescent="0.2">
      <c r="A201">
        <v>17</v>
      </c>
      <c r="B201">
        <v>1</v>
      </c>
      <c r="C201">
        <f>ROW(SmtRes!A396)</f>
        <v>396</v>
      </c>
      <c r="D201">
        <f>ROW(EtalonRes!A372)</f>
        <v>372</v>
      </c>
      <c r="E201" t="s">
        <v>621</v>
      </c>
      <c r="F201" t="s">
        <v>622</v>
      </c>
      <c r="G201" t="s">
        <v>623</v>
      </c>
      <c r="H201" t="s">
        <v>20</v>
      </c>
      <c r="I201">
        <f>ROUND(158.5/100,9)</f>
        <v>1.585</v>
      </c>
      <c r="J201">
        <v>0</v>
      </c>
      <c r="O201">
        <f t="shared" si="198"/>
        <v>8006.05</v>
      </c>
      <c r="P201">
        <f t="shared" si="199"/>
        <v>4676.01</v>
      </c>
      <c r="Q201">
        <f t="shared" si="200"/>
        <v>73.510000000000005</v>
      </c>
      <c r="R201">
        <f t="shared" si="201"/>
        <v>21.32</v>
      </c>
      <c r="S201">
        <f t="shared" si="202"/>
        <v>3256.53</v>
      </c>
      <c r="T201">
        <f t="shared" si="203"/>
        <v>0</v>
      </c>
      <c r="U201">
        <f t="shared" si="204"/>
        <v>57.456249999999997</v>
      </c>
      <c r="V201">
        <f t="shared" si="205"/>
        <v>0.25359999999999999</v>
      </c>
      <c r="W201">
        <f t="shared" si="206"/>
        <v>0</v>
      </c>
      <c r="X201">
        <f t="shared" si="207"/>
        <v>2622.28</v>
      </c>
      <c r="Y201">
        <f t="shared" si="208"/>
        <v>1638.93</v>
      </c>
      <c r="AA201">
        <v>16742901</v>
      </c>
      <c r="AB201">
        <f t="shared" si="209"/>
        <v>769.99</v>
      </c>
      <c r="AC201">
        <f t="shared" si="236"/>
        <v>449.72</v>
      </c>
      <c r="AD201">
        <f t="shared" si="233"/>
        <v>7.07</v>
      </c>
      <c r="AE201">
        <f t="shared" si="237"/>
        <v>2.0499999999999998</v>
      </c>
      <c r="AF201">
        <f>ROUND((EV201),2)</f>
        <v>313.2</v>
      </c>
      <c r="AG201">
        <f t="shared" si="210"/>
        <v>0</v>
      </c>
      <c r="AH201">
        <f>(EW201)</f>
        <v>36.25</v>
      </c>
      <c r="AI201">
        <f t="shared" si="238"/>
        <v>0.16</v>
      </c>
      <c r="AJ201">
        <f t="shared" si="211"/>
        <v>0</v>
      </c>
      <c r="AK201">
        <v>769.99</v>
      </c>
      <c r="AL201">
        <v>449.72</v>
      </c>
      <c r="AM201">
        <v>7.07</v>
      </c>
      <c r="AN201">
        <v>2.0499999999999998</v>
      </c>
      <c r="AO201">
        <v>313.2</v>
      </c>
      <c r="AP201">
        <v>0</v>
      </c>
      <c r="AQ201">
        <v>36.25</v>
      </c>
      <c r="AR201">
        <v>0.16</v>
      </c>
      <c r="AS201">
        <v>0</v>
      </c>
      <c r="AT201">
        <v>80</v>
      </c>
      <c r="AU201">
        <v>50</v>
      </c>
      <c r="AV201">
        <v>1</v>
      </c>
      <c r="AW201">
        <v>1</v>
      </c>
      <c r="AZ201">
        <v>6.56</v>
      </c>
      <c r="BA201">
        <v>6.56</v>
      </c>
      <c r="BB201">
        <v>6.56</v>
      </c>
      <c r="BC201">
        <v>6.56</v>
      </c>
      <c r="BD201" t="s">
        <v>6</v>
      </c>
      <c r="BE201" t="s">
        <v>6</v>
      </c>
      <c r="BF201" t="s">
        <v>6</v>
      </c>
      <c r="BG201" t="s">
        <v>6</v>
      </c>
      <c r="BH201">
        <v>0</v>
      </c>
      <c r="BI201">
        <v>1</v>
      </c>
      <c r="BJ201" t="s">
        <v>624</v>
      </c>
      <c r="BM201">
        <v>62001</v>
      </c>
      <c r="BN201">
        <v>0</v>
      </c>
      <c r="BO201" t="s">
        <v>6</v>
      </c>
      <c r="BP201">
        <v>0</v>
      </c>
      <c r="BQ201">
        <v>6</v>
      </c>
      <c r="BR201">
        <v>0</v>
      </c>
      <c r="BS201">
        <v>6.56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80</v>
      </c>
      <c r="CA201">
        <v>50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12"/>
        <v>8006.0500000000011</v>
      </c>
      <c r="CQ201">
        <f t="shared" si="213"/>
        <v>2950.1632</v>
      </c>
      <c r="CR201">
        <f t="shared" si="214"/>
        <v>46.379199999999997</v>
      </c>
      <c r="CS201">
        <f t="shared" si="215"/>
        <v>13.447999999999999</v>
      </c>
      <c r="CT201">
        <f t="shared" si="216"/>
        <v>2054.5919999999996</v>
      </c>
      <c r="CU201">
        <f t="shared" si="217"/>
        <v>0</v>
      </c>
      <c r="CV201">
        <f t="shared" si="218"/>
        <v>36.25</v>
      </c>
      <c r="CW201">
        <f t="shared" si="219"/>
        <v>0.16</v>
      </c>
      <c r="CX201">
        <f t="shared" si="220"/>
        <v>0</v>
      </c>
      <c r="CY201">
        <f t="shared" si="221"/>
        <v>2622.28</v>
      </c>
      <c r="CZ201">
        <f t="shared" si="222"/>
        <v>1638.9250000000002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1005</v>
      </c>
      <c r="DV201" t="s">
        <v>20</v>
      </c>
      <c r="DW201" t="s">
        <v>20</v>
      </c>
      <c r="DX201">
        <v>100</v>
      </c>
      <c r="EE201">
        <v>16510571</v>
      </c>
      <c r="EF201">
        <v>6</v>
      </c>
      <c r="EG201" t="s">
        <v>36</v>
      </c>
      <c r="EH201">
        <v>0</v>
      </c>
      <c r="EI201" t="s">
        <v>6</v>
      </c>
      <c r="EJ201">
        <v>1</v>
      </c>
      <c r="EK201">
        <v>62001</v>
      </c>
      <c r="EL201" t="s">
        <v>382</v>
      </c>
      <c r="EM201" t="s">
        <v>383</v>
      </c>
      <c r="EO201" t="s">
        <v>6</v>
      </c>
      <c r="EQ201">
        <v>131072</v>
      </c>
      <c r="ER201">
        <v>769.99</v>
      </c>
      <c r="ES201">
        <v>449.72</v>
      </c>
      <c r="ET201">
        <v>7.07</v>
      </c>
      <c r="EU201">
        <v>2.0499999999999998</v>
      </c>
      <c r="EV201">
        <v>313.2</v>
      </c>
      <c r="EW201">
        <v>36.25</v>
      </c>
      <c r="EX201">
        <v>0.16</v>
      </c>
      <c r="EY201">
        <v>0</v>
      </c>
      <c r="FQ201">
        <v>0</v>
      </c>
      <c r="FR201">
        <f t="shared" si="223"/>
        <v>0</v>
      </c>
      <c r="FS201">
        <v>0</v>
      </c>
      <c r="FX201">
        <v>80</v>
      </c>
      <c r="FY201">
        <v>50</v>
      </c>
      <c r="GA201" t="s">
        <v>6</v>
      </c>
      <c r="GD201">
        <v>0</v>
      </c>
      <c r="GF201">
        <v>-382248157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24"/>
        <v>0</v>
      </c>
      <c r="GM201">
        <f t="shared" si="225"/>
        <v>12267.26</v>
      </c>
      <c r="GN201">
        <f t="shared" si="226"/>
        <v>12267.26</v>
      </c>
      <c r="GO201">
        <f t="shared" si="227"/>
        <v>0</v>
      </c>
      <c r="GP201">
        <f t="shared" si="228"/>
        <v>0</v>
      </c>
      <c r="GR201">
        <v>0</v>
      </c>
      <c r="GS201">
        <v>3</v>
      </c>
      <c r="GT201">
        <v>0</v>
      </c>
      <c r="GU201" t="s">
        <v>6</v>
      </c>
      <c r="GV201">
        <f t="shared" si="229"/>
        <v>0</v>
      </c>
      <c r="GW201">
        <v>1</v>
      </c>
      <c r="GX201">
        <f t="shared" si="230"/>
        <v>0</v>
      </c>
      <c r="HA201">
        <v>0</v>
      </c>
      <c r="HB201">
        <v>0</v>
      </c>
      <c r="IK201">
        <v>0</v>
      </c>
    </row>
    <row r="202" spans="1:245" x14ac:dyDescent="0.2">
      <c r="A202">
        <v>18</v>
      </c>
      <c r="B202">
        <v>1</v>
      </c>
      <c r="C202">
        <v>395</v>
      </c>
      <c r="E202" t="s">
        <v>625</v>
      </c>
      <c r="F202" t="s">
        <v>385</v>
      </c>
      <c r="G202" t="s">
        <v>386</v>
      </c>
      <c r="H202" t="s">
        <v>100</v>
      </c>
      <c r="I202">
        <f>I201*J202</f>
        <v>0.106195</v>
      </c>
      <c r="J202">
        <v>6.7000000000000004E-2</v>
      </c>
      <c r="O202">
        <f t="shared" si="198"/>
        <v>5924.92</v>
      </c>
      <c r="P202">
        <f t="shared" si="199"/>
        <v>5924.92</v>
      </c>
      <c r="Q202">
        <f t="shared" si="200"/>
        <v>0</v>
      </c>
      <c r="R202">
        <f t="shared" si="201"/>
        <v>0</v>
      </c>
      <c r="S202">
        <f t="shared" si="202"/>
        <v>0</v>
      </c>
      <c r="T202">
        <f t="shared" si="203"/>
        <v>0</v>
      </c>
      <c r="U202">
        <f t="shared" si="204"/>
        <v>0</v>
      </c>
      <c r="V202">
        <f t="shared" si="205"/>
        <v>0</v>
      </c>
      <c r="W202">
        <f t="shared" si="206"/>
        <v>0</v>
      </c>
      <c r="X202">
        <f t="shared" si="207"/>
        <v>0</v>
      </c>
      <c r="Y202">
        <f t="shared" si="208"/>
        <v>0</v>
      </c>
      <c r="AA202">
        <v>16742901</v>
      </c>
      <c r="AB202">
        <f t="shared" si="209"/>
        <v>8505</v>
      </c>
      <c r="AC202">
        <f t="shared" si="236"/>
        <v>8505</v>
      </c>
      <c r="AD202">
        <f t="shared" si="233"/>
        <v>0</v>
      </c>
      <c r="AE202">
        <f t="shared" si="237"/>
        <v>0</v>
      </c>
      <c r="AF202">
        <f>ROUND((EV202),2)</f>
        <v>0</v>
      </c>
      <c r="AG202">
        <f t="shared" si="210"/>
        <v>0</v>
      </c>
      <c r="AH202">
        <f>(EW202)</f>
        <v>0</v>
      </c>
      <c r="AI202">
        <f t="shared" si="238"/>
        <v>0</v>
      </c>
      <c r="AJ202">
        <f t="shared" si="211"/>
        <v>0</v>
      </c>
      <c r="AK202">
        <v>8505</v>
      </c>
      <c r="AL202">
        <v>8505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95</v>
      </c>
      <c r="AU202">
        <v>47</v>
      </c>
      <c r="AV202">
        <v>1</v>
      </c>
      <c r="AW202">
        <v>1</v>
      </c>
      <c r="AZ202">
        <v>6.56</v>
      </c>
      <c r="BA202">
        <v>1</v>
      </c>
      <c r="BB202">
        <v>1</v>
      </c>
      <c r="BC202">
        <v>6.56</v>
      </c>
      <c r="BD202" t="s">
        <v>6</v>
      </c>
      <c r="BE202" t="s">
        <v>6</v>
      </c>
      <c r="BF202" t="s">
        <v>6</v>
      </c>
      <c r="BG202" t="s">
        <v>6</v>
      </c>
      <c r="BH202">
        <v>3</v>
      </c>
      <c r="BI202">
        <v>1</v>
      </c>
      <c r="BJ202" t="s">
        <v>387</v>
      </c>
      <c r="BM202">
        <v>15001</v>
      </c>
      <c r="BN202">
        <v>0</v>
      </c>
      <c r="BO202" t="s">
        <v>6</v>
      </c>
      <c r="BP202">
        <v>0</v>
      </c>
      <c r="BQ202">
        <v>2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105</v>
      </c>
      <c r="CA202">
        <v>55</v>
      </c>
      <c r="CF202">
        <v>0</v>
      </c>
      <c r="CG202">
        <v>0</v>
      </c>
      <c r="CM202">
        <v>0</v>
      </c>
      <c r="CN202" t="s">
        <v>6</v>
      </c>
      <c r="CO202">
        <v>0</v>
      </c>
      <c r="CP202">
        <f t="shared" si="212"/>
        <v>5924.92</v>
      </c>
      <c r="CQ202">
        <f t="shared" si="213"/>
        <v>55792.799999999996</v>
      </c>
      <c r="CR202">
        <f t="shared" si="214"/>
        <v>0</v>
      </c>
      <c r="CS202">
        <f t="shared" si="215"/>
        <v>0</v>
      </c>
      <c r="CT202">
        <f t="shared" si="216"/>
        <v>0</v>
      </c>
      <c r="CU202">
        <f t="shared" si="217"/>
        <v>0</v>
      </c>
      <c r="CV202">
        <f t="shared" si="218"/>
        <v>0</v>
      </c>
      <c r="CW202">
        <f t="shared" si="219"/>
        <v>0</v>
      </c>
      <c r="CX202">
        <f t="shared" si="220"/>
        <v>0</v>
      </c>
      <c r="CY202">
        <f t="shared" si="221"/>
        <v>0</v>
      </c>
      <c r="CZ202">
        <f t="shared" si="222"/>
        <v>0</v>
      </c>
      <c r="DC202" t="s">
        <v>6</v>
      </c>
      <c r="DD202" t="s">
        <v>6</v>
      </c>
      <c r="DE202" t="s">
        <v>6</v>
      </c>
      <c r="DF202" t="s">
        <v>6</v>
      </c>
      <c r="DG202" t="s">
        <v>6</v>
      </c>
      <c r="DH202" t="s">
        <v>6</v>
      </c>
      <c r="DI202" t="s">
        <v>6</v>
      </c>
      <c r="DJ202" t="s">
        <v>6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1009</v>
      </c>
      <c r="DV202" t="s">
        <v>100</v>
      </c>
      <c r="DW202" t="s">
        <v>100</v>
      </c>
      <c r="DX202">
        <v>1000</v>
      </c>
      <c r="EE202">
        <v>16510513</v>
      </c>
      <c r="EF202">
        <v>2</v>
      </c>
      <c r="EG202" t="s">
        <v>22</v>
      </c>
      <c r="EH202">
        <v>0</v>
      </c>
      <c r="EI202" t="s">
        <v>6</v>
      </c>
      <c r="EJ202">
        <v>1</v>
      </c>
      <c r="EK202">
        <v>15001</v>
      </c>
      <c r="EL202" t="s">
        <v>229</v>
      </c>
      <c r="EM202" t="s">
        <v>230</v>
      </c>
      <c r="EO202" t="s">
        <v>6</v>
      </c>
      <c r="EQ202">
        <v>0</v>
      </c>
      <c r="ER202">
        <v>8505</v>
      </c>
      <c r="ES202">
        <v>8505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223"/>
        <v>0</v>
      </c>
      <c r="FS202">
        <v>0</v>
      </c>
      <c r="FT202" t="s">
        <v>25</v>
      </c>
      <c r="FU202" t="s">
        <v>26</v>
      </c>
      <c r="FX202">
        <v>94.5</v>
      </c>
      <c r="FY202">
        <v>46.75</v>
      </c>
      <c r="GA202" t="s">
        <v>6</v>
      </c>
      <c r="GD202">
        <v>0</v>
      </c>
      <c r="GF202">
        <v>1146787971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24"/>
        <v>0</v>
      </c>
      <c r="GM202">
        <f t="shared" si="225"/>
        <v>5924.92</v>
      </c>
      <c r="GN202">
        <f t="shared" si="226"/>
        <v>5924.92</v>
      </c>
      <c r="GO202">
        <f t="shared" si="227"/>
        <v>0</v>
      </c>
      <c r="GP202">
        <f t="shared" si="228"/>
        <v>0</v>
      </c>
      <c r="GR202">
        <v>0</v>
      </c>
      <c r="GS202">
        <v>3</v>
      </c>
      <c r="GT202">
        <v>0</v>
      </c>
      <c r="GU202" t="s">
        <v>6</v>
      </c>
      <c r="GV202">
        <f t="shared" si="229"/>
        <v>0</v>
      </c>
      <c r="GW202">
        <v>1</v>
      </c>
      <c r="GX202">
        <f t="shared" si="230"/>
        <v>0</v>
      </c>
      <c r="HA202">
        <v>0</v>
      </c>
      <c r="HB202">
        <v>0</v>
      </c>
      <c r="IK202">
        <v>0</v>
      </c>
    </row>
    <row r="203" spans="1:245" x14ac:dyDescent="0.2">
      <c r="A203">
        <v>18</v>
      </c>
      <c r="B203">
        <v>1</v>
      </c>
      <c r="C203">
        <v>394</v>
      </c>
      <c r="E203" t="s">
        <v>626</v>
      </c>
      <c r="F203" t="s">
        <v>240</v>
      </c>
      <c r="G203" t="s">
        <v>241</v>
      </c>
      <c r="H203" t="s">
        <v>100</v>
      </c>
      <c r="I203">
        <f>I201*J203</f>
        <v>0.106195</v>
      </c>
      <c r="J203">
        <v>6.7000000000000004E-2</v>
      </c>
      <c r="O203">
        <f t="shared" si="198"/>
        <v>0</v>
      </c>
      <c r="P203">
        <f t="shared" si="199"/>
        <v>0</v>
      </c>
      <c r="Q203">
        <f t="shared" si="200"/>
        <v>0</v>
      </c>
      <c r="R203">
        <f t="shared" si="201"/>
        <v>0</v>
      </c>
      <c r="S203">
        <f t="shared" si="202"/>
        <v>0</v>
      </c>
      <c r="T203">
        <f t="shared" si="203"/>
        <v>0</v>
      </c>
      <c r="U203">
        <f t="shared" si="204"/>
        <v>0</v>
      </c>
      <c r="V203">
        <f t="shared" si="205"/>
        <v>0</v>
      </c>
      <c r="W203">
        <f t="shared" si="206"/>
        <v>0</v>
      </c>
      <c r="X203">
        <f t="shared" si="207"/>
        <v>0</v>
      </c>
      <c r="Y203">
        <f t="shared" si="208"/>
        <v>0</v>
      </c>
      <c r="AA203">
        <v>16742901</v>
      </c>
      <c r="AB203">
        <f t="shared" si="209"/>
        <v>0</v>
      </c>
      <c r="AC203">
        <f t="shared" si="236"/>
        <v>0</v>
      </c>
      <c r="AD203">
        <f t="shared" si="233"/>
        <v>0</v>
      </c>
      <c r="AE203">
        <f t="shared" si="237"/>
        <v>0</v>
      </c>
      <c r="AF203">
        <f>ROUND((EV203),2)</f>
        <v>0</v>
      </c>
      <c r="AG203">
        <f t="shared" si="210"/>
        <v>0</v>
      </c>
      <c r="AH203">
        <f>(EW203)</f>
        <v>0</v>
      </c>
      <c r="AI203">
        <f t="shared" si="238"/>
        <v>0</v>
      </c>
      <c r="AJ203">
        <f t="shared" si="211"/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80</v>
      </c>
      <c r="AU203">
        <v>50</v>
      </c>
      <c r="AV203">
        <v>1</v>
      </c>
      <c r="AW203">
        <v>1</v>
      </c>
      <c r="AZ203">
        <v>6.56</v>
      </c>
      <c r="BA203">
        <v>1</v>
      </c>
      <c r="BB203">
        <v>1</v>
      </c>
      <c r="BC203">
        <v>6.56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1</v>
      </c>
      <c r="BJ203" t="s">
        <v>6</v>
      </c>
      <c r="BM203">
        <v>62001</v>
      </c>
      <c r="BN203">
        <v>0</v>
      </c>
      <c r="BO203" t="s">
        <v>6</v>
      </c>
      <c r="BP203">
        <v>0</v>
      </c>
      <c r="BQ203">
        <v>6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80</v>
      </c>
      <c r="CA203">
        <v>50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12"/>
        <v>0</v>
      </c>
      <c r="CQ203">
        <f t="shared" si="213"/>
        <v>0</v>
      </c>
      <c r="CR203">
        <f t="shared" si="214"/>
        <v>0</v>
      </c>
      <c r="CS203">
        <f t="shared" si="215"/>
        <v>0</v>
      </c>
      <c r="CT203">
        <f t="shared" si="216"/>
        <v>0</v>
      </c>
      <c r="CU203">
        <f t="shared" si="217"/>
        <v>0</v>
      </c>
      <c r="CV203">
        <f t="shared" si="218"/>
        <v>0</v>
      </c>
      <c r="CW203">
        <f t="shared" si="219"/>
        <v>0</v>
      </c>
      <c r="CX203">
        <f t="shared" si="220"/>
        <v>0</v>
      </c>
      <c r="CY203">
        <f t="shared" si="221"/>
        <v>0</v>
      </c>
      <c r="CZ203">
        <f t="shared" si="222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1009</v>
      </c>
      <c r="DV203" t="s">
        <v>100</v>
      </c>
      <c r="DW203" t="s">
        <v>100</v>
      </c>
      <c r="DX203">
        <v>1000</v>
      </c>
      <c r="EE203">
        <v>16510571</v>
      </c>
      <c r="EF203">
        <v>6</v>
      </c>
      <c r="EG203" t="s">
        <v>36</v>
      </c>
      <c r="EH203">
        <v>0</v>
      </c>
      <c r="EI203" t="s">
        <v>6</v>
      </c>
      <c r="EJ203">
        <v>1</v>
      </c>
      <c r="EK203">
        <v>62001</v>
      </c>
      <c r="EL203" t="s">
        <v>382</v>
      </c>
      <c r="EM203" t="s">
        <v>383</v>
      </c>
      <c r="EO203" t="s">
        <v>6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23"/>
        <v>0</v>
      </c>
      <c r="FS203">
        <v>0</v>
      </c>
      <c r="FX203">
        <v>80</v>
      </c>
      <c r="FY203">
        <v>50</v>
      </c>
      <c r="GA203" t="s">
        <v>6</v>
      </c>
      <c r="GD203">
        <v>0</v>
      </c>
      <c r="GF203">
        <v>1891904026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24"/>
        <v>0</v>
      </c>
      <c r="GM203">
        <f t="shared" si="225"/>
        <v>0</v>
      </c>
      <c r="GN203">
        <f t="shared" si="226"/>
        <v>0</v>
      </c>
      <c r="GO203">
        <f t="shared" si="227"/>
        <v>0</v>
      </c>
      <c r="GP203">
        <f t="shared" si="228"/>
        <v>0</v>
      </c>
      <c r="GR203">
        <v>0</v>
      </c>
      <c r="GS203">
        <v>3</v>
      </c>
      <c r="GT203">
        <v>0</v>
      </c>
      <c r="GU203" t="s">
        <v>6</v>
      </c>
      <c r="GV203">
        <f t="shared" si="229"/>
        <v>0</v>
      </c>
      <c r="GW203">
        <v>1</v>
      </c>
      <c r="GX203">
        <f t="shared" si="230"/>
        <v>0</v>
      </c>
      <c r="HA203">
        <v>0</v>
      </c>
      <c r="HB203">
        <v>0</v>
      </c>
      <c r="IK203">
        <v>0</v>
      </c>
    </row>
    <row r="204" spans="1:245" x14ac:dyDescent="0.2">
      <c r="A204">
        <v>17</v>
      </c>
      <c r="B204">
        <v>1</v>
      </c>
      <c r="C204">
        <f>ROW(SmtRes!A401)</f>
        <v>401</v>
      </c>
      <c r="D204">
        <f>ROW(EtalonRes!A377)</f>
        <v>377</v>
      </c>
      <c r="E204" t="s">
        <v>627</v>
      </c>
      <c r="F204" t="s">
        <v>628</v>
      </c>
      <c r="G204" t="s">
        <v>629</v>
      </c>
      <c r="H204" t="s">
        <v>34</v>
      </c>
      <c r="I204">
        <f>ROUND(40/100,9)</f>
        <v>0.4</v>
      </c>
      <c r="J204">
        <v>0</v>
      </c>
      <c r="O204">
        <f t="shared" si="198"/>
        <v>1332.49</v>
      </c>
      <c r="P204">
        <f t="shared" si="199"/>
        <v>239.49</v>
      </c>
      <c r="Q204">
        <f t="shared" si="200"/>
        <v>323.54000000000002</v>
      </c>
      <c r="R204">
        <f t="shared" si="201"/>
        <v>47.47</v>
      </c>
      <c r="S204">
        <f t="shared" si="202"/>
        <v>769.46</v>
      </c>
      <c r="T204">
        <f t="shared" si="203"/>
        <v>0</v>
      </c>
      <c r="U204">
        <f t="shared" si="204"/>
        <v>13.238800000000001</v>
      </c>
      <c r="V204">
        <f t="shared" si="205"/>
        <v>0.58499999999999996</v>
      </c>
      <c r="W204">
        <f t="shared" si="206"/>
        <v>0</v>
      </c>
      <c r="X204">
        <f t="shared" si="207"/>
        <v>865.95</v>
      </c>
      <c r="Y204">
        <f t="shared" si="208"/>
        <v>441.14</v>
      </c>
      <c r="AA204">
        <v>16742901</v>
      </c>
      <c r="AB204">
        <f t="shared" si="209"/>
        <v>507.81</v>
      </c>
      <c r="AC204">
        <f t="shared" si="236"/>
        <v>91.27</v>
      </c>
      <c r="AD204">
        <f>ROUND(((((ET204*1.25))-((EU204*1.25)))+AE204),2)</f>
        <v>123.3</v>
      </c>
      <c r="AE204">
        <f>ROUND(((EU204*1.25)),2)</f>
        <v>18.09</v>
      </c>
      <c r="AF204">
        <f>ROUND(((EV204*1.15)),2)</f>
        <v>293.24</v>
      </c>
      <c r="AG204">
        <f t="shared" si="210"/>
        <v>0</v>
      </c>
      <c r="AH204">
        <f>((EW204*1.15))</f>
        <v>33.097000000000001</v>
      </c>
      <c r="AI204">
        <f>((EX204*1.25))</f>
        <v>1.4624999999999999</v>
      </c>
      <c r="AJ204">
        <f t="shared" si="211"/>
        <v>0</v>
      </c>
      <c r="AK204">
        <v>444.9</v>
      </c>
      <c r="AL204">
        <v>91.27</v>
      </c>
      <c r="AM204">
        <v>98.64</v>
      </c>
      <c r="AN204">
        <v>14.47</v>
      </c>
      <c r="AO204">
        <v>254.99</v>
      </c>
      <c r="AP204">
        <v>0</v>
      </c>
      <c r="AQ204">
        <v>28.78</v>
      </c>
      <c r="AR204">
        <v>1.17</v>
      </c>
      <c r="AS204">
        <v>0</v>
      </c>
      <c r="AT204">
        <v>106</v>
      </c>
      <c r="AU204">
        <v>54</v>
      </c>
      <c r="AV204">
        <v>1</v>
      </c>
      <c r="AW204">
        <v>1</v>
      </c>
      <c r="AZ204">
        <v>6.56</v>
      </c>
      <c r="BA204">
        <v>6.56</v>
      </c>
      <c r="BB204">
        <v>6.56</v>
      </c>
      <c r="BC204">
        <v>6.56</v>
      </c>
      <c r="BD204" t="s">
        <v>6</v>
      </c>
      <c r="BE204" t="s">
        <v>6</v>
      </c>
      <c r="BF204" t="s">
        <v>6</v>
      </c>
      <c r="BG204" t="s">
        <v>6</v>
      </c>
      <c r="BH204">
        <v>0</v>
      </c>
      <c r="BI204">
        <v>1</v>
      </c>
      <c r="BJ204" t="s">
        <v>630</v>
      </c>
      <c r="BM204">
        <v>10001</v>
      </c>
      <c r="BN204">
        <v>0</v>
      </c>
      <c r="BO204" t="s">
        <v>6</v>
      </c>
      <c r="BP204">
        <v>0</v>
      </c>
      <c r="BQ204">
        <v>2</v>
      </c>
      <c r="BR204">
        <v>0</v>
      </c>
      <c r="BS204">
        <v>6.56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118</v>
      </c>
      <c r="CA204">
        <v>63</v>
      </c>
      <c r="CF204">
        <v>0</v>
      </c>
      <c r="CG204">
        <v>0</v>
      </c>
      <c r="CM204">
        <v>0</v>
      </c>
      <c r="CN204" t="s">
        <v>1902</v>
      </c>
      <c r="CO204">
        <v>0</v>
      </c>
      <c r="CP204">
        <f t="shared" si="212"/>
        <v>1332.49</v>
      </c>
      <c r="CQ204">
        <f t="shared" si="213"/>
        <v>598.73119999999994</v>
      </c>
      <c r="CR204">
        <f t="shared" si="214"/>
        <v>808.84799999999996</v>
      </c>
      <c r="CS204">
        <f t="shared" si="215"/>
        <v>118.67039999999999</v>
      </c>
      <c r="CT204">
        <f t="shared" si="216"/>
        <v>1923.6543999999999</v>
      </c>
      <c r="CU204">
        <f t="shared" si="217"/>
        <v>0</v>
      </c>
      <c r="CV204">
        <f t="shared" si="218"/>
        <v>33.097000000000001</v>
      </c>
      <c r="CW204">
        <f t="shared" si="219"/>
        <v>1.4624999999999999</v>
      </c>
      <c r="CX204">
        <f t="shared" si="220"/>
        <v>0</v>
      </c>
      <c r="CY204">
        <f t="shared" si="221"/>
        <v>865.94579999999996</v>
      </c>
      <c r="CZ204">
        <f t="shared" si="222"/>
        <v>441.1422</v>
      </c>
      <c r="DC204" t="s">
        <v>6</v>
      </c>
      <c r="DD204" t="s">
        <v>6</v>
      </c>
      <c r="DE204" t="s">
        <v>187</v>
      </c>
      <c r="DF204" t="s">
        <v>187</v>
      </c>
      <c r="DG204" t="s">
        <v>188</v>
      </c>
      <c r="DH204" t="s">
        <v>6</v>
      </c>
      <c r="DI204" t="s">
        <v>188</v>
      </c>
      <c r="DJ204" t="s">
        <v>187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1003</v>
      </c>
      <c r="DV204" t="s">
        <v>34</v>
      </c>
      <c r="DW204" t="s">
        <v>34</v>
      </c>
      <c r="DX204">
        <v>100</v>
      </c>
      <c r="EE204">
        <v>16510487</v>
      </c>
      <c r="EF204">
        <v>2</v>
      </c>
      <c r="EG204" t="s">
        <v>22</v>
      </c>
      <c r="EH204">
        <v>0</v>
      </c>
      <c r="EI204" t="s">
        <v>6</v>
      </c>
      <c r="EJ204">
        <v>1</v>
      </c>
      <c r="EK204">
        <v>10001</v>
      </c>
      <c r="EL204" t="s">
        <v>50</v>
      </c>
      <c r="EM204" t="s">
        <v>51</v>
      </c>
      <c r="EO204" t="s">
        <v>189</v>
      </c>
      <c r="EQ204">
        <v>131072</v>
      </c>
      <c r="ER204">
        <v>444.9</v>
      </c>
      <c r="ES204">
        <v>91.27</v>
      </c>
      <c r="ET204">
        <v>98.64</v>
      </c>
      <c r="EU204">
        <v>14.47</v>
      </c>
      <c r="EV204">
        <v>254.99</v>
      </c>
      <c r="EW204">
        <v>28.78</v>
      </c>
      <c r="EX204">
        <v>1.17</v>
      </c>
      <c r="EY204">
        <v>0</v>
      </c>
      <c r="FQ204">
        <v>0</v>
      </c>
      <c r="FR204">
        <f t="shared" si="223"/>
        <v>0</v>
      </c>
      <c r="FS204">
        <v>0</v>
      </c>
      <c r="FT204" t="s">
        <v>25</v>
      </c>
      <c r="FU204" t="s">
        <v>26</v>
      </c>
      <c r="FX204">
        <v>106.2</v>
      </c>
      <c r="FY204">
        <v>53.55</v>
      </c>
      <c r="GA204" t="s">
        <v>6</v>
      </c>
      <c r="GD204">
        <v>0</v>
      </c>
      <c r="GF204">
        <v>162905785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24"/>
        <v>0</v>
      </c>
      <c r="GM204">
        <f t="shared" si="225"/>
        <v>2639.58</v>
      </c>
      <c r="GN204">
        <f t="shared" si="226"/>
        <v>2639.58</v>
      </c>
      <c r="GO204">
        <f t="shared" si="227"/>
        <v>0</v>
      </c>
      <c r="GP204">
        <f t="shared" si="228"/>
        <v>0</v>
      </c>
      <c r="GR204">
        <v>0</v>
      </c>
      <c r="GS204">
        <v>3</v>
      </c>
      <c r="GT204">
        <v>0</v>
      </c>
      <c r="GU204" t="s">
        <v>6</v>
      </c>
      <c r="GV204">
        <f t="shared" si="229"/>
        <v>0</v>
      </c>
      <c r="GW204">
        <v>1</v>
      </c>
      <c r="GX204">
        <f t="shared" si="230"/>
        <v>0</v>
      </c>
      <c r="HA204">
        <v>0</v>
      </c>
      <c r="HB204">
        <v>0</v>
      </c>
      <c r="IK204">
        <v>0</v>
      </c>
    </row>
    <row r="205" spans="1:245" x14ac:dyDescent="0.2">
      <c r="A205">
        <v>17</v>
      </c>
      <c r="B205">
        <v>1</v>
      </c>
      <c r="C205">
        <f>ROW(SmtRes!A408)</f>
        <v>408</v>
      </c>
      <c r="D205">
        <f>ROW(EtalonRes!A383)</f>
        <v>383</v>
      </c>
      <c r="E205" t="s">
        <v>631</v>
      </c>
      <c r="F205" t="s">
        <v>632</v>
      </c>
      <c r="G205" t="s">
        <v>633</v>
      </c>
      <c r="H205" t="s">
        <v>20</v>
      </c>
      <c r="I205">
        <f>ROUND(20/100,9)</f>
        <v>0.2</v>
      </c>
      <c r="J205">
        <v>0</v>
      </c>
      <c r="O205">
        <f t="shared" si="198"/>
        <v>1209.4000000000001</v>
      </c>
      <c r="P205">
        <f t="shared" si="199"/>
        <v>155.9</v>
      </c>
      <c r="Q205">
        <f t="shared" si="200"/>
        <v>1.0900000000000001</v>
      </c>
      <c r="R205">
        <f t="shared" si="201"/>
        <v>0.2</v>
      </c>
      <c r="S205">
        <f t="shared" si="202"/>
        <v>1052.4100000000001</v>
      </c>
      <c r="T205">
        <f t="shared" si="203"/>
        <v>0</v>
      </c>
      <c r="U205">
        <f t="shared" si="204"/>
        <v>18.567900000000002</v>
      </c>
      <c r="V205">
        <f t="shared" si="205"/>
        <v>2.5000000000000005E-3</v>
      </c>
      <c r="W205">
        <f t="shared" si="206"/>
        <v>0</v>
      </c>
      <c r="X205">
        <f t="shared" si="207"/>
        <v>842.09</v>
      </c>
      <c r="Y205">
        <f t="shared" si="208"/>
        <v>526.30999999999995</v>
      </c>
      <c r="AA205">
        <v>16742901</v>
      </c>
      <c r="AB205">
        <f t="shared" si="209"/>
        <v>921.8</v>
      </c>
      <c r="AC205">
        <f t="shared" si="236"/>
        <v>118.83</v>
      </c>
      <c r="AD205">
        <f>ROUND(((((ET205*1.25))-((EU205*1.25)))+AE205),2)</f>
        <v>0.83</v>
      </c>
      <c r="AE205">
        <f>ROUND(((EU205*1.25)),2)</f>
        <v>0.15</v>
      </c>
      <c r="AF205">
        <f>ROUND(((EV205*1.15)),2)</f>
        <v>802.14</v>
      </c>
      <c r="AG205">
        <f t="shared" si="210"/>
        <v>0</v>
      </c>
      <c r="AH205">
        <f>((EW205*1.15))</f>
        <v>92.839500000000001</v>
      </c>
      <c r="AI205">
        <f>((EX205*1.25))</f>
        <v>1.2500000000000001E-2</v>
      </c>
      <c r="AJ205">
        <f t="shared" si="211"/>
        <v>0</v>
      </c>
      <c r="AK205">
        <v>817</v>
      </c>
      <c r="AL205">
        <v>118.83</v>
      </c>
      <c r="AM205">
        <v>0.66</v>
      </c>
      <c r="AN205">
        <v>0.12</v>
      </c>
      <c r="AO205">
        <v>697.51</v>
      </c>
      <c r="AP205">
        <v>0</v>
      </c>
      <c r="AQ205">
        <v>80.73</v>
      </c>
      <c r="AR205">
        <v>0.01</v>
      </c>
      <c r="AS205">
        <v>0</v>
      </c>
      <c r="AT205">
        <v>80</v>
      </c>
      <c r="AU205">
        <v>50</v>
      </c>
      <c r="AV205">
        <v>1</v>
      </c>
      <c r="AW205">
        <v>1</v>
      </c>
      <c r="AZ205">
        <v>6.56</v>
      </c>
      <c r="BA205">
        <v>6.56</v>
      </c>
      <c r="BB205">
        <v>6.56</v>
      </c>
      <c r="BC205">
        <v>6.56</v>
      </c>
      <c r="BD205" t="s">
        <v>6</v>
      </c>
      <c r="BE205" t="s">
        <v>6</v>
      </c>
      <c r="BF205" t="s">
        <v>6</v>
      </c>
      <c r="BG205" t="s">
        <v>6</v>
      </c>
      <c r="BH205">
        <v>0</v>
      </c>
      <c r="BI205">
        <v>1</v>
      </c>
      <c r="BJ205" t="s">
        <v>634</v>
      </c>
      <c r="BM205">
        <v>62001</v>
      </c>
      <c r="BN205">
        <v>0</v>
      </c>
      <c r="BO205" t="s">
        <v>6</v>
      </c>
      <c r="BP205">
        <v>0</v>
      </c>
      <c r="BQ205">
        <v>6</v>
      </c>
      <c r="BR205">
        <v>0</v>
      </c>
      <c r="BS205">
        <v>6.56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80</v>
      </c>
      <c r="CA205">
        <v>50</v>
      </c>
      <c r="CF205">
        <v>0</v>
      </c>
      <c r="CG205">
        <v>0</v>
      </c>
      <c r="CM205">
        <v>0</v>
      </c>
      <c r="CN205" t="s">
        <v>1902</v>
      </c>
      <c r="CO205">
        <v>0</v>
      </c>
      <c r="CP205">
        <f t="shared" si="212"/>
        <v>1209.4000000000001</v>
      </c>
      <c r="CQ205">
        <f t="shared" si="213"/>
        <v>779.52479999999991</v>
      </c>
      <c r="CR205">
        <f t="shared" si="214"/>
        <v>5.444799999999999</v>
      </c>
      <c r="CS205">
        <f t="shared" si="215"/>
        <v>0.98399999999999987</v>
      </c>
      <c r="CT205">
        <f t="shared" si="216"/>
        <v>5262.0383999999995</v>
      </c>
      <c r="CU205">
        <f t="shared" si="217"/>
        <v>0</v>
      </c>
      <c r="CV205">
        <f t="shared" si="218"/>
        <v>92.839500000000001</v>
      </c>
      <c r="CW205">
        <f t="shared" si="219"/>
        <v>1.2500000000000001E-2</v>
      </c>
      <c r="CX205">
        <f t="shared" si="220"/>
        <v>0</v>
      </c>
      <c r="CY205">
        <f t="shared" si="221"/>
        <v>842.08800000000019</v>
      </c>
      <c r="CZ205">
        <f t="shared" si="222"/>
        <v>526.30500000000006</v>
      </c>
      <c r="DC205" t="s">
        <v>6</v>
      </c>
      <c r="DD205" t="s">
        <v>6</v>
      </c>
      <c r="DE205" t="s">
        <v>187</v>
      </c>
      <c r="DF205" t="s">
        <v>187</v>
      </c>
      <c r="DG205" t="s">
        <v>188</v>
      </c>
      <c r="DH205" t="s">
        <v>6</v>
      </c>
      <c r="DI205" t="s">
        <v>188</v>
      </c>
      <c r="DJ205" t="s">
        <v>187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1005</v>
      </c>
      <c r="DV205" t="s">
        <v>20</v>
      </c>
      <c r="DW205" t="s">
        <v>20</v>
      </c>
      <c r="DX205">
        <v>100</v>
      </c>
      <c r="EE205">
        <v>16510571</v>
      </c>
      <c r="EF205">
        <v>6</v>
      </c>
      <c r="EG205" t="s">
        <v>36</v>
      </c>
      <c r="EH205">
        <v>0</v>
      </c>
      <c r="EI205" t="s">
        <v>6</v>
      </c>
      <c r="EJ205">
        <v>1</v>
      </c>
      <c r="EK205">
        <v>62001</v>
      </c>
      <c r="EL205" t="s">
        <v>382</v>
      </c>
      <c r="EM205" t="s">
        <v>383</v>
      </c>
      <c r="EO205" t="s">
        <v>189</v>
      </c>
      <c r="EQ205">
        <v>131072</v>
      </c>
      <c r="ER205">
        <v>817</v>
      </c>
      <c r="ES205">
        <v>118.83</v>
      </c>
      <c r="ET205">
        <v>0.66</v>
      </c>
      <c r="EU205">
        <v>0.12</v>
      </c>
      <c r="EV205">
        <v>697.51</v>
      </c>
      <c r="EW205">
        <v>80.73</v>
      </c>
      <c r="EX205">
        <v>0.01</v>
      </c>
      <c r="EY205">
        <v>0</v>
      </c>
      <c r="FQ205">
        <v>0</v>
      </c>
      <c r="FR205">
        <f t="shared" si="223"/>
        <v>0</v>
      </c>
      <c r="FS205">
        <v>0</v>
      </c>
      <c r="FX205">
        <v>80</v>
      </c>
      <c r="FY205">
        <v>50</v>
      </c>
      <c r="GA205" t="s">
        <v>6</v>
      </c>
      <c r="GD205">
        <v>0</v>
      </c>
      <c r="GF205">
        <v>753691407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24"/>
        <v>0</v>
      </c>
      <c r="GM205">
        <f t="shared" si="225"/>
        <v>2577.8000000000002</v>
      </c>
      <c r="GN205">
        <f t="shared" si="226"/>
        <v>2577.8000000000002</v>
      </c>
      <c r="GO205">
        <f t="shared" si="227"/>
        <v>0</v>
      </c>
      <c r="GP205">
        <f t="shared" si="228"/>
        <v>0</v>
      </c>
      <c r="GR205">
        <v>0</v>
      </c>
      <c r="GS205">
        <v>3</v>
      </c>
      <c r="GT205">
        <v>0</v>
      </c>
      <c r="GU205" t="s">
        <v>6</v>
      </c>
      <c r="GV205">
        <f t="shared" si="229"/>
        <v>0</v>
      </c>
      <c r="GW205">
        <v>1</v>
      </c>
      <c r="GX205">
        <f t="shared" si="230"/>
        <v>0</v>
      </c>
      <c r="HA205">
        <v>0</v>
      </c>
      <c r="HB205">
        <v>0</v>
      </c>
      <c r="IK205">
        <v>0</v>
      </c>
    </row>
    <row r="206" spans="1:245" x14ac:dyDescent="0.2">
      <c r="A206">
        <v>18</v>
      </c>
      <c r="B206">
        <v>1</v>
      </c>
      <c r="C206">
        <v>407</v>
      </c>
      <c r="E206" t="s">
        <v>635</v>
      </c>
      <c r="F206" t="s">
        <v>636</v>
      </c>
      <c r="G206" t="s">
        <v>637</v>
      </c>
      <c r="H206" t="s">
        <v>100</v>
      </c>
      <c r="I206">
        <f>I205*J206</f>
        <v>2.7200000000000002E-3</v>
      </c>
      <c r="J206">
        <v>1.3600000000000001E-2</v>
      </c>
      <c r="O206">
        <f t="shared" si="198"/>
        <v>758.48</v>
      </c>
      <c r="P206">
        <f t="shared" si="199"/>
        <v>758.48</v>
      </c>
      <c r="Q206">
        <f t="shared" si="200"/>
        <v>0</v>
      </c>
      <c r="R206">
        <f t="shared" si="201"/>
        <v>0</v>
      </c>
      <c r="S206">
        <f t="shared" si="202"/>
        <v>0</v>
      </c>
      <c r="T206">
        <f t="shared" si="203"/>
        <v>0</v>
      </c>
      <c r="U206">
        <f t="shared" si="204"/>
        <v>0</v>
      </c>
      <c r="V206">
        <f t="shared" si="205"/>
        <v>0</v>
      </c>
      <c r="W206">
        <f t="shared" si="206"/>
        <v>0</v>
      </c>
      <c r="X206">
        <f t="shared" si="207"/>
        <v>0</v>
      </c>
      <c r="Y206">
        <f t="shared" si="208"/>
        <v>0</v>
      </c>
      <c r="AA206">
        <v>16742901</v>
      </c>
      <c r="AB206">
        <f t="shared" si="209"/>
        <v>42508.19</v>
      </c>
      <c r="AC206">
        <f t="shared" si="236"/>
        <v>42508.19</v>
      </c>
      <c r="AD206">
        <f>ROUND((((ET206)-(EU206))+AE206),2)</f>
        <v>0</v>
      </c>
      <c r="AE206">
        <f>ROUND((EU206),2)</f>
        <v>0</v>
      </c>
      <c r="AF206">
        <f>ROUND((EV206),2)</f>
        <v>0</v>
      </c>
      <c r="AG206">
        <f t="shared" si="210"/>
        <v>0</v>
      </c>
      <c r="AH206">
        <f>(EW206)</f>
        <v>0</v>
      </c>
      <c r="AI206">
        <f>(EX206)</f>
        <v>0</v>
      </c>
      <c r="AJ206">
        <f t="shared" si="211"/>
        <v>0</v>
      </c>
      <c r="AK206">
        <v>42508.19</v>
      </c>
      <c r="AL206">
        <v>42508.19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80</v>
      </c>
      <c r="AU206">
        <v>50</v>
      </c>
      <c r="AV206">
        <v>1</v>
      </c>
      <c r="AW206">
        <v>1</v>
      </c>
      <c r="AZ206">
        <v>6.56</v>
      </c>
      <c r="BA206">
        <v>1</v>
      </c>
      <c r="BB206">
        <v>1</v>
      </c>
      <c r="BC206">
        <v>6.56</v>
      </c>
      <c r="BD206" t="s">
        <v>6</v>
      </c>
      <c r="BE206" t="s">
        <v>6</v>
      </c>
      <c r="BF206" t="s">
        <v>6</v>
      </c>
      <c r="BG206" t="s">
        <v>6</v>
      </c>
      <c r="BH206">
        <v>3</v>
      </c>
      <c r="BI206">
        <v>1</v>
      </c>
      <c r="BJ206" t="s">
        <v>638</v>
      </c>
      <c r="BM206">
        <v>62001</v>
      </c>
      <c r="BN206">
        <v>0</v>
      </c>
      <c r="BO206" t="s">
        <v>6</v>
      </c>
      <c r="BP206">
        <v>0</v>
      </c>
      <c r="BQ206">
        <v>6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80</v>
      </c>
      <c r="CA206">
        <v>50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12"/>
        <v>758.48</v>
      </c>
      <c r="CQ206">
        <f t="shared" si="213"/>
        <v>278853.72639999999</v>
      </c>
      <c r="CR206">
        <f t="shared" si="214"/>
        <v>0</v>
      </c>
      <c r="CS206">
        <f t="shared" si="215"/>
        <v>0</v>
      </c>
      <c r="CT206">
        <f t="shared" si="216"/>
        <v>0</v>
      </c>
      <c r="CU206">
        <f t="shared" si="217"/>
        <v>0</v>
      </c>
      <c r="CV206">
        <f t="shared" si="218"/>
        <v>0</v>
      </c>
      <c r="CW206">
        <f t="shared" si="219"/>
        <v>0</v>
      </c>
      <c r="CX206">
        <f t="shared" si="220"/>
        <v>0</v>
      </c>
      <c r="CY206">
        <f t="shared" si="221"/>
        <v>0</v>
      </c>
      <c r="CZ206">
        <f t="shared" si="222"/>
        <v>0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1009</v>
      </c>
      <c r="DV206" t="s">
        <v>100</v>
      </c>
      <c r="DW206" t="s">
        <v>100</v>
      </c>
      <c r="DX206">
        <v>1000</v>
      </c>
      <c r="EE206">
        <v>16510571</v>
      </c>
      <c r="EF206">
        <v>6</v>
      </c>
      <c r="EG206" t="s">
        <v>36</v>
      </c>
      <c r="EH206">
        <v>0</v>
      </c>
      <c r="EI206" t="s">
        <v>6</v>
      </c>
      <c r="EJ206">
        <v>1</v>
      </c>
      <c r="EK206">
        <v>62001</v>
      </c>
      <c r="EL206" t="s">
        <v>382</v>
      </c>
      <c r="EM206" t="s">
        <v>383</v>
      </c>
      <c r="EO206" t="s">
        <v>6</v>
      </c>
      <c r="EQ206">
        <v>0</v>
      </c>
      <c r="ER206">
        <v>42508.19</v>
      </c>
      <c r="ES206">
        <v>42508.19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23"/>
        <v>0</v>
      </c>
      <c r="FS206">
        <v>0</v>
      </c>
      <c r="FX206">
        <v>80</v>
      </c>
      <c r="FY206">
        <v>50</v>
      </c>
      <c r="GA206" t="s">
        <v>6</v>
      </c>
      <c r="GD206">
        <v>0</v>
      </c>
      <c r="GF206">
        <v>-777870615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24"/>
        <v>0</v>
      </c>
      <c r="GM206">
        <f t="shared" si="225"/>
        <v>758.48</v>
      </c>
      <c r="GN206">
        <f t="shared" si="226"/>
        <v>758.48</v>
      </c>
      <c r="GO206">
        <f t="shared" si="227"/>
        <v>0</v>
      </c>
      <c r="GP206">
        <f t="shared" si="228"/>
        <v>0</v>
      </c>
      <c r="GR206">
        <v>0</v>
      </c>
      <c r="GS206">
        <v>3</v>
      </c>
      <c r="GT206">
        <v>0</v>
      </c>
      <c r="GU206" t="s">
        <v>6</v>
      </c>
      <c r="GV206">
        <f t="shared" si="229"/>
        <v>0</v>
      </c>
      <c r="GW206">
        <v>1</v>
      </c>
      <c r="GX206">
        <f t="shared" si="230"/>
        <v>0</v>
      </c>
      <c r="HA206">
        <v>0</v>
      </c>
      <c r="HB206">
        <v>0</v>
      </c>
      <c r="IK206">
        <v>0</v>
      </c>
    </row>
    <row r="207" spans="1:245" x14ac:dyDescent="0.2">
      <c r="A207">
        <v>18</v>
      </c>
      <c r="B207">
        <v>1</v>
      </c>
      <c r="C207">
        <v>406</v>
      </c>
      <c r="E207" t="s">
        <v>639</v>
      </c>
      <c r="F207" t="s">
        <v>640</v>
      </c>
      <c r="G207" t="s">
        <v>641</v>
      </c>
      <c r="H207" t="s">
        <v>100</v>
      </c>
      <c r="I207">
        <f>I205*J207</f>
        <v>2.7200000000000002E-3</v>
      </c>
      <c r="J207">
        <v>1.3600000000000001E-2</v>
      </c>
      <c r="O207">
        <f t="shared" si="198"/>
        <v>0</v>
      </c>
      <c r="P207">
        <f t="shared" si="199"/>
        <v>0</v>
      </c>
      <c r="Q207">
        <f t="shared" si="200"/>
        <v>0</v>
      </c>
      <c r="R207">
        <f t="shared" si="201"/>
        <v>0</v>
      </c>
      <c r="S207">
        <f t="shared" si="202"/>
        <v>0</v>
      </c>
      <c r="T207">
        <f t="shared" si="203"/>
        <v>0</v>
      </c>
      <c r="U207">
        <f t="shared" si="204"/>
        <v>0</v>
      </c>
      <c r="V207">
        <f t="shared" si="205"/>
        <v>0</v>
      </c>
      <c r="W207">
        <f t="shared" si="206"/>
        <v>0</v>
      </c>
      <c r="X207">
        <f t="shared" si="207"/>
        <v>0</v>
      </c>
      <c r="Y207">
        <f t="shared" si="208"/>
        <v>0</v>
      </c>
      <c r="AA207">
        <v>16742901</v>
      </c>
      <c r="AB207">
        <f t="shared" si="209"/>
        <v>0</v>
      </c>
      <c r="AC207">
        <f t="shared" si="236"/>
        <v>0</v>
      </c>
      <c r="AD207">
        <f>ROUND((((ET207)-(EU207))+AE207),2)</f>
        <v>0</v>
      </c>
      <c r="AE207">
        <f>ROUND((EU207),2)</f>
        <v>0</v>
      </c>
      <c r="AF207">
        <f>ROUND((EV207),2)</f>
        <v>0</v>
      </c>
      <c r="AG207">
        <f t="shared" si="210"/>
        <v>0</v>
      </c>
      <c r="AH207">
        <f>(EW207)</f>
        <v>0</v>
      </c>
      <c r="AI207">
        <f>(EX207)</f>
        <v>0</v>
      </c>
      <c r="AJ207">
        <f t="shared" si="211"/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80</v>
      </c>
      <c r="AU207">
        <v>50</v>
      </c>
      <c r="AV207">
        <v>1</v>
      </c>
      <c r="AW207">
        <v>1</v>
      </c>
      <c r="AZ207">
        <v>6.56</v>
      </c>
      <c r="BA207">
        <v>1</v>
      </c>
      <c r="BB207">
        <v>1</v>
      </c>
      <c r="BC207">
        <v>6.56</v>
      </c>
      <c r="BD207" t="s">
        <v>6</v>
      </c>
      <c r="BE207" t="s">
        <v>6</v>
      </c>
      <c r="BF207" t="s">
        <v>6</v>
      </c>
      <c r="BG207" t="s">
        <v>6</v>
      </c>
      <c r="BH207">
        <v>3</v>
      </c>
      <c r="BI207">
        <v>1</v>
      </c>
      <c r="BJ207" t="s">
        <v>6</v>
      </c>
      <c r="BM207">
        <v>62001</v>
      </c>
      <c r="BN207">
        <v>0</v>
      </c>
      <c r="BO207" t="s">
        <v>6</v>
      </c>
      <c r="BP207">
        <v>0</v>
      </c>
      <c r="BQ207">
        <v>6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80</v>
      </c>
      <c r="CA207">
        <v>50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12"/>
        <v>0</v>
      </c>
      <c r="CQ207">
        <f t="shared" si="213"/>
        <v>0</v>
      </c>
      <c r="CR207">
        <f t="shared" si="214"/>
        <v>0</v>
      </c>
      <c r="CS207">
        <f t="shared" si="215"/>
        <v>0</v>
      </c>
      <c r="CT207">
        <f t="shared" si="216"/>
        <v>0</v>
      </c>
      <c r="CU207">
        <f t="shared" si="217"/>
        <v>0</v>
      </c>
      <c r="CV207">
        <f t="shared" si="218"/>
        <v>0</v>
      </c>
      <c r="CW207">
        <f t="shared" si="219"/>
        <v>0</v>
      </c>
      <c r="CX207">
        <f t="shared" si="220"/>
        <v>0</v>
      </c>
      <c r="CY207">
        <f t="shared" si="221"/>
        <v>0</v>
      </c>
      <c r="CZ207">
        <f t="shared" si="222"/>
        <v>0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1009</v>
      </c>
      <c r="DV207" t="s">
        <v>100</v>
      </c>
      <c r="DW207" t="s">
        <v>100</v>
      </c>
      <c r="DX207">
        <v>1000</v>
      </c>
      <c r="EE207">
        <v>16510571</v>
      </c>
      <c r="EF207">
        <v>6</v>
      </c>
      <c r="EG207" t="s">
        <v>36</v>
      </c>
      <c r="EH207">
        <v>0</v>
      </c>
      <c r="EI207" t="s">
        <v>6</v>
      </c>
      <c r="EJ207">
        <v>1</v>
      </c>
      <c r="EK207">
        <v>62001</v>
      </c>
      <c r="EL207" t="s">
        <v>382</v>
      </c>
      <c r="EM207" t="s">
        <v>383</v>
      </c>
      <c r="EO207" t="s">
        <v>6</v>
      </c>
      <c r="EQ207">
        <v>0</v>
      </c>
      <c r="ER207">
        <v>0</v>
      </c>
      <c r="ES207">
        <v>0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23"/>
        <v>0</v>
      </c>
      <c r="FS207">
        <v>0</v>
      </c>
      <c r="FX207">
        <v>80</v>
      </c>
      <c r="FY207">
        <v>50</v>
      </c>
      <c r="GA207" t="s">
        <v>6</v>
      </c>
      <c r="GD207">
        <v>0</v>
      </c>
      <c r="GF207">
        <v>50625944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24"/>
        <v>0</v>
      </c>
      <c r="GM207">
        <f t="shared" si="225"/>
        <v>0</v>
      </c>
      <c r="GN207">
        <f t="shared" si="226"/>
        <v>0</v>
      </c>
      <c r="GO207">
        <f t="shared" si="227"/>
        <v>0</v>
      </c>
      <c r="GP207">
        <f t="shared" si="228"/>
        <v>0</v>
      </c>
      <c r="GR207">
        <v>0</v>
      </c>
      <c r="GS207">
        <v>3</v>
      </c>
      <c r="GT207">
        <v>0</v>
      </c>
      <c r="GU207" t="s">
        <v>6</v>
      </c>
      <c r="GV207">
        <f t="shared" si="229"/>
        <v>0</v>
      </c>
      <c r="GW207">
        <v>1</v>
      </c>
      <c r="GX207">
        <f t="shared" si="230"/>
        <v>0</v>
      </c>
      <c r="HA207">
        <v>0</v>
      </c>
      <c r="HB207">
        <v>0</v>
      </c>
      <c r="IK207">
        <v>0</v>
      </c>
    </row>
    <row r="208" spans="1:245" x14ac:dyDescent="0.2">
      <c r="A208">
        <v>17</v>
      </c>
      <c r="B208">
        <v>1</v>
      </c>
      <c r="C208">
        <f>ROW(SmtRes!A419)</f>
        <v>419</v>
      </c>
      <c r="D208">
        <f>ROW(EtalonRes!A393)</f>
        <v>393</v>
      </c>
      <c r="E208" t="s">
        <v>642</v>
      </c>
      <c r="F208" t="s">
        <v>643</v>
      </c>
      <c r="G208" t="s">
        <v>644</v>
      </c>
      <c r="H208" t="s">
        <v>20</v>
      </c>
      <c r="I208">
        <f>ROUND(8/100,9)</f>
        <v>0.08</v>
      </c>
      <c r="J208">
        <v>0</v>
      </c>
      <c r="O208">
        <f t="shared" si="198"/>
        <v>456.45</v>
      </c>
      <c r="P208">
        <f t="shared" si="199"/>
        <v>184.89</v>
      </c>
      <c r="Q208">
        <f t="shared" si="200"/>
        <v>4.6399999999999997</v>
      </c>
      <c r="R208">
        <f t="shared" si="201"/>
        <v>1.34</v>
      </c>
      <c r="S208">
        <f t="shared" si="202"/>
        <v>266.92</v>
      </c>
      <c r="T208">
        <f t="shared" si="203"/>
        <v>0</v>
      </c>
      <c r="U208">
        <f t="shared" si="204"/>
        <v>4.7094799999999992</v>
      </c>
      <c r="V208">
        <f t="shared" si="205"/>
        <v>1.6E-2</v>
      </c>
      <c r="W208">
        <f t="shared" si="206"/>
        <v>0</v>
      </c>
      <c r="X208">
        <f t="shared" si="207"/>
        <v>214.61</v>
      </c>
      <c r="Y208">
        <f t="shared" si="208"/>
        <v>134.13</v>
      </c>
      <c r="AA208">
        <v>16742901</v>
      </c>
      <c r="AB208">
        <f t="shared" si="209"/>
        <v>869.76</v>
      </c>
      <c r="AC208">
        <f t="shared" si="236"/>
        <v>352.3</v>
      </c>
      <c r="AD208">
        <f>ROUND(((((ET208*1.25))-((EU208*1.25)))+AE208),2)</f>
        <v>8.84</v>
      </c>
      <c r="AE208">
        <f>ROUND(((EU208*1.25)),2)</f>
        <v>2.56</v>
      </c>
      <c r="AF208">
        <f>ROUND(((EV208*1.15)),2)</f>
        <v>508.62</v>
      </c>
      <c r="AG208">
        <f t="shared" si="210"/>
        <v>0</v>
      </c>
      <c r="AH208">
        <f>((EW208*1.15))</f>
        <v>58.86849999999999</v>
      </c>
      <c r="AI208">
        <f>((EX208*1.25))</f>
        <v>0.2</v>
      </c>
      <c r="AJ208">
        <f t="shared" si="211"/>
        <v>0</v>
      </c>
      <c r="AK208">
        <v>801.65</v>
      </c>
      <c r="AL208">
        <v>352.3</v>
      </c>
      <c r="AM208">
        <v>7.07</v>
      </c>
      <c r="AN208">
        <v>2.0499999999999998</v>
      </c>
      <c r="AO208">
        <v>442.28</v>
      </c>
      <c r="AP208">
        <v>0</v>
      </c>
      <c r="AQ208">
        <v>51.19</v>
      </c>
      <c r="AR208">
        <v>0.16</v>
      </c>
      <c r="AS208">
        <v>0</v>
      </c>
      <c r="AT208">
        <v>80</v>
      </c>
      <c r="AU208">
        <v>50</v>
      </c>
      <c r="AV208">
        <v>1</v>
      </c>
      <c r="AW208">
        <v>1</v>
      </c>
      <c r="AZ208">
        <v>6.56</v>
      </c>
      <c r="BA208">
        <v>6.56</v>
      </c>
      <c r="BB208">
        <v>6.56</v>
      </c>
      <c r="BC208">
        <v>6.56</v>
      </c>
      <c r="BD208" t="s">
        <v>6</v>
      </c>
      <c r="BE208" t="s">
        <v>6</v>
      </c>
      <c r="BF208" t="s">
        <v>6</v>
      </c>
      <c r="BG208" t="s">
        <v>6</v>
      </c>
      <c r="BH208">
        <v>0</v>
      </c>
      <c r="BI208">
        <v>1</v>
      </c>
      <c r="BJ208" t="s">
        <v>645</v>
      </c>
      <c r="BM208">
        <v>62001</v>
      </c>
      <c r="BN208">
        <v>0</v>
      </c>
      <c r="BO208" t="s">
        <v>6</v>
      </c>
      <c r="BP208">
        <v>0</v>
      </c>
      <c r="BQ208">
        <v>6</v>
      </c>
      <c r="BR208">
        <v>0</v>
      </c>
      <c r="BS208">
        <v>6.56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80</v>
      </c>
      <c r="CA208">
        <v>50</v>
      </c>
      <c r="CF208">
        <v>0</v>
      </c>
      <c r="CG208">
        <v>0</v>
      </c>
      <c r="CM208">
        <v>0</v>
      </c>
      <c r="CN208" t="s">
        <v>1902</v>
      </c>
      <c r="CO208">
        <v>0</v>
      </c>
      <c r="CP208">
        <f t="shared" si="212"/>
        <v>456.45</v>
      </c>
      <c r="CQ208">
        <f t="shared" si="213"/>
        <v>2311.0879999999997</v>
      </c>
      <c r="CR208">
        <f t="shared" si="214"/>
        <v>57.990399999999994</v>
      </c>
      <c r="CS208">
        <f t="shared" si="215"/>
        <v>16.793599999999998</v>
      </c>
      <c r="CT208">
        <f t="shared" si="216"/>
        <v>3336.5472</v>
      </c>
      <c r="CU208">
        <f t="shared" si="217"/>
        <v>0</v>
      </c>
      <c r="CV208">
        <f t="shared" si="218"/>
        <v>58.86849999999999</v>
      </c>
      <c r="CW208">
        <f t="shared" si="219"/>
        <v>0.2</v>
      </c>
      <c r="CX208">
        <f t="shared" si="220"/>
        <v>0</v>
      </c>
      <c r="CY208">
        <f t="shared" si="221"/>
        <v>214.608</v>
      </c>
      <c r="CZ208">
        <f t="shared" si="222"/>
        <v>134.13</v>
      </c>
      <c r="DC208" t="s">
        <v>6</v>
      </c>
      <c r="DD208" t="s">
        <v>6</v>
      </c>
      <c r="DE208" t="s">
        <v>187</v>
      </c>
      <c r="DF208" t="s">
        <v>187</v>
      </c>
      <c r="DG208" t="s">
        <v>188</v>
      </c>
      <c r="DH208" t="s">
        <v>6</v>
      </c>
      <c r="DI208" t="s">
        <v>188</v>
      </c>
      <c r="DJ208" t="s">
        <v>187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1005</v>
      </c>
      <c r="DV208" t="s">
        <v>20</v>
      </c>
      <c r="DW208" t="s">
        <v>20</v>
      </c>
      <c r="DX208">
        <v>100</v>
      </c>
      <c r="EE208">
        <v>16510571</v>
      </c>
      <c r="EF208">
        <v>6</v>
      </c>
      <c r="EG208" t="s">
        <v>36</v>
      </c>
      <c r="EH208">
        <v>0</v>
      </c>
      <c r="EI208" t="s">
        <v>6</v>
      </c>
      <c r="EJ208">
        <v>1</v>
      </c>
      <c r="EK208">
        <v>62001</v>
      </c>
      <c r="EL208" t="s">
        <v>382</v>
      </c>
      <c r="EM208" t="s">
        <v>383</v>
      </c>
      <c r="EO208" t="s">
        <v>189</v>
      </c>
      <c r="EQ208">
        <v>131072</v>
      </c>
      <c r="ER208">
        <v>801.65</v>
      </c>
      <c r="ES208">
        <v>352.3</v>
      </c>
      <c r="ET208">
        <v>7.07</v>
      </c>
      <c r="EU208">
        <v>2.0499999999999998</v>
      </c>
      <c r="EV208">
        <v>442.28</v>
      </c>
      <c r="EW208">
        <v>51.19</v>
      </c>
      <c r="EX208">
        <v>0.16</v>
      </c>
      <c r="EY208">
        <v>0</v>
      </c>
      <c r="FQ208">
        <v>0</v>
      </c>
      <c r="FR208">
        <f t="shared" si="223"/>
        <v>0</v>
      </c>
      <c r="FS208">
        <v>0</v>
      </c>
      <c r="FX208">
        <v>80</v>
      </c>
      <c r="FY208">
        <v>50</v>
      </c>
      <c r="GA208" t="s">
        <v>6</v>
      </c>
      <c r="GD208">
        <v>0</v>
      </c>
      <c r="GF208">
        <v>-802280579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24"/>
        <v>0</v>
      </c>
      <c r="GM208">
        <f t="shared" si="225"/>
        <v>805.19</v>
      </c>
      <c r="GN208">
        <f t="shared" si="226"/>
        <v>805.19</v>
      </c>
      <c r="GO208">
        <f t="shared" si="227"/>
        <v>0</v>
      </c>
      <c r="GP208">
        <f t="shared" si="228"/>
        <v>0</v>
      </c>
      <c r="GR208">
        <v>0</v>
      </c>
      <c r="GS208">
        <v>3</v>
      </c>
      <c r="GT208">
        <v>0</v>
      </c>
      <c r="GU208" t="s">
        <v>6</v>
      </c>
      <c r="GV208">
        <f t="shared" si="229"/>
        <v>0</v>
      </c>
      <c r="GW208">
        <v>1</v>
      </c>
      <c r="GX208">
        <f t="shared" si="230"/>
        <v>0</v>
      </c>
      <c r="HA208">
        <v>0</v>
      </c>
      <c r="HB208">
        <v>0</v>
      </c>
      <c r="IK208">
        <v>0</v>
      </c>
    </row>
    <row r="209" spans="1:245" x14ac:dyDescent="0.2">
      <c r="A209">
        <v>18</v>
      </c>
      <c r="B209">
        <v>1</v>
      </c>
      <c r="C209">
        <v>417</v>
      </c>
      <c r="E209" t="s">
        <v>646</v>
      </c>
      <c r="F209" t="s">
        <v>636</v>
      </c>
      <c r="G209" t="s">
        <v>637</v>
      </c>
      <c r="H209" t="s">
        <v>100</v>
      </c>
      <c r="I209">
        <f>I208*J209</f>
        <v>1.688E-3</v>
      </c>
      <c r="J209">
        <v>2.1100000000000001E-2</v>
      </c>
      <c r="O209">
        <f t="shared" si="198"/>
        <v>470.71</v>
      </c>
      <c r="P209">
        <f t="shared" si="199"/>
        <v>470.71</v>
      </c>
      <c r="Q209">
        <f t="shared" si="200"/>
        <v>0</v>
      </c>
      <c r="R209">
        <f t="shared" si="201"/>
        <v>0</v>
      </c>
      <c r="S209">
        <f t="shared" si="202"/>
        <v>0</v>
      </c>
      <c r="T209">
        <f t="shared" si="203"/>
        <v>0</v>
      </c>
      <c r="U209">
        <f t="shared" si="204"/>
        <v>0</v>
      </c>
      <c r="V209">
        <f t="shared" si="205"/>
        <v>0</v>
      </c>
      <c r="W209">
        <f t="shared" si="206"/>
        <v>0</v>
      </c>
      <c r="X209">
        <f t="shared" si="207"/>
        <v>0</v>
      </c>
      <c r="Y209">
        <f t="shared" si="208"/>
        <v>0</v>
      </c>
      <c r="AA209">
        <v>16742901</v>
      </c>
      <c r="AB209">
        <f t="shared" si="209"/>
        <v>42508.19</v>
      </c>
      <c r="AC209">
        <f t="shared" si="236"/>
        <v>42508.19</v>
      </c>
      <c r="AD209">
        <f>ROUND((((ET209)-(EU209))+AE209),2)</f>
        <v>0</v>
      </c>
      <c r="AE209">
        <f>ROUND((EU209),2)</f>
        <v>0</v>
      </c>
      <c r="AF209">
        <f>ROUND((EV209),2)</f>
        <v>0</v>
      </c>
      <c r="AG209">
        <f t="shared" si="210"/>
        <v>0</v>
      </c>
      <c r="AH209">
        <f>(EW209)</f>
        <v>0</v>
      </c>
      <c r="AI209">
        <f>(EX209)</f>
        <v>0</v>
      </c>
      <c r="AJ209">
        <f t="shared" si="211"/>
        <v>0</v>
      </c>
      <c r="AK209">
        <v>42508.19</v>
      </c>
      <c r="AL209">
        <v>42508.19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80</v>
      </c>
      <c r="AU209">
        <v>50</v>
      </c>
      <c r="AV209">
        <v>1</v>
      </c>
      <c r="AW209">
        <v>1</v>
      </c>
      <c r="AZ209">
        <v>6.56</v>
      </c>
      <c r="BA209">
        <v>1</v>
      </c>
      <c r="BB209">
        <v>1</v>
      </c>
      <c r="BC209">
        <v>6.56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1</v>
      </c>
      <c r="BJ209" t="s">
        <v>638</v>
      </c>
      <c r="BM209">
        <v>62001</v>
      </c>
      <c r="BN209">
        <v>0</v>
      </c>
      <c r="BO209" t="s">
        <v>6</v>
      </c>
      <c r="BP209">
        <v>0</v>
      </c>
      <c r="BQ209">
        <v>6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80</v>
      </c>
      <c r="CA209">
        <v>50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12"/>
        <v>470.71</v>
      </c>
      <c r="CQ209">
        <f t="shared" si="213"/>
        <v>278853.72639999999</v>
      </c>
      <c r="CR209">
        <f t="shared" si="214"/>
        <v>0</v>
      </c>
      <c r="CS209">
        <f t="shared" si="215"/>
        <v>0</v>
      </c>
      <c r="CT209">
        <f t="shared" si="216"/>
        <v>0</v>
      </c>
      <c r="CU209">
        <f t="shared" si="217"/>
        <v>0</v>
      </c>
      <c r="CV209">
        <f t="shared" si="218"/>
        <v>0</v>
      </c>
      <c r="CW209">
        <f t="shared" si="219"/>
        <v>0</v>
      </c>
      <c r="CX209">
        <f t="shared" si="220"/>
        <v>0</v>
      </c>
      <c r="CY209">
        <f t="shared" si="221"/>
        <v>0</v>
      </c>
      <c r="CZ209">
        <f t="shared" si="222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1009</v>
      </c>
      <c r="DV209" t="s">
        <v>100</v>
      </c>
      <c r="DW209" t="s">
        <v>100</v>
      </c>
      <c r="DX209">
        <v>1000</v>
      </c>
      <c r="EE209">
        <v>16510571</v>
      </c>
      <c r="EF209">
        <v>6</v>
      </c>
      <c r="EG209" t="s">
        <v>36</v>
      </c>
      <c r="EH209">
        <v>0</v>
      </c>
      <c r="EI209" t="s">
        <v>6</v>
      </c>
      <c r="EJ209">
        <v>1</v>
      </c>
      <c r="EK209">
        <v>62001</v>
      </c>
      <c r="EL209" t="s">
        <v>382</v>
      </c>
      <c r="EM209" t="s">
        <v>383</v>
      </c>
      <c r="EO209" t="s">
        <v>6</v>
      </c>
      <c r="EQ209">
        <v>0</v>
      </c>
      <c r="ER209">
        <v>42508.19</v>
      </c>
      <c r="ES209">
        <v>42508.19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23"/>
        <v>0</v>
      </c>
      <c r="FS209">
        <v>0</v>
      </c>
      <c r="FX209">
        <v>80</v>
      </c>
      <c r="FY209">
        <v>50</v>
      </c>
      <c r="GA209" t="s">
        <v>6</v>
      </c>
      <c r="GD209">
        <v>0</v>
      </c>
      <c r="GF209">
        <v>-777870615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24"/>
        <v>0</v>
      </c>
      <c r="GM209">
        <f t="shared" si="225"/>
        <v>470.71</v>
      </c>
      <c r="GN209">
        <f t="shared" si="226"/>
        <v>470.71</v>
      </c>
      <c r="GO209">
        <f t="shared" si="227"/>
        <v>0</v>
      </c>
      <c r="GP209">
        <f t="shared" si="228"/>
        <v>0</v>
      </c>
      <c r="GR209">
        <v>0</v>
      </c>
      <c r="GS209">
        <v>3</v>
      </c>
      <c r="GT209">
        <v>0</v>
      </c>
      <c r="GU209" t="s">
        <v>6</v>
      </c>
      <c r="GV209">
        <f t="shared" si="229"/>
        <v>0</v>
      </c>
      <c r="GW209">
        <v>1</v>
      </c>
      <c r="GX209">
        <f t="shared" si="230"/>
        <v>0</v>
      </c>
      <c r="HA209">
        <v>0</v>
      </c>
      <c r="HB209">
        <v>0</v>
      </c>
      <c r="IK209">
        <v>0</v>
      </c>
    </row>
    <row r="210" spans="1:245" x14ac:dyDescent="0.2">
      <c r="A210">
        <v>18</v>
      </c>
      <c r="B210">
        <v>1</v>
      </c>
      <c r="C210">
        <v>416</v>
      </c>
      <c r="E210" t="s">
        <v>647</v>
      </c>
      <c r="F210" t="s">
        <v>640</v>
      </c>
      <c r="G210" t="s">
        <v>648</v>
      </c>
      <c r="H210" t="s">
        <v>100</v>
      </c>
      <c r="I210">
        <f>I208*J210</f>
        <v>1.688E-3</v>
      </c>
      <c r="J210">
        <v>2.1100000000000001E-2</v>
      </c>
      <c r="O210">
        <f t="shared" si="198"/>
        <v>0</v>
      </c>
      <c r="P210">
        <f t="shared" si="199"/>
        <v>0</v>
      </c>
      <c r="Q210">
        <f t="shared" si="200"/>
        <v>0</v>
      </c>
      <c r="R210">
        <f t="shared" si="201"/>
        <v>0</v>
      </c>
      <c r="S210">
        <f t="shared" si="202"/>
        <v>0</v>
      </c>
      <c r="T210">
        <f t="shared" si="203"/>
        <v>0</v>
      </c>
      <c r="U210">
        <f t="shared" si="204"/>
        <v>0</v>
      </c>
      <c r="V210">
        <f t="shared" si="205"/>
        <v>0</v>
      </c>
      <c r="W210">
        <f t="shared" si="206"/>
        <v>0</v>
      </c>
      <c r="X210">
        <f t="shared" si="207"/>
        <v>0</v>
      </c>
      <c r="Y210">
        <f t="shared" si="208"/>
        <v>0</v>
      </c>
      <c r="AA210">
        <v>16742901</v>
      </c>
      <c r="AB210">
        <f t="shared" si="209"/>
        <v>0</v>
      </c>
      <c r="AC210">
        <f t="shared" si="236"/>
        <v>0</v>
      </c>
      <c r="AD210">
        <f>ROUND((((ET210)-(EU210))+AE210),2)</f>
        <v>0</v>
      </c>
      <c r="AE210">
        <f>ROUND((EU210),2)</f>
        <v>0</v>
      </c>
      <c r="AF210">
        <f>ROUND((EV210),2)</f>
        <v>0</v>
      </c>
      <c r="AG210">
        <f t="shared" si="210"/>
        <v>0</v>
      </c>
      <c r="AH210">
        <f>(EW210)</f>
        <v>0</v>
      </c>
      <c r="AI210">
        <f>(EX210)</f>
        <v>0</v>
      </c>
      <c r="AJ210">
        <f t="shared" si="211"/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80</v>
      </c>
      <c r="AU210">
        <v>50</v>
      </c>
      <c r="AV210">
        <v>1</v>
      </c>
      <c r="AW210">
        <v>1</v>
      </c>
      <c r="AZ210">
        <v>6.56</v>
      </c>
      <c r="BA210">
        <v>1</v>
      </c>
      <c r="BB210">
        <v>1</v>
      </c>
      <c r="BC210">
        <v>6.56</v>
      </c>
      <c r="BD210" t="s">
        <v>6</v>
      </c>
      <c r="BE210" t="s">
        <v>6</v>
      </c>
      <c r="BF210" t="s">
        <v>6</v>
      </c>
      <c r="BG210" t="s">
        <v>6</v>
      </c>
      <c r="BH210">
        <v>3</v>
      </c>
      <c r="BI210">
        <v>1</v>
      </c>
      <c r="BJ210" t="s">
        <v>6</v>
      </c>
      <c r="BM210">
        <v>62001</v>
      </c>
      <c r="BN210">
        <v>0</v>
      </c>
      <c r="BO210" t="s">
        <v>6</v>
      </c>
      <c r="BP210">
        <v>0</v>
      </c>
      <c r="BQ210">
        <v>6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80</v>
      </c>
      <c r="CA210">
        <v>50</v>
      </c>
      <c r="CF210">
        <v>0</v>
      </c>
      <c r="CG210">
        <v>0</v>
      </c>
      <c r="CM210">
        <v>0</v>
      </c>
      <c r="CN210" t="s">
        <v>6</v>
      </c>
      <c r="CO210">
        <v>0</v>
      </c>
      <c r="CP210">
        <f t="shared" si="212"/>
        <v>0</v>
      </c>
      <c r="CQ210">
        <f t="shared" si="213"/>
        <v>0</v>
      </c>
      <c r="CR210">
        <f t="shared" si="214"/>
        <v>0</v>
      </c>
      <c r="CS210">
        <f t="shared" si="215"/>
        <v>0</v>
      </c>
      <c r="CT210">
        <f t="shared" si="216"/>
        <v>0</v>
      </c>
      <c r="CU210">
        <f t="shared" si="217"/>
        <v>0</v>
      </c>
      <c r="CV210">
        <f t="shared" si="218"/>
        <v>0</v>
      </c>
      <c r="CW210">
        <f t="shared" si="219"/>
        <v>0</v>
      </c>
      <c r="CX210">
        <f t="shared" si="220"/>
        <v>0</v>
      </c>
      <c r="CY210">
        <f t="shared" si="221"/>
        <v>0</v>
      </c>
      <c r="CZ210">
        <f t="shared" si="222"/>
        <v>0</v>
      </c>
      <c r="DC210" t="s">
        <v>6</v>
      </c>
      <c r="DD210" t="s">
        <v>6</v>
      </c>
      <c r="DE210" t="s">
        <v>6</v>
      </c>
      <c r="DF210" t="s">
        <v>6</v>
      </c>
      <c r="DG210" t="s">
        <v>6</v>
      </c>
      <c r="DH210" t="s">
        <v>6</v>
      </c>
      <c r="DI210" t="s">
        <v>6</v>
      </c>
      <c r="DJ210" t="s">
        <v>6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1009</v>
      </c>
      <c r="DV210" t="s">
        <v>100</v>
      </c>
      <c r="DW210" t="s">
        <v>100</v>
      </c>
      <c r="DX210">
        <v>1000</v>
      </c>
      <c r="EE210">
        <v>16510571</v>
      </c>
      <c r="EF210">
        <v>6</v>
      </c>
      <c r="EG210" t="s">
        <v>36</v>
      </c>
      <c r="EH210">
        <v>0</v>
      </c>
      <c r="EI210" t="s">
        <v>6</v>
      </c>
      <c r="EJ210">
        <v>1</v>
      </c>
      <c r="EK210">
        <v>62001</v>
      </c>
      <c r="EL210" t="s">
        <v>382</v>
      </c>
      <c r="EM210" t="s">
        <v>383</v>
      </c>
      <c r="EO210" t="s">
        <v>6</v>
      </c>
      <c r="EQ210">
        <v>0</v>
      </c>
      <c r="ER210">
        <v>0</v>
      </c>
      <c r="ES210">
        <v>0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23"/>
        <v>0</v>
      </c>
      <c r="FS210">
        <v>0</v>
      </c>
      <c r="FX210">
        <v>80</v>
      </c>
      <c r="FY210">
        <v>50</v>
      </c>
      <c r="GA210" t="s">
        <v>6</v>
      </c>
      <c r="GD210">
        <v>0</v>
      </c>
      <c r="GF210">
        <v>84301199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24"/>
        <v>0</v>
      </c>
      <c r="GM210">
        <f t="shared" si="225"/>
        <v>0</v>
      </c>
      <c r="GN210">
        <f t="shared" si="226"/>
        <v>0</v>
      </c>
      <c r="GO210">
        <f t="shared" si="227"/>
        <v>0</v>
      </c>
      <c r="GP210">
        <f t="shared" si="228"/>
        <v>0</v>
      </c>
      <c r="GR210">
        <v>0</v>
      </c>
      <c r="GS210">
        <v>3</v>
      </c>
      <c r="GT210">
        <v>0</v>
      </c>
      <c r="GU210" t="s">
        <v>6</v>
      </c>
      <c r="GV210">
        <f t="shared" si="229"/>
        <v>0</v>
      </c>
      <c r="GW210">
        <v>1</v>
      </c>
      <c r="GX210">
        <f t="shared" si="230"/>
        <v>0</v>
      </c>
      <c r="HA210">
        <v>0</v>
      </c>
      <c r="HB210">
        <v>0</v>
      </c>
      <c r="IK210">
        <v>0</v>
      </c>
    </row>
    <row r="211" spans="1:245" x14ac:dyDescent="0.2">
      <c r="A211">
        <v>17</v>
      </c>
      <c r="B211">
        <v>1</v>
      </c>
      <c r="C211">
        <f>ROW(SmtRes!A439)</f>
        <v>439</v>
      </c>
      <c r="D211">
        <f>ROW(EtalonRes!A412)</f>
        <v>412</v>
      </c>
      <c r="E211" t="s">
        <v>649</v>
      </c>
      <c r="F211" t="s">
        <v>116</v>
      </c>
      <c r="G211" t="s">
        <v>650</v>
      </c>
      <c r="H211" t="s">
        <v>100</v>
      </c>
      <c r="I211">
        <v>0.4</v>
      </c>
      <c r="J211">
        <v>0</v>
      </c>
      <c r="O211">
        <f t="shared" si="198"/>
        <v>1935.07</v>
      </c>
      <c r="P211">
        <f t="shared" si="199"/>
        <v>215.06</v>
      </c>
      <c r="Q211">
        <f t="shared" si="200"/>
        <v>412.65</v>
      </c>
      <c r="R211">
        <f t="shared" si="201"/>
        <v>12.54</v>
      </c>
      <c r="S211">
        <f t="shared" si="202"/>
        <v>1307.3599999999999</v>
      </c>
      <c r="T211">
        <f t="shared" si="203"/>
        <v>0</v>
      </c>
      <c r="U211">
        <f t="shared" si="204"/>
        <v>23.363399999999999</v>
      </c>
      <c r="V211">
        <f t="shared" si="205"/>
        <v>0.15500000000000003</v>
      </c>
      <c r="W211">
        <f t="shared" si="206"/>
        <v>0</v>
      </c>
      <c r="X211">
        <f t="shared" si="207"/>
        <v>1069.1199999999999</v>
      </c>
      <c r="Y211">
        <f t="shared" si="208"/>
        <v>950.33</v>
      </c>
      <c r="AA211">
        <v>16742901</v>
      </c>
      <c r="AB211">
        <f t="shared" si="209"/>
        <v>737.45</v>
      </c>
      <c r="AC211">
        <f t="shared" si="236"/>
        <v>81.96</v>
      </c>
      <c r="AD211">
        <f>ROUND(((((ET211*1.25))-((EU211*1.25)))+AE211),2)</f>
        <v>157.26</v>
      </c>
      <c r="AE211">
        <f>ROUND(((EU211*1.25)),2)</f>
        <v>4.78</v>
      </c>
      <c r="AF211">
        <f>ROUND(((EV211*1.15)),2)</f>
        <v>498.23</v>
      </c>
      <c r="AG211">
        <f t="shared" si="210"/>
        <v>0</v>
      </c>
      <c r="AH211">
        <f>((EW211*1.15))</f>
        <v>58.408499999999997</v>
      </c>
      <c r="AI211">
        <f>((EX211*1.25))</f>
        <v>0.38750000000000001</v>
      </c>
      <c r="AJ211">
        <f t="shared" si="211"/>
        <v>0</v>
      </c>
      <c r="AK211">
        <v>641</v>
      </c>
      <c r="AL211">
        <v>81.96</v>
      </c>
      <c r="AM211">
        <v>125.8</v>
      </c>
      <c r="AN211">
        <v>3.82</v>
      </c>
      <c r="AO211">
        <v>433.24</v>
      </c>
      <c r="AP211">
        <v>0</v>
      </c>
      <c r="AQ211">
        <v>50.79</v>
      </c>
      <c r="AR211">
        <v>0.31</v>
      </c>
      <c r="AS211">
        <v>0</v>
      </c>
      <c r="AT211">
        <v>81</v>
      </c>
      <c r="AU211">
        <v>72</v>
      </c>
      <c r="AV211">
        <v>1</v>
      </c>
      <c r="AW211">
        <v>1</v>
      </c>
      <c r="AZ211">
        <v>6.56</v>
      </c>
      <c r="BA211">
        <v>6.56</v>
      </c>
      <c r="BB211">
        <v>6.56</v>
      </c>
      <c r="BC211">
        <v>6.56</v>
      </c>
      <c r="BD211" t="s">
        <v>6</v>
      </c>
      <c r="BE211" t="s">
        <v>6</v>
      </c>
      <c r="BF211" t="s">
        <v>6</v>
      </c>
      <c r="BG211" t="s">
        <v>6</v>
      </c>
      <c r="BH211">
        <v>0</v>
      </c>
      <c r="BI211">
        <v>1</v>
      </c>
      <c r="BJ211" t="s">
        <v>118</v>
      </c>
      <c r="BM211">
        <v>9001</v>
      </c>
      <c r="BN211">
        <v>0</v>
      </c>
      <c r="BO211" t="s">
        <v>6</v>
      </c>
      <c r="BP211">
        <v>0</v>
      </c>
      <c r="BQ211">
        <v>2</v>
      </c>
      <c r="BR211">
        <v>0</v>
      </c>
      <c r="BS211">
        <v>6.56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90</v>
      </c>
      <c r="CA211">
        <v>85</v>
      </c>
      <c r="CF211">
        <v>0</v>
      </c>
      <c r="CG211">
        <v>0</v>
      </c>
      <c r="CM211">
        <v>0</v>
      </c>
      <c r="CN211" t="s">
        <v>1902</v>
      </c>
      <c r="CO211">
        <v>0</v>
      </c>
      <c r="CP211">
        <f t="shared" si="212"/>
        <v>1935.07</v>
      </c>
      <c r="CQ211">
        <f t="shared" si="213"/>
        <v>537.65759999999989</v>
      </c>
      <c r="CR211">
        <f t="shared" si="214"/>
        <v>1031.6255999999998</v>
      </c>
      <c r="CS211">
        <f t="shared" si="215"/>
        <v>31.3568</v>
      </c>
      <c r="CT211">
        <f t="shared" si="216"/>
        <v>3268.3887999999997</v>
      </c>
      <c r="CU211">
        <f t="shared" si="217"/>
        <v>0</v>
      </c>
      <c r="CV211">
        <f t="shared" si="218"/>
        <v>58.408499999999997</v>
      </c>
      <c r="CW211">
        <f t="shared" si="219"/>
        <v>0.38750000000000001</v>
      </c>
      <c r="CX211">
        <f t="shared" si="220"/>
        <v>0</v>
      </c>
      <c r="CY211">
        <f t="shared" si="221"/>
        <v>1069.1189999999999</v>
      </c>
      <c r="CZ211">
        <f t="shared" si="222"/>
        <v>950.32799999999986</v>
      </c>
      <c r="DC211" t="s">
        <v>6</v>
      </c>
      <c r="DD211" t="s">
        <v>6</v>
      </c>
      <c r="DE211" t="s">
        <v>187</v>
      </c>
      <c r="DF211" t="s">
        <v>187</v>
      </c>
      <c r="DG211" t="s">
        <v>188</v>
      </c>
      <c r="DH211" t="s">
        <v>6</v>
      </c>
      <c r="DI211" t="s">
        <v>188</v>
      </c>
      <c r="DJ211" t="s">
        <v>187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1009</v>
      </c>
      <c r="DV211" t="s">
        <v>100</v>
      </c>
      <c r="DW211" t="s">
        <v>100</v>
      </c>
      <c r="DX211">
        <v>1000</v>
      </c>
      <c r="EE211">
        <v>16510486</v>
      </c>
      <c r="EF211">
        <v>2</v>
      </c>
      <c r="EG211" t="s">
        <v>22</v>
      </c>
      <c r="EH211">
        <v>0</v>
      </c>
      <c r="EI211" t="s">
        <v>6</v>
      </c>
      <c r="EJ211">
        <v>1</v>
      </c>
      <c r="EK211">
        <v>9001</v>
      </c>
      <c r="EL211" t="s">
        <v>121</v>
      </c>
      <c r="EM211" t="s">
        <v>122</v>
      </c>
      <c r="EO211" t="s">
        <v>189</v>
      </c>
      <c r="EQ211">
        <v>0</v>
      </c>
      <c r="ER211">
        <v>641</v>
      </c>
      <c r="ES211">
        <v>81.96</v>
      </c>
      <c r="ET211">
        <v>125.8</v>
      </c>
      <c r="EU211">
        <v>3.82</v>
      </c>
      <c r="EV211">
        <v>433.24</v>
      </c>
      <c r="EW211">
        <v>50.79</v>
      </c>
      <c r="EX211">
        <v>0.31</v>
      </c>
      <c r="EY211">
        <v>0</v>
      </c>
      <c r="FQ211">
        <v>0</v>
      </c>
      <c r="FR211">
        <f t="shared" si="223"/>
        <v>0</v>
      </c>
      <c r="FS211">
        <v>0</v>
      </c>
      <c r="FT211" t="s">
        <v>25</v>
      </c>
      <c r="FU211" t="s">
        <v>26</v>
      </c>
      <c r="FX211">
        <v>81</v>
      </c>
      <c r="FY211">
        <v>72.25</v>
      </c>
      <c r="GA211" t="s">
        <v>6</v>
      </c>
      <c r="GD211">
        <v>0</v>
      </c>
      <c r="GF211">
        <v>1489324113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224"/>
        <v>0</v>
      </c>
      <c r="GM211">
        <f t="shared" si="225"/>
        <v>3954.52</v>
      </c>
      <c r="GN211">
        <f t="shared" si="226"/>
        <v>3954.52</v>
      </c>
      <c r="GO211">
        <f t="shared" si="227"/>
        <v>0</v>
      </c>
      <c r="GP211">
        <f t="shared" si="228"/>
        <v>0</v>
      </c>
      <c r="GR211">
        <v>0</v>
      </c>
      <c r="GS211">
        <v>3</v>
      </c>
      <c r="GT211">
        <v>0</v>
      </c>
      <c r="GU211" t="s">
        <v>6</v>
      </c>
      <c r="GV211">
        <f t="shared" si="229"/>
        <v>0</v>
      </c>
      <c r="GW211">
        <v>1</v>
      </c>
      <c r="GX211">
        <f t="shared" si="230"/>
        <v>0</v>
      </c>
      <c r="HA211">
        <v>0</v>
      </c>
      <c r="HB211">
        <v>0</v>
      </c>
      <c r="IK211">
        <v>0</v>
      </c>
    </row>
    <row r="212" spans="1:245" x14ac:dyDescent="0.2">
      <c r="A212">
        <v>18</v>
      </c>
      <c r="B212">
        <v>1</v>
      </c>
      <c r="C212">
        <v>433</v>
      </c>
      <c r="E212" t="s">
        <v>651</v>
      </c>
      <c r="F212" t="s">
        <v>319</v>
      </c>
      <c r="G212" t="s">
        <v>320</v>
      </c>
      <c r="H212" t="s">
        <v>100</v>
      </c>
      <c r="I212">
        <f>I211*J212</f>
        <v>0.4</v>
      </c>
      <c r="J212">
        <v>1</v>
      </c>
      <c r="O212">
        <f t="shared" si="198"/>
        <v>0</v>
      </c>
      <c r="P212">
        <f t="shared" si="199"/>
        <v>0</v>
      </c>
      <c r="Q212">
        <f t="shared" si="200"/>
        <v>0</v>
      </c>
      <c r="R212">
        <f t="shared" si="201"/>
        <v>0</v>
      </c>
      <c r="S212">
        <f t="shared" si="202"/>
        <v>0</v>
      </c>
      <c r="T212">
        <f t="shared" si="203"/>
        <v>0</v>
      </c>
      <c r="U212">
        <f t="shared" si="204"/>
        <v>0</v>
      </c>
      <c r="V212">
        <f t="shared" si="205"/>
        <v>0</v>
      </c>
      <c r="W212">
        <f t="shared" si="206"/>
        <v>0</v>
      </c>
      <c r="X212">
        <f t="shared" si="207"/>
        <v>0</v>
      </c>
      <c r="Y212">
        <f t="shared" si="208"/>
        <v>0</v>
      </c>
      <c r="AA212">
        <v>16742901</v>
      </c>
      <c r="AB212">
        <f t="shared" ref="AB212:AB214" si="239">ROUND((AC212+AD212+AF212),2)</f>
        <v>0</v>
      </c>
      <c r="AC212">
        <f t="shared" si="236"/>
        <v>0</v>
      </c>
      <c r="AD212">
        <f>ROUND((((ET212)-(EU212))+AE212),2)</f>
        <v>0</v>
      </c>
      <c r="AE212">
        <f t="shared" ref="AE212:AF214" si="240">ROUND((EU212),2)</f>
        <v>0</v>
      </c>
      <c r="AF212">
        <f t="shared" si="240"/>
        <v>0</v>
      </c>
      <c r="AG212">
        <f t="shared" si="210"/>
        <v>0</v>
      </c>
      <c r="AH212">
        <f t="shared" ref="AH212:AI214" si="241">(EW212)</f>
        <v>0</v>
      </c>
      <c r="AI212">
        <f t="shared" si="241"/>
        <v>0</v>
      </c>
      <c r="AJ212">
        <f t="shared" si="211"/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81</v>
      </c>
      <c r="AU212">
        <v>72</v>
      </c>
      <c r="AV212">
        <v>1</v>
      </c>
      <c r="AW212">
        <v>1</v>
      </c>
      <c r="AZ212">
        <v>6.56</v>
      </c>
      <c r="BA212">
        <v>1</v>
      </c>
      <c r="BB212">
        <v>1</v>
      </c>
      <c r="BC212">
        <v>6.56</v>
      </c>
      <c r="BD212" t="s">
        <v>6</v>
      </c>
      <c r="BE212" t="s">
        <v>6</v>
      </c>
      <c r="BF212" t="s">
        <v>6</v>
      </c>
      <c r="BG212" t="s">
        <v>6</v>
      </c>
      <c r="BH212">
        <v>3</v>
      </c>
      <c r="BI212">
        <v>1</v>
      </c>
      <c r="BJ212" t="s">
        <v>6</v>
      </c>
      <c r="BM212">
        <v>9001</v>
      </c>
      <c r="BN212">
        <v>0</v>
      </c>
      <c r="BO212" t="s">
        <v>6</v>
      </c>
      <c r="BP212">
        <v>0</v>
      </c>
      <c r="BQ212">
        <v>2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90</v>
      </c>
      <c r="CA212">
        <v>85</v>
      </c>
      <c r="CF212">
        <v>0</v>
      </c>
      <c r="CG212">
        <v>0</v>
      </c>
      <c r="CM212">
        <v>0</v>
      </c>
      <c r="CN212" t="s">
        <v>6</v>
      </c>
      <c r="CO212">
        <v>0</v>
      </c>
      <c r="CP212">
        <f t="shared" si="212"/>
        <v>0</v>
      </c>
      <c r="CQ212">
        <f t="shared" si="213"/>
        <v>0</v>
      </c>
      <c r="CR212">
        <f t="shared" si="214"/>
        <v>0</v>
      </c>
      <c r="CS212">
        <f t="shared" si="215"/>
        <v>0</v>
      </c>
      <c r="CT212">
        <f t="shared" si="216"/>
        <v>0</v>
      </c>
      <c r="CU212">
        <f t="shared" si="217"/>
        <v>0</v>
      </c>
      <c r="CV212">
        <f t="shared" si="218"/>
        <v>0</v>
      </c>
      <c r="CW212">
        <f t="shared" si="219"/>
        <v>0</v>
      </c>
      <c r="CX212">
        <f t="shared" si="220"/>
        <v>0</v>
      </c>
      <c r="CY212">
        <f t="shared" si="221"/>
        <v>0</v>
      </c>
      <c r="CZ212">
        <f t="shared" si="222"/>
        <v>0</v>
      </c>
      <c r="DC212" t="s">
        <v>6</v>
      </c>
      <c r="DD212" t="s">
        <v>6</v>
      </c>
      <c r="DE212" t="s">
        <v>6</v>
      </c>
      <c r="DF212" t="s">
        <v>6</v>
      </c>
      <c r="DG212" t="s">
        <v>6</v>
      </c>
      <c r="DH212" t="s">
        <v>6</v>
      </c>
      <c r="DI212" t="s">
        <v>6</v>
      </c>
      <c r="DJ212" t="s">
        <v>6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1009</v>
      </c>
      <c r="DV212" t="s">
        <v>100</v>
      </c>
      <c r="DW212" t="s">
        <v>100</v>
      </c>
      <c r="DX212">
        <v>1000</v>
      </c>
      <c r="EE212">
        <v>16510486</v>
      </c>
      <c r="EF212">
        <v>2</v>
      </c>
      <c r="EG212" t="s">
        <v>22</v>
      </c>
      <c r="EH212">
        <v>0</v>
      </c>
      <c r="EI212" t="s">
        <v>6</v>
      </c>
      <c r="EJ212">
        <v>1</v>
      </c>
      <c r="EK212">
        <v>9001</v>
      </c>
      <c r="EL212" t="s">
        <v>121</v>
      </c>
      <c r="EM212" t="s">
        <v>122</v>
      </c>
      <c r="EO212" t="s">
        <v>6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23"/>
        <v>0</v>
      </c>
      <c r="FS212">
        <v>0</v>
      </c>
      <c r="FT212" t="s">
        <v>25</v>
      </c>
      <c r="FU212" t="s">
        <v>26</v>
      </c>
      <c r="FX212">
        <v>81</v>
      </c>
      <c r="FY212">
        <v>72.25</v>
      </c>
      <c r="GA212" t="s">
        <v>6</v>
      </c>
      <c r="GD212">
        <v>0</v>
      </c>
      <c r="GF212">
        <v>748648226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24"/>
        <v>0</v>
      </c>
      <c r="GM212">
        <f t="shared" si="225"/>
        <v>0</v>
      </c>
      <c r="GN212">
        <f t="shared" si="226"/>
        <v>0</v>
      </c>
      <c r="GO212">
        <f t="shared" si="227"/>
        <v>0</v>
      </c>
      <c r="GP212">
        <f t="shared" si="228"/>
        <v>0</v>
      </c>
      <c r="GR212">
        <v>0</v>
      </c>
      <c r="GS212">
        <v>3</v>
      </c>
      <c r="GT212">
        <v>0</v>
      </c>
      <c r="GU212" t="s">
        <v>6</v>
      </c>
      <c r="GV212">
        <f t="shared" si="229"/>
        <v>0</v>
      </c>
      <c r="GW212">
        <v>1</v>
      </c>
      <c r="GX212">
        <f t="shared" ref="GX212:GX216" si="242">ROUND(GV212*GW212*I212,2)</f>
        <v>0</v>
      </c>
      <c r="HA212">
        <v>0</v>
      </c>
      <c r="HB212">
        <v>0</v>
      </c>
      <c r="IK212">
        <v>0</v>
      </c>
    </row>
    <row r="213" spans="1:245" x14ac:dyDescent="0.2">
      <c r="A213">
        <v>18</v>
      </c>
      <c r="B213">
        <v>1</v>
      </c>
      <c r="C213">
        <v>437</v>
      </c>
      <c r="E213" t="s">
        <v>652</v>
      </c>
      <c r="F213" t="s">
        <v>653</v>
      </c>
      <c r="G213" t="s">
        <v>654</v>
      </c>
      <c r="H213" t="s">
        <v>100</v>
      </c>
      <c r="I213">
        <f>I211*J213</f>
        <v>0.4</v>
      </c>
      <c r="J213">
        <v>1</v>
      </c>
      <c r="O213">
        <f t="shared" si="198"/>
        <v>17790.72</v>
      </c>
      <c r="P213">
        <f t="shared" si="199"/>
        <v>17790.72</v>
      </c>
      <c r="Q213">
        <f t="shared" si="200"/>
        <v>0</v>
      </c>
      <c r="R213">
        <f t="shared" si="201"/>
        <v>0</v>
      </c>
      <c r="S213">
        <f t="shared" si="202"/>
        <v>0</v>
      </c>
      <c r="T213">
        <f t="shared" si="203"/>
        <v>0</v>
      </c>
      <c r="U213">
        <f t="shared" si="204"/>
        <v>0</v>
      </c>
      <c r="V213">
        <f t="shared" si="205"/>
        <v>0</v>
      </c>
      <c r="W213">
        <f t="shared" si="206"/>
        <v>0</v>
      </c>
      <c r="X213">
        <f t="shared" si="207"/>
        <v>0</v>
      </c>
      <c r="Y213">
        <f t="shared" si="208"/>
        <v>0</v>
      </c>
      <c r="AA213">
        <v>16742901</v>
      </c>
      <c r="AB213">
        <f t="shared" si="239"/>
        <v>6780</v>
      </c>
      <c r="AC213">
        <f t="shared" si="236"/>
        <v>6780</v>
      </c>
      <c r="AD213">
        <f>ROUND((((ET213)-(EU213))+AE213),2)</f>
        <v>0</v>
      </c>
      <c r="AE213">
        <f t="shared" si="240"/>
        <v>0</v>
      </c>
      <c r="AF213">
        <f t="shared" si="240"/>
        <v>0</v>
      </c>
      <c r="AG213">
        <f t="shared" si="210"/>
        <v>0</v>
      </c>
      <c r="AH213">
        <f t="shared" si="241"/>
        <v>0</v>
      </c>
      <c r="AI213">
        <f t="shared" si="241"/>
        <v>0</v>
      </c>
      <c r="AJ213">
        <f t="shared" si="211"/>
        <v>0</v>
      </c>
      <c r="AK213">
        <v>6780</v>
      </c>
      <c r="AL213">
        <v>6780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81</v>
      </c>
      <c r="AU213">
        <v>72</v>
      </c>
      <c r="AV213">
        <v>1</v>
      </c>
      <c r="AW213">
        <v>1</v>
      </c>
      <c r="AZ213">
        <v>6.56</v>
      </c>
      <c r="BA213">
        <v>1</v>
      </c>
      <c r="BB213">
        <v>1</v>
      </c>
      <c r="BC213">
        <v>6.56</v>
      </c>
      <c r="BD213" t="s">
        <v>6</v>
      </c>
      <c r="BE213" t="s">
        <v>6</v>
      </c>
      <c r="BF213" t="s">
        <v>6</v>
      </c>
      <c r="BG213" t="s">
        <v>6</v>
      </c>
      <c r="BH213">
        <v>3</v>
      </c>
      <c r="BI213">
        <v>1</v>
      </c>
      <c r="BJ213" t="s">
        <v>655</v>
      </c>
      <c r="BM213">
        <v>9001</v>
      </c>
      <c r="BN213">
        <v>0</v>
      </c>
      <c r="BO213" t="s">
        <v>6</v>
      </c>
      <c r="BP213">
        <v>0</v>
      </c>
      <c r="BQ213">
        <v>2</v>
      </c>
      <c r="BR213">
        <v>0</v>
      </c>
      <c r="BS213">
        <v>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90</v>
      </c>
      <c r="CA213">
        <v>85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12"/>
        <v>17790.72</v>
      </c>
      <c r="CQ213">
        <f t="shared" si="213"/>
        <v>44476.799999999996</v>
      </c>
      <c r="CR213">
        <f t="shared" si="214"/>
        <v>0</v>
      </c>
      <c r="CS213">
        <f t="shared" si="215"/>
        <v>0</v>
      </c>
      <c r="CT213">
        <f t="shared" si="216"/>
        <v>0</v>
      </c>
      <c r="CU213">
        <f t="shared" si="217"/>
        <v>0</v>
      </c>
      <c r="CV213">
        <f t="shared" si="218"/>
        <v>0</v>
      </c>
      <c r="CW213">
        <f t="shared" si="219"/>
        <v>0</v>
      </c>
      <c r="CX213">
        <f t="shared" si="220"/>
        <v>0</v>
      </c>
      <c r="CY213">
        <f t="shared" si="221"/>
        <v>0</v>
      </c>
      <c r="CZ213">
        <f t="shared" si="222"/>
        <v>0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1009</v>
      </c>
      <c r="DV213" t="s">
        <v>100</v>
      </c>
      <c r="DW213" t="s">
        <v>100</v>
      </c>
      <c r="DX213">
        <v>1000</v>
      </c>
      <c r="EE213">
        <v>16510486</v>
      </c>
      <c r="EF213">
        <v>2</v>
      </c>
      <c r="EG213" t="s">
        <v>22</v>
      </c>
      <c r="EH213">
        <v>0</v>
      </c>
      <c r="EI213" t="s">
        <v>6</v>
      </c>
      <c r="EJ213">
        <v>1</v>
      </c>
      <c r="EK213">
        <v>9001</v>
      </c>
      <c r="EL213" t="s">
        <v>121</v>
      </c>
      <c r="EM213" t="s">
        <v>122</v>
      </c>
      <c r="EO213" t="s">
        <v>6</v>
      </c>
      <c r="EQ213">
        <v>0</v>
      </c>
      <c r="ER213">
        <v>6780</v>
      </c>
      <c r="ES213">
        <v>6780</v>
      </c>
      <c r="ET213">
        <v>0</v>
      </c>
      <c r="EU213">
        <v>0</v>
      </c>
      <c r="EV213">
        <v>0</v>
      </c>
      <c r="EW213">
        <v>0</v>
      </c>
      <c r="EX213">
        <v>0</v>
      </c>
      <c r="FQ213">
        <v>0</v>
      </c>
      <c r="FR213">
        <f t="shared" si="223"/>
        <v>0</v>
      </c>
      <c r="FS213">
        <v>0</v>
      </c>
      <c r="FT213" t="s">
        <v>25</v>
      </c>
      <c r="FU213" t="s">
        <v>26</v>
      </c>
      <c r="FX213">
        <v>81</v>
      </c>
      <c r="FY213">
        <v>72.25</v>
      </c>
      <c r="GA213" t="s">
        <v>6</v>
      </c>
      <c r="GD213">
        <v>0</v>
      </c>
      <c r="GF213">
        <v>1282234864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24"/>
        <v>0</v>
      </c>
      <c r="GM213">
        <f t="shared" si="225"/>
        <v>17790.72</v>
      </c>
      <c r="GN213">
        <f t="shared" si="226"/>
        <v>17790.72</v>
      </c>
      <c r="GO213">
        <f t="shared" si="227"/>
        <v>0</v>
      </c>
      <c r="GP213">
        <f t="shared" si="228"/>
        <v>0</v>
      </c>
      <c r="GR213">
        <v>0</v>
      </c>
      <c r="GS213">
        <v>3</v>
      </c>
      <c r="GT213">
        <v>0</v>
      </c>
      <c r="GU213" t="s">
        <v>6</v>
      </c>
      <c r="GV213">
        <f t="shared" si="229"/>
        <v>0</v>
      </c>
      <c r="GW213">
        <v>1</v>
      </c>
      <c r="GX213">
        <f t="shared" si="242"/>
        <v>0</v>
      </c>
      <c r="HA213">
        <v>0</v>
      </c>
      <c r="HB213">
        <v>0</v>
      </c>
      <c r="IK213">
        <v>0</v>
      </c>
    </row>
    <row r="214" spans="1:245" x14ac:dyDescent="0.2">
      <c r="A214">
        <v>17</v>
      </c>
      <c r="B214">
        <v>1</v>
      </c>
      <c r="C214">
        <f>ROW(SmtRes!A441)</f>
        <v>441</v>
      </c>
      <c r="D214">
        <f>ROW(EtalonRes!A414)</f>
        <v>414</v>
      </c>
      <c r="E214" t="s">
        <v>656</v>
      </c>
      <c r="F214" t="s">
        <v>657</v>
      </c>
      <c r="G214" t="s">
        <v>658</v>
      </c>
      <c r="H214" t="s">
        <v>100</v>
      </c>
      <c r="I214">
        <v>31</v>
      </c>
      <c r="J214">
        <v>0</v>
      </c>
      <c r="O214">
        <f t="shared" si="198"/>
        <v>4842</v>
      </c>
      <c r="P214">
        <f t="shared" si="199"/>
        <v>3335.1</v>
      </c>
      <c r="Q214">
        <f t="shared" si="200"/>
        <v>0</v>
      </c>
      <c r="R214">
        <f t="shared" si="201"/>
        <v>0</v>
      </c>
      <c r="S214">
        <f t="shared" si="202"/>
        <v>1506.9</v>
      </c>
      <c r="T214">
        <f t="shared" si="203"/>
        <v>0</v>
      </c>
      <c r="U214">
        <f t="shared" si="204"/>
        <v>31.93</v>
      </c>
      <c r="V214">
        <f t="shared" si="205"/>
        <v>0</v>
      </c>
      <c r="W214">
        <f t="shared" si="206"/>
        <v>0</v>
      </c>
      <c r="X214">
        <f t="shared" si="207"/>
        <v>1175.3800000000001</v>
      </c>
      <c r="Y214">
        <f t="shared" si="208"/>
        <v>753.45</v>
      </c>
      <c r="AA214">
        <v>16742901</v>
      </c>
      <c r="AB214">
        <f t="shared" si="239"/>
        <v>23.81</v>
      </c>
      <c r="AC214">
        <f t="shared" si="236"/>
        <v>16.399999999999999</v>
      </c>
      <c r="AD214">
        <f>ROUND((((ET214)-(EU214))+AE214),2)</f>
        <v>0</v>
      </c>
      <c r="AE214">
        <f t="shared" si="240"/>
        <v>0</v>
      </c>
      <c r="AF214">
        <f t="shared" si="240"/>
        <v>7.41</v>
      </c>
      <c r="AG214">
        <f t="shared" si="210"/>
        <v>0</v>
      </c>
      <c r="AH214">
        <f t="shared" si="241"/>
        <v>1.03</v>
      </c>
      <c r="AI214">
        <f t="shared" si="241"/>
        <v>0</v>
      </c>
      <c r="AJ214">
        <f t="shared" si="211"/>
        <v>0</v>
      </c>
      <c r="AK214">
        <v>23.81</v>
      </c>
      <c r="AL214">
        <v>16.399999999999999</v>
      </c>
      <c r="AM214">
        <v>0</v>
      </c>
      <c r="AN214">
        <v>0</v>
      </c>
      <c r="AO214">
        <v>7.41</v>
      </c>
      <c r="AP214">
        <v>0</v>
      </c>
      <c r="AQ214">
        <v>1.03</v>
      </c>
      <c r="AR214">
        <v>0</v>
      </c>
      <c r="AS214">
        <v>0</v>
      </c>
      <c r="AT214">
        <v>78</v>
      </c>
      <c r="AU214">
        <v>50</v>
      </c>
      <c r="AV214">
        <v>1</v>
      </c>
      <c r="AW214">
        <v>1</v>
      </c>
      <c r="AZ214">
        <v>6.56</v>
      </c>
      <c r="BA214">
        <v>6.56</v>
      </c>
      <c r="BB214">
        <v>6.56</v>
      </c>
      <c r="BC214">
        <v>6.56</v>
      </c>
      <c r="BD214" t="s">
        <v>6</v>
      </c>
      <c r="BE214" t="s">
        <v>6</v>
      </c>
      <c r="BF214" t="s">
        <v>6</v>
      </c>
      <c r="BG214" t="s">
        <v>6</v>
      </c>
      <c r="BH214">
        <v>0</v>
      </c>
      <c r="BI214">
        <v>1</v>
      </c>
      <c r="BJ214" t="s">
        <v>659</v>
      </c>
      <c r="BM214">
        <v>69001</v>
      </c>
      <c r="BN214">
        <v>0</v>
      </c>
      <c r="BO214" t="s">
        <v>6</v>
      </c>
      <c r="BP214">
        <v>0</v>
      </c>
      <c r="BQ214">
        <v>6</v>
      </c>
      <c r="BR214">
        <v>0</v>
      </c>
      <c r="BS214">
        <v>6.56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78</v>
      </c>
      <c r="CA214">
        <v>50</v>
      </c>
      <c r="CF214">
        <v>0</v>
      </c>
      <c r="CG214">
        <v>0</v>
      </c>
      <c r="CM214">
        <v>0</v>
      </c>
      <c r="CN214" t="s">
        <v>6</v>
      </c>
      <c r="CO214">
        <v>0</v>
      </c>
      <c r="CP214">
        <f t="shared" si="212"/>
        <v>4842</v>
      </c>
      <c r="CQ214">
        <f t="shared" si="213"/>
        <v>107.58399999999999</v>
      </c>
      <c r="CR214">
        <f t="shared" si="214"/>
        <v>0</v>
      </c>
      <c r="CS214">
        <f t="shared" si="215"/>
        <v>0</v>
      </c>
      <c r="CT214">
        <f t="shared" si="216"/>
        <v>48.6096</v>
      </c>
      <c r="CU214">
        <f t="shared" si="217"/>
        <v>0</v>
      </c>
      <c r="CV214">
        <f t="shared" si="218"/>
        <v>1.03</v>
      </c>
      <c r="CW214">
        <f t="shared" si="219"/>
        <v>0</v>
      </c>
      <c r="CX214">
        <f t="shared" si="220"/>
        <v>0</v>
      </c>
      <c r="CY214">
        <f t="shared" si="221"/>
        <v>1175.3820000000001</v>
      </c>
      <c r="CZ214">
        <f t="shared" si="222"/>
        <v>753.45</v>
      </c>
      <c r="DC214" t="s">
        <v>6</v>
      </c>
      <c r="DD214" t="s">
        <v>6</v>
      </c>
      <c r="DE214" t="s">
        <v>6</v>
      </c>
      <c r="DF214" t="s">
        <v>6</v>
      </c>
      <c r="DG214" t="s">
        <v>6</v>
      </c>
      <c r="DH214" t="s">
        <v>6</v>
      </c>
      <c r="DI214" t="s">
        <v>6</v>
      </c>
      <c r="DJ214" t="s">
        <v>6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1009</v>
      </c>
      <c r="DV214" t="s">
        <v>100</v>
      </c>
      <c r="DW214" t="s">
        <v>100</v>
      </c>
      <c r="DX214">
        <v>1000</v>
      </c>
      <c r="EE214">
        <v>16510614</v>
      </c>
      <c r="EF214">
        <v>6</v>
      </c>
      <c r="EG214" t="s">
        <v>36</v>
      </c>
      <c r="EH214">
        <v>0</v>
      </c>
      <c r="EI214" t="s">
        <v>6</v>
      </c>
      <c r="EJ214">
        <v>1</v>
      </c>
      <c r="EK214">
        <v>69001</v>
      </c>
      <c r="EL214" t="s">
        <v>660</v>
      </c>
      <c r="EM214" t="s">
        <v>661</v>
      </c>
      <c r="EO214" t="s">
        <v>6</v>
      </c>
      <c r="EQ214">
        <v>131072</v>
      </c>
      <c r="ER214">
        <v>23.81</v>
      </c>
      <c r="ES214">
        <v>16.399999999999999</v>
      </c>
      <c r="ET214">
        <v>0</v>
      </c>
      <c r="EU214">
        <v>0</v>
      </c>
      <c r="EV214">
        <v>7.41</v>
      </c>
      <c r="EW214">
        <v>1.03</v>
      </c>
      <c r="EX214">
        <v>0</v>
      </c>
      <c r="EY214">
        <v>0</v>
      </c>
      <c r="FQ214">
        <v>0</v>
      </c>
      <c r="FR214">
        <f t="shared" si="223"/>
        <v>0</v>
      </c>
      <c r="FS214">
        <v>0</v>
      </c>
      <c r="FX214">
        <v>78</v>
      </c>
      <c r="FY214">
        <v>50</v>
      </c>
      <c r="GA214" t="s">
        <v>6</v>
      </c>
      <c r="GD214">
        <v>0</v>
      </c>
      <c r="GF214">
        <v>-38060493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224"/>
        <v>0</v>
      </c>
      <c r="GM214">
        <f t="shared" si="225"/>
        <v>6770.83</v>
      </c>
      <c r="GN214">
        <f t="shared" si="226"/>
        <v>6770.83</v>
      </c>
      <c r="GO214">
        <f t="shared" si="227"/>
        <v>0</v>
      </c>
      <c r="GP214">
        <f t="shared" si="228"/>
        <v>0</v>
      </c>
      <c r="GR214">
        <v>0</v>
      </c>
      <c r="GS214">
        <v>3</v>
      </c>
      <c r="GT214">
        <v>0</v>
      </c>
      <c r="GU214" t="s">
        <v>6</v>
      </c>
      <c r="GV214">
        <f t="shared" si="229"/>
        <v>0</v>
      </c>
      <c r="GW214">
        <v>1</v>
      </c>
      <c r="GX214">
        <f t="shared" si="242"/>
        <v>0</v>
      </c>
      <c r="HA214">
        <v>0</v>
      </c>
      <c r="HB214">
        <v>0</v>
      </c>
      <c r="IK214">
        <v>0</v>
      </c>
    </row>
    <row r="215" spans="1:245" x14ac:dyDescent="0.2">
      <c r="A215">
        <v>17</v>
      </c>
      <c r="B215">
        <v>1</v>
      </c>
      <c r="E215" t="s">
        <v>662</v>
      </c>
      <c r="F215" t="s">
        <v>663</v>
      </c>
      <c r="G215" t="s">
        <v>664</v>
      </c>
      <c r="H215" t="s">
        <v>665</v>
      </c>
      <c r="I215">
        <v>31</v>
      </c>
      <c r="J215">
        <v>0</v>
      </c>
      <c r="O215">
        <f>0</f>
        <v>0</v>
      </c>
      <c r="P215">
        <f>0</f>
        <v>0</v>
      </c>
      <c r="Q215">
        <f>0</f>
        <v>0</v>
      </c>
      <c r="R215">
        <f>0</f>
        <v>0</v>
      </c>
      <c r="S215">
        <f>0</f>
        <v>0</v>
      </c>
      <c r="T215">
        <f>0</f>
        <v>0</v>
      </c>
      <c r="U215">
        <f>0</f>
        <v>0</v>
      </c>
      <c r="V215">
        <f>0</f>
        <v>0</v>
      </c>
      <c r="W215">
        <f>0</f>
        <v>0</v>
      </c>
      <c r="X215">
        <f>0</f>
        <v>0</v>
      </c>
      <c r="Y215">
        <f>0</f>
        <v>0</v>
      </c>
      <c r="AA215">
        <v>16742901</v>
      </c>
      <c r="AB215">
        <f>ROUND((AK215),2)</f>
        <v>42.98</v>
      </c>
      <c r="AC215">
        <f>0</f>
        <v>0</v>
      </c>
      <c r="AD215">
        <f>0</f>
        <v>0</v>
      </c>
      <c r="AE215">
        <f>0</f>
        <v>0</v>
      </c>
      <c r="AF215">
        <f>0</f>
        <v>0</v>
      </c>
      <c r="AG215">
        <f>0</f>
        <v>0</v>
      </c>
      <c r="AH215">
        <f>0</f>
        <v>0</v>
      </c>
      <c r="AI215">
        <f>0</f>
        <v>0</v>
      </c>
      <c r="AJ215">
        <f>0</f>
        <v>0</v>
      </c>
      <c r="AK215">
        <v>42.98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1</v>
      </c>
      <c r="AW215">
        <v>1</v>
      </c>
      <c r="AZ215">
        <v>6.56</v>
      </c>
      <c r="BA215">
        <v>1</v>
      </c>
      <c r="BB215">
        <v>1</v>
      </c>
      <c r="BC215">
        <v>1</v>
      </c>
      <c r="BD215" t="s">
        <v>6</v>
      </c>
      <c r="BE215" t="s">
        <v>6</v>
      </c>
      <c r="BF215" t="s">
        <v>6</v>
      </c>
      <c r="BG215" t="s">
        <v>6</v>
      </c>
      <c r="BH215">
        <v>0</v>
      </c>
      <c r="BI215">
        <v>1</v>
      </c>
      <c r="BJ215" t="s">
        <v>666</v>
      </c>
      <c r="BM215">
        <v>700004</v>
      </c>
      <c r="BN215">
        <v>0</v>
      </c>
      <c r="BO215" t="s">
        <v>6</v>
      </c>
      <c r="BP215">
        <v>0</v>
      </c>
      <c r="BQ215">
        <v>19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0</v>
      </c>
      <c r="CA215">
        <v>0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>AB215*AZ215</f>
        <v>281.94879999999995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1013</v>
      </c>
      <c r="DV215" t="s">
        <v>665</v>
      </c>
      <c r="DW215" t="s">
        <v>665</v>
      </c>
      <c r="DX215">
        <v>1</v>
      </c>
      <c r="EE215">
        <v>16510675</v>
      </c>
      <c r="EF215">
        <v>19</v>
      </c>
      <c r="EG215" t="s">
        <v>667</v>
      </c>
      <c r="EH215">
        <v>0</v>
      </c>
      <c r="EI215" t="s">
        <v>6</v>
      </c>
      <c r="EJ215">
        <v>1</v>
      </c>
      <c r="EK215">
        <v>700004</v>
      </c>
      <c r="EL215" t="s">
        <v>668</v>
      </c>
      <c r="EM215" t="s">
        <v>669</v>
      </c>
      <c r="EO215" t="s">
        <v>6</v>
      </c>
      <c r="EQ215">
        <v>131072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FQ215">
        <v>0</v>
      </c>
      <c r="FR215">
        <f t="shared" si="223"/>
        <v>0</v>
      </c>
      <c r="FS215">
        <v>0</v>
      </c>
      <c r="FX215">
        <v>0</v>
      </c>
      <c r="FY215">
        <v>0</v>
      </c>
      <c r="GA215" t="s">
        <v>6</v>
      </c>
      <c r="GD215">
        <v>0</v>
      </c>
      <c r="GF215">
        <v>811861299</v>
      </c>
      <c r="GG215">
        <v>1</v>
      </c>
      <c r="GH215">
        <v>1</v>
      </c>
      <c r="GI215">
        <v>4</v>
      </c>
      <c r="GJ215">
        <v>2</v>
      </c>
      <c r="GK215">
        <f>ROUND(R215*(R12)/100,2)</f>
        <v>0</v>
      </c>
      <c r="GL215">
        <f t="shared" si="224"/>
        <v>0</v>
      </c>
      <c r="GM215">
        <f>ROUND(CP215*I215,2)</f>
        <v>8740.41</v>
      </c>
      <c r="GN215">
        <f>IF(OR(BI215=0,BI215=1),ROUND(CP215*I215,2),0)</f>
        <v>8740.41</v>
      </c>
      <c r="GO215">
        <f>IF(BI215=2,ROUND(CP215*I215,2),0)</f>
        <v>0</v>
      </c>
      <c r="GP215">
        <f>IF(BI215=4,ROUND(CP215*I215,2)+GX215,0)</f>
        <v>0</v>
      </c>
      <c r="GR215">
        <v>0</v>
      </c>
      <c r="GS215">
        <v>3</v>
      </c>
      <c r="GU215" t="s">
        <v>6</v>
      </c>
      <c r="GV215">
        <f>0</f>
        <v>0</v>
      </c>
      <c r="GW215">
        <v>1</v>
      </c>
      <c r="GX215">
        <f t="shared" si="242"/>
        <v>0</v>
      </c>
      <c r="GY215">
        <v>0</v>
      </c>
      <c r="GZ215">
        <v>0</v>
      </c>
      <c r="HA215">
        <v>0</v>
      </c>
      <c r="HB215">
        <v>0</v>
      </c>
      <c r="IK215">
        <v>0</v>
      </c>
    </row>
    <row r="216" spans="1:245" x14ac:dyDescent="0.2">
      <c r="A216">
        <v>17</v>
      </c>
      <c r="B216">
        <v>1</v>
      </c>
      <c r="E216" t="s">
        <v>670</v>
      </c>
      <c r="F216" t="s">
        <v>671</v>
      </c>
      <c r="G216" t="s">
        <v>672</v>
      </c>
      <c r="H216" t="s">
        <v>665</v>
      </c>
      <c r="I216">
        <v>31</v>
      </c>
      <c r="J216">
        <v>0</v>
      </c>
      <c r="O216">
        <f>0</f>
        <v>0</v>
      </c>
      <c r="P216">
        <f>0</f>
        <v>0</v>
      </c>
      <c r="Q216">
        <f>0</f>
        <v>0</v>
      </c>
      <c r="R216">
        <f>0</f>
        <v>0</v>
      </c>
      <c r="S216">
        <f>0</f>
        <v>0</v>
      </c>
      <c r="T216">
        <f>0</f>
        <v>0</v>
      </c>
      <c r="U216">
        <f>0</f>
        <v>0</v>
      </c>
      <c r="V216">
        <f>0</f>
        <v>0</v>
      </c>
      <c r="W216">
        <f>0</f>
        <v>0</v>
      </c>
      <c r="X216">
        <f>0</f>
        <v>0</v>
      </c>
      <c r="Y216">
        <f>0</f>
        <v>0</v>
      </c>
      <c r="AA216">
        <v>16742901</v>
      </c>
      <c r="AB216">
        <f>ROUND((AK216),2)</f>
        <v>19.54</v>
      </c>
      <c r="AC216">
        <f>0</f>
        <v>0</v>
      </c>
      <c r="AD216">
        <f>0</f>
        <v>0</v>
      </c>
      <c r="AE216">
        <f>0</f>
        <v>0</v>
      </c>
      <c r="AF216">
        <f>0</f>
        <v>0</v>
      </c>
      <c r="AG216">
        <f>0</f>
        <v>0</v>
      </c>
      <c r="AH216">
        <f>0</f>
        <v>0</v>
      </c>
      <c r="AI216">
        <f>0</f>
        <v>0</v>
      </c>
      <c r="AJ216">
        <f>0</f>
        <v>0</v>
      </c>
      <c r="AK216">
        <v>19.54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1</v>
      </c>
      <c r="AW216">
        <v>1</v>
      </c>
      <c r="AZ216">
        <v>6.56</v>
      </c>
      <c r="BA216">
        <v>1</v>
      </c>
      <c r="BB216">
        <v>1</v>
      </c>
      <c r="BC216">
        <v>1</v>
      </c>
      <c r="BD216" t="s">
        <v>6</v>
      </c>
      <c r="BE216" t="s">
        <v>6</v>
      </c>
      <c r="BF216" t="s">
        <v>6</v>
      </c>
      <c r="BG216" t="s">
        <v>6</v>
      </c>
      <c r="BH216">
        <v>0</v>
      </c>
      <c r="BI216">
        <v>1</v>
      </c>
      <c r="BJ216" t="s">
        <v>673</v>
      </c>
      <c r="BM216">
        <v>700005</v>
      </c>
      <c r="BN216">
        <v>0</v>
      </c>
      <c r="BO216" t="s">
        <v>6</v>
      </c>
      <c r="BP216">
        <v>0</v>
      </c>
      <c r="BQ216">
        <v>10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0</v>
      </c>
      <c r="CA216">
        <v>0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>AB216*AZ216</f>
        <v>128.18239999999997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1013</v>
      </c>
      <c r="DV216" t="s">
        <v>665</v>
      </c>
      <c r="DW216" t="s">
        <v>665</v>
      </c>
      <c r="DX216">
        <v>1</v>
      </c>
      <c r="EE216">
        <v>16510679</v>
      </c>
      <c r="EF216">
        <v>10</v>
      </c>
      <c r="EG216" t="s">
        <v>674</v>
      </c>
      <c r="EH216">
        <v>0</v>
      </c>
      <c r="EI216" t="s">
        <v>6</v>
      </c>
      <c r="EJ216">
        <v>1</v>
      </c>
      <c r="EK216">
        <v>700005</v>
      </c>
      <c r="EL216" t="s">
        <v>675</v>
      </c>
      <c r="EM216" t="s">
        <v>676</v>
      </c>
      <c r="EO216" t="s">
        <v>6</v>
      </c>
      <c r="EQ216">
        <v>131072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FQ216">
        <v>0</v>
      </c>
      <c r="FR216">
        <f t="shared" si="223"/>
        <v>0</v>
      </c>
      <c r="FS216">
        <v>0</v>
      </c>
      <c r="FX216">
        <v>0</v>
      </c>
      <c r="FY216">
        <v>0</v>
      </c>
      <c r="GA216" t="s">
        <v>6</v>
      </c>
      <c r="GD216">
        <v>0</v>
      </c>
      <c r="GF216">
        <v>-587392605</v>
      </c>
      <c r="GG216">
        <v>1</v>
      </c>
      <c r="GH216">
        <v>1</v>
      </c>
      <c r="GI216">
        <v>4</v>
      </c>
      <c r="GJ216">
        <v>2</v>
      </c>
      <c r="GK216">
        <f>ROUND(R216*(R12)/100,2)</f>
        <v>0</v>
      </c>
      <c r="GL216">
        <f t="shared" si="224"/>
        <v>0</v>
      </c>
      <c r="GM216">
        <f>ROUND(CP216*I216,2)</f>
        <v>3973.65</v>
      </c>
      <c r="GN216">
        <f>IF(OR(BI216=0,BI216=1),ROUND(CP216*I216,2),0)</f>
        <v>3973.65</v>
      </c>
      <c r="GO216">
        <f>IF(BI216=2,ROUND(CP216*I216,2),0)</f>
        <v>0</v>
      </c>
      <c r="GP216">
        <f>IF(BI216=4,ROUND(CP216*I216,2)+GX216,0)</f>
        <v>0</v>
      </c>
      <c r="GR216">
        <v>0</v>
      </c>
      <c r="GS216">
        <v>3</v>
      </c>
      <c r="GU216" t="s">
        <v>6</v>
      </c>
      <c r="GV216">
        <f>0</f>
        <v>0</v>
      </c>
      <c r="GW216">
        <v>1</v>
      </c>
      <c r="GX216">
        <f t="shared" si="242"/>
        <v>0</v>
      </c>
      <c r="GY216">
        <v>0</v>
      </c>
      <c r="GZ216">
        <v>0</v>
      </c>
      <c r="HA216">
        <v>0</v>
      </c>
      <c r="HB216">
        <v>0</v>
      </c>
      <c r="IK216">
        <v>0</v>
      </c>
    </row>
    <row r="218" spans="1:245" x14ac:dyDescent="0.2">
      <c r="A218" s="2">
        <v>51</v>
      </c>
      <c r="B218" s="2">
        <f>B80</f>
        <v>1</v>
      </c>
      <c r="C218" s="2">
        <f>A80</f>
        <v>5</v>
      </c>
      <c r="D218" s="2">
        <f>ROW(A80)</f>
        <v>80</v>
      </c>
      <c r="E218" s="2"/>
      <c r="F218" s="2" t="str">
        <f>IF(F80&lt;&gt;"",F80,"")</f>
        <v>Новый подраздел</v>
      </c>
      <c r="G218" s="2" t="str">
        <f>IF(G80&lt;&gt;"",G80,"")</f>
        <v>2 Монтаж</v>
      </c>
      <c r="H218" s="2">
        <v>0</v>
      </c>
      <c r="I218" s="2"/>
      <c r="J218" s="2"/>
      <c r="K218" s="2"/>
      <c r="L218" s="2"/>
      <c r="M218" s="2"/>
      <c r="N218" s="2"/>
      <c r="O218" s="2">
        <f t="shared" ref="O218:T218" si="243">ROUND(AB218,2)</f>
        <v>2208459.1800000002</v>
      </c>
      <c r="P218" s="2">
        <f t="shared" si="243"/>
        <v>2063815.95</v>
      </c>
      <c r="Q218" s="2">
        <f t="shared" si="243"/>
        <v>17099.669999999998</v>
      </c>
      <c r="R218" s="2">
        <f t="shared" si="243"/>
        <v>4149.62</v>
      </c>
      <c r="S218" s="2">
        <f t="shared" si="243"/>
        <v>127543.56</v>
      </c>
      <c r="T218" s="2">
        <f t="shared" si="243"/>
        <v>0</v>
      </c>
      <c r="U218" s="2">
        <f>AH218</f>
        <v>2197.9298084500001</v>
      </c>
      <c r="V218" s="2">
        <f>AI218</f>
        <v>54.873058499999992</v>
      </c>
      <c r="W218" s="2">
        <f>ROUND(AJ218,2)</f>
        <v>0</v>
      </c>
      <c r="X218" s="2">
        <f>ROUND(AK218,2)</f>
        <v>124201.83</v>
      </c>
      <c r="Y218" s="2">
        <f>ROUND(AL218,2)</f>
        <v>69923.56</v>
      </c>
      <c r="Z218" s="2"/>
      <c r="AA218" s="2"/>
      <c r="AB218" s="2">
        <f>ROUND(SUMIF(AA84:AA216,"=16742901",O84:O216),2)</f>
        <v>2208459.1800000002</v>
      </c>
      <c r="AC218" s="2">
        <f>ROUND(SUMIF(AA84:AA216,"=16742901",P84:P216),2)</f>
        <v>2063815.95</v>
      </c>
      <c r="AD218" s="2">
        <f>ROUND(SUMIF(AA84:AA216,"=16742901",Q84:Q216),2)</f>
        <v>17099.669999999998</v>
      </c>
      <c r="AE218" s="2">
        <f>ROUND(SUMIF(AA84:AA216,"=16742901",R84:R216),2)</f>
        <v>4149.62</v>
      </c>
      <c r="AF218" s="2">
        <f>ROUND(SUMIF(AA84:AA216,"=16742901",S84:S216),2)</f>
        <v>127543.56</v>
      </c>
      <c r="AG218" s="2">
        <f>ROUND(SUMIF(AA84:AA216,"=16742901",T84:T216),2)</f>
        <v>0</v>
      </c>
      <c r="AH218" s="2">
        <f>SUMIF(AA84:AA216,"=16742901",U84:U216)</f>
        <v>2197.9298084500001</v>
      </c>
      <c r="AI218" s="2">
        <f>SUMIF(AA84:AA216,"=16742901",V84:V216)</f>
        <v>54.873058499999992</v>
      </c>
      <c r="AJ218" s="2">
        <f>ROUND(SUMIF(AA84:AA216,"=16742901",W84:W216),2)</f>
        <v>0</v>
      </c>
      <c r="AK218" s="2">
        <f>ROUND(SUMIF(AA84:AA216,"=16742901",X84:X216),2)</f>
        <v>124201.83</v>
      </c>
      <c r="AL218" s="2">
        <f>ROUND(SUMIF(AA84:AA216,"=16742901",Y84:Y216),2)</f>
        <v>69923.56</v>
      </c>
      <c r="AM218" s="2"/>
      <c r="AN218" s="2"/>
      <c r="AO218" s="2">
        <f t="shared" ref="AO218:BC218" si="244">ROUND(BX218,2)</f>
        <v>0</v>
      </c>
      <c r="AP218" s="2">
        <f t="shared" si="244"/>
        <v>0</v>
      </c>
      <c r="AQ218" s="2">
        <f t="shared" si="244"/>
        <v>0</v>
      </c>
      <c r="AR218" s="2">
        <f t="shared" si="244"/>
        <v>2415298.63</v>
      </c>
      <c r="AS218" s="2">
        <f t="shared" si="244"/>
        <v>2415298.63</v>
      </c>
      <c r="AT218" s="2">
        <f t="shared" si="244"/>
        <v>0</v>
      </c>
      <c r="AU218" s="2">
        <f t="shared" si="244"/>
        <v>0</v>
      </c>
      <c r="AV218" s="2">
        <f t="shared" si="244"/>
        <v>2063815.95</v>
      </c>
      <c r="AW218" s="2">
        <f t="shared" si="244"/>
        <v>2063815.95</v>
      </c>
      <c r="AX218" s="2">
        <f t="shared" si="244"/>
        <v>0</v>
      </c>
      <c r="AY218" s="2">
        <f t="shared" si="244"/>
        <v>2063815.95</v>
      </c>
      <c r="AZ218" s="2">
        <f t="shared" si="244"/>
        <v>0</v>
      </c>
      <c r="BA218" s="2">
        <f t="shared" si="244"/>
        <v>0</v>
      </c>
      <c r="BB218" s="2">
        <f t="shared" si="244"/>
        <v>0</v>
      </c>
      <c r="BC218" s="2">
        <f t="shared" si="244"/>
        <v>0</v>
      </c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>
        <f>ROUND(SUMIF(AA84:AA216,"=16742901",FQ84:FQ216),2)</f>
        <v>0</v>
      </c>
      <c r="BY218" s="2">
        <f>ROUND(SUMIF(AA84:AA216,"=16742901",FR84:FR216),2)</f>
        <v>0</v>
      </c>
      <c r="BZ218" s="2">
        <f>ROUND(SUMIF(AA84:AA216,"=16742901",GL84:GL216),2)</f>
        <v>0</v>
      </c>
      <c r="CA218" s="2">
        <f>ROUND(SUMIF(AA84:AA216,"=16742901",GM84:GM216),2)</f>
        <v>2415298.63</v>
      </c>
      <c r="CB218" s="2">
        <f>ROUND(SUMIF(AA84:AA216,"=16742901",GN84:GN216),2)</f>
        <v>2415298.63</v>
      </c>
      <c r="CC218" s="2">
        <f>ROUND(SUMIF(AA84:AA216,"=16742901",GO84:GO216),2)</f>
        <v>0</v>
      </c>
      <c r="CD218" s="2">
        <f>ROUND(SUMIF(AA84:AA216,"=16742901",GP84:GP216),2)</f>
        <v>0</v>
      </c>
      <c r="CE218" s="2">
        <f>AC218-BX218</f>
        <v>2063815.95</v>
      </c>
      <c r="CF218" s="2">
        <f>AC218-BY218</f>
        <v>2063815.95</v>
      </c>
      <c r="CG218" s="2">
        <f>BX218-BZ218</f>
        <v>0</v>
      </c>
      <c r="CH218" s="2">
        <f>AC218-BX218-BY218+BZ218</f>
        <v>2063815.95</v>
      </c>
      <c r="CI218" s="2">
        <f>BY218-BZ218</f>
        <v>0</v>
      </c>
      <c r="CJ218" s="2">
        <f>ROUND(SUMIF(AA84:AA216,"=16742901",GX84:GX216),2)</f>
        <v>0</v>
      </c>
      <c r="CK218" s="2">
        <f>ROUND(SUMIF(AA84:AA216,"=16742901",GY84:GY216),2)</f>
        <v>0</v>
      </c>
      <c r="CL218" s="2">
        <f>ROUND(SUMIF(AA84:AA216,"=16742901",GZ84:GZ216),2)</f>
        <v>0</v>
      </c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>
        <v>0</v>
      </c>
    </row>
    <row r="220" spans="1:245" x14ac:dyDescent="0.2">
      <c r="A220" s="4">
        <v>50</v>
      </c>
      <c r="B220" s="4">
        <v>0</v>
      </c>
      <c r="C220" s="4">
        <v>0</v>
      </c>
      <c r="D220" s="4">
        <v>1</v>
      </c>
      <c r="E220" s="4">
        <v>201</v>
      </c>
      <c r="F220" s="4">
        <f>ROUND(Source!O218,O220)</f>
        <v>2208459.1800000002</v>
      </c>
      <c r="G220" s="4" t="s">
        <v>130</v>
      </c>
      <c r="H220" s="4" t="s">
        <v>131</v>
      </c>
      <c r="I220" s="4"/>
      <c r="J220" s="4"/>
      <c r="K220" s="4">
        <v>201</v>
      </c>
      <c r="L220" s="4">
        <v>1</v>
      </c>
      <c r="M220" s="4">
        <v>3</v>
      </c>
      <c r="N220" s="4" t="s">
        <v>6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45" x14ac:dyDescent="0.2">
      <c r="A221" s="4">
        <v>50</v>
      </c>
      <c r="B221" s="4">
        <v>0</v>
      </c>
      <c r="C221" s="4">
        <v>0</v>
      </c>
      <c r="D221" s="4">
        <v>1</v>
      </c>
      <c r="E221" s="4">
        <v>202</v>
      </c>
      <c r="F221" s="4">
        <f>ROUND(Source!P218,O221)</f>
        <v>2063815.95</v>
      </c>
      <c r="G221" s="4" t="s">
        <v>132</v>
      </c>
      <c r="H221" s="4" t="s">
        <v>133</v>
      </c>
      <c r="I221" s="4"/>
      <c r="J221" s="4"/>
      <c r="K221" s="4">
        <v>202</v>
      </c>
      <c r="L221" s="4">
        <v>2</v>
      </c>
      <c r="M221" s="4">
        <v>3</v>
      </c>
      <c r="N221" s="4" t="s">
        <v>6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45" x14ac:dyDescent="0.2">
      <c r="A222" s="4">
        <v>50</v>
      </c>
      <c r="B222" s="4">
        <v>0</v>
      </c>
      <c r="C222" s="4">
        <v>0</v>
      </c>
      <c r="D222" s="4">
        <v>1</v>
      </c>
      <c r="E222" s="4">
        <v>222</v>
      </c>
      <c r="F222" s="4">
        <f>ROUND(Source!AO218,O222)</f>
        <v>0</v>
      </c>
      <c r="G222" s="4" t="s">
        <v>134</v>
      </c>
      <c r="H222" s="4" t="s">
        <v>135</v>
      </c>
      <c r="I222" s="4"/>
      <c r="J222" s="4"/>
      <c r="K222" s="4">
        <v>222</v>
      </c>
      <c r="L222" s="4">
        <v>3</v>
      </c>
      <c r="M222" s="4">
        <v>3</v>
      </c>
      <c r="N222" s="4" t="s">
        <v>6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45" x14ac:dyDescent="0.2">
      <c r="A223" s="4">
        <v>50</v>
      </c>
      <c r="B223" s="4">
        <v>0</v>
      </c>
      <c r="C223" s="4">
        <v>0</v>
      </c>
      <c r="D223" s="4">
        <v>1</v>
      </c>
      <c r="E223" s="4">
        <v>225</v>
      </c>
      <c r="F223" s="4">
        <f>ROUND(Source!AV218,O223)</f>
        <v>2063815.95</v>
      </c>
      <c r="G223" s="4" t="s">
        <v>136</v>
      </c>
      <c r="H223" s="4" t="s">
        <v>137</v>
      </c>
      <c r="I223" s="4"/>
      <c r="J223" s="4"/>
      <c r="K223" s="4">
        <v>225</v>
      </c>
      <c r="L223" s="4">
        <v>4</v>
      </c>
      <c r="M223" s="4">
        <v>3</v>
      </c>
      <c r="N223" s="4" t="s">
        <v>6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45" x14ac:dyDescent="0.2">
      <c r="A224" s="4">
        <v>50</v>
      </c>
      <c r="B224" s="4">
        <v>0</v>
      </c>
      <c r="C224" s="4">
        <v>0</v>
      </c>
      <c r="D224" s="4">
        <v>1</v>
      </c>
      <c r="E224" s="4">
        <v>226</v>
      </c>
      <c r="F224" s="4">
        <f>ROUND(Source!AW218,O224)</f>
        <v>2063815.95</v>
      </c>
      <c r="G224" s="4" t="s">
        <v>138</v>
      </c>
      <c r="H224" s="4" t="s">
        <v>139</v>
      </c>
      <c r="I224" s="4"/>
      <c r="J224" s="4"/>
      <c r="K224" s="4">
        <v>226</v>
      </c>
      <c r="L224" s="4">
        <v>5</v>
      </c>
      <c r="M224" s="4">
        <v>3</v>
      </c>
      <c r="N224" s="4" t="s">
        <v>6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 x14ac:dyDescent="0.2">
      <c r="A225" s="4">
        <v>50</v>
      </c>
      <c r="B225" s="4">
        <v>0</v>
      </c>
      <c r="C225" s="4">
        <v>0</v>
      </c>
      <c r="D225" s="4">
        <v>1</v>
      </c>
      <c r="E225" s="4">
        <v>227</v>
      </c>
      <c r="F225" s="4">
        <f>ROUND(Source!AX218,O225)</f>
        <v>0</v>
      </c>
      <c r="G225" s="4" t="s">
        <v>140</v>
      </c>
      <c r="H225" s="4" t="s">
        <v>141</v>
      </c>
      <c r="I225" s="4"/>
      <c r="J225" s="4"/>
      <c r="K225" s="4">
        <v>227</v>
      </c>
      <c r="L225" s="4">
        <v>6</v>
      </c>
      <c r="M225" s="4">
        <v>3</v>
      </c>
      <c r="N225" s="4" t="s">
        <v>6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 x14ac:dyDescent="0.2">
      <c r="A226" s="4">
        <v>50</v>
      </c>
      <c r="B226" s="4">
        <v>0</v>
      </c>
      <c r="C226" s="4">
        <v>0</v>
      </c>
      <c r="D226" s="4">
        <v>1</v>
      </c>
      <c r="E226" s="4">
        <v>228</v>
      </c>
      <c r="F226" s="4">
        <f>ROUND(Source!AY218,O226)</f>
        <v>2063815.95</v>
      </c>
      <c r="G226" s="4" t="s">
        <v>142</v>
      </c>
      <c r="H226" s="4" t="s">
        <v>143</v>
      </c>
      <c r="I226" s="4"/>
      <c r="J226" s="4"/>
      <c r="K226" s="4">
        <v>228</v>
      </c>
      <c r="L226" s="4">
        <v>7</v>
      </c>
      <c r="M226" s="4">
        <v>3</v>
      </c>
      <c r="N226" s="4" t="s">
        <v>6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 x14ac:dyDescent="0.2">
      <c r="A227" s="4">
        <v>50</v>
      </c>
      <c r="B227" s="4">
        <v>0</v>
      </c>
      <c r="C227" s="4">
        <v>0</v>
      </c>
      <c r="D227" s="4">
        <v>1</v>
      </c>
      <c r="E227" s="4">
        <v>216</v>
      </c>
      <c r="F227" s="4">
        <f>ROUND(Source!AP218,O227)</f>
        <v>0</v>
      </c>
      <c r="G227" s="4" t="s">
        <v>144</v>
      </c>
      <c r="H227" s="4" t="s">
        <v>145</v>
      </c>
      <c r="I227" s="4"/>
      <c r="J227" s="4"/>
      <c r="K227" s="4">
        <v>216</v>
      </c>
      <c r="L227" s="4">
        <v>8</v>
      </c>
      <c r="M227" s="4">
        <v>3</v>
      </c>
      <c r="N227" s="4" t="s">
        <v>6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 x14ac:dyDescent="0.2">
      <c r="A228" s="4">
        <v>50</v>
      </c>
      <c r="B228" s="4">
        <v>0</v>
      </c>
      <c r="C228" s="4">
        <v>0</v>
      </c>
      <c r="D228" s="4">
        <v>1</v>
      </c>
      <c r="E228" s="4">
        <v>223</v>
      </c>
      <c r="F228" s="4">
        <f>ROUND(Source!AQ218,O228)</f>
        <v>0</v>
      </c>
      <c r="G228" s="4" t="s">
        <v>146</v>
      </c>
      <c r="H228" s="4" t="s">
        <v>147</v>
      </c>
      <c r="I228" s="4"/>
      <c r="J228" s="4"/>
      <c r="K228" s="4">
        <v>223</v>
      </c>
      <c r="L228" s="4">
        <v>9</v>
      </c>
      <c r="M228" s="4">
        <v>3</v>
      </c>
      <c r="N228" s="4" t="s">
        <v>6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 x14ac:dyDescent="0.2">
      <c r="A229" s="4">
        <v>50</v>
      </c>
      <c r="B229" s="4">
        <v>0</v>
      </c>
      <c r="C229" s="4">
        <v>0</v>
      </c>
      <c r="D229" s="4">
        <v>1</v>
      </c>
      <c r="E229" s="4">
        <v>229</v>
      </c>
      <c r="F229" s="4">
        <f>ROUND(Source!AZ218,O229)</f>
        <v>0</v>
      </c>
      <c r="G229" s="4" t="s">
        <v>148</v>
      </c>
      <c r="H229" s="4" t="s">
        <v>149</v>
      </c>
      <c r="I229" s="4"/>
      <c r="J229" s="4"/>
      <c r="K229" s="4">
        <v>229</v>
      </c>
      <c r="L229" s="4">
        <v>10</v>
      </c>
      <c r="M229" s="4">
        <v>3</v>
      </c>
      <c r="N229" s="4" t="s">
        <v>6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 x14ac:dyDescent="0.2">
      <c r="A230" s="4">
        <v>50</v>
      </c>
      <c r="B230" s="4">
        <v>0</v>
      </c>
      <c r="C230" s="4">
        <v>0</v>
      </c>
      <c r="D230" s="4">
        <v>1</v>
      </c>
      <c r="E230" s="4">
        <v>203</v>
      </c>
      <c r="F230" s="4">
        <f>ROUND(Source!Q218,O230)</f>
        <v>17099.669999999998</v>
      </c>
      <c r="G230" s="4" t="s">
        <v>150</v>
      </c>
      <c r="H230" s="4" t="s">
        <v>151</v>
      </c>
      <c r="I230" s="4"/>
      <c r="J230" s="4"/>
      <c r="K230" s="4">
        <v>203</v>
      </c>
      <c r="L230" s="4">
        <v>11</v>
      </c>
      <c r="M230" s="4">
        <v>3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 x14ac:dyDescent="0.2">
      <c r="A231" s="4">
        <v>50</v>
      </c>
      <c r="B231" s="4">
        <v>0</v>
      </c>
      <c r="C231" s="4">
        <v>0</v>
      </c>
      <c r="D231" s="4">
        <v>1</v>
      </c>
      <c r="E231" s="4">
        <v>231</v>
      </c>
      <c r="F231" s="4">
        <f>ROUND(Source!BB218,O231)</f>
        <v>0</v>
      </c>
      <c r="G231" s="4" t="s">
        <v>152</v>
      </c>
      <c r="H231" s="4" t="s">
        <v>153</v>
      </c>
      <c r="I231" s="4"/>
      <c r="J231" s="4"/>
      <c r="K231" s="4">
        <v>231</v>
      </c>
      <c r="L231" s="4">
        <v>12</v>
      </c>
      <c r="M231" s="4">
        <v>3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 x14ac:dyDescent="0.2">
      <c r="A232" s="4">
        <v>50</v>
      </c>
      <c r="B232" s="4">
        <v>0</v>
      </c>
      <c r="C232" s="4">
        <v>0</v>
      </c>
      <c r="D232" s="4">
        <v>1</v>
      </c>
      <c r="E232" s="4">
        <v>204</v>
      </c>
      <c r="F232" s="4">
        <f>ROUND(Source!R218,O232)</f>
        <v>4149.62</v>
      </c>
      <c r="G232" s="4" t="s">
        <v>154</v>
      </c>
      <c r="H232" s="4" t="s">
        <v>155</v>
      </c>
      <c r="I232" s="4"/>
      <c r="J232" s="4"/>
      <c r="K232" s="4">
        <v>204</v>
      </c>
      <c r="L232" s="4">
        <v>13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 x14ac:dyDescent="0.2">
      <c r="A233" s="4">
        <v>50</v>
      </c>
      <c r="B233" s="4">
        <v>0</v>
      </c>
      <c r="C233" s="4">
        <v>0</v>
      </c>
      <c r="D233" s="4">
        <v>1</v>
      </c>
      <c r="E233" s="4">
        <v>205</v>
      </c>
      <c r="F233" s="4">
        <f>ROUND(Source!S218,O233)</f>
        <v>127543.56</v>
      </c>
      <c r="G233" s="4" t="s">
        <v>156</v>
      </c>
      <c r="H233" s="4" t="s">
        <v>157</v>
      </c>
      <c r="I233" s="4"/>
      <c r="J233" s="4"/>
      <c r="K233" s="4">
        <v>205</v>
      </c>
      <c r="L233" s="4">
        <v>14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 x14ac:dyDescent="0.2">
      <c r="A234" s="4">
        <v>50</v>
      </c>
      <c r="B234" s="4">
        <v>0</v>
      </c>
      <c r="C234" s="4">
        <v>0</v>
      </c>
      <c r="D234" s="4">
        <v>1</v>
      </c>
      <c r="E234" s="4">
        <v>232</v>
      </c>
      <c r="F234" s="4">
        <f>ROUND(Source!BC218,O234)</f>
        <v>0</v>
      </c>
      <c r="G234" s="4" t="s">
        <v>158</v>
      </c>
      <c r="H234" s="4" t="s">
        <v>159</v>
      </c>
      <c r="I234" s="4"/>
      <c r="J234" s="4"/>
      <c r="K234" s="4">
        <v>232</v>
      </c>
      <c r="L234" s="4">
        <v>15</v>
      </c>
      <c r="M234" s="4">
        <v>3</v>
      </c>
      <c r="N234" s="4" t="s">
        <v>6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3" x14ac:dyDescent="0.2">
      <c r="A235" s="4">
        <v>50</v>
      </c>
      <c r="B235" s="4">
        <v>0</v>
      </c>
      <c r="C235" s="4">
        <v>0</v>
      </c>
      <c r="D235" s="4">
        <v>1</v>
      </c>
      <c r="E235" s="4">
        <v>214</v>
      </c>
      <c r="F235" s="4">
        <f>ROUND(Source!AS218,O235)</f>
        <v>2415298.63</v>
      </c>
      <c r="G235" s="4" t="s">
        <v>160</v>
      </c>
      <c r="H235" s="4" t="s">
        <v>161</v>
      </c>
      <c r="I235" s="4"/>
      <c r="J235" s="4"/>
      <c r="K235" s="4">
        <v>214</v>
      </c>
      <c r="L235" s="4">
        <v>16</v>
      </c>
      <c r="M235" s="4">
        <v>3</v>
      </c>
      <c r="N235" s="4" t="s">
        <v>6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3" x14ac:dyDescent="0.2">
      <c r="A236" s="4">
        <v>50</v>
      </c>
      <c r="B236" s="4">
        <v>0</v>
      </c>
      <c r="C236" s="4">
        <v>0</v>
      </c>
      <c r="D236" s="4">
        <v>1</v>
      </c>
      <c r="E236" s="4">
        <v>215</v>
      </c>
      <c r="F236" s="4">
        <f>ROUND(Source!AT218,O236)</f>
        <v>0</v>
      </c>
      <c r="G236" s="4" t="s">
        <v>162</v>
      </c>
      <c r="H236" s="4" t="s">
        <v>163</v>
      </c>
      <c r="I236" s="4"/>
      <c r="J236" s="4"/>
      <c r="K236" s="4">
        <v>215</v>
      </c>
      <c r="L236" s="4">
        <v>17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 x14ac:dyDescent="0.2">
      <c r="A237" s="4">
        <v>50</v>
      </c>
      <c r="B237" s="4">
        <v>0</v>
      </c>
      <c r="C237" s="4">
        <v>0</v>
      </c>
      <c r="D237" s="4">
        <v>1</v>
      </c>
      <c r="E237" s="4">
        <v>217</v>
      </c>
      <c r="F237" s="4">
        <f>ROUND(Source!AU218,O237)</f>
        <v>0</v>
      </c>
      <c r="G237" s="4" t="s">
        <v>164</v>
      </c>
      <c r="H237" s="4" t="s">
        <v>165</v>
      </c>
      <c r="I237" s="4"/>
      <c r="J237" s="4"/>
      <c r="K237" s="4">
        <v>217</v>
      </c>
      <c r="L237" s="4">
        <v>18</v>
      </c>
      <c r="M237" s="4">
        <v>3</v>
      </c>
      <c r="N237" s="4" t="s">
        <v>6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3" x14ac:dyDescent="0.2">
      <c r="A238" s="4">
        <v>50</v>
      </c>
      <c r="B238" s="4">
        <v>0</v>
      </c>
      <c r="C238" s="4">
        <v>0</v>
      </c>
      <c r="D238" s="4">
        <v>1</v>
      </c>
      <c r="E238" s="4">
        <v>230</v>
      </c>
      <c r="F238" s="4">
        <f>ROUND(Source!BA218,O238)</f>
        <v>0</v>
      </c>
      <c r="G238" s="4" t="s">
        <v>166</v>
      </c>
      <c r="H238" s="4" t="s">
        <v>167</v>
      </c>
      <c r="I238" s="4"/>
      <c r="J238" s="4"/>
      <c r="K238" s="4">
        <v>230</v>
      </c>
      <c r="L238" s="4">
        <v>19</v>
      </c>
      <c r="M238" s="4">
        <v>3</v>
      </c>
      <c r="N238" s="4" t="s">
        <v>6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3" x14ac:dyDescent="0.2">
      <c r="A239" s="4">
        <v>50</v>
      </c>
      <c r="B239" s="4">
        <v>0</v>
      </c>
      <c r="C239" s="4">
        <v>0</v>
      </c>
      <c r="D239" s="4">
        <v>1</v>
      </c>
      <c r="E239" s="4">
        <v>206</v>
      </c>
      <c r="F239" s="4">
        <f>ROUND(Source!T218,O239)</f>
        <v>0</v>
      </c>
      <c r="G239" s="4" t="s">
        <v>168</v>
      </c>
      <c r="H239" s="4" t="s">
        <v>169</v>
      </c>
      <c r="I239" s="4"/>
      <c r="J239" s="4"/>
      <c r="K239" s="4">
        <v>206</v>
      </c>
      <c r="L239" s="4">
        <v>20</v>
      </c>
      <c r="M239" s="4">
        <v>3</v>
      </c>
      <c r="N239" s="4" t="s">
        <v>6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3" x14ac:dyDescent="0.2">
      <c r="A240" s="4">
        <v>50</v>
      </c>
      <c r="B240" s="4">
        <v>0</v>
      </c>
      <c r="C240" s="4">
        <v>0</v>
      </c>
      <c r="D240" s="4">
        <v>1</v>
      </c>
      <c r="E240" s="4">
        <v>207</v>
      </c>
      <c r="F240" s="4">
        <f>Source!U218</f>
        <v>2197.9298084500001</v>
      </c>
      <c r="G240" s="4" t="s">
        <v>170</v>
      </c>
      <c r="H240" s="4" t="s">
        <v>171</v>
      </c>
      <c r="I240" s="4"/>
      <c r="J240" s="4"/>
      <c r="K240" s="4">
        <v>207</v>
      </c>
      <c r="L240" s="4">
        <v>21</v>
      </c>
      <c r="M240" s="4">
        <v>3</v>
      </c>
      <c r="N240" s="4" t="s">
        <v>6</v>
      </c>
      <c r="O240" s="4">
        <v>-1</v>
      </c>
      <c r="P240" s="4"/>
      <c r="Q240" s="4"/>
      <c r="R240" s="4"/>
      <c r="S240" s="4"/>
      <c r="T240" s="4"/>
      <c r="U240" s="4"/>
      <c r="V240" s="4"/>
      <c r="W240" s="4"/>
    </row>
    <row r="241" spans="1:206" x14ac:dyDescent="0.2">
      <c r="A241" s="4">
        <v>50</v>
      </c>
      <c r="B241" s="4">
        <v>0</v>
      </c>
      <c r="C241" s="4">
        <v>0</v>
      </c>
      <c r="D241" s="4">
        <v>1</v>
      </c>
      <c r="E241" s="4">
        <v>208</v>
      </c>
      <c r="F241" s="4">
        <f>Source!V218</f>
        <v>54.873058499999992</v>
      </c>
      <c r="G241" s="4" t="s">
        <v>172</v>
      </c>
      <c r="H241" s="4" t="s">
        <v>173</v>
      </c>
      <c r="I241" s="4"/>
      <c r="J241" s="4"/>
      <c r="K241" s="4">
        <v>208</v>
      </c>
      <c r="L241" s="4">
        <v>22</v>
      </c>
      <c r="M241" s="4">
        <v>3</v>
      </c>
      <c r="N241" s="4" t="s">
        <v>6</v>
      </c>
      <c r="O241" s="4">
        <v>-1</v>
      </c>
      <c r="P241" s="4"/>
      <c r="Q241" s="4"/>
      <c r="R241" s="4"/>
      <c r="S241" s="4"/>
      <c r="T241" s="4"/>
      <c r="U241" s="4"/>
      <c r="V241" s="4"/>
      <c r="W241" s="4"/>
    </row>
    <row r="242" spans="1:206" x14ac:dyDescent="0.2">
      <c r="A242" s="4">
        <v>50</v>
      </c>
      <c r="B242" s="4">
        <v>0</v>
      </c>
      <c r="C242" s="4">
        <v>0</v>
      </c>
      <c r="D242" s="4">
        <v>1</v>
      </c>
      <c r="E242" s="4">
        <v>209</v>
      </c>
      <c r="F242" s="4">
        <f>ROUND(Source!W218,O242)</f>
        <v>0</v>
      </c>
      <c r="G242" s="4" t="s">
        <v>174</v>
      </c>
      <c r="H242" s="4" t="s">
        <v>175</v>
      </c>
      <c r="I242" s="4"/>
      <c r="J242" s="4"/>
      <c r="K242" s="4">
        <v>209</v>
      </c>
      <c r="L242" s="4">
        <v>23</v>
      </c>
      <c r="M242" s="4">
        <v>3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06" x14ac:dyDescent="0.2">
      <c r="A243" s="4">
        <v>50</v>
      </c>
      <c r="B243" s="4">
        <v>0</v>
      </c>
      <c r="C243" s="4">
        <v>0</v>
      </c>
      <c r="D243" s="4">
        <v>1</v>
      </c>
      <c r="E243" s="4">
        <v>210</v>
      </c>
      <c r="F243" s="4">
        <f>ROUND(Source!X218,O243)</f>
        <v>124201.83</v>
      </c>
      <c r="G243" s="4" t="s">
        <v>176</v>
      </c>
      <c r="H243" s="4" t="s">
        <v>177</v>
      </c>
      <c r="I243" s="4"/>
      <c r="J243" s="4"/>
      <c r="K243" s="4">
        <v>210</v>
      </c>
      <c r="L243" s="4">
        <v>24</v>
      </c>
      <c r="M243" s="4">
        <v>3</v>
      </c>
      <c r="N243" s="4" t="s">
        <v>6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06" x14ac:dyDescent="0.2">
      <c r="A244" s="4">
        <v>50</v>
      </c>
      <c r="B244" s="4">
        <v>0</v>
      </c>
      <c r="C244" s="4">
        <v>0</v>
      </c>
      <c r="D244" s="4">
        <v>1</v>
      </c>
      <c r="E244" s="4">
        <v>211</v>
      </c>
      <c r="F244" s="4">
        <f>ROUND(Source!Y218,O244)</f>
        <v>69923.56</v>
      </c>
      <c r="G244" s="4" t="s">
        <v>178</v>
      </c>
      <c r="H244" s="4" t="s">
        <v>179</v>
      </c>
      <c r="I244" s="4"/>
      <c r="J244" s="4"/>
      <c r="K244" s="4">
        <v>211</v>
      </c>
      <c r="L244" s="4">
        <v>25</v>
      </c>
      <c r="M244" s="4">
        <v>3</v>
      </c>
      <c r="N244" s="4" t="s">
        <v>6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06" x14ac:dyDescent="0.2">
      <c r="A245" s="4">
        <v>50</v>
      </c>
      <c r="B245" s="4">
        <v>0</v>
      </c>
      <c r="C245" s="4">
        <v>0</v>
      </c>
      <c r="D245" s="4">
        <v>1</v>
      </c>
      <c r="E245" s="4">
        <v>224</v>
      </c>
      <c r="F245" s="4">
        <f>ROUND(Source!AR218,O245)</f>
        <v>2415298.63</v>
      </c>
      <c r="G245" s="4" t="s">
        <v>180</v>
      </c>
      <c r="H245" s="4" t="s">
        <v>181</v>
      </c>
      <c r="I245" s="4"/>
      <c r="J245" s="4"/>
      <c r="K245" s="4">
        <v>224</v>
      </c>
      <c r="L245" s="4">
        <v>26</v>
      </c>
      <c r="M245" s="4">
        <v>3</v>
      </c>
      <c r="N245" s="4" t="s">
        <v>6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7" spans="1:206" x14ac:dyDescent="0.2">
      <c r="A247" s="2">
        <v>51</v>
      </c>
      <c r="B247" s="2">
        <f>B24</f>
        <v>1</v>
      </c>
      <c r="C247" s="2">
        <f>A24</f>
        <v>4</v>
      </c>
      <c r="D247" s="2">
        <f>ROW(A24)</f>
        <v>24</v>
      </c>
      <c r="E247" s="2"/>
      <c r="F247" s="2" t="str">
        <f>IF(F24&lt;&gt;"",F24,"")</f>
        <v>Новый раздел</v>
      </c>
      <c r="G247" s="2" t="str">
        <f>IF(G24&lt;&gt;"",G24,"")</f>
        <v>1 Общестроительные работы</v>
      </c>
      <c r="H247" s="2">
        <v>0</v>
      </c>
      <c r="I247" s="2"/>
      <c r="J247" s="2"/>
      <c r="K247" s="2"/>
      <c r="L247" s="2"/>
      <c r="M247" s="2"/>
      <c r="N247" s="2"/>
      <c r="O247" s="2">
        <f t="shared" ref="O247:T247" si="245">ROUND(O51+O218+AB247,2)</f>
        <v>2226640.5299999998</v>
      </c>
      <c r="P247" s="2">
        <f t="shared" si="245"/>
        <v>2065439.3</v>
      </c>
      <c r="Q247" s="2">
        <f t="shared" si="245"/>
        <v>18866.34</v>
      </c>
      <c r="R247" s="2">
        <f t="shared" si="245"/>
        <v>4618.8599999999997</v>
      </c>
      <c r="S247" s="2">
        <f t="shared" si="245"/>
        <v>142334.89000000001</v>
      </c>
      <c r="T247" s="2">
        <f t="shared" si="245"/>
        <v>0</v>
      </c>
      <c r="U247" s="2">
        <f>U51+U218+AH247</f>
        <v>2477.42078765</v>
      </c>
      <c r="V247" s="2">
        <f>V51+V218+AI247</f>
        <v>60.188656499999993</v>
      </c>
      <c r="W247" s="2">
        <f>ROUND(W51+W218+AJ247,2)</f>
        <v>0</v>
      </c>
      <c r="X247" s="2">
        <f>ROUND(X51+X218+AK247,2)</f>
        <v>137586.32</v>
      </c>
      <c r="Y247" s="2">
        <f>ROUND(Y51+Y218+AL247,2)</f>
        <v>79165.039999999994</v>
      </c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>
        <f t="shared" ref="AO247:BC247" si="246">ROUND(AO51+AO218+BX247,2)</f>
        <v>0</v>
      </c>
      <c r="AP247" s="2">
        <f t="shared" si="246"/>
        <v>0</v>
      </c>
      <c r="AQ247" s="2">
        <f t="shared" si="246"/>
        <v>0</v>
      </c>
      <c r="AR247" s="2">
        <f t="shared" si="246"/>
        <v>2456105.9500000002</v>
      </c>
      <c r="AS247" s="2">
        <f t="shared" si="246"/>
        <v>2455770.31</v>
      </c>
      <c r="AT247" s="2">
        <f t="shared" si="246"/>
        <v>335.64</v>
      </c>
      <c r="AU247" s="2">
        <f t="shared" si="246"/>
        <v>0</v>
      </c>
      <c r="AV247" s="2">
        <f t="shared" si="246"/>
        <v>2065439.3</v>
      </c>
      <c r="AW247" s="2">
        <f t="shared" si="246"/>
        <v>2065439.3</v>
      </c>
      <c r="AX247" s="2">
        <f t="shared" si="246"/>
        <v>0</v>
      </c>
      <c r="AY247" s="2">
        <f t="shared" si="246"/>
        <v>2065439.3</v>
      </c>
      <c r="AZ247" s="2">
        <f t="shared" si="246"/>
        <v>0</v>
      </c>
      <c r="BA247" s="2">
        <f t="shared" si="246"/>
        <v>0</v>
      </c>
      <c r="BB247" s="2">
        <f t="shared" si="246"/>
        <v>0</v>
      </c>
      <c r="BC247" s="2">
        <f t="shared" si="246"/>
        <v>0</v>
      </c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3"/>
      <c r="EF247" s="3"/>
      <c r="EG247" s="3"/>
      <c r="EH247" s="3"/>
      <c r="EI247" s="3"/>
      <c r="EJ247" s="3"/>
      <c r="EK247" s="3"/>
      <c r="EL247" s="3"/>
      <c r="EM247" s="3"/>
      <c r="EN247" s="3"/>
      <c r="EO247" s="3"/>
      <c r="EP247" s="3"/>
      <c r="EQ247" s="3"/>
      <c r="ER247" s="3"/>
      <c r="ES247" s="3"/>
      <c r="ET247" s="3"/>
      <c r="EU247" s="3"/>
      <c r="EV247" s="3"/>
      <c r="EW247" s="3"/>
      <c r="EX247" s="3"/>
      <c r="EY247" s="3"/>
      <c r="EZ247" s="3"/>
      <c r="FA247" s="3"/>
      <c r="FB247" s="3"/>
      <c r="FC247" s="3"/>
      <c r="FD247" s="3"/>
      <c r="FE247" s="3"/>
      <c r="FF247" s="3"/>
      <c r="FG247" s="3"/>
      <c r="FH247" s="3"/>
      <c r="FI247" s="3"/>
      <c r="FJ247" s="3"/>
      <c r="FK247" s="3"/>
      <c r="FL247" s="3"/>
      <c r="FM247" s="3"/>
      <c r="FN247" s="3"/>
      <c r="FO247" s="3"/>
      <c r="FP247" s="3"/>
      <c r="FQ247" s="3"/>
      <c r="FR247" s="3"/>
      <c r="FS247" s="3"/>
      <c r="FT247" s="3"/>
      <c r="FU247" s="3"/>
      <c r="FV247" s="3"/>
      <c r="FW247" s="3"/>
      <c r="FX247" s="3"/>
      <c r="FY247" s="3"/>
      <c r="FZ247" s="3"/>
      <c r="GA247" s="3"/>
      <c r="GB247" s="3"/>
      <c r="GC247" s="3"/>
      <c r="GD247" s="3"/>
      <c r="GE247" s="3"/>
      <c r="GF247" s="3"/>
      <c r="GG247" s="3"/>
      <c r="GH247" s="3"/>
      <c r="GI247" s="3"/>
      <c r="GJ247" s="3"/>
      <c r="GK247" s="3"/>
      <c r="GL247" s="3"/>
      <c r="GM247" s="3"/>
      <c r="GN247" s="3"/>
      <c r="GO247" s="3"/>
      <c r="GP247" s="3"/>
      <c r="GQ247" s="3"/>
      <c r="GR247" s="3"/>
      <c r="GS247" s="3"/>
      <c r="GT247" s="3"/>
      <c r="GU247" s="3"/>
      <c r="GV247" s="3"/>
      <c r="GW247" s="3"/>
      <c r="GX247" s="3">
        <v>0</v>
      </c>
    </row>
    <row r="249" spans="1:206" x14ac:dyDescent="0.2">
      <c r="A249" s="4">
        <v>50</v>
      </c>
      <c r="B249" s="4">
        <v>0</v>
      </c>
      <c r="C249" s="4">
        <v>0</v>
      </c>
      <c r="D249" s="4">
        <v>1</v>
      </c>
      <c r="E249" s="4">
        <v>201</v>
      </c>
      <c r="F249" s="4">
        <f>ROUND(Source!O247,O249)</f>
        <v>2226640.5299999998</v>
      </c>
      <c r="G249" s="4" t="s">
        <v>130</v>
      </c>
      <c r="H249" s="4" t="s">
        <v>131</v>
      </c>
      <c r="I249" s="4"/>
      <c r="J249" s="4"/>
      <c r="K249" s="4">
        <v>201</v>
      </c>
      <c r="L249" s="4">
        <v>1</v>
      </c>
      <c r="M249" s="4">
        <v>3</v>
      </c>
      <c r="N249" s="4" t="s">
        <v>6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06" x14ac:dyDescent="0.2">
      <c r="A250" s="4">
        <v>50</v>
      </c>
      <c r="B250" s="4">
        <v>0</v>
      </c>
      <c r="C250" s="4">
        <v>0</v>
      </c>
      <c r="D250" s="4">
        <v>1</v>
      </c>
      <c r="E250" s="4">
        <v>202</v>
      </c>
      <c r="F250" s="4">
        <f>ROUND(Source!P247,O250)</f>
        <v>2065439.3</v>
      </c>
      <c r="G250" s="4" t="s">
        <v>132</v>
      </c>
      <c r="H250" s="4" t="s">
        <v>133</v>
      </c>
      <c r="I250" s="4"/>
      <c r="J250" s="4"/>
      <c r="K250" s="4">
        <v>202</v>
      </c>
      <c r="L250" s="4">
        <v>2</v>
      </c>
      <c r="M250" s="4">
        <v>3</v>
      </c>
      <c r="N250" s="4" t="s">
        <v>6</v>
      </c>
      <c r="O250" s="4">
        <v>2</v>
      </c>
      <c r="P250" s="4"/>
      <c r="Q250" s="4"/>
      <c r="R250" s="4"/>
      <c r="S250" s="4"/>
      <c r="T250" s="4"/>
      <c r="U250" s="4"/>
      <c r="V250" s="4"/>
      <c r="W250" s="4"/>
    </row>
    <row r="251" spans="1:206" x14ac:dyDescent="0.2">
      <c r="A251" s="4">
        <v>50</v>
      </c>
      <c r="B251" s="4">
        <v>0</v>
      </c>
      <c r="C251" s="4">
        <v>0</v>
      </c>
      <c r="D251" s="4">
        <v>1</v>
      </c>
      <c r="E251" s="4">
        <v>222</v>
      </c>
      <c r="F251" s="4">
        <f>ROUND(Source!AO247,O251)</f>
        <v>0</v>
      </c>
      <c r="G251" s="4" t="s">
        <v>134</v>
      </c>
      <c r="H251" s="4" t="s">
        <v>135</v>
      </c>
      <c r="I251" s="4"/>
      <c r="J251" s="4"/>
      <c r="K251" s="4">
        <v>222</v>
      </c>
      <c r="L251" s="4">
        <v>3</v>
      </c>
      <c r="M251" s="4">
        <v>3</v>
      </c>
      <c r="N251" s="4" t="s">
        <v>6</v>
      </c>
      <c r="O251" s="4">
        <v>2</v>
      </c>
      <c r="P251" s="4"/>
      <c r="Q251" s="4"/>
      <c r="R251" s="4"/>
      <c r="S251" s="4"/>
      <c r="T251" s="4"/>
      <c r="U251" s="4"/>
      <c r="V251" s="4"/>
      <c r="W251" s="4"/>
    </row>
    <row r="252" spans="1:206" x14ac:dyDescent="0.2">
      <c r="A252" s="4">
        <v>50</v>
      </c>
      <c r="B252" s="4">
        <v>0</v>
      </c>
      <c r="C252" s="4">
        <v>0</v>
      </c>
      <c r="D252" s="4">
        <v>1</v>
      </c>
      <c r="E252" s="4">
        <v>225</v>
      </c>
      <c r="F252" s="4">
        <f>ROUND(Source!AV247,O252)</f>
        <v>2065439.3</v>
      </c>
      <c r="G252" s="4" t="s">
        <v>136</v>
      </c>
      <c r="H252" s="4" t="s">
        <v>137</v>
      </c>
      <c r="I252" s="4"/>
      <c r="J252" s="4"/>
      <c r="K252" s="4">
        <v>225</v>
      </c>
      <c r="L252" s="4">
        <v>4</v>
      </c>
      <c r="M252" s="4">
        <v>3</v>
      </c>
      <c r="N252" s="4" t="s">
        <v>6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06" x14ac:dyDescent="0.2">
      <c r="A253" s="4">
        <v>50</v>
      </c>
      <c r="B253" s="4">
        <v>0</v>
      </c>
      <c r="C253" s="4">
        <v>0</v>
      </c>
      <c r="D253" s="4">
        <v>1</v>
      </c>
      <c r="E253" s="4">
        <v>226</v>
      </c>
      <c r="F253" s="4">
        <f>ROUND(Source!AW247,O253)</f>
        <v>2065439.3</v>
      </c>
      <c r="G253" s="4" t="s">
        <v>138</v>
      </c>
      <c r="H253" s="4" t="s">
        <v>139</v>
      </c>
      <c r="I253" s="4"/>
      <c r="J253" s="4"/>
      <c r="K253" s="4">
        <v>226</v>
      </c>
      <c r="L253" s="4">
        <v>5</v>
      </c>
      <c r="M253" s="4">
        <v>3</v>
      </c>
      <c r="N253" s="4" t="s">
        <v>6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06" x14ac:dyDescent="0.2">
      <c r="A254" s="4">
        <v>50</v>
      </c>
      <c r="B254" s="4">
        <v>0</v>
      </c>
      <c r="C254" s="4">
        <v>0</v>
      </c>
      <c r="D254" s="4">
        <v>1</v>
      </c>
      <c r="E254" s="4">
        <v>227</v>
      </c>
      <c r="F254" s="4">
        <f>ROUND(Source!AX247,O254)</f>
        <v>0</v>
      </c>
      <c r="G254" s="4" t="s">
        <v>140</v>
      </c>
      <c r="H254" s="4" t="s">
        <v>141</v>
      </c>
      <c r="I254" s="4"/>
      <c r="J254" s="4"/>
      <c r="K254" s="4">
        <v>227</v>
      </c>
      <c r="L254" s="4">
        <v>6</v>
      </c>
      <c r="M254" s="4">
        <v>3</v>
      </c>
      <c r="N254" s="4" t="s">
        <v>6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06" x14ac:dyDescent="0.2">
      <c r="A255" s="4">
        <v>50</v>
      </c>
      <c r="B255" s="4">
        <v>0</v>
      </c>
      <c r="C255" s="4">
        <v>0</v>
      </c>
      <c r="D255" s="4">
        <v>1</v>
      </c>
      <c r="E255" s="4">
        <v>228</v>
      </c>
      <c r="F255" s="4">
        <f>ROUND(Source!AY247,O255)</f>
        <v>2065439.3</v>
      </c>
      <c r="G255" s="4" t="s">
        <v>142</v>
      </c>
      <c r="H255" s="4" t="s">
        <v>143</v>
      </c>
      <c r="I255" s="4"/>
      <c r="J255" s="4"/>
      <c r="K255" s="4">
        <v>228</v>
      </c>
      <c r="L255" s="4">
        <v>7</v>
      </c>
      <c r="M255" s="4">
        <v>3</v>
      </c>
      <c r="N255" s="4" t="s">
        <v>6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06" x14ac:dyDescent="0.2">
      <c r="A256" s="4">
        <v>50</v>
      </c>
      <c r="B256" s="4">
        <v>0</v>
      </c>
      <c r="C256" s="4">
        <v>0</v>
      </c>
      <c r="D256" s="4">
        <v>1</v>
      </c>
      <c r="E256" s="4">
        <v>216</v>
      </c>
      <c r="F256" s="4">
        <f>ROUND(Source!AP247,O256)</f>
        <v>0</v>
      </c>
      <c r="G256" s="4" t="s">
        <v>144</v>
      </c>
      <c r="H256" s="4" t="s">
        <v>145</v>
      </c>
      <c r="I256" s="4"/>
      <c r="J256" s="4"/>
      <c r="K256" s="4">
        <v>216</v>
      </c>
      <c r="L256" s="4">
        <v>8</v>
      </c>
      <c r="M256" s="4">
        <v>3</v>
      </c>
      <c r="N256" s="4" t="s">
        <v>6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3" x14ac:dyDescent="0.2">
      <c r="A257" s="4">
        <v>50</v>
      </c>
      <c r="B257" s="4">
        <v>0</v>
      </c>
      <c r="C257" s="4">
        <v>0</v>
      </c>
      <c r="D257" s="4">
        <v>1</v>
      </c>
      <c r="E257" s="4">
        <v>223</v>
      </c>
      <c r="F257" s="4">
        <f>ROUND(Source!AQ247,O257)</f>
        <v>0</v>
      </c>
      <c r="G257" s="4" t="s">
        <v>146</v>
      </c>
      <c r="H257" s="4" t="s">
        <v>147</v>
      </c>
      <c r="I257" s="4"/>
      <c r="J257" s="4"/>
      <c r="K257" s="4">
        <v>223</v>
      </c>
      <c r="L257" s="4">
        <v>9</v>
      </c>
      <c r="M257" s="4">
        <v>3</v>
      </c>
      <c r="N257" s="4" t="s">
        <v>6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3" x14ac:dyDescent="0.2">
      <c r="A258" s="4">
        <v>50</v>
      </c>
      <c r="B258" s="4">
        <v>0</v>
      </c>
      <c r="C258" s="4">
        <v>0</v>
      </c>
      <c r="D258" s="4">
        <v>1</v>
      </c>
      <c r="E258" s="4">
        <v>229</v>
      </c>
      <c r="F258" s="4">
        <f>ROUND(Source!AZ247,O258)</f>
        <v>0</v>
      </c>
      <c r="G258" s="4" t="s">
        <v>148</v>
      </c>
      <c r="H258" s="4" t="s">
        <v>149</v>
      </c>
      <c r="I258" s="4"/>
      <c r="J258" s="4"/>
      <c r="K258" s="4">
        <v>229</v>
      </c>
      <c r="L258" s="4">
        <v>10</v>
      </c>
      <c r="M258" s="4">
        <v>3</v>
      </c>
      <c r="N258" s="4" t="s">
        <v>6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59" spans="1:23" x14ac:dyDescent="0.2">
      <c r="A259" s="4">
        <v>50</v>
      </c>
      <c r="B259" s="4">
        <v>0</v>
      </c>
      <c r="C259" s="4">
        <v>0</v>
      </c>
      <c r="D259" s="4">
        <v>1</v>
      </c>
      <c r="E259" s="4">
        <v>203</v>
      </c>
      <c r="F259" s="4">
        <f>ROUND(Source!Q247,O259)</f>
        <v>18866.34</v>
      </c>
      <c r="G259" s="4" t="s">
        <v>150</v>
      </c>
      <c r="H259" s="4" t="s">
        <v>151</v>
      </c>
      <c r="I259" s="4"/>
      <c r="J259" s="4"/>
      <c r="K259" s="4">
        <v>203</v>
      </c>
      <c r="L259" s="4">
        <v>11</v>
      </c>
      <c r="M259" s="4">
        <v>3</v>
      </c>
      <c r="N259" s="4" t="s">
        <v>6</v>
      </c>
      <c r="O259" s="4">
        <v>2</v>
      </c>
      <c r="P259" s="4"/>
      <c r="Q259" s="4"/>
      <c r="R259" s="4"/>
      <c r="S259" s="4"/>
      <c r="T259" s="4"/>
      <c r="U259" s="4"/>
      <c r="V259" s="4"/>
      <c r="W259" s="4"/>
    </row>
    <row r="260" spans="1:23" x14ac:dyDescent="0.2">
      <c r="A260" s="4">
        <v>50</v>
      </c>
      <c r="B260" s="4">
        <v>0</v>
      </c>
      <c r="C260" s="4">
        <v>0</v>
      </c>
      <c r="D260" s="4">
        <v>1</v>
      </c>
      <c r="E260" s="4">
        <v>231</v>
      </c>
      <c r="F260" s="4">
        <f>ROUND(Source!BB247,O260)</f>
        <v>0</v>
      </c>
      <c r="G260" s="4" t="s">
        <v>152</v>
      </c>
      <c r="H260" s="4" t="s">
        <v>153</v>
      </c>
      <c r="I260" s="4"/>
      <c r="J260" s="4"/>
      <c r="K260" s="4">
        <v>231</v>
      </c>
      <c r="L260" s="4">
        <v>12</v>
      </c>
      <c r="M260" s="4">
        <v>3</v>
      </c>
      <c r="N260" s="4" t="s">
        <v>6</v>
      </c>
      <c r="O260" s="4">
        <v>2</v>
      </c>
      <c r="P260" s="4"/>
      <c r="Q260" s="4"/>
      <c r="R260" s="4"/>
      <c r="S260" s="4"/>
      <c r="T260" s="4"/>
      <c r="U260" s="4"/>
      <c r="V260" s="4"/>
      <c r="W260" s="4"/>
    </row>
    <row r="261" spans="1:23" x14ac:dyDescent="0.2">
      <c r="A261" s="4">
        <v>50</v>
      </c>
      <c r="B261" s="4">
        <v>0</v>
      </c>
      <c r="C261" s="4">
        <v>0</v>
      </c>
      <c r="D261" s="4">
        <v>1</v>
      </c>
      <c r="E261" s="4">
        <v>204</v>
      </c>
      <c r="F261" s="4">
        <f>ROUND(Source!R247,O261)</f>
        <v>4618.8599999999997</v>
      </c>
      <c r="G261" s="4" t="s">
        <v>154</v>
      </c>
      <c r="H261" s="4" t="s">
        <v>155</v>
      </c>
      <c r="I261" s="4"/>
      <c r="J261" s="4"/>
      <c r="K261" s="4">
        <v>204</v>
      </c>
      <c r="L261" s="4">
        <v>13</v>
      </c>
      <c r="M261" s="4">
        <v>3</v>
      </c>
      <c r="N261" s="4" t="s">
        <v>6</v>
      </c>
      <c r="O261" s="4">
        <v>2</v>
      </c>
      <c r="P261" s="4"/>
      <c r="Q261" s="4"/>
      <c r="R261" s="4"/>
      <c r="S261" s="4"/>
      <c r="T261" s="4"/>
      <c r="U261" s="4"/>
      <c r="V261" s="4"/>
      <c r="W261" s="4"/>
    </row>
    <row r="262" spans="1:23" x14ac:dyDescent="0.2">
      <c r="A262" s="4">
        <v>50</v>
      </c>
      <c r="B262" s="4">
        <v>0</v>
      </c>
      <c r="C262" s="4">
        <v>0</v>
      </c>
      <c r="D262" s="4">
        <v>1</v>
      </c>
      <c r="E262" s="4">
        <v>205</v>
      </c>
      <c r="F262" s="4">
        <f>ROUND(Source!S247,O262)</f>
        <v>142334.89000000001</v>
      </c>
      <c r="G262" s="4" t="s">
        <v>156</v>
      </c>
      <c r="H262" s="4" t="s">
        <v>157</v>
      </c>
      <c r="I262" s="4"/>
      <c r="J262" s="4"/>
      <c r="K262" s="4">
        <v>205</v>
      </c>
      <c r="L262" s="4">
        <v>14</v>
      </c>
      <c r="M262" s="4">
        <v>3</v>
      </c>
      <c r="N262" s="4" t="s">
        <v>6</v>
      </c>
      <c r="O262" s="4">
        <v>2</v>
      </c>
      <c r="P262" s="4"/>
      <c r="Q262" s="4"/>
      <c r="R262" s="4"/>
      <c r="S262" s="4"/>
      <c r="T262" s="4"/>
      <c r="U262" s="4"/>
      <c r="V262" s="4"/>
      <c r="W262" s="4"/>
    </row>
    <row r="263" spans="1:23" x14ac:dyDescent="0.2">
      <c r="A263" s="4">
        <v>50</v>
      </c>
      <c r="B263" s="4">
        <v>0</v>
      </c>
      <c r="C263" s="4">
        <v>0</v>
      </c>
      <c r="D263" s="4">
        <v>1</v>
      </c>
      <c r="E263" s="4">
        <v>232</v>
      </c>
      <c r="F263" s="4">
        <f>ROUND(Source!BC247,O263)</f>
        <v>0</v>
      </c>
      <c r="G263" s="4" t="s">
        <v>158</v>
      </c>
      <c r="H263" s="4" t="s">
        <v>159</v>
      </c>
      <c r="I263" s="4"/>
      <c r="J263" s="4"/>
      <c r="K263" s="4">
        <v>232</v>
      </c>
      <c r="L263" s="4">
        <v>15</v>
      </c>
      <c r="M263" s="4">
        <v>3</v>
      </c>
      <c r="N263" s="4" t="s">
        <v>6</v>
      </c>
      <c r="O263" s="4">
        <v>2</v>
      </c>
      <c r="P263" s="4"/>
      <c r="Q263" s="4"/>
      <c r="R263" s="4"/>
      <c r="S263" s="4"/>
      <c r="T263" s="4"/>
      <c r="U263" s="4"/>
      <c r="V263" s="4"/>
      <c r="W263" s="4"/>
    </row>
    <row r="264" spans="1:23" x14ac:dyDescent="0.2">
      <c r="A264" s="4">
        <v>50</v>
      </c>
      <c r="B264" s="4">
        <v>0</v>
      </c>
      <c r="C264" s="4">
        <v>0</v>
      </c>
      <c r="D264" s="4">
        <v>1</v>
      </c>
      <c r="E264" s="4">
        <v>214</v>
      </c>
      <c r="F264" s="4">
        <f>ROUND(Source!AS247,O264)</f>
        <v>2455770.31</v>
      </c>
      <c r="G264" s="4" t="s">
        <v>160</v>
      </c>
      <c r="H264" s="4" t="s">
        <v>161</v>
      </c>
      <c r="I264" s="4"/>
      <c r="J264" s="4"/>
      <c r="K264" s="4">
        <v>214</v>
      </c>
      <c r="L264" s="4">
        <v>16</v>
      </c>
      <c r="M264" s="4">
        <v>3</v>
      </c>
      <c r="N264" s="4" t="s">
        <v>6</v>
      </c>
      <c r="O264" s="4">
        <v>2</v>
      </c>
      <c r="P264" s="4"/>
      <c r="Q264" s="4"/>
      <c r="R264" s="4"/>
      <c r="S264" s="4"/>
      <c r="T264" s="4"/>
      <c r="U264" s="4"/>
      <c r="V264" s="4"/>
      <c r="W264" s="4"/>
    </row>
    <row r="265" spans="1:23" x14ac:dyDescent="0.2">
      <c r="A265" s="4">
        <v>50</v>
      </c>
      <c r="B265" s="4">
        <v>0</v>
      </c>
      <c r="C265" s="4">
        <v>0</v>
      </c>
      <c r="D265" s="4">
        <v>1</v>
      </c>
      <c r="E265" s="4">
        <v>215</v>
      </c>
      <c r="F265" s="4">
        <f>ROUND(Source!AT247,O265)</f>
        <v>335.64</v>
      </c>
      <c r="G265" s="4" t="s">
        <v>162</v>
      </c>
      <c r="H265" s="4" t="s">
        <v>163</v>
      </c>
      <c r="I265" s="4"/>
      <c r="J265" s="4"/>
      <c r="K265" s="4">
        <v>215</v>
      </c>
      <c r="L265" s="4">
        <v>17</v>
      </c>
      <c r="M265" s="4">
        <v>3</v>
      </c>
      <c r="N265" s="4" t="s">
        <v>6</v>
      </c>
      <c r="O265" s="4">
        <v>2</v>
      </c>
      <c r="P265" s="4"/>
      <c r="Q265" s="4"/>
      <c r="R265" s="4"/>
      <c r="S265" s="4"/>
      <c r="T265" s="4"/>
      <c r="U265" s="4"/>
      <c r="V265" s="4"/>
      <c r="W265" s="4"/>
    </row>
    <row r="266" spans="1:23" x14ac:dyDescent="0.2">
      <c r="A266" s="4">
        <v>50</v>
      </c>
      <c r="B266" s="4">
        <v>0</v>
      </c>
      <c r="C266" s="4">
        <v>0</v>
      </c>
      <c r="D266" s="4">
        <v>1</v>
      </c>
      <c r="E266" s="4">
        <v>217</v>
      </c>
      <c r="F266" s="4">
        <f>ROUND(Source!AU247,O266)</f>
        <v>0</v>
      </c>
      <c r="G266" s="4" t="s">
        <v>164</v>
      </c>
      <c r="H266" s="4" t="s">
        <v>165</v>
      </c>
      <c r="I266" s="4"/>
      <c r="J266" s="4"/>
      <c r="K266" s="4">
        <v>217</v>
      </c>
      <c r="L266" s="4">
        <v>18</v>
      </c>
      <c r="M266" s="4">
        <v>3</v>
      </c>
      <c r="N266" s="4" t="s">
        <v>6</v>
      </c>
      <c r="O266" s="4">
        <v>2</v>
      </c>
      <c r="P266" s="4"/>
      <c r="Q266" s="4"/>
      <c r="R266" s="4"/>
      <c r="S266" s="4"/>
      <c r="T266" s="4"/>
      <c r="U266" s="4"/>
      <c r="V266" s="4"/>
      <c r="W266" s="4"/>
    </row>
    <row r="267" spans="1:23" x14ac:dyDescent="0.2">
      <c r="A267" s="4">
        <v>50</v>
      </c>
      <c r="B267" s="4">
        <v>0</v>
      </c>
      <c r="C267" s="4">
        <v>0</v>
      </c>
      <c r="D267" s="4">
        <v>1</v>
      </c>
      <c r="E267" s="4">
        <v>230</v>
      </c>
      <c r="F267" s="4">
        <f>ROUND(Source!BA247,O267)</f>
        <v>0</v>
      </c>
      <c r="G267" s="4" t="s">
        <v>166</v>
      </c>
      <c r="H267" s="4" t="s">
        <v>167</v>
      </c>
      <c r="I267" s="4"/>
      <c r="J267" s="4"/>
      <c r="K267" s="4">
        <v>230</v>
      </c>
      <c r="L267" s="4">
        <v>19</v>
      </c>
      <c r="M267" s="4">
        <v>3</v>
      </c>
      <c r="N267" s="4" t="s">
        <v>6</v>
      </c>
      <c r="O267" s="4">
        <v>2</v>
      </c>
      <c r="P267" s="4"/>
      <c r="Q267" s="4"/>
      <c r="R267" s="4"/>
      <c r="S267" s="4"/>
      <c r="T267" s="4"/>
      <c r="U267" s="4"/>
      <c r="V267" s="4"/>
      <c r="W267" s="4"/>
    </row>
    <row r="268" spans="1:23" x14ac:dyDescent="0.2">
      <c r="A268" s="4">
        <v>50</v>
      </c>
      <c r="B268" s="4">
        <v>0</v>
      </c>
      <c r="C268" s="4">
        <v>0</v>
      </c>
      <c r="D268" s="4">
        <v>1</v>
      </c>
      <c r="E268" s="4">
        <v>206</v>
      </c>
      <c r="F268" s="4">
        <f>ROUND(Source!T247,O268)</f>
        <v>0</v>
      </c>
      <c r="G268" s="4" t="s">
        <v>168</v>
      </c>
      <c r="H268" s="4" t="s">
        <v>169</v>
      </c>
      <c r="I268" s="4"/>
      <c r="J268" s="4"/>
      <c r="K268" s="4">
        <v>206</v>
      </c>
      <c r="L268" s="4">
        <v>20</v>
      </c>
      <c r="M268" s="4">
        <v>3</v>
      </c>
      <c r="N268" s="4" t="s">
        <v>6</v>
      </c>
      <c r="O268" s="4">
        <v>2</v>
      </c>
      <c r="P268" s="4"/>
      <c r="Q268" s="4"/>
      <c r="R268" s="4"/>
      <c r="S268" s="4"/>
      <c r="T268" s="4"/>
      <c r="U268" s="4"/>
      <c r="V268" s="4"/>
      <c r="W268" s="4"/>
    </row>
    <row r="269" spans="1:23" x14ac:dyDescent="0.2">
      <c r="A269" s="4">
        <v>50</v>
      </c>
      <c r="B269" s="4">
        <v>0</v>
      </c>
      <c r="C269" s="4">
        <v>0</v>
      </c>
      <c r="D269" s="4">
        <v>1</v>
      </c>
      <c r="E269" s="4">
        <v>207</v>
      </c>
      <c r="F269" s="4">
        <f>Source!U247</f>
        <v>2477.42078765</v>
      </c>
      <c r="G269" s="4" t="s">
        <v>170</v>
      </c>
      <c r="H269" s="4" t="s">
        <v>171</v>
      </c>
      <c r="I269" s="4"/>
      <c r="J269" s="4"/>
      <c r="K269" s="4">
        <v>207</v>
      </c>
      <c r="L269" s="4">
        <v>21</v>
      </c>
      <c r="M269" s="4">
        <v>3</v>
      </c>
      <c r="N269" s="4" t="s">
        <v>6</v>
      </c>
      <c r="O269" s="4">
        <v>-1</v>
      </c>
      <c r="P269" s="4"/>
      <c r="Q269" s="4"/>
      <c r="R269" s="4"/>
      <c r="S269" s="4"/>
      <c r="T269" s="4"/>
      <c r="U269" s="4"/>
      <c r="V269" s="4"/>
      <c r="W269" s="4"/>
    </row>
    <row r="270" spans="1:23" x14ac:dyDescent="0.2">
      <c r="A270" s="4">
        <v>50</v>
      </c>
      <c r="B270" s="4">
        <v>0</v>
      </c>
      <c r="C270" s="4">
        <v>0</v>
      </c>
      <c r="D270" s="4">
        <v>1</v>
      </c>
      <c r="E270" s="4">
        <v>208</v>
      </c>
      <c r="F270" s="4">
        <f>Source!V247</f>
        <v>60.188656499999993</v>
      </c>
      <c r="G270" s="4" t="s">
        <v>172</v>
      </c>
      <c r="H270" s="4" t="s">
        <v>173</v>
      </c>
      <c r="I270" s="4"/>
      <c r="J270" s="4"/>
      <c r="K270" s="4">
        <v>208</v>
      </c>
      <c r="L270" s="4">
        <v>22</v>
      </c>
      <c r="M270" s="4">
        <v>3</v>
      </c>
      <c r="N270" s="4" t="s">
        <v>6</v>
      </c>
      <c r="O270" s="4">
        <v>-1</v>
      </c>
      <c r="P270" s="4"/>
      <c r="Q270" s="4"/>
      <c r="R270" s="4"/>
      <c r="S270" s="4"/>
      <c r="T270" s="4"/>
      <c r="U270" s="4"/>
      <c r="V270" s="4"/>
      <c r="W270" s="4"/>
    </row>
    <row r="271" spans="1:23" x14ac:dyDescent="0.2">
      <c r="A271" s="4">
        <v>50</v>
      </c>
      <c r="B271" s="4">
        <v>0</v>
      </c>
      <c r="C271" s="4">
        <v>0</v>
      </c>
      <c r="D271" s="4">
        <v>1</v>
      </c>
      <c r="E271" s="4">
        <v>209</v>
      </c>
      <c r="F271" s="4">
        <f>ROUND(Source!W247,O271)</f>
        <v>0</v>
      </c>
      <c r="G271" s="4" t="s">
        <v>174</v>
      </c>
      <c r="H271" s="4" t="s">
        <v>175</v>
      </c>
      <c r="I271" s="4"/>
      <c r="J271" s="4"/>
      <c r="K271" s="4">
        <v>209</v>
      </c>
      <c r="L271" s="4">
        <v>23</v>
      </c>
      <c r="M271" s="4">
        <v>3</v>
      </c>
      <c r="N271" s="4" t="s">
        <v>6</v>
      </c>
      <c r="O271" s="4">
        <v>2</v>
      </c>
      <c r="P271" s="4"/>
      <c r="Q271" s="4"/>
      <c r="R271" s="4"/>
      <c r="S271" s="4"/>
      <c r="T271" s="4"/>
      <c r="U271" s="4"/>
      <c r="V271" s="4"/>
      <c r="W271" s="4"/>
    </row>
    <row r="272" spans="1:23" x14ac:dyDescent="0.2">
      <c r="A272" s="4">
        <v>50</v>
      </c>
      <c r="B272" s="4">
        <v>0</v>
      </c>
      <c r="C272" s="4">
        <v>0</v>
      </c>
      <c r="D272" s="4">
        <v>1</v>
      </c>
      <c r="E272" s="4">
        <v>210</v>
      </c>
      <c r="F272" s="4">
        <f>ROUND(Source!X247,O272)</f>
        <v>137586.32</v>
      </c>
      <c r="G272" s="4" t="s">
        <v>176</v>
      </c>
      <c r="H272" s="4" t="s">
        <v>177</v>
      </c>
      <c r="I272" s="4"/>
      <c r="J272" s="4"/>
      <c r="K272" s="4">
        <v>210</v>
      </c>
      <c r="L272" s="4">
        <v>24</v>
      </c>
      <c r="M272" s="4">
        <v>3</v>
      </c>
      <c r="N272" s="4" t="s">
        <v>6</v>
      </c>
      <c r="O272" s="4">
        <v>2</v>
      </c>
      <c r="P272" s="4"/>
      <c r="Q272" s="4"/>
      <c r="R272" s="4"/>
      <c r="S272" s="4"/>
      <c r="T272" s="4"/>
      <c r="U272" s="4"/>
      <c r="V272" s="4"/>
      <c r="W272" s="4"/>
    </row>
    <row r="273" spans="1:245" x14ac:dyDescent="0.2">
      <c r="A273" s="4">
        <v>50</v>
      </c>
      <c r="B273" s="4">
        <v>0</v>
      </c>
      <c r="C273" s="4">
        <v>0</v>
      </c>
      <c r="D273" s="4">
        <v>1</v>
      </c>
      <c r="E273" s="4">
        <v>211</v>
      </c>
      <c r="F273" s="4">
        <f>ROUND(Source!Y247,O273)</f>
        <v>79165.039999999994</v>
      </c>
      <c r="G273" s="4" t="s">
        <v>178</v>
      </c>
      <c r="H273" s="4" t="s">
        <v>179</v>
      </c>
      <c r="I273" s="4"/>
      <c r="J273" s="4"/>
      <c r="K273" s="4">
        <v>211</v>
      </c>
      <c r="L273" s="4">
        <v>25</v>
      </c>
      <c r="M273" s="4">
        <v>3</v>
      </c>
      <c r="N273" s="4" t="s">
        <v>6</v>
      </c>
      <c r="O273" s="4">
        <v>2</v>
      </c>
      <c r="P273" s="4"/>
      <c r="Q273" s="4"/>
      <c r="R273" s="4"/>
      <c r="S273" s="4"/>
      <c r="T273" s="4"/>
      <c r="U273" s="4"/>
      <c r="V273" s="4"/>
      <c r="W273" s="4"/>
    </row>
    <row r="274" spans="1:245" x14ac:dyDescent="0.2">
      <c r="A274" s="4">
        <v>50</v>
      </c>
      <c r="B274" s="4">
        <v>0</v>
      </c>
      <c r="C274" s="4">
        <v>0</v>
      </c>
      <c r="D274" s="4">
        <v>1</v>
      </c>
      <c r="E274" s="4">
        <v>224</v>
      </c>
      <c r="F274" s="4">
        <f>ROUND(Source!AR247,O274)</f>
        <v>2456105.9500000002</v>
      </c>
      <c r="G274" s="4" t="s">
        <v>180</v>
      </c>
      <c r="H274" s="4" t="s">
        <v>181</v>
      </c>
      <c r="I274" s="4"/>
      <c r="J274" s="4"/>
      <c r="K274" s="4">
        <v>224</v>
      </c>
      <c r="L274" s="4">
        <v>26</v>
      </c>
      <c r="M274" s="4">
        <v>3</v>
      </c>
      <c r="N274" s="4" t="s">
        <v>6</v>
      </c>
      <c r="O274" s="4">
        <v>2</v>
      </c>
      <c r="P274" s="4"/>
      <c r="Q274" s="4"/>
      <c r="R274" s="4"/>
      <c r="S274" s="4"/>
      <c r="T274" s="4"/>
      <c r="U274" s="4"/>
      <c r="V274" s="4"/>
      <c r="W274" s="4"/>
    </row>
    <row r="276" spans="1:245" x14ac:dyDescent="0.2">
      <c r="A276" s="1">
        <v>4</v>
      </c>
      <c r="B276" s="1">
        <v>1</v>
      </c>
      <c r="C276" s="1"/>
      <c r="D276" s="1">
        <f>ROW(A460)</f>
        <v>460</v>
      </c>
      <c r="E276" s="1"/>
      <c r="F276" s="1" t="s">
        <v>13</v>
      </c>
      <c r="G276" s="1" t="s">
        <v>677</v>
      </c>
      <c r="H276" s="1" t="s">
        <v>6</v>
      </c>
      <c r="I276" s="1">
        <v>0</v>
      </c>
      <c r="J276" s="1"/>
      <c r="K276" s="1">
        <v>0</v>
      </c>
      <c r="L276" s="1"/>
      <c r="M276" s="1"/>
      <c r="N276" s="1"/>
      <c r="O276" s="1"/>
      <c r="P276" s="1"/>
      <c r="Q276" s="1"/>
      <c r="R276" s="1"/>
      <c r="S276" s="1"/>
      <c r="T276" s="1"/>
      <c r="U276" s="1" t="s">
        <v>6</v>
      </c>
      <c r="V276" s="1">
        <v>0</v>
      </c>
      <c r="W276" s="1"/>
      <c r="X276" s="1"/>
      <c r="Y276" s="1"/>
      <c r="Z276" s="1"/>
      <c r="AA276" s="1"/>
      <c r="AB276" s="1" t="s">
        <v>6</v>
      </c>
      <c r="AC276" s="1" t="s">
        <v>6</v>
      </c>
      <c r="AD276" s="1" t="s">
        <v>6</v>
      </c>
      <c r="AE276" s="1" t="s">
        <v>6</v>
      </c>
      <c r="AF276" s="1" t="s">
        <v>6</v>
      </c>
      <c r="AG276" s="1" t="s">
        <v>6</v>
      </c>
      <c r="AH276" s="1"/>
      <c r="AI276" s="1"/>
      <c r="AJ276" s="1"/>
      <c r="AK276" s="1"/>
      <c r="AL276" s="1"/>
      <c r="AM276" s="1"/>
      <c r="AN276" s="1"/>
      <c r="AO276" s="1"/>
      <c r="AP276" s="1" t="s">
        <v>6</v>
      </c>
      <c r="AQ276" s="1" t="s">
        <v>6</v>
      </c>
      <c r="AR276" s="1" t="s">
        <v>6</v>
      </c>
      <c r="AS276" s="1"/>
      <c r="AT276" s="1"/>
      <c r="AU276" s="1"/>
      <c r="AV276" s="1"/>
      <c r="AW276" s="1"/>
      <c r="AX276" s="1"/>
      <c r="AY276" s="1"/>
      <c r="AZ276" s="1" t="s">
        <v>6</v>
      </c>
      <c r="BA276" s="1"/>
      <c r="BB276" s="1" t="s">
        <v>6</v>
      </c>
      <c r="BC276" s="1" t="s">
        <v>6</v>
      </c>
      <c r="BD276" s="1" t="s">
        <v>6</v>
      </c>
      <c r="BE276" s="1" t="s">
        <v>6</v>
      </c>
      <c r="BF276" s="1" t="s">
        <v>6</v>
      </c>
      <c r="BG276" s="1" t="s">
        <v>6</v>
      </c>
      <c r="BH276" s="1" t="s">
        <v>6</v>
      </c>
      <c r="BI276" s="1" t="s">
        <v>6</v>
      </c>
      <c r="BJ276" s="1" t="s">
        <v>6</v>
      </c>
      <c r="BK276" s="1" t="s">
        <v>6</v>
      </c>
      <c r="BL276" s="1" t="s">
        <v>6</v>
      </c>
      <c r="BM276" s="1" t="s">
        <v>6</v>
      </c>
      <c r="BN276" s="1" t="s">
        <v>6</v>
      </c>
      <c r="BO276" s="1" t="s">
        <v>6</v>
      </c>
      <c r="BP276" s="1" t="s">
        <v>6</v>
      </c>
      <c r="BQ276" s="1"/>
      <c r="BR276" s="1"/>
      <c r="BS276" s="1"/>
      <c r="BT276" s="1"/>
      <c r="BU276" s="1"/>
      <c r="BV276" s="1"/>
      <c r="BW276" s="1"/>
      <c r="BX276" s="1">
        <v>0</v>
      </c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>
        <v>0</v>
      </c>
    </row>
    <row r="278" spans="1:245" x14ac:dyDescent="0.2">
      <c r="A278" s="2">
        <v>52</v>
      </c>
      <c r="B278" s="2">
        <f t="shared" ref="B278:G278" si="247">B460</f>
        <v>1</v>
      </c>
      <c r="C278" s="2">
        <f t="shared" si="247"/>
        <v>4</v>
      </c>
      <c r="D278" s="2">
        <f t="shared" si="247"/>
        <v>276</v>
      </c>
      <c r="E278" s="2">
        <f t="shared" si="247"/>
        <v>0</v>
      </c>
      <c r="F278" s="2" t="str">
        <f t="shared" si="247"/>
        <v>Новый раздел</v>
      </c>
      <c r="G278" s="2" t="str">
        <f t="shared" si="247"/>
        <v>2 Электромонтажные работы</v>
      </c>
      <c r="H278" s="2"/>
      <c r="I278" s="2"/>
      <c r="J278" s="2"/>
      <c r="K278" s="2"/>
      <c r="L278" s="2"/>
      <c r="M278" s="2"/>
      <c r="N278" s="2"/>
      <c r="O278" s="2">
        <f t="shared" ref="O278:AT278" si="248">O460</f>
        <v>719362.61</v>
      </c>
      <c r="P278" s="2">
        <f t="shared" si="248"/>
        <v>683094.19</v>
      </c>
      <c r="Q278" s="2">
        <f t="shared" si="248"/>
        <v>7151.12</v>
      </c>
      <c r="R278" s="2">
        <f t="shared" si="248"/>
        <v>824.75</v>
      </c>
      <c r="S278" s="2">
        <f t="shared" si="248"/>
        <v>29117.3</v>
      </c>
      <c r="T278" s="2">
        <f t="shared" si="248"/>
        <v>0</v>
      </c>
      <c r="U278" s="2">
        <f t="shared" si="248"/>
        <v>466.50174999999996</v>
      </c>
      <c r="V278" s="2">
        <f t="shared" si="248"/>
        <v>10.064600000000002</v>
      </c>
      <c r="W278" s="2">
        <f t="shared" si="248"/>
        <v>0</v>
      </c>
      <c r="X278" s="2">
        <f t="shared" si="248"/>
        <v>27802.31</v>
      </c>
      <c r="Y278" s="2">
        <f t="shared" si="248"/>
        <v>19304.009999999998</v>
      </c>
      <c r="Z278" s="2">
        <f t="shared" si="248"/>
        <v>0</v>
      </c>
      <c r="AA278" s="2">
        <f t="shared" si="248"/>
        <v>0</v>
      </c>
      <c r="AB278" s="2">
        <f t="shared" si="248"/>
        <v>0</v>
      </c>
      <c r="AC278" s="2">
        <f t="shared" si="248"/>
        <v>0</v>
      </c>
      <c r="AD278" s="2">
        <f t="shared" si="248"/>
        <v>0</v>
      </c>
      <c r="AE278" s="2">
        <f t="shared" si="248"/>
        <v>0</v>
      </c>
      <c r="AF278" s="2">
        <f t="shared" si="248"/>
        <v>0</v>
      </c>
      <c r="AG278" s="2">
        <f t="shared" si="248"/>
        <v>0</v>
      </c>
      <c r="AH278" s="2">
        <f t="shared" si="248"/>
        <v>0</v>
      </c>
      <c r="AI278" s="2">
        <f t="shared" si="248"/>
        <v>0</v>
      </c>
      <c r="AJ278" s="2">
        <f t="shared" si="248"/>
        <v>0</v>
      </c>
      <c r="AK278" s="2">
        <f t="shared" si="248"/>
        <v>0</v>
      </c>
      <c r="AL278" s="2">
        <f t="shared" si="248"/>
        <v>0</v>
      </c>
      <c r="AM278" s="2">
        <f t="shared" si="248"/>
        <v>0</v>
      </c>
      <c r="AN278" s="2">
        <f t="shared" si="248"/>
        <v>0</v>
      </c>
      <c r="AO278" s="2">
        <f t="shared" si="248"/>
        <v>0</v>
      </c>
      <c r="AP278" s="2">
        <f t="shared" si="248"/>
        <v>0</v>
      </c>
      <c r="AQ278" s="2">
        <f t="shared" si="248"/>
        <v>0</v>
      </c>
      <c r="AR278" s="2">
        <f t="shared" si="248"/>
        <v>766468.93</v>
      </c>
      <c r="AS278" s="2">
        <f t="shared" si="248"/>
        <v>5083.41</v>
      </c>
      <c r="AT278" s="2">
        <f t="shared" si="248"/>
        <v>761385.52</v>
      </c>
      <c r="AU278" s="2">
        <f t="shared" ref="AU278:BZ278" si="249">AU460</f>
        <v>0</v>
      </c>
      <c r="AV278" s="2">
        <f t="shared" si="249"/>
        <v>683094.19</v>
      </c>
      <c r="AW278" s="2">
        <f t="shared" si="249"/>
        <v>683094.19</v>
      </c>
      <c r="AX278" s="2">
        <f t="shared" si="249"/>
        <v>0</v>
      </c>
      <c r="AY278" s="2">
        <f t="shared" si="249"/>
        <v>683094.19</v>
      </c>
      <c r="AZ278" s="2">
        <f t="shared" si="249"/>
        <v>0</v>
      </c>
      <c r="BA278" s="2">
        <f t="shared" si="249"/>
        <v>0</v>
      </c>
      <c r="BB278" s="2">
        <f t="shared" si="249"/>
        <v>0</v>
      </c>
      <c r="BC278" s="2">
        <f t="shared" si="249"/>
        <v>0</v>
      </c>
      <c r="BD278" s="2">
        <f t="shared" si="249"/>
        <v>0</v>
      </c>
      <c r="BE278" s="2">
        <f t="shared" si="249"/>
        <v>0</v>
      </c>
      <c r="BF278" s="2">
        <f t="shared" si="249"/>
        <v>0</v>
      </c>
      <c r="BG278" s="2">
        <f t="shared" si="249"/>
        <v>0</v>
      </c>
      <c r="BH278" s="2">
        <f t="shared" si="249"/>
        <v>0</v>
      </c>
      <c r="BI278" s="2">
        <f t="shared" si="249"/>
        <v>0</v>
      </c>
      <c r="BJ278" s="2">
        <f t="shared" si="249"/>
        <v>0</v>
      </c>
      <c r="BK278" s="2">
        <f t="shared" si="249"/>
        <v>0</v>
      </c>
      <c r="BL278" s="2">
        <f t="shared" si="249"/>
        <v>0</v>
      </c>
      <c r="BM278" s="2">
        <f t="shared" si="249"/>
        <v>0</v>
      </c>
      <c r="BN278" s="2">
        <f t="shared" si="249"/>
        <v>0</v>
      </c>
      <c r="BO278" s="2">
        <f t="shared" si="249"/>
        <v>0</v>
      </c>
      <c r="BP278" s="2">
        <f t="shared" si="249"/>
        <v>0</v>
      </c>
      <c r="BQ278" s="2">
        <f t="shared" si="249"/>
        <v>0</v>
      </c>
      <c r="BR278" s="2">
        <f t="shared" si="249"/>
        <v>0</v>
      </c>
      <c r="BS278" s="2">
        <f t="shared" si="249"/>
        <v>0</v>
      </c>
      <c r="BT278" s="2">
        <f t="shared" si="249"/>
        <v>0</v>
      </c>
      <c r="BU278" s="2">
        <f t="shared" si="249"/>
        <v>0</v>
      </c>
      <c r="BV278" s="2">
        <f t="shared" si="249"/>
        <v>0</v>
      </c>
      <c r="BW278" s="2">
        <f t="shared" si="249"/>
        <v>0</v>
      </c>
      <c r="BX278" s="2">
        <f t="shared" si="249"/>
        <v>0</v>
      </c>
      <c r="BY278" s="2">
        <f t="shared" si="249"/>
        <v>0</v>
      </c>
      <c r="BZ278" s="2">
        <f t="shared" si="249"/>
        <v>0</v>
      </c>
      <c r="CA278" s="2">
        <f t="shared" ref="CA278:DF278" si="250">CA460</f>
        <v>0</v>
      </c>
      <c r="CB278" s="2">
        <f t="shared" si="250"/>
        <v>0</v>
      </c>
      <c r="CC278" s="2">
        <f t="shared" si="250"/>
        <v>0</v>
      </c>
      <c r="CD278" s="2">
        <f t="shared" si="250"/>
        <v>0</v>
      </c>
      <c r="CE278" s="2">
        <f t="shared" si="250"/>
        <v>0</v>
      </c>
      <c r="CF278" s="2">
        <f t="shared" si="250"/>
        <v>0</v>
      </c>
      <c r="CG278" s="2">
        <f t="shared" si="250"/>
        <v>0</v>
      </c>
      <c r="CH278" s="2">
        <f t="shared" si="250"/>
        <v>0</v>
      </c>
      <c r="CI278" s="2">
        <f t="shared" si="250"/>
        <v>0</v>
      </c>
      <c r="CJ278" s="2">
        <f t="shared" si="250"/>
        <v>0</v>
      </c>
      <c r="CK278" s="2">
        <f t="shared" si="250"/>
        <v>0</v>
      </c>
      <c r="CL278" s="2">
        <f t="shared" si="250"/>
        <v>0</v>
      </c>
      <c r="CM278" s="2">
        <f t="shared" si="250"/>
        <v>0</v>
      </c>
      <c r="CN278" s="2">
        <f t="shared" si="250"/>
        <v>0</v>
      </c>
      <c r="CO278" s="2">
        <f t="shared" si="250"/>
        <v>0</v>
      </c>
      <c r="CP278" s="2">
        <f t="shared" si="250"/>
        <v>0</v>
      </c>
      <c r="CQ278" s="2">
        <f t="shared" si="250"/>
        <v>0</v>
      </c>
      <c r="CR278" s="2">
        <f t="shared" si="250"/>
        <v>0</v>
      </c>
      <c r="CS278" s="2">
        <f t="shared" si="250"/>
        <v>0</v>
      </c>
      <c r="CT278" s="2">
        <f t="shared" si="250"/>
        <v>0</v>
      </c>
      <c r="CU278" s="2">
        <f t="shared" si="250"/>
        <v>0</v>
      </c>
      <c r="CV278" s="2">
        <f t="shared" si="250"/>
        <v>0</v>
      </c>
      <c r="CW278" s="2">
        <f t="shared" si="250"/>
        <v>0</v>
      </c>
      <c r="CX278" s="2">
        <f t="shared" si="250"/>
        <v>0</v>
      </c>
      <c r="CY278" s="2">
        <f t="shared" si="250"/>
        <v>0</v>
      </c>
      <c r="CZ278" s="2">
        <f t="shared" si="250"/>
        <v>0</v>
      </c>
      <c r="DA278" s="2">
        <f t="shared" si="250"/>
        <v>0</v>
      </c>
      <c r="DB278" s="2">
        <f t="shared" si="250"/>
        <v>0</v>
      </c>
      <c r="DC278" s="2">
        <f t="shared" si="250"/>
        <v>0</v>
      </c>
      <c r="DD278" s="2">
        <f t="shared" si="250"/>
        <v>0</v>
      </c>
      <c r="DE278" s="2">
        <f t="shared" si="250"/>
        <v>0</v>
      </c>
      <c r="DF278" s="2">
        <f t="shared" si="250"/>
        <v>0</v>
      </c>
      <c r="DG278" s="3">
        <f t="shared" ref="DG278:EL278" si="251">DG460</f>
        <v>0</v>
      </c>
      <c r="DH278" s="3">
        <f t="shared" si="251"/>
        <v>0</v>
      </c>
      <c r="DI278" s="3">
        <f t="shared" si="251"/>
        <v>0</v>
      </c>
      <c r="DJ278" s="3">
        <f t="shared" si="251"/>
        <v>0</v>
      </c>
      <c r="DK278" s="3">
        <f t="shared" si="251"/>
        <v>0</v>
      </c>
      <c r="DL278" s="3">
        <f t="shared" si="251"/>
        <v>0</v>
      </c>
      <c r="DM278" s="3">
        <f t="shared" si="251"/>
        <v>0</v>
      </c>
      <c r="DN278" s="3">
        <f t="shared" si="251"/>
        <v>0</v>
      </c>
      <c r="DO278" s="3">
        <f t="shared" si="251"/>
        <v>0</v>
      </c>
      <c r="DP278" s="3">
        <f t="shared" si="251"/>
        <v>0</v>
      </c>
      <c r="DQ278" s="3">
        <f t="shared" si="251"/>
        <v>0</v>
      </c>
      <c r="DR278" s="3">
        <f t="shared" si="251"/>
        <v>0</v>
      </c>
      <c r="DS278" s="3">
        <f t="shared" si="251"/>
        <v>0</v>
      </c>
      <c r="DT278" s="3">
        <f t="shared" si="251"/>
        <v>0</v>
      </c>
      <c r="DU278" s="3">
        <f t="shared" si="251"/>
        <v>0</v>
      </c>
      <c r="DV278" s="3">
        <f t="shared" si="251"/>
        <v>0</v>
      </c>
      <c r="DW278" s="3">
        <f t="shared" si="251"/>
        <v>0</v>
      </c>
      <c r="DX278" s="3">
        <f t="shared" si="251"/>
        <v>0</v>
      </c>
      <c r="DY278" s="3">
        <f t="shared" si="251"/>
        <v>0</v>
      </c>
      <c r="DZ278" s="3">
        <f t="shared" si="251"/>
        <v>0</v>
      </c>
      <c r="EA278" s="3">
        <f t="shared" si="251"/>
        <v>0</v>
      </c>
      <c r="EB278" s="3">
        <f t="shared" si="251"/>
        <v>0</v>
      </c>
      <c r="EC278" s="3">
        <f t="shared" si="251"/>
        <v>0</v>
      </c>
      <c r="ED278" s="3">
        <f t="shared" si="251"/>
        <v>0</v>
      </c>
      <c r="EE278" s="3">
        <f t="shared" si="251"/>
        <v>0</v>
      </c>
      <c r="EF278" s="3">
        <f t="shared" si="251"/>
        <v>0</v>
      </c>
      <c r="EG278" s="3">
        <f t="shared" si="251"/>
        <v>0</v>
      </c>
      <c r="EH278" s="3">
        <f t="shared" si="251"/>
        <v>0</v>
      </c>
      <c r="EI278" s="3">
        <f t="shared" si="251"/>
        <v>0</v>
      </c>
      <c r="EJ278" s="3">
        <f t="shared" si="251"/>
        <v>0</v>
      </c>
      <c r="EK278" s="3">
        <f t="shared" si="251"/>
        <v>0</v>
      </c>
      <c r="EL278" s="3">
        <f t="shared" si="251"/>
        <v>0</v>
      </c>
      <c r="EM278" s="3">
        <f t="shared" ref="EM278:FR278" si="252">EM460</f>
        <v>0</v>
      </c>
      <c r="EN278" s="3">
        <f t="shared" si="252"/>
        <v>0</v>
      </c>
      <c r="EO278" s="3">
        <f t="shared" si="252"/>
        <v>0</v>
      </c>
      <c r="EP278" s="3">
        <f t="shared" si="252"/>
        <v>0</v>
      </c>
      <c r="EQ278" s="3">
        <f t="shared" si="252"/>
        <v>0</v>
      </c>
      <c r="ER278" s="3">
        <f t="shared" si="252"/>
        <v>0</v>
      </c>
      <c r="ES278" s="3">
        <f t="shared" si="252"/>
        <v>0</v>
      </c>
      <c r="ET278" s="3">
        <f t="shared" si="252"/>
        <v>0</v>
      </c>
      <c r="EU278" s="3">
        <f t="shared" si="252"/>
        <v>0</v>
      </c>
      <c r="EV278" s="3">
        <f t="shared" si="252"/>
        <v>0</v>
      </c>
      <c r="EW278" s="3">
        <f t="shared" si="252"/>
        <v>0</v>
      </c>
      <c r="EX278" s="3">
        <f t="shared" si="252"/>
        <v>0</v>
      </c>
      <c r="EY278" s="3">
        <f t="shared" si="252"/>
        <v>0</v>
      </c>
      <c r="EZ278" s="3">
        <f t="shared" si="252"/>
        <v>0</v>
      </c>
      <c r="FA278" s="3">
        <f t="shared" si="252"/>
        <v>0</v>
      </c>
      <c r="FB278" s="3">
        <f t="shared" si="252"/>
        <v>0</v>
      </c>
      <c r="FC278" s="3">
        <f t="shared" si="252"/>
        <v>0</v>
      </c>
      <c r="FD278" s="3">
        <f t="shared" si="252"/>
        <v>0</v>
      </c>
      <c r="FE278" s="3">
        <f t="shared" si="252"/>
        <v>0</v>
      </c>
      <c r="FF278" s="3">
        <f t="shared" si="252"/>
        <v>0</v>
      </c>
      <c r="FG278" s="3">
        <f t="shared" si="252"/>
        <v>0</v>
      </c>
      <c r="FH278" s="3">
        <f t="shared" si="252"/>
        <v>0</v>
      </c>
      <c r="FI278" s="3">
        <f t="shared" si="252"/>
        <v>0</v>
      </c>
      <c r="FJ278" s="3">
        <f t="shared" si="252"/>
        <v>0</v>
      </c>
      <c r="FK278" s="3">
        <f t="shared" si="252"/>
        <v>0</v>
      </c>
      <c r="FL278" s="3">
        <f t="shared" si="252"/>
        <v>0</v>
      </c>
      <c r="FM278" s="3">
        <f t="shared" si="252"/>
        <v>0</v>
      </c>
      <c r="FN278" s="3">
        <f t="shared" si="252"/>
        <v>0</v>
      </c>
      <c r="FO278" s="3">
        <f t="shared" si="252"/>
        <v>0</v>
      </c>
      <c r="FP278" s="3">
        <f t="shared" si="252"/>
        <v>0</v>
      </c>
      <c r="FQ278" s="3">
        <f t="shared" si="252"/>
        <v>0</v>
      </c>
      <c r="FR278" s="3">
        <f t="shared" si="252"/>
        <v>0</v>
      </c>
      <c r="FS278" s="3">
        <f t="shared" ref="FS278:GX278" si="253">FS460</f>
        <v>0</v>
      </c>
      <c r="FT278" s="3">
        <f t="shared" si="253"/>
        <v>0</v>
      </c>
      <c r="FU278" s="3">
        <f t="shared" si="253"/>
        <v>0</v>
      </c>
      <c r="FV278" s="3">
        <f t="shared" si="253"/>
        <v>0</v>
      </c>
      <c r="FW278" s="3">
        <f t="shared" si="253"/>
        <v>0</v>
      </c>
      <c r="FX278" s="3">
        <f t="shared" si="253"/>
        <v>0</v>
      </c>
      <c r="FY278" s="3">
        <f t="shared" si="253"/>
        <v>0</v>
      </c>
      <c r="FZ278" s="3">
        <f t="shared" si="253"/>
        <v>0</v>
      </c>
      <c r="GA278" s="3">
        <f t="shared" si="253"/>
        <v>0</v>
      </c>
      <c r="GB278" s="3">
        <f t="shared" si="253"/>
        <v>0</v>
      </c>
      <c r="GC278" s="3">
        <f t="shared" si="253"/>
        <v>0</v>
      </c>
      <c r="GD278" s="3">
        <f t="shared" si="253"/>
        <v>0</v>
      </c>
      <c r="GE278" s="3">
        <f t="shared" si="253"/>
        <v>0</v>
      </c>
      <c r="GF278" s="3">
        <f t="shared" si="253"/>
        <v>0</v>
      </c>
      <c r="GG278" s="3">
        <f t="shared" si="253"/>
        <v>0</v>
      </c>
      <c r="GH278" s="3">
        <f t="shared" si="253"/>
        <v>0</v>
      </c>
      <c r="GI278" s="3">
        <f t="shared" si="253"/>
        <v>0</v>
      </c>
      <c r="GJ278" s="3">
        <f t="shared" si="253"/>
        <v>0</v>
      </c>
      <c r="GK278" s="3">
        <f t="shared" si="253"/>
        <v>0</v>
      </c>
      <c r="GL278" s="3">
        <f t="shared" si="253"/>
        <v>0</v>
      </c>
      <c r="GM278" s="3">
        <f t="shared" si="253"/>
        <v>0</v>
      </c>
      <c r="GN278" s="3">
        <f t="shared" si="253"/>
        <v>0</v>
      </c>
      <c r="GO278" s="3">
        <f t="shared" si="253"/>
        <v>0</v>
      </c>
      <c r="GP278" s="3">
        <f t="shared" si="253"/>
        <v>0</v>
      </c>
      <c r="GQ278" s="3">
        <f t="shared" si="253"/>
        <v>0</v>
      </c>
      <c r="GR278" s="3">
        <f t="shared" si="253"/>
        <v>0</v>
      </c>
      <c r="GS278" s="3">
        <f t="shared" si="253"/>
        <v>0</v>
      </c>
      <c r="GT278" s="3">
        <f t="shared" si="253"/>
        <v>0</v>
      </c>
      <c r="GU278" s="3">
        <f t="shared" si="253"/>
        <v>0</v>
      </c>
      <c r="GV278" s="3">
        <f t="shared" si="253"/>
        <v>0</v>
      </c>
      <c r="GW278" s="3">
        <f t="shared" si="253"/>
        <v>0</v>
      </c>
      <c r="GX278" s="3">
        <f t="shared" si="253"/>
        <v>0</v>
      </c>
    </row>
    <row r="280" spans="1:245" x14ac:dyDescent="0.2">
      <c r="A280" s="1">
        <v>5</v>
      </c>
      <c r="B280" s="1">
        <v>1</v>
      </c>
      <c r="C280" s="1"/>
      <c r="D280" s="1">
        <f>ROW(A290)</f>
        <v>290</v>
      </c>
      <c r="E280" s="1"/>
      <c r="F280" s="1" t="s">
        <v>15</v>
      </c>
      <c r="G280" s="1" t="s">
        <v>678</v>
      </c>
      <c r="H280" s="1" t="s">
        <v>6</v>
      </c>
      <c r="I280" s="1">
        <v>0</v>
      </c>
      <c r="J280" s="1"/>
      <c r="K280" s="1">
        <v>0</v>
      </c>
      <c r="L280" s="1"/>
      <c r="M280" s="1"/>
      <c r="N280" s="1"/>
      <c r="O280" s="1"/>
      <c r="P280" s="1"/>
      <c r="Q280" s="1"/>
      <c r="R280" s="1"/>
      <c r="S280" s="1"/>
      <c r="T280" s="1"/>
      <c r="U280" s="1" t="s">
        <v>6</v>
      </c>
      <c r="V280" s="1">
        <v>0</v>
      </c>
      <c r="W280" s="1"/>
      <c r="X280" s="1"/>
      <c r="Y280" s="1"/>
      <c r="Z280" s="1"/>
      <c r="AA280" s="1"/>
      <c r="AB280" s="1" t="s">
        <v>6</v>
      </c>
      <c r="AC280" s="1" t="s">
        <v>6</v>
      </c>
      <c r="AD280" s="1" t="s">
        <v>6</v>
      </c>
      <c r="AE280" s="1" t="s">
        <v>6</v>
      </c>
      <c r="AF280" s="1" t="s">
        <v>6</v>
      </c>
      <c r="AG280" s="1" t="s">
        <v>6</v>
      </c>
      <c r="AH280" s="1"/>
      <c r="AI280" s="1"/>
      <c r="AJ280" s="1"/>
      <c r="AK280" s="1"/>
      <c r="AL280" s="1"/>
      <c r="AM280" s="1"/>
      <c r="AN280" s="1"/>
      <c r="AO280" s="1"/>
      <c r="AP280" s="1" t="s">
        <v>6</v>
      </c>
      <c r="AQ280" s="1" t="s">
        <v>6</v>
      </c>
      <c r="AR280" s="1" t="s">
        <v>6</v>
      </c>
      <c r="AS280" s="1"/>
      <c r="AT280" s="1"/>
      <c r="AU280" s="1"/>
      <c r="AV280" s="1"/>
      <c r="AW280" s="1"/>
      <c r="AX280" s="1"/>
      <c r="AY280" s="1"/>
      <c r="AZ280" s="1" t="s">
        <v>6</v>
      </c>
      <c r="BA280" s="1"/>
      <c r="BB280" s="1" t="s">
        <v>6</v>
      </c>
      <c r="BC280" s="1" t="s">
        <v>6</v>
      </c>
      <c r="BD280" s="1" t="s">
        <v>6</v>
      </c>
      <c r="BE280" s="1" t="s">
        <v>6</v>
      </c>
      <c r="BF280" s="1" t="s">
        <v>6</v>
      </c>
      <c r="BG280" s="1" t="s">
        <v>6</v>
      </c>
      <c r="BH280" s="1" t="s">
        <v>6</v>
      </c>
      <c r="BI280" s="1" t="s">
        <v>6</v>
      </c>
      <c r="BJ280" s="1" t="s">
        <v>6</v>
      </c>
      <c r="BK280" s="1" t="s">
        <v>6</v>
      </c>
      <c r="BL280" s="1" t="s">
        <v>6</v>
      </c>
      <c r="BM280" s="1" t="s">
        <v>6</v>
      </c>
      <c r="BN280" s="1" t="s">
        <v>6</v>
      </c>
      <c r="BO280" s="1" t="s">
        <v>6</v>
      </c>
      <c r="BP280" s="1" t="s">
        <v>6</v>
      </c>
      <c r="BQ280" s="1"/>
      <c r="BR280" s="1"/>
      <c r="BS280" s="1"/>
      <c r="BT280" s="1"/>
      <c r="BU280" s="1"/>
      <c r="BV280" s="1"/>
      <c r="BW280" s="1"/>
      <c r="BX280" s="1">
        <v>0</v>
      </c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>
        <v>0</v>
      </c>
    </row>
    <row r="282" spans="1:245" x14ac:dyDescent="0.2">
      <c r="A282" s="2">
        <v>52</v>
      </c>
      <c r="B282" s="2">
        <f t="shared" ref="B282:G282" si="254">B290</f>
        <v>1</v>
      </c>
      <c r="C282" s="2">
        <f t="shared" si="254"/>
        <v>5</v>
      </c>
      <c r="D282" s="2">
        <f t="shared" si="254"/>
        <v>280</v>
      </c>
      <c r="E282" s="2">
        <f t="shared" si="254"/>
        <v>0</v>
      </c>
      <c r="F282" s="2" t="str">
        <f t="shared" si="254"/>
        <v>Новый подраздел</v>
      </c>
      <c r="G282" s="2" t="str">
        <f t="shared" si="254"/>
        <v>1Демонтаж</v>
      </c>
      <c r="H282" s="2"/>
      <c r="I282" s="2"/>
      <c r="J282" s="2"/>
      <c r="K282" s="2"/>
      <c r="L282" s="2"/>
      <c r="M282" s="2"/>
      <c r="N282" s="2"/>
      <c r="O282" s="2">
        <f t="shared" ref="O282:AT282" si="255">O290</f>
        <v>2529.75</v>
      </c>
      <c r="P282" s="2">
        <f t="shared" si="255"/>
        <v>0</v>
      </c>
      <c r="Q282" s="2">
        <f t="shared" si="255"/>
        <v>87.37</v>
      </c>
      <c r="R282" s="2">
        <f t="shared" si="255"/>
        <v>17.47</v>
      </c>
      <c r="S282" s="2">
        <f t="shared" si="255"/>
        <v>2442.38</v>
      </c>
      <c r="T282" s="2">
        <f t="shared" si="255"/>
        <v>0</v>
      </c>
      <c r="U282" s="2">
        <f t="shared" si="255"/>
        <v>45.530779999999993</v>
      </c>
      <c r="V282" s="2">
        <f t="shared" si="255"/>
        <v>0.20541999999999999</v>
      </c>
      <c r="W282" s="2">
        <f t="shared" si="255"/>
        <v>0</v>
      </c>
      <c r="X282" s="2">
        <f t="shared" si="255"/>
        <v>2142.58</v>
      </c>
      <c r="Y282" s="2">
        <f t="shared" si="255"/>
        <v>1598.91</v>
      </c>
      <c r="Z282" s="2">
        <f t="shared" si="255"/>
        <v>0</v>
      </c>
      <c r="AA282" s="2">
        <f t="shared" si="255"/>
        <v>0</v>
      </c>
      <c r="AB282" s="2">
        <f t="shared" si="255"/>
        <v>2529.75</v>
      </c>
      <c r="AC282" s="2">
        <f t="shared" si="255"/>
        <v>0</v>
      </c>
      <c r="AD282" s="2">
        <f t="shared" si="255"/>
        <v>87.37</v>
      </c>
      <c r="AE282" s="2">
        <f t="shared" si="255"/>
        <v>17.47</v>
      </c>
      <c r="AF282" s="2">
        <f t="shared" si="255"/>
        <v>2442.38</v>
      </c>
      <c r="AG282" s="2">
        <f t="shared" si="255"/>
        <v>0</v>
      </c>
      <c r="AH282" s="2">
        <f t="shared" si="255"/>
        <v>45.530779999999993</v>
      </c>
      <c r="AI282" s="2">
        <f t="shared" si="255"/>
        <v>0.20541999999999999</v>
      </c>
      <c r="AJ282" s="2">
        <f t="shared" si="255"/>
        <v>0</v>
      </c>
      <c r="AK282" s="2">
        <f t="shared" si="255"/>
        <v>2142.58</v>
      </c>
      <c r="AL282" s="2">
        <f t="shared" si="255"/>
        <v>1598.91</v>
      </c>
      <c r="AM282" s="2">
        <f t="shared" si="255"/>
        <v>0</v>
      </c>
      <c r="AN282" s="2">
        <f t="shared" si="255"/>
        <v>0</v>
      </c>
      <c r="AO282" s="2">
        <f t="shared" si="255"/>
        <v>0</v>
      </c>
      <c r="AP282" s="2">
        <f t="shared" si="255"/>
        <v>0</v>
      </c>
      <c r="AQ282" s="2">
        <f t="shared" si="255"/>
        <v>0</v>
      </c>
      <c r="AR282" s="2">
        <f t="shared" si="255"/>
        <v>6271.24</v>
      </c>
      <c r="AS282" s="2">
        <f t="shared" si="255"/>
        <v>4866.28</v>
      </c>
      <c r="AT282" s="2">
        <f t="shared" si="255"/>
        <v>1404.96</v>
      </c>
      <c r="AU282" s="2">
        <f t="shared" ref="AU282:BZ282" si="256">AU290</f>
        <v>0</v>
      </c>
      <c r="AV282" s="2">
        <f t="shared" si="256"/>
        <v>0</v>
      </c>
      <c r="AW282" s="2">
        <f t="shared" si="256"/>
        <v>0</v>
      </c>
      <c r="AX282" s="2">
        <f t="shared" si="256"/>
        <v>0</v>
      </c>
      <c r="AY282" s="2">
        <f t="shared" si="256"/>
        <v>0</v>
      </c>
      <c r="AZ282" s="2">
        <f t="shared" si="256"/>
        <v>0</v>
      </c>
      <c r="BA282" s="2">
        <f t="shared" si="256"/>
        <v>0</v>
      </c>
      <c r="BB282" s="2">
        <f t="shared" si="256"/>
        <v>0</v>
      </c>
      <c r="BC282" s="2">
        <f t="shared" si="256"/>
        <v>0</v>
      </c>
      <c r="BD282" s="2">
        <f t="shared" si="256"/>
        <v>0</v>
      </c>
      <c r="BE282" s="2">
        <f t="shared" si="256"/>
        <v>0</v>
      </c>
      <c r="BF282" s="2">
        <f t="shared" si="256"/>
        <v>0</v>
      </c>
      <c r="BG282" s="2">
        <f t="shared" si="256"/>
        <v>0</v>
      </c>
      <c r="BH282" s="2">
        <f t="shared" si="256"/>
        <v>0</v>
      </c>
      <c r="BI282" s="2">
        <f t="shared" si="256"/>
        <v>0</v>
      </c>
      <c r="BJ282" s="2">
        <f t="shared" si="256"/>
        <v>0</v>
      </c>
      <c r="BK282" s="2">
        <f t="shared" si="256"/>
        <v>0</v>
      </c>
      <c r="BL282" s="2">
        <f t="shared" si="256"/>
        <v>0</v>
      </c>
      <c r="BM282" s="2">
        <f t="shared" si="256"/>
        <v>0</v>
      </c>
      <c r="BN282" s="2">
        <f t="shared" si="256"/>
        <v>0</v>
      </c>
      <c r="BO282" s="2">
        <f t="shared" si="256"/>
        <v>0</v>
      </c>
      <c r="BP282" s="2">
        <f t="shared" si="256"/>
        <v>0</v>
      </c>
      <c r="BQ282" s="2">
        <f t="shared" si="256"/>
        <v>0</v>
      </c>
      <c r="BR282" s="2">
        <f t="shared" si="256"/>
        <v>0</v>
      </c>
      <c r="BS282" s="2">
        <f t="shared" si="256"/>
        <v>0</v>
      </c>
      <c r="BT282" s="2">
        <f t="shared" si="256"/>
        <v>0</v>
      </c>
      <c r="BU282" s="2">
        <f t="shared" si="256"/>
        <v>0</v>
      </c>
      <c r="BV282" s="2">
        <f t="shared" si="256"/>
        <v>0</v>
      </c>
      <c r="BW282" s="2">
        <f t="shared" si="256"/>
        <v>0</v>
      </c>
      <c r="BX282" s="2">
        <f t="shared" si="256"/>
        <v>0</v>
      </c>
      <c r="BY282" s="2">
        <f t="shared" si="256"/>
        <v>0</v>
      </c>
      <c r="BZ282" s="2">
        <f t="shared" si="256"/>
        <v>0</v>
      </c>
      <c r="CA282" s="2">
        <f t="shared" ref="CA282:DF282" si="257">CA290</f>
        <v>6271.24</v>
      </c>
      <c r="CB282" s="2">
        <f t="shared" si="257"/>
        <v>4866.28</v>
      </c>
      <c r="CC282" s="2">
        <f t="shared" si="257"/>
        <v>1404.96</v>
      </c>
      <c r="CD282" s="2">
        <f t="shared" si="257"/>
        <v>0</v>
      </c>
      <c r="CE282" s="2">
        <f t="shared" si="257"/>
        <v>0</v>
      </c>
      <c r="CF282" s="2">
        <f t="shared" si="257"/>
        <v>0</v>
      </c>
      <c r="CG282" s="2">
        <f t="shared" si="257"/>
        <v>0</v>
      </c>
      <c r="CH282" s="2">
        <f t="shared" si="257"/>
        <v>0</v>
      </c>
      <c r="CI282" s="2">
        <f t="shared" si="257"/>
        <v>0</v>
      </c>
      <c r="CJ282" s="2">
        <f t="shared" si="257"/>
        <v>0</v>
      </c>
      <c r="CK282" s="2">
        <f t="shared" si="257"/>
        <v>0</v>
      </c>
      <c r="CL282" s="2">
        <f t="shared" si="257"/>
        <v>0</v>
      </c>
      <c r="CM282" s="2">
        <f t="shared" si="257"/>
        <v>0</v>
      </c>
      <c r="CN282" s="2">
        <f t="shared" si="257"/>
        <v>0</v>
      </c>
      <c r="CO282" s="2">
        <f t="shared" si="257"/>
        <v>0</v>
      </c>
      <c r="CP282" s="2">
        <f t="shared" si="257"/>
        <v>0</v>
      </c>
      <c r="CQ282" s="2">
        <f t="shared" si="257"/>
        <v>0</v>
      </c>
      <c r="CR282" s="2">
        <f t="shared" si="257"/>
        <v>0</v>
      </c>
      <c r="CS282" s="2">
        <f t="shared" si="257"/>
        <v>0</v>
      </c>
      <c r="CT282" s="2">
        <f t="shared" si="257"/>
        <v>0</v>
      </c>
      <c r="CU282" s="2">
        <f t="shared" si="257"/>
        <v>0</v>
      </c>
      <c r="CV282" s="2">
        <f t="shared" si="257"/>
        <v>0</v>
      </c>
      <c r="CW282" s="2">
        <f t="shared" si="257"/>
        <v>0</v>
      </c>
      <c r="CX282" s="2">
        <f t="shared" si="257"/>
        <v>0</v>
      </c>
      <c r="CY282" s="2">
        <f t="shared" si="257"/>
        <v>0</v>
      </c>
      <c r="CZ282" s="2">
        <f t="shared" si="257"/>
        <v>0</v>
      </c>
      <c r="DA282" s="2">
        <f t="shared" si="257"/>
        <v>0</v>
      </c>
      <c r="DB282" s="2">
        <f t="shared" si="257"/>
        <v>0</v>
      </c>
      <c r="DC282" s="2">
        <f t="shared" si="257"/>
        <v>0</v>
      </c>
      <c r="DD282" s="2">
        <f t="shared" si="257"/>
        <v>0</v>
      </c>
      <c r="DE282" s="2">
        <f t="shared" si="257"/>
        <v>0</v>
      </c>
      <c r="DF282" s="2">
        <f t="shared" si="257"/>
        <v>0</v>
      </c>
      <c r="DG282" s="3">
        <f t="shared" ref="DG282:EL282" si="258">DG290</f>
        <v>0</v>
      </c>
      <c r="DH282" s="3">
        <f t="shared" si="258"/>
        <v>0</v>
      </c>
      <c r="DI282" s="3">
        <f t="shared" si="258"/>
        <v>0</v>
      </c>
      <c r="DJ282" s="3">
        <f t="shared" si="258"/>
        <v>0</v>
      </c>
      <c r="DK282" s="3">
        <f t="shared" si="258"/>
        <v>0</v>
      </c>
      <c r="DL282" s="3">
        <f t="shared" si="258"/>
        <v>0</v>
      </c>
      <c r="DM282" s="3">
        <f t="shared" si="258"/>
        <v>0</v>
      </c>
      <c r="DN282" s="3">
        <f t="shared" si="258"/>
        <v>0</v>
      </c>
      <c r="DO282" s="3">
        <f t="shared" si="258"/>
        <v>0</v>
      </c>
      <c r="DP282" s="3">
        <f t="shared" si="258"/>
        <v>0</v>
      </c>
      <c r="DQ282" s="3">
        <f t="shared" si="258"/>
        <v>0</v>
      </c>
      <c r="DR282" s="3">
        <f t="shared" si="258"/>
        <v>0</v>
      </c>
      <c r="DS282" s="3">
        <f t="shared" si="258"/>
        <v>0</v>
      </c>
      <c r="DT282" s="3">
        <f t="shared" si="258"/>
        <v>0</v>
      </c>
      <c r="DU282" s="3">
        <f t="shared" si="258"/>
        <v>0</v>
      </c>
      <c r="DV282" s="3">
        <f t="shared" si="258"/>
        <v>0</v>
      </c>
      <c r="DW282" s="3">
        <f t="shared" si="258"/>
        <v>0</v>
      </c>
      <c r="DX282" s="3">
        <f t="shared" si="258"/>
        <v>0</v>
      </c>
      <c r="DY282" s="3">
        <f t="shared" si="258"/>
        <v>0</v>
      </c>
      <c r="DZ282" s="3">
        <f t="shared" si="258"/>
        <v>0</v>
      </c>
      <c r="EA282" s="3">
        <f t="shared" si="258"/>
        <v>0</v>
      </c>
      <c r="EB282" s="3">
        <f t="shared" si="258"/>
        <v>0</v>
      </c>
      <c r="EC282" s="3">
        <f t="shared" si="258"/>
        <v>0</v>
      </c>
      <c r="ED282" s="3">
        <f t="shared" si="258"/>
        <v>0</v>
      </c>
      <c r="EE282" s="3">
        <f t="shared" si="258"/>
        <v>0</v>
      </c>
      <c r="EF282" s="3">
        <f t="shared" si="258"/>
        <v>0</v>
      </c>
      <c r="EG282" s="3">
        <f t="shared" si="258"/>
        <v>0</v>
      </c>
      <c r="EH282" s="3">
        <f t="shared" si="258"/>
        <v>0</v>
      </c>
      <c r="EI282" s="3">
        <f t="shared" si="258"/>
        <v>0</v>
      </c>
      <c r="EJ282" s="3">
        <f t="shared" si="258"/>
        <v>0</v>
      </c>
      <c r="EK282" s="3">
        <f t="shared" si="258"/>
        <v>0</v>
      </c>
      <c r="EL282" s="3">
        <f t="shared" si="258"/>
        <v>0</v>
      </c>
      <c r="EM282" s="3">
        <f t="shared" ref="EM282:FR282" si="259">EM290</f>
        <v>0</v>
      </c>
      <c r="EN282" s="3">
        <f t="shared" si="259"/>
        <v>0</v>
      </c>
      <c r="EO282" s="3">
        <f t="shared" si="259"/>
        <v>0</v>
      </c>
      <c r="EP282" s="3">
        <f t="shared" si="259"/>
        <v>0</v>
      </c>
      <c r="EQ282" s="3">
        <f t="shared" si="259"/>
        <v>0</v>
      </c>
      <c r="ER282" s="3">
        <f t="shared" si="259"/>
        <v>0</v>
      </c>
      <c r="ES282" s="3">
        <f t="shared" si="259"/>
        <v>0</v>
      </c>
      <c r="ET282" s="3">
        <f t="shared" si="259"/>
        <v>0</v>
      </c>
      <c r="EU282" s="3">
        <f t="shared" si="259"/>
        <v>0</v>
      </c>
      <c r="EV282" s="3">
        <f t="shared" si="259"/>
        <v>0</v>
      </c>
      <c r="EW282" s="3">
        <f t="shared" si="259"/>
        <v>0</v>
      </c>
      <c r="EX282" s="3">
        <f t="shared" si="259"/>
        <v>0</v>
      </c>
      <c r="EY282" s="3">
        <f t="shared" si="259"/>
        <v>0</v>
      </c>
      <c r="EZ282" s="3">
        <f t="shared" si="259"/>
        <v>0</v>
      </c>
      <c r="FA282" s="3">
        <f t="shared" si="259"/>
        <v>0</v>
      </c>
      <c r="FB282" s="3">
        <f t="shared" si="259"/>
        <v>0</v>
      </c>
      <c r="FC282" s="3">
        <f t="shared" si="259"/>
        <v>0</v>
      </c>
      <c r="FD282" s="3">
        <f t="shared" si="259"/>
        <v>0</v>
      </c>
      <c r="FE282" s="3">
        <f t="shared" si="259"/>
        <v>0</v>
      </c>
      <c r="FF282" s="3">
        <f t="shared" si="259"/>
        <v>0</v>
      </c>
      <c r="FG282" s="3">
        <f t="shared" si="259"/>
        <v>0</v>
      </c>
      <c r="FH282" s="3">
        <f t="shared" si="259"/>
        <v>0</v>
      </c>
      <c r="FI282" s="3">
        <f t="shared" si="259"/>
        <v>0</v>
      </c>
      <c r="FJ282" s="3">
        <f t="shared" si="259"/>
        <v>0</v>
      </c>
      <c r="FK282" s="3">
        <f t="shared" si="259"/>
        <v>0</v>
      </c>
      <c r="FL282" s="3">
        <f t="shared" si="259"/>
        <v>0</v>
      </c>
      <c r="FM282" s="3">
        <f t="shared" si="259"/>
        <v>0</v>
      </c>
      <c r="FN282" s="3">
        <f t="shared" si="259"/>
        <v>0</v>
      </c>
      <c r="FO282" s="3">
        <f t="shared" si="259"/>
        <v>0</v>
      </c>
      <c r="FP282" s="3">
        <f t="shared" si="259"/>
        <v>0</v>
      </c>
      <c r="FQ282" s="3">
        <f t="shared" si="259"/>
        <v>0</v>
      </c>
      <c r="FR282" s="3">
        <f t="shared" si="259"/>
        <v>0</v>
      </c>
      <c r="FS282" s="3">
        <f t="shared" ref="FS282:GX282" si="260">FS290</f>
        <v>0</v>
      </c>
      <c r="FT282" s="3">
        <f t="shared" si="260"/>
        <v>0</v>
      </c>
      <c r="FU282" s="3">
        <f t="shared" si="260"/>
        <v>0</v>
      </c>
      <c r="FV282" s="3">
        <f t="shared" si="260"/>
        <v>0</v>
      </c>
      <c r="FW282" s="3">
        <f t="shared" si="260"/>
        <v>0</v>
      </c>
      <c r="FX282" s="3">
        <f t="shared" si="260"/>
        <v>0</v>
      </c>
      <c r="FY282" s="3">
        <f t="shared" si="260"/>
        <v>0</v>
      </c>
      <c r="FZ282" s="3">
        <f t="shared" si="260"/>
        <v>0</v>
      </c>
      <c r="GA282" s="3">
        <f t="shared" si="260"/>
        <v>0</v>
      </c>
      <c r="GB282" s="3">
        <f t="shared" si="260"/>
        <v>0</v>
      </c>
      <c r="GC282" s="3">
        <f t="shared" si="260"/>
        <v>0</v>
      </c>
      <c r="GD282" s="3">
        <f t="shared" si="260"/>
        <v>0</v>
      </c>
      <c r="GE282" s="3">
        <f t="shared" si="260"/>
        <v>0</v>
      </c>
      <c r="GF282" s="3">
        <f t="shared" si="260"/>
        <v>0</v>
      </c>
      <c r="GG282" s="3">
        <f t="shared" si="260"/>
        <v>0</v>
      </c>
      <c r="GH282" s="3">
        <f t="shared" si="260"/>
        <v>0</v>
      </c>
      <c r="GI282" s="3">
        <f t="shared" si="260"/>
        <v>0</v>
      </c>
      <c r="GJ282" s="3">
        <f t="shared" si="260"/>
        <v>0</v>
      </c>
      <c r="GK282" s="3">
        <f t="shared" si="260"/>
        <v>0</v>
      </c>
      <c r="GL282" s="3">
        <f t="shared" si="260"/>
        <v>0</v>
      </c>
      <c r="GM282" s="3">
        <f t="shared" si="260"/>
        <v>0</v>
      </c>
      <c r="GN282" s="3">
        <f t="shared" si="260"/>
        <v>0</v>
      </c>
      <c r="GO282" s="3">
        <f t="shared" si="260"/>
        <v>0</v>
      </c>
      <c r="GP282" s="3">
        <f t="shared" si="260"/>
        <v>0</v>
      </c>
      <c r="GQ282" s="3">
        <f t="shared" si="260"/>
        <v>0</v>
      </c>
      <c r="GR282" s="3">
        <f t="shared" si="260"/>
        <v>0</v>
      </c>
      <c r="GS282" s="3">
        <f t="shared" si="260"/>
        <v>0</v>
      </c>
      <c r="GT282" s="3">
        <f t="shared" si="260"/>
        <v>0</v>
      </c>
      <c r="GU282" s="3">
        <f t="shared" si="260"/>
        <v>0</v>
      </c>
      <c r="GV282" s="3">
        <f t="shared" si="260"/>
        <v>0</v>
      </c>
      <c r="GW282" s="3">
        <f t="shared" si="260"/>
        <v>0</v>
      </c>
      <c r="GX282" s="3">
        <f t="shared" si="260"/>
        <v>0</v>
      </c>
    </row>
    <row r="284" spans="1:245" x14ac:dyDescent="0.2">
      <c r="A284">
        <v>17</v>
      </c>
      <c r="B284">
        <v>1</v>
      </c>
      <c r="C284">
        <f>ROW(SmtRes!A444)</f>
        <v>444</v>
      </c>
      <c r="D284">
        <f>ROW(EtalonRes!A417)</f>
        <v>417</v>
      </c>
      <c r="E284" t="s">
        <v>679</v>
      </c>
      <c r="F284" t="s">
        <v>680</v>
      </c>
      <c r="G284" t="s">
        <v>681</v>
      </c>
      <c r="H284" t="s">
        <v>66</v>
      </c>
      <c r="I284">
        <f>ROUND(72/100,9)</f>
        <v>0.72</v>
      </c>
      <c r="J284">
        <v>0</v>
      </c>
      <c r="O284">
        <f>ROUND(CP284,2)</f>
        <v>689.49</v>
      </c>
      <c r="P284">
        <f>ROUND(CQ284*I284,2)</f>
        <v>0</v>
      </c>
      <c r="Q284">
        <f>ROUND(CR284*I284,2)</f>
        <v>11.81</v>
      </c>
      <c r="R284">
        <f>ROUND(CS284*I284,2)</f>
        <v>5.0999999999999996</v>
      </c>
      <c r="S284">
        <f>ROUND(CT284*I284,2)</f>
        <v>677.68</v>
      </c>
      <c r="T284">
        <f>ROUND(CU284*I284,2)</f>
        <v>0</v>
      </c>
      <c r="U284">
        <f>CV284*I284</f>
        <v>12.880800000000001</v>
      </c>
      <c r="V284">
        <f>CW284*I284</f>
        <v>5.7599999999999998E-2</v>
      </c>
      <c r="W284">
        <f>ROUND(CX284*I284,2)</f>
        <v>0</v>
      </c>
      <c r="X284">
        <f t="shared" ref="X284:Y288" si="261">ROUND(CY284,2)</f>
        <v>580.36</v>
      </c>
      <c r="Y284">
        <f t="shared" si="261"/>
        <v>443.81</v>
      </c>
      <c r="AA284">
        <v>16742901</v>
      </c>
      <c r="AB284">
        <f>ROUND((AC284+AD284+AF284),2)</f>
        <v>145.97999999999999</v>
      </c>
      <c r="AC284">
        <f>ROUND((ES284),2)</f>
        <v>0</v>
      </c>
      <c r="AD284">
        <f>ROUND((((ET284)-(EU284))+AE284),2)</f>
        <v>2.5</v>
      </c>
      <c r="AE284">
        <f t="shared" ref="AE284:AF286" si="262">ROUND((EU284),2)</f>
        <v>1.08</v>
      </c>
      <c r="AF284">
        <f t="shared" si="262"/>
        <v>143.47999999999999</v>
      </c>
      <c r="AG284">
        <f>ROUND((AP284),2)</f>
        <v>0</v>
      </c>
      <c r="AH284">
        <f t="shared" ref="AH284:AI286" si="263">(EW284)</f>
        <v>17.89</v>
      </c>
      <c r="AI284">
        <f t="shared" si="263"/>
        <v>0.08</v>
      </c>
      <c r="AJ284">
        <f>ROUND((AS284),2)</f>
        <v>0</v>
      </c>
      <c r="AK284">
        <v>145.97999999999999</v>
      </c>
      <c r="AL284">
        <v>0</v>
      </c>
      <c r="AM284">
        <v>2.5</v>
      </c>
      <c r="AN284">
        <v>1.08</v>
      </c>
      <c r="AO284">
        <v>143.47999999999999</v>
      </c>
      <c r="AP284">
        <v>0</v>
      </c>
      <c r="AQ284">
        <v>17.89</v>
      </c>
      <c r="AR284">
        <v>0.08</v>
      </c>
      <c r="AS284">
        <v>0</v>
      </c>
      <c r="AT284">
        <v>85</v>
      </c>
      <c r="AU284">
        <v>65</v>
      </c>
      <c r="AV284">
        <v>1</v>
      </c>
      <c r="AW284">
        <v>1</v>
      </c>
      <c r="AZ284">
        <v>6.56</v>
      </c>
      <c r="BA284">
        <v>6.56</v>
      </c>
      <c r="BB284">
        <v>6.56</v>
      </c>
      <c r="BC284">
        <v>6.56</v>
      </c>
      <c r="BD284" t="s">
        <v>6</v>
      </c>
      <c r="BE284" t="s">
        <v>6</v>
      </c>
      <c r="BF284" t="s">
        <v>6</v>
      </c>
      <c r="BG284" t="s">
        <v>6</v>
      </c>
      <c r="BH284">
        <v>0</v>
      </c>
      <c r="BI284">
        <v>1</v>
      </c>
      <c r="BJ284" t="s">
        <v>682</v>
      </c>
      <c r="BM284">
        <v>67001</v>
      </c>
      <c r="BN284">
        <v>0</v>
      </c>
      <c r="BO284" t="s">
        <v>6</v>
      </c>
      <c r="BP284">
        <v>0</v>
      </c>
      <c r="BQ284">
        <v>6</v>
      </c>
      <c r="BR284">
        <v>0</v>
      </c>
      <c r="BS284">
        <v>6.56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85</v>
      </c>
      <c r="CA284">
        <v>65</v>
      </c>
      <c r="CF284">
        <v>0</v>
      </c>
      <c r="CG284">
        <v>0</v>
      </c>
      <c r="CM284">
        <v>0</v>
      </c>
      <c r="CN284" t="s">
        <v>6</v>
      </c>
      <c r="CO284">
        <v>0</v>
      </c>
      <c r="CP284">
        <f>(P284+Q284+S284)</f>
        <v>689.4899999999999</v>
      </c>
      <c r="CQ284">
        <f>AC284*BC284</f>
        <v>0</v>
      </c>
      <c r="CR284">
        <f>AD284*BB284</f>
        <v>16.399999999999999</v>
      </c>
      <c r="CS284">
        <f>AE284*BS284</f>
        <v>7.0848000000000004</v>
      </c>
      <c r="CT284">
        <f>AF284*BA284</f>
        <v>941.22879999999986</v>
      </c>
      <c r="CU284">
        <f t="shared" ref="CU284:CX288" si="264">AG284</f>
        <v>0</v>
      </c>
      <c r="CV284">
        <f t="shared" si="264"/>
        <v>17.89</v>
      </c>
      <c r="CW284">
        <f t="shared" si="264"/>
        <v>0.08</v>
      </c>
      <c r="CX284">
        <f t="shared" si="264"/>
        <v>0</v>
      </c>
      <c r="CY284">
        <f>(((S284+R284)*AT284)/100)</f>
        <v>580.36299999999994</v>
      </c>
      <c r="CZ284">
        <f>(((S284+R284)*AU284)/100)</f>
        <v>443.80699999999996</v>
      </c>
      <c r="DC284" t="s">
        <v>6</v>
      </c>
      <c r="DD284" t="s">
        <v>6</v>
      </c>
      <c r="DE284" t="s">
        <v>6</v>
      </c>
      <c r="DF284" t="s">
        <v>6</v>
      </c>
      <c r="DG284" t="s">
        <v>6</v>
      </c>
      <c r="DH284" t="s">
        <v>6</v>
      </c>
      <c r="DI284" t="s">
        <v>6</v>
      </c>
      <c r="DJ284" t="s">
        <v>6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1013</v>
      </c>
      <c r="DV284" t="s">
        <v>66</v>
      </c>
      <c r="DW284" t="s">
        <v>66</v>
      </c>
      <c r="DX284">
        <v>1</v>
      </c>
      <c r="EE284">
        <v>16510612</v>
      </c>
      <c r="EF284">
        <v>6</v>
      </c>
      <c r="EG284" t="s">
        <v>36</v>
      </c>
      <c r="EH284">
        <v>0</v>
      </c>
      <c r="EI284" t="s">
        <v>6</v>
      </c>
      <c r="EJ284">
        <v>1</v>
      </c>
      <c r="EK284">
        <v>67001</v>
      </c>
      <c r="EL284" t="s">
        <v>683</v>
      </c>
      <c r="EM284" t="s">
        <v>684</v>
      </c>
      <c r="EO284" t="s">
        <v>6</v>
      </c>
      <c r="EQ284">
        <v>131072</v>
      </c>
      <c r="ER284">
        <v>145.97999999999999</v>
      </c>
      <c r="ES284">
        <v>0</v>
      </c>
      <c r="ET284">
        <v>2.5</v>
      </c>
      <c r="EU284">
        <v>1.08</v>
      </c>
      <c r="EV284">
        <v>143.47999999999999</v>
      </c>
      <c r="EW284">
        <v>17.89</v>
      </c>
      <c r="EX284">
        <v>0.08</v>
      </c>
      <c r="EY284">
        <v>0</v>
      </c>
      <c r="FQ284">
        <v>0</v>
      </c>
      <c r="FR284">
        <f>ROUND(IF(AND(BH284=3,BI284=3),P284,0),2)</f>
        <v>0</v>
      </c>
      <c r="FS284">
        <v>0</v>
      </c>
      <c r="FX284">
        <v>85</v>
      </c>
      <c r="FY284">
        <v>65</v>
      </c>
      <c r="GA284" t="s">
        <v>6</v>
      </c>
      <c r="GD284">
        <v>0</v>
      </c>
      <c r="GF284">
        <v>1077668203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>ROUND(IF(AND(BH284=3,BI284=3,FS284&lt;&gt;0),P284,0),2)</f>
        <v>0</v>
      </c>
      <c r="GM284">
        <f>ROUND(O284+X284+Y284+GK284,2)+GX284</f>
        <v>1713.66</v>
      </c>
      <c r="GN284">
        <f>IF(OR(BI284=0,BI284=1),ROUND(O284+X284+Y284+GK284,2),0)</f>
        <v>1713.66</v>
      </c>
      <c r="GO284">
        <f>IF(BI284=2,ROUND(O284+X284+Y284+GK284,2),0)</f>
        <v>0</v>
      </c>
      <c r="GP284">
        <f>IF(BI284=4,ROUND(O284+X284+Y284+GK284,2)+GX284,0)</f>
        <v>0</v>
      </c>
      <c r="GR284">
        <v>0</v>
      </c>
      <c r="GS284">
        <v>3</v>
      </c>
      <c r="GT284">
        <v>0</v>
      </c>
      <c r="GU284" t="s">
        <v>6</v>
      </c>
      <c r="GV284">
        <f>ROUND(GT284,2)</f>
        <v>0</v>
      </c>
      <c r="GW284">
        <v>1</v>
      </c>
      <c r="GX284">
        <f>ROUND(GV284*GW284*I284,2)</f>
        <v>0</v>
      </c>
      <c r="HA284">
        <v>0</v>
      </c>
      <c r="HB284">
        <v>0</v>
      </c>
      <c r="IK284">
        <v>0</v>
      </c>
    </row>
    <row r="285" spans="1:245" x14ac:dyDescent="0.2">
      <c r="A285">
        <v>17</v>
      </c>
      <c r="B285">
        <v>1</v>
      </c>
      <c r="C285">
        <f>ROW(SmtRes!A447)</f>
        <v>447</v>
      </c>
      <c r="D285">
        <f>ROW(EtalonRes!A420)</f>
        <v>420</v>
      </c>
      <c r="E285" t="s">
        <v>685</v>
      </c>
      <c r="F285" t="s">
        <v>686</v>
      </c>
      <c r="G285" t="s">
        <v>687</v>
      </c>
      <c r="H285" t="s">
        <v>34</v>
      </c>
      <c r="I285">
        <f>ROUND(232/100,9)</f>
        <v>2.3199999999999998</v>
      </c>
      <c r="J285">
        <v>0</v>
      </c>
      <c r="O285">
        <f>ROUND(CP285,2)</f>
        <v>1149.05</v>
      </c>
      <c r="P285">
        <f>ROUND(CQ285*I285,2)</f>
        <v>0</v>
      </c>
      <c r="Q285">
        <f>ROUND(CR285*I285,2)</f>
        <v>4.72</v>
      </c>
      <c r="R285">
        <f>ROUND(CS285*I285,2)</f>
        <v>2.13</v>
      </c>
      <c r="S285">
        <f>ROUND(CT285*I285,2)</f>
        <v>1144.33</v>
      </c>
      <c r="T285">
        <f>ROUND(CU285*I285,2)</f>
        <v>0</v>
      </c>
      <c r="U285">
        <f>CV285*I285</f>
        <v>22.364799999999999</v>
      </c>
      <c r="V285">
        <f>CW285*I285</f>
        <v>2.3199999999999998E-2</v>
      </c>
      <c r="W285">
        <f>ROUND(CX285*I285,2)</f>
        <v>0</v>
      </c>
      <c r="X285">
        <f t="shared" si="261"/>
        <v>974.49</v>
      </c>
      <c r="Y285">
        <f t="shared" si="261"/>
        <v>745.2</v>
      </c>
      <c r="AA285">
        <v>16742901</v>
      </c>
      <c r="AB285">
        <f>ROUND((AC285+AD285+AF285),2)</f>
        <v>75.5</v>
      </c>
      <c r="AC285">
        <f>ROUND((ES285),2)</f>
        <v>0</v>
      </c>
      <c r="AD285">
        <f>ROUND((((ET285)-(EU285))+AE285),2)</f>
        <v>0.31</v>
      </c>
      <c r="AE285">
        <f t="shared" si="262"/>
        <v>0.14000000000000001</v>
      </c>
      <c r="AF285">
        <f t="shared" si="262"/>
        <v>75.19</v>
      </c>
      <c r="AG285">
        <f>ROUND((AP285),2)</f>
        <v>0</v>
      </c>
      <c r="AH285">
        <f t="shared" si="263"/>
        <v>9.64</v>
      </c>
      <c r="AI285">
        <f t="shared" si="263"/>
        <v>0.01</v>
      </c>
      <c r="AJ285">
        <f>ROUND((AS285),2)</f>
        <v>0</v>
      </c>
      <c r="AK285">
        <v>75.5</v>
      </c>
      <c r="AL285">
        <v>0</v>
      </c>
      <c r="AM285">
        <v>0.31</v>
      </c>
      <c r="AN285">
        <v>0.14000000000000001</v>
      </c>
      <c r="AO285">
        <v>75.19</v>
      </c>
      <c r="AP285">
        <v>0</v>
      </c>
      <c r="AQ285">
        <v>9.64</v>
      </c>
      <c r="AR285">
        <v>0.01</v>
      </c>
      <c r="AS285">
        <v>0</v>
      </c>
      <c r="AT285">
        <v>85</v>
      </c>
      <c r="AU285">
        <v>65</v>
      </c>
      <c r="AV285">
        <v>1</v>
      </c>
      <c r="AW285">
        <v>1</v>
      </c>
      <c r="AZ285">
        <v>6.56</v>
      </c>
      <c r="BA285">
        <v>6.56</v>
      </c>
      <c r="BB285">
        <v>6.56</v>
      </c>
      <c r="BC285">
        <v>6.56</v>
      </c>
      <c r="BD285" t="s">
        <v>6</v>
      </c>
      <c r="BE285" t="s">
        <v>6</v>
      </c>
      <c r="BF285" t="s">
        <v>6</v>
      </c>
      <c r="BG285" t="s">
        <v>6</v>
      </c>
      <c r="BH285">
        <v>0</v>
      </c>
      <c r="BI285">
        <v>1</v>
      </c>
      <c r="BJ285" t="s">
        <v>688</v>
      </c>
      <c r="BM285">
        <v>67001</v>
      </c>
      <c r="BN285">
        <v>0</v>
      </c>
      <c r="BO285" t="s">
        <v>6</v>
      </c>
      <c r="BP285">
        <v>0</v>
      </c>
      <c r="BQ285">
        <v>6</v>
      </c>
      <c r="BR285">
        <v>0</v>
      </c>
      <c r="BS285">
        <v>6.56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6</v>
      </c>
      <c r="BZ285">
        <v>85</v>
      </c>
      <c r="CA285">
        <v>65</v>
      </c>
      <c r="CF285">
        <v>0</v>
      </c>
      <c r="CG285">
        <v>0</v>
      </c>
      <c r="CM285">
        <v>0</v>
      </c>
      <c r="CN285" t="s">
        <v>6</v>
      </c>
      <c r="CO285">
        <v>0</v>
      </c>
      <c r="CP285">
        <f>(P285+Q285+S285)</f>
        <v>1149.05</v>
      </c>
      <c r="CQ285">
        <f>AC285*BC285</f>
        <v>0</v>
      </c>
      <c r="CR285">
        <f>AD285*BB285</f>
        <v>2.0335999999999999</v>
      </c>
      <c r="CS285">
        <f>AE285*BS285</f>
        <v>0.91839999999999999</v>
      </c>
      <c r="CT285">
        <f>AF285*BA285</f>
        <v>493.24639999999994</v>
      </c>
      <c r="CU285">
        <f t="shared" si="264"/>
        <v>0</v>
      </c>
      <c r="CV285">
        <f t="shared" si="264"/>
        <v>9.64</v>
      </c>
      <c r="CW285">
        <f t="shared" si="264"/>
        <v>0.01</v>
      </c>
      <c r="CX285">
        <f t="shared" si="264"/>
        <v>0</v>
      </c>
      <c r="CY285">
        <f>(((S285+R285)*AT285)/100)</f>
        <v>974.4910000000001</v>
      </c>
      <c r="CZ285">
        <f>(((S285+R285)*AU285)/100)</f>
        <v>745.19900000000007</v>
      </c>
      <c r="DC285" t="s">
        <v>6</v>
      </c>
      <c r="DD285" t="s">
        <v>6</v>
      </c>
      <c r="DE285" t="s">
        <v>6</v>
      </c>
      <c r="DF285" t="s">
        <v>6</v>
      </c>
      <c r="DG285" t="s">
        <v>6</v>
      </c>
      <c r="DH285" t="s">
        <v>6</v>
      </c>
      <c r="DI285" t="s">
        <v>6</v>
      </c>
      <c r="DJ285" t="s">
        <v>6</v>
      </c>
      <c r="DK285" t="s">
        <v>6</v>
      </c>
      <c r="DL285" t="s">
        <v>6</v>
      </c>
      <c r="DM285" t="s">
        <v>6</v>
      </c>
      <c r="DN285">
        <v>0</v>
      </c>
      <c r="DO285">
        <v>0</v>
      </c>
      <c r="DP285">
        <v>1</v>
      </c>
      <c r="DQ285">
        <v>1</v>
      </c>
      <c r="DU285">
        <v>1003</v>
      </c>
      <c r="DV285" t="s">
        <v>34</v>
      </c>
      <c r="DW285" t="s">
        <v>34</v>
      </c>
      <c r="DX285">
        <v>100</v>
      </c>
      <c r="EE285">
        <v>16510612</v>
      </c>
      <c r="EF285">
        <v>6</v>
      </c>
      <c r="EG285" t="s">
        <v>36</v>
      </c>
      <c r="EH285">
        <v>0</v>
      </c>
      <c r="EI285" t="s">
        <v>6</v>
      </c>
      <c r="EJ285">
        <v>1</v>
      </c>
      <c r="EK285">
        <v>67001</v>
      </c>
      <c r="EL285" t="s">
        <v>683</v>
      </c>
      <c r="EM285" t="s">
        <v>684</v>
      </c>
      <c r="EO285" t="s">
        <v>6</v>
      </c>
      <c r="EQ285">
        <v>131072</v>
      </c>
      <c r="ER285">
        <v>75.5</v>
      </c>
      <c r="ES285">
        <v>0</v>
      </c>
      <c r="ET285">
        <v>0.31</v>
      </c>
      <c r="EU285">
        <v>0.14000000000000001</v>
      </c>
      <c r="EV285">
        <v>75.19</v>
      </c>
      <c r="EW285">
        <v>9.64</v>
      </c>
      <c r="EX285">
        <v>0.01</v>
      </c>
      <c r="EY285">
        <v>0</v>
      </c>
      <c r="FQ285">
        <v>0</v>
      </c>
      <c r="FR285">
        <f>ROUND(IF(AND(BH285=3,BI285=3),P285,0),2)</f>
        <v>0</v>
      </c>
      <c r="FS285">
        <v>0</v>
      </c>
      <c r="FX285">
        <v>85</v>
      </c>
      <c r="FY285">
        <v>65</v>
      </c>
      <c r="GA285" t="s">
        <v>6</v>
      </c>
      <c r="GD285">
        <v>0</v>
      </c>
      <c r="GF285">
        <v>994189354</v>
      </c>
      <c r="GG285">
        <v>1</v>
      </c>
      <c r="GH285">
        <v>1</v>
      </c>
      <c r="GI285">
        <v>4</v>
      </c>
      <c r="GJ285">
        <v>0</v>
      </c>
      <c r="GK285">
        <f>ROUND(R285*(R12)/100,2)</f>
        <v>0</v>
      </c>
      <c r="GL285">
        <f>ROUND(IF(AND(BH285=3,BI285=3,FS285&lt;&gt;0),P285,0),2)</f>
        <v>0</v>
      </c>
      <c r="GM285">
        <f>ROUND(O285+X285+Y285+GK285,2)+GX285</f>
        <v>2868.74</v>
      </c>
      <c r="GN285">
        <f>IF(OR(BI285=0,BI285=1),ROUND(O285+X285+Y285+GK285,2),0)</f>
        <v>2868.74</v>
      </c>
      <c r="GO285">
        <f>IF(BI285=2,ROUND(O285+X285+Y285+GK285,2),0)</f>
        <v>0</v>
      </c>
      <c r="GP285">
        <f>IF(BI285=4,ROUND(O285+X285+Y285+GK285,2)+GX285,0)</f>
        <v>0</v>
      </c>
      <c r="GR285">
        <v>0</v>
      </c>
      <c r="GS285">
        <v>3</v>
      </c>
      <c r="GT285">
        <v>0</v>
      </c>
      <c r="GU285" t="s">
        <v>6</v>
      </c>
      <c r="GV285">
        <f>ROUND(GT285,2)</f>
        <v>0</v>
      </c>
      <c r="GW285">
        <v>1</v>
      </c>
      <c r="GX285">
        <f>ROUND(GV285*GW285*I285,2)</f>
        <v>0</v>
      </c>
      <c r="HA285">
        <v>0</v>
      </c>
      <c r="HB285">
        <v>0</v>
      </c>
      <c r="IK285">
        <v>0</v>
      </c>
    </row>
    <row r="286" spans="1:245" x14ac:dyDescent="0.2">
      <c r="A286">
        <v>17</v>
      </c>
      <c r="B286">
        <v>1</v>
      </c>
      <c r="C286">
        <f>ROW(SmtRes!A448)</f>
        <v>448</v>
      </c>
      <c r="D286">
        <f>ROW(EtalonRes!A421)</f>
        <v>421</v>
      </c>
      <c r="E286" t="s">
        <v>689</v>
      </c>
      <c r="F286" t="s">
        <v>690</v>
      </c>
      <c r="G286" t="s">
        <v>691</v>
      </c>
      <c r="H286" t="s">
        <v>66</v>
      </c>
      <c r="I286">
        <f>ROUND(38/100,9)</f>
        <v>0.38</v>
      </c>
      <c r="J286">
        <v>0</v>
      </c>
      <c r="O286">
        <f>ROUND(CP286,2)</f>
        <v>113.55</v>
      </c>
      <c r="P286">
        <f>ROUND(CQ286*I286,2)</f>
        <v>0</v>
      </c>
      <c r="Q286">
        <f>ROUND(CR286*I286,2)</f>
        <v>0</v>
      </c>
      <c r="R286">
        <f>ROUND(CS286*I286,2)</f>
        <v>0</v>
      </c>
      <c r="S286">
        <f>ROUND(CT286*I286,2)</f>
        <v>113.55</v>
      </c>
      <c r="T286">
        <f>ROUND(CU286*I286,2)</f>
        <v>0</v>
      </c>
      <c r="U286">
        <f>CV286*I286</f>
        <v>2.2191999999999998</v>
      </c>
      <c r="V286">
        <f>CW286*I286</f>
        <v>0</v>
      </c>
      <c r="W286">
        <f>ROUND(CX286*I286,2)</f>
        <v>0</v>
      </c>
      <c r="X286">
        <f t="shared" si="261"/>
        <v>96.52</v>
      </c>
      <c r="Y286">
        <f t="shared" si="261"/>
        <v>73.81</v>
      </c>
      <c r="AA286">
        <v>16742901</v>
      </c>
      <c r="AB286">
        <f>ROUND((AC286+AD286+AF286),2)</f>
        <v>45.55</v>
      </c>
      <c r="AC286">
        <f>ROUND((ES286),2)</f>
        <v>0</v>
      </c>
      <c r="AD286">
        <f>ROUND((((ET286)-(EU286))+AE286),2)</f>
        <v>0</v>
      </c>
      <c r="AE286">
        <f t="shared" si="262"/>
        <v>0</v>
      </c>
      <c r="AF286">
        <f t="shared" si="262"/>
        <v>45.55</v>
      </c>
      <c r="AG286">
        <f>ROUND((AP286),2)</f>
        <v>0</v>
      </c>
      <c r="AH286">
        <f t="shared" si="263"/>
        <v>5.84</v>
      </c>
      <c r="AI286">
        <f t="shared" si="263"/>
        <v>0</v>
      </c>
      <c r="AJ286">
        <f>ROUND((AS286),2)</f>
        <v>0</v>
      </c>
      <c r="AK286">
        <v>45.55</v>
      </c>
      <c r="AL286">
        <v>0</v>
      </c>
      <c r="AM286">
        <v>0</v>
      </c>
      <c r="AN286">
        <v>0</v>
      </c>
      <c r="AO286">
        <v>45.55</v>
      </c>
      <c r="AP286">
        <v>0</v>
      </c>
      <c r="AQ286">
        <v>5.84</v>
      </c>
      <c r="AR286">
        <v>0</v>
      </c>
      <c r="AS286">
        <v>0</v>
      </c>
      <c r="AT286">
        <v>85</v>
      </c>
      <c r="AU286">
        <v>65</v>
      </c>
      <c r="AV286">
        <v>1</v>
      </c>
      <c r="AW286">
        <v>1</v>
      </c>
      <c r="AZ286">
        <v>6.56</v>
      </c>
      <c r="BA286">
        <v>6.56</v>
      </c>
      <c r="BB286">
        <v>6.56</v>
      </c>
      <c r="BC286">
        <v>6.56</v>
      </c>
      <c r="BD286" t="s">
        <v>6</v>
      </c>
      <c r="BE286" t="s">
        <v>6</v>
      </c>
      <c r="BF286" t="s">
        <v>6</v>
      </c>
      <c r="BG286" t="s">
        <v>6</v>
      </c>
      <c r="BH286">
        <v>0</v>
      </c>
      <c r="BI286">
        <v>1</v>
      </c>
      <c r="BJ286" t="s">
        <v>692</v>
      </c>
      <c r="BM286">
        <v>67001</v>
      </c>
      <c r="BN286">
        <v>0</v>
      </c>
      <c r="BO286" t="s">
        <v>6</v>
      </c>
      <c r="BP286">
        <v>0</v>
      </c>
      <c r="BQ286">
        <v>6</v>
      </c>
      <c r="BR286">
        <v>0</v>
      </c>
      <c r="BS286">
        <v>6.56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85</v>
      </c>
      <c r="CA286">
        <v>65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>(P286+Q286+S286)</f>
        <v>113.55</v>
      </c>
      <c r="CQ286">
        <f>AC286*BC286</f>
        <v>0</v>
      </c>
      <c r="CR286">
        <f>AD286*BB286</f>
        <v>0</v>
      </c>
      <c r="CS286">
        <f>AE286*BS286</f>
        <v>0</v>
      </c>
      <c r="CT286">
        <f>AF286*BA286</f>
        <v>298.80799999999994</v>
      </c>
      <c r="CU286">
        <f t="shared" si="264"/>
        <v>0</v>
      </c>
      <c r="CV286">
        <f t="shared" si="264"/>
        <v>5.84</v>
      </c>
      <c r="CW286">
        <f t="shared" si="264"/>
        <v>0</v>
      </c>
      <c r="CX286">
        <f t="shared" si="264"/>
        <v>0</v>
      </c>
      <c r="CY286">
        <f>(((S286+R286)*AT286)/100)</f>
        <v>96.517499999999998</v>
      </c>
      <c r="CZ286">
        <f>(((S286+R286)*AU286)/100)</f>
        <v>73.807500000000005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1013</v>
      </c>
      <c r="DV286" t="s">
        <v>66</v>
      </c>
      <c r="DW286" t="s">
        <v>66</v>
      </c>
      <c r="DX286">
        <v>1</v>
      </c>
      <c r="EE286">
        <v>16510612</v>
      </c>
      <c r="EF286">
        <v>6</v>
      </c>
      <c r="EG286" t="s">
        <v>36</v>
      </c>
      <c r="EH286">
        <v>0</v>
      </c>
      <c r="EI286" t="s">
        <v>6</v>
      </c>
      <c r="EJ286">
        <v>1</v>
      </c>
      <c r="EK286">
        <v>67001</v>
      </c>
      <c r="EL286" t="s">
        <v>683</v>
      </c>
      <c r="EM286" t="s">
        <v>684</v>
      </c>
      <c r="EO286" t="s">
        <v>6</v>
      </c>
      <c r="EQ286">
        <v>131072</v>
      </c>
      <c r="ER286">
        <v>45.55</v>
      </c>
      <c r="ES286">
        <v>0</v>
      </c>
      <c r="ET286">
        <v>0</v>
      </c>
      <c r="EU286">
        <v>0</v>
      </c>
      <c r="EV286">
        <v>45.55</v>
      </c>
      <c r="EW286">
        <v>5.84</v>
      </c>
      <c r="EX286">
        <v>0</v>
      </c>
      <c r="EY286">
        <v>0</v>
      </c>
      <c r="FQ286">
        <v>0</v>
      </c>
      <c r="FR286">
        <f>ROUND(IF(AND(BH286=3,BI286=3),P286,0),2)</f>
        <v>0</v>
      </c>
      <c r="FS286">
        <v>0</v>
      </c>
      <c r="FX286">
        <v>85</v>
      </c>
      <c r="FY286">
        <v>65</v>
      </c>
      <c r="GA286" t="s">
        <v>6</v>
      </c>
      <c r="GD286">
        <v>0</v>
      </c>
      <c r="GF286">
        <v>-729058478</v>
      </c>
      <c r="GG286">
        <v>1</v>
      </c>
      <c r="GH286">
        <v>1</v>
      </c>
      <c r="GI286">
        <v>4</v>
      </c>
      <c r="GJ286">
        <v>0</v>
      </c>
      <c r="GK286">
        <f>ROUND(R286*(R12)/100,2)</f>
        <v>0</v>
      </c>
      <c r="GL286">
        <f>ROUND(IF(AND(BH286=3,BI286=3,FS286&lt;&gt;0),P286,0),2)</f>
        <v>0</v>
      </c>
      <c r="GM286">
        <f>ROUND(O286+X286+Y286+GK286,2)+GX286</f>
        <v>283.88</v>
      </c>
      <c r="GN286">
        <f>IF(OR(BI286=0,BI286=1),ROUND(O286+X286+Y286+GK286,2),0)</f>
        <v>283.88</v>
      </c>
      <c r="GO286">
        <f>IF(BI286=2,ROUND(O286+X286+Y286+GK286,2),0)</f>
        <v>0</v>
      </c>
      <c r="GP286">
        <f>IF(BI286=4,ROUND(O286+X286+Y286+GK286,2)+GX286,0)</f>
        <v>0</v>
      </c>
      <c r="GR286">
        <v>0</v>
      </c>
      <c r="GS286">
        <v>3</v>
      </c>
      <c r="GT286">
        <v>0</v>
      </c>
      <c r="GU286" t="s">
        <v>6</v>
      </c>
      <c r="GV286">
        <f>ROUND(GT286,2)</f>
        <v>0</v>
      </c>
      <c r="GW286">
        <v>1</v>
      </c>
      <c r="GX286">
        <f>ROUND(GV286*GW286*I286,2)</f>
        <v>0</v>
      </c>
      <c r="HA286">
        <v>0</v>
      </c>
      <c r="HB286">
        <v>0</v>
      </c>
      <c r="IK286">
        <v>0</v>
      </c>
    </row>
    <row r="287" spans="1:245" x14ac:dyDescent="0.2">
      <c r="A287">
        <v>17</v>
      </c>
      <c r="B287">
        <v>1</v>
      </c>
      <c r="C287">
        <f>ROW(SmtRes!A454)</f>
        <v>454</v>
      </c>
      <c r="D287">
        <f>ROW(EtalonRes!A427)</f>
        <v>427</v>
      </c>
      <c r="E287" t="s">
        <v>693</v>
      </c>
      <c r="F287" t="s">
        <v>694</v>
      </c>
      <c r="G287" t="s">
        <v>695</v>
      </c>
      <c r="H287" t="s">
        <v>34</v>
      </c>
      <c r="I287">
        <f>ROUND(154/100,9)</f>
        <v>1.54</v>
      </c>
      <c r="J287">
        <v>0</v>
      </c>
      <c r="O287">
        <f>ROUND(CP287,2)</f>
        <v>470.47</v>
      </c>
      <c r="P287">
        <f>ROUND(CQ287*I287,2)</f>
        <v>0</v>
      </c>
      <c r="Q287">
        <f>ROUND(CR287*I287,2)</f>
        <v>0.91</v>
      </c>
      <c r="R287">
        <f>ROUND(CS287*I287,2)</f>
        <v>0.4</v>
      </c>
      <c r="S287">
        <f>ROUND(CT287*I287,2)</f>
        <v>469.56</v>
      </c>
      <c r="T287">
        <f>ROUND(CU287*I287,2)</f>
        <v>0</v>
      </c>
      <c r="U287">
        <f>CV287*I287</f>
        <v>7.5259799999999997</v>
      </c>
      <c r="V287">
        <f>CW287*I287</f>
        <v>4.62E-3</v>
      </c>
      <c r="W287">
        <f>ROUND(CX287*I287,2)</f>
        <v>0</v>
      </c>
      <c r="X287">
        <f t="shared" si="261"/>
        <v>446.46</v>
      </c>
      <c r="Y287">
        <f t="shared" si="261"/>
        <v>305.47000000000003</v>
      </c>
      <c r="AA287">
        <v>16742901</v>
      </c>
      <c r="AB287">
        <f>ROUND((AC287+AD287+AF287),2)</f>
        <v>46.57</v>
      </c>
      <c r="AC287">
        <f>ROUND(((ES287*0)),2)</f>
        <v>0</v>
      </c>
      <c r="AD287">
        <f>ROUND(((((ET287*0.3))-((EU287*0.3)))+AE287),2)</f>
        <v>0.09</v>
      </c>
      <c r="AE287">
        <f>ROUND(((EU287*0.3)),2)</f>
        <v>0.04</v>
      </c>
      <c r="AF287">
        <f>ROUND(((EV287*0.3)),2)</f>
        <v>46.48</v>
      </c>
      <c r="AG287">
        <f>ROUND((AP287),2)</f>
        <v>0</v>
      </c>
      <c r="AH287">
        <f>((EW287*0.3))</f>
        <v>4.8869999999999996</v>
      </c>
      <c r="AI287">
        <f>((EX287*0.3))</f>
        <v>3.0000000000000001E-3</v>
      </c>
      <c r="AJ287">
        <f>ROUND((AS287),2)</f>
        <v>0</v>
      </c>
      <c r="AK287">
        <v>206.76</v>
      </c>
      <c r="AL287">
        <v>51.53</v>
      </c>
      <c r="AM287">
        <v>0.31</v>
      </c>
      <c r="AN287">
        <v>0.14000000000000001</v>
      </c>
      <c r="AO287">
        <v>154.91999999999999</v>
      </c>
      <c r="AP287">
        <v>0</v>
      </c>
      <c r="AQ287">
        <v>16.29</v>
      </c>
      <c r="AR287">
        <v>0.01</v>
      </c>
      <c r="AS287">
        <v>0</v>
      </c>
      <c r="AT287">
        <v>95</v>
      </c>
      <c r="AU287">
        <v>65</v>
      </c>
      <c r="AV287">
        <v>1</v>
      </c>
      <c r="AW287">
        <v>1</v>
      </c>
      <c r="AZ287">
        <v>6.56</v>
      </c>
      <c r="BA287">
        <v>6.56</v>
      </c>
      <c r="BB287">
        <v>6.56</v>
      </c>
      <c r="BC287">
        <v>6.56</v>
      </c>
      <c r="BD287" t="s">
        <v>6</v>
      </c>
      <c r="BE287" t="s">
        <v>6</v>
      </c>
      <c r="BF287" t="s">
        <v>6</v>
      </c>
      <c r="BG287" t="s">
        <v>6</v>
      </c>
      <c r="BH287">
        <v>0</v>
      </c>
      <c r="BI287">
        <v>2</v>
      </c>
      <c r="BJ287" t="s">
        <v>696</v>
      </c>
      <c r="BM287">
        <v>108001</v>
      </c>
      <c r="BN287">
        <v>0</v>
      </c>
      <c r="BO287" t="s">
        <v>6</v>
      </c>
      <c r="BP287">
        <v>0</v>
      </c>
      <c r="BQ287">
        <v>3</v>
      </c>
      <c r="BR287">
        <v>0</v>
      </c>
      <c r="BS287">
        <v>6.56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6</v>
      </c>
      <c r="BZ287">
        <v>95</v>
      </c>
      <c r="CA287">
        <v>65</v>
      </c>
      <c r="CF287">
        <v>0</v>
      </c>
      <c r="CG287">
        <v>0</v>
      </c>
      <c r="CM287">
        <v>0</v>
      </c>
      <c r="CN287" t="s">
        <v>1901</v>
      </c>
      <c r="CO287">
        <v>0</v>
      </c>
      <c r="CP287">
        <f>(P287+Q287+S287)</f>
        <v>470.47</v>
      </c>
      <c r="CQ287">
        <f>AC287*BC287</f>
        <v>0</v>
      </c>
      <c r="CR287">
        <f>AD287*BB287</f>
        <v>0.59039999999999992</v>
      </c>
      <c r="CS287">
        <f>AE287*BS287</f>
        <v>0.26239999999999997</v>
      </c>
      <c r="CT287">
        <f>AF287*BA287</f>
        <v>304.90879999999999</v>
      </c>
      <c r="CU287">
        <f t="shared" si="264"/>
        <v>0</v>
      </c>
      <c r="CV287">
        <f t="shared" si="264"/>
        <v>4.8869999999999996</v>
      </c>
      <c r="CW287">
        <f t="shared" si="264"/>
        <v>3.0000000000000001E-3</v>
      </c>
      <c r="CX287">
        <f t="shared" si="264"/>
        <v>0</v>
      </c>
      <c r="CY287">
        <f>(((S287+R287)*AT287)/100)</f>
        <v>446.46199999999999</v>
      </c>
      <c r="CZ287">
        <f>(((S287+R287)*AU287)/100)</f>
        <v>305.47399999999999</v>
      </c>
      <c r="DC287" t="s">
        <v>6</v>
      </c>
      <c r="DD287" t="s">
        <v>48</v>
      </c>
      <c r="DE287" t="s">
        <v>82</v>
      </c>
      <c r="DF287" t="s">
        <v>82</v>
      </c>
      <c r="DG287" t="s">
        <v>82</v>
      </c>
      <c r="DH287" t="s">
        <v>6</v>
      </c>
      <c r="DI287" t="s">
        <v>82</v>
      </c>
      <c r="DJ287" t="s">
        <v>82</v>
      </c>
      <c r="DK287" t="s">
        <v>6</v>
      </c>
      <c r="DL287" t="s">
        <v>6</v>
      </c>
      <c r="DM287" t="s">
        <v>6</v>
      </c>
      <c r="DN287">
        <v>0</v>
      </c>
      <c r="DO287">
        <v>0</v>
      </c>
      <c r="DP287">
        <v>1</v>
      </c>
      <c r="DQ287">
        <v>1</v>
      </c>
      <c r="DU287">
        <v>1003</v>
      </c>
      <c r="DV287" t="s">
        <v>34</v>
      </c>
      <c r="DW287" t="s">
        <v>34</v>
      </c>
      <c r="DX287">
        <v>100</v>
      </c>
      <c r="EE287">
        <v>16510370</v>
      </c>
      <c r="EF287">
        <v>3</v>
      </c>
      <c r="EG287" t="s">
        <v>83</v>
      </c>
      <c r="EH287">
        <v>0</v>
      </c>
      <c r="EI287" t="s">
        <v>6</v>
      </c>
      <c r="EJ287">
        <v>2</v>
      </c>
      <c r="EK287">
        <v>108001</v>
      </c>
      <c r="EL287" t="s">
        <v>84</v>
      </c>
      <c r="EM287" t="s">
        <v>85</v>
      </c>
      <c r="EO287" t="s">
        <v>86</v>
      </c>
      <c r="EQ287">
        <v>131072</v>
      </c>
      <c r="ER287">
        <v>206.76</v>
      </c>
      <c r="ES287">
        <v>51.53</v>
      </c>
      <c r="ET287">
        <v>0.31</v>
      </c>
      <c r="EU287">
        <v>0.14000000000000001</v>
      </c>
      <c r="EV287">
        <v>154.91999999999999</v>
      </c>
      <c r="EW287">
        <v>16.29</v>
      </c>
      <c r="EX287">
        <v>0.01</v>
      </c>
      <c r="EY287">
        <v>0</v>
      </c>
      <c r="FQ287">
        <v>0</v>
      </c>
      <c r="FR287">
        <f>ROUND(IF(AND(BH287=3,BI287=3),P287,0),2)</f>
        <v>0</v>
      </c>
      <c r="FS287">
        <v>0</v>
      </c>
      <c r="FX287">
        <v>95</v>
      </c>
      <c r="FY287">
        <v>65</v>
      </c>
      <c r="GA287" t="s">
        <v>6</v>
      </c>
      <c r="GD287">
        <v>0</v>
      </c>
      <c r="GF287">
        <v>-1862294278</v>
      </c>
      <c r="GG287">
        <v>1</v>
      </c>
      <c r="GH287">
        <v>1</v>
      </c>
      <c r="GI287">
        <v>4</v>
      </c>
      <c r="GJ287">
        <v>0</v>
      </c>
      <c r="GK287">
        <f>ROUND(R287*(R12)/100,2)</f>
        <v>0</v>
      </c>
      <c r="GL287">
        <f>ROUND(IF(AND(BH287=3,BI287=3,FS287&lt;&gt;0),P287,0),2)</f>
        <v>0</v>
      </c>
      <c r="GM287">
        <f>ROUND(O287+X287+Y287+GK287,2)+GX287</f>
        <v>1222.4000000000001</v>
      </c>
      <c r="GN287">
        <f>IF(OR(BI287=0,BI287=1),ROUND(O287+X287+Y287+GK287,2),0)</f>
        <v>0</v>
      </c>
      <c r="GO287">
        <f>IF(BI287=2,ROUND(O287+X287+Y287+GK287,2),0)</f>
        <v>1222.4000000000001</v>
      </c>
      <c r="GP287">
        <f>IF(BI287=4,ROUND(O287+X287+Y287+GK287,2)+GX287,0)</f>
        <v>0</v>
      </c>
      <c r="GR287">
        <v>0</v>
      </c>
      <c r="GS287">
        <v>3</v>
      </c>
      <c r="GT287">
        <v>0</v>
      </c>
      <c r="GU287" t="s">
        <v>6</v>
      </c>
      <c r="GV287">
        <f>ROUND(GT287,2)</f>
        <v>0</v>
      </c>
      <c r="GW287">
        <v>1</v>
      </c>
      <c r="GX287">
        <f>ROUND(GV287*GW287*I287,2)</f>
        <v>0</v>
      </c>
      <c r="HA287">
        <v>0</v>
      </c>
      <c r="HB287">
        <v>0</v>
      </c>
      <c r="IK287">
        <v>0</v>
      </c>
    </row>
    <row r="288" spans="1:245" x14ac:dyDescent="0.2">
      <c r="A288">
        <v>17</v>
      </c>
      <c r="B288">
        <v>1</v>
      </c>
      <c r="C288">
        <f>ROW(SmtRes!A462)</f>
        <v>462</v>
      </c>
      <c r="D288">
        <f>ROW(EtalonRes!A435)</f>
        <v>435</v>
      </c>
      <c r="E288" t="s">
        <v>697</v>
      </c>
      <c r="F288" t="s">
        <v>698</v>
      </c>
      <c r="G288" t="s">
        <v>699</v>
      </c>
      <c r="H288" t="s">
        <v>56</v>
      </c>
      <c r="I288">
        <v>2</v>
      </c>
      <c r="J288">
        <v>0</v>
      </c>
      <c r="O288">
        <f>ROUND(CP288,2)</f>
        <v>107.19</v>
      </c>
      <c r="P288">
        <f>ROUND(CQ288*I288,2)</f>
        <v>0</v>
      </c>
      <c r="Q288">
        <f>ROUND(CR288*I288,2)</f>
        <v>69.930000000000007</v>
      </c>
      <c r="R288">
        <f>ROUND(CS288*I288,2)</f>
        <v>9.84</v>
      </c>
      <c r="S288">
        <f>ROUND(CT288*I288,2)</f>
        <v>37.26</v>
      </c>
      <c r="T288">
        <f>ROUND(CU288*I288,2)</f>
        <v>0</v>
      </c>
      <c r="U288">
        <f>CV288*I288</f>
        <v>0.54</v>
      </c>
      <c r="V288">
        <f>CW288*I288</f>
        <v>0.12</v>
      </c>
      <c r="W288">
        <f>ROUND(CX288*I288,2)</f>
        <v>0</v>
      </c>
      <c r="X288">
        <f t="shared" si="261"/>
        <v>44.75</v>
      </c>
      <c r="Y288">
        <f t="shared" si="261"/>
        <v>30.62</v>
      </c>
      <c r="AA288">
        <v>16742901</v>
      </c>
      <c r="AB288">
        <f>ROUND((AC288+AD288+AF288),2)</f>
        <v>8.17</v>
      </c>
      <c r="AC288">
        <f>ROUND(((ES288*0)),2)</f>
        <v>0</v>
      </c>
      <c r="AD288">
        <f>ROUND(((((ET288*0.3))-((EU288*0.3)))+AE288),2)</f>
        <v>5.33</v>
      </c>
      <c r="AE288">
        <f>ROUND(((EU288*0.3)),2)</f>
        <v>0.75</v>
      </c>
      <c r="AF288">
        <f>ROUND(((EV288*0.3)),2)</f>
        <v>2.84</v>
      </c>
      <c r="AG288">
        <f>ROUND((AP288),2)</f>
        <v>0</v>
      </c>
      <c r="AH288">
        <f>((EW288*0.3))</f>
        <v>0.27</v>
      </c>
      <c r="AI288">
        <f>((EX288*0.3))</f>
        <v>0.06</v>
      </c>
      <c r="AJ288">
        <f>ROUND((AS288),2)</f>
        <v>0</v>
      </c>
      <c r="AK288">
        <v>33.42</v>
      </c>
      <c r="AL288">
        <v>6.2</v>
      </c>
      <c r="AM288">
        <v>17.77</v>
      </c>
      <c r="AN288">
        <v>2.5099999999999998</v>
      </c>
      <c r="AO288">
        <v>9.4499999999999993</v>
      </c>
      <c r="AP288">
        <v>0</v>
      </c>
      <c r="AQ288">
        <v>0.9</v>
      </c>
      <c r="AR288">
        <v>0.2</v>
      </c>
      <c r="AS288">
        <v>0</v>
      </c>
      <c r="AT288">
        <v>95</v>
      </c>
      <c r="AU288">
        <v>65</v>
      </c>
      <c r="AV288">
        <v>1</v>
      </c>
      <c r="AW288">
        <v>1</v>
      </c>
      <c r="AZ288">
        <v>6.56</v>
      </c>
      <c r="BA288">
        <v>6.56</v>
      </c>
      <c r="BB288">
        <v>6.56</v>
      </c>
      <c r="BC288">
        <v>6.56</v>
      </c>
      <c r="BD288" t="s">
        <v>6</v>
      </c>
      <c r="BE288" t="s">
        <v>6</v>
      </c>
      <c r="BF288" t="s">
        <v>6</v>
      </c>
      <c r="BG288" t="s">
        <v>6</v>
      </c>
      <c r="BH288">
        <v>0</v>
      </c>
      <c r="BI288">
        <v>2</v>
      </c>
      <c r="BJ288" t="s">
        <v>700</v>
      </c>
      <c r="BM288">
        <v>108001</v>
      </c>
      <c r="BN288">
        <v>0</v>
      </c>
      <c r="BO288" t="s">
        <v>6</v>
      </c>
      <c r="BP288">
        <v>0</v>
      </c>
      <c r="BQ288">
        <v>3</v>
      </c>
      <c r="BR288">
        <v>0</v>
      </c>
      <c r="BS288">
        <v>6.56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95</v>
      </c>
      <c r="CA288">
        <v>65</v>
      </c>
      <c r="CF288">
        <v>0</v>
      </c>
      <c r="CG288">
        <v>0</v>
      </c>
      <c r="CM288">
        <v>0</v>
      </c>
      <c r="CN288" t="s">
        <v>1901</v>
      </c>
      <c r="CO288">
        <v>0</v>
      </c>
      <c r="CP288">
        <f>(P288+Q288+S288)</f>
        <v>107.19</v>
      </c>
      <c r="CQ288">
        <f>AC288*BC288</f>
        <v>0</v>
      </c>
      <c r="CR288">
        <f>AD288*BB288</f>
        <v>34.964799999999997</v>
      </c>
      <c r="CS288">
        <f>AE288*BS288</f>
        <v>4.92</v>
      </c>
      <c r="CT288">
        <f>AF288*BA288</f>
        <v>18.630399999999998</v>
      </c>
      <c r="CU288">
        <f t="shared" si="264"/>
        <v>0</v>
      </c>
      <c r="CV288">
        <f t="shared" si="264"/>
        <v>0.27</v>
      </c>
      <c r="CW288">
        <f t="shared" si="264"/>
        <v>0.06</v>
      </c>
      <c r="CX288">
        <f t="shared" si="264"/>
        <v>0</v>
      </c>
      <c r="CY288">
        <f>(((S288+R288)*AT288)/100)</f>
        <v>44.74499999999999</v>
      </c>
      <c r="CZ288">
        <f>(((S288+R288)*AU288)/100)</f>
        <v>30.614999999999995</v>
      </c>
      <c r="DC288" t="s">
        <v>6</v>
      </c>
      <c r="DD288" t="s">
        <v>48</v>
      </c>
      <c r="DE288" t="s">
        <v>82</v>
      </c>
      <c r="DF288" t="s">
        <v>82</v>
      </c>
      <c r="DG288" t="s">
        <v>82</v>
      </c>
      <c r="DH288" t="s">
        <v>6</v>
      </c>
      <c r="DI288" t="s">
        <v>82</v>
      </c>
      <c r="DJ288" t="s">
        <v>82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1013</v>
      </c>
      <c r="DV288" t="s">
        <v>56</v>
      </c>
      <c r="DW288" t="s">
        <v>56</v>
      </c>
      <c r="DX288">
        <v>1</v>
      </c>
      <c r="EE288">
        <v>16510370</v>
      </c>
      <c r="EF288">
        <v>3</v>
      </c>
      <c r="EG288" t="s">
        <v>83</v>
      </c>
      <c r="EH288">
        <v>0</v>
      </c>
      <c r="EI288" t="s">
        <v>6</v>
      </c>
      <c r="EJ288">
        <v>2</v>
      </c>
      <c r="EK288">
        <v>108001</v>
      </c>
      <c r="EL288" t="s">
        <v>84</v>
      </c>
      <c r="EM288" t="s">
        <v>85</v>
      </c>
      <c r="EO288" t="s">
        <v>86</v>
      </c>
      <c r="EQ288">
        <v>131072</v>
      </c>
      <c r="ER288">
        <v>33.42</v>
      </c>
      <c r="ES288">
        <v>6.2</v>
      </c>
      <c r="ET288">
        <v>17.77</v>
      </c>
      <c r="EU288">
        <v>2.5099999999999998</v>
      </c>
      <c r="EV288">
        <v>9.4499999999999993</v>
      </c>
      <c r="EW288">
        <v>0.9</v>
      </c>
      <c r="EX288">
        <v>0.2</v>
      </c>
      <c r="EY288">
        <v>0</v>
      </c>
      <c r="FQ288">
        <v>0</v>
      </c>
      <c r="FR288">
        <f>ROUND(IF(AND(BH288=3,BI288=3),P288,0),2)</f>
        <v>0</v>
      </c>
      <c r="FS288">
        <v>0</v>
      </c>
      <c r="FX288">
        <v>95</v>
      </c>
      <c r="FY288">
        <v>65</v>
      </c>
      <c r="GA288" t="s">
        <v>6</v>
      </c>
      <c r="GD288">
        <v>0</v>
      </c>
      <c r="GF288">
        <v>-906572006</v>
      </c>
      <c r="GG288">
        <v>1</v>
      </c>
      <c r="GH288">
        <v>1</v>
      </c>
      <c r="GI288">
        <v>4</v>
      </c>
      <c r="GJ288">
        <v>0</v>
      </c>
      <c r="GK288">
        <f>ROUND(R288*(R12)/100,2)</f>
        <v>0</v>
      </c>
      <c r="GL288">
        <f>ROUND(IF(AND(BH288=3,BI288=3,FS288&lt;&gt;0),P288,0),2)</f>
        <v>0</v>
      </c>
      <c r="GM288">
        <f>ROUND(O288+X288+Y288+GK288,2)+GX288</f>
        <v>182.56</v>
      </c>
      <c r="GN288">
        <f>IF(OR(BI288=0,BI288=1),ROUND(O288+X288+Y288+GK288,2),0)</f>
        <v>0</v>
      </c>
      <c r="GO288">
        <f>IF(BI288=2,ROUND(O288+X288+Y288+GK288,2),0)</f>
        <v>182.56</v>
      </c>
      <c r="GP288">
        <f>IF(BI288=4,ROUND(O288+X288+Y288+GK288,2)+GX288,0)</f>
        <v>0</v>
      </c>
      <c r="GR288">
        <v>0</v>
      </c>
      <c r="GS288">
        <v>3</v>
      </c>
      <c r="GT288">
        <v>0</v>
      </c>
      <c r="GU288" t="s">
        <v>6</v>
      </c>
      <c r="GV288">
        <f>ROUND(GT288,2)</f>
        <v>0</v>
      </c>
      <c r="GW288">
        <v>1</v>
      </c>
      <c r="GX288">
        <f>ROUND(GV288*GW288*I288,2)</f>
        <v>0</v>
      </c>
      <c r="HA288">
        <v>0</v>
      </c>
      <c r="HB288">
        <v>0</v>
      </c>
      <c r="IK288">
        <v>0</v>
      </c>
    </row>
    <row r="290" spans="1:206" x14ac:dyDescent="0.2">
      <c r="A290" s="2">
        <v>51</v>
      </c>
      <c r="B290" s="2">
        <f>B280</f>
        <v>1</v>
      </c>
      <c r="C290" s="2">
        <f>A280</f>
        <v>5</v>
      </c>
      <c r="D290" s="2">
        <f>ROW(A280)</f>
        <v>280</v>
      </c>
      <c r="E290" s="2"/>
      <c r="F290" s="2" t="str">
        <f>IF(F280&lt;&gt;"",F280,"")</f>
        <v>Новый подраздел</v>
      </c>
      <c r="G290" s="2" t="str">
        <f>IF(G280&lt;&gt;"",G280,"")</f>
        <v>1Демонтаж</v>
      </c>
      <c r="H290" s="2">
        <v>0</v>
      </c>
      <c r="I290" s="2"/>
      <c r="J290" s="2"/>
      <c r="K290" s="2"/>
      <c r="L290" s="2"/>
      <c r="M290" s="2"/>
      <c r="N290" s="2"/>
      <c r="O290" s="2">
        <f t="shared" ref="O290:T290" si="265">ROUND(AB290,2)</f>
        <v>2529.75</v>
      </c>
      <c r="P290" s="2">
        <f t="shared" si="265"/>
        <v>0</v>
      </c>
      <c r="Q290" s="2">
        <f t="shared" si="265"/>
        <v>87.37</v>
      </c>
      <c r="R290" s="2">
        <f t="shared" si="265"/>
        <v>17.47</v>
      </c>
      <c r="S290" s="2">
        <f t="shared" si="265"/>
        <v>2442.38</v>
      </c>
      <c r="T290" s="2">
        <f t="shared" si="265"/>
        <v>0</v>
      </c>
      <c r="U290" s="2">
        <f>AH290</f>
        <v>45.530779999999993</v>
      </c>
      <c r="V290" s="2">
        <f>AI290</f>
        <v>0.20541999999999999</v>
      </c>
      <c r="W290" s="2">
        <f>ROUND(AJ290,2)</f>
        <v>0</v>
      </c>
      <c r="X290" s="2">
        <f>ROUND(AK290,2)</f>
        <v>2142.58</v>
      </c>
      <c r="Y290" s="2">
        <f>ROUND(AL290,2)</f>
        <v>1598.91</v>
      </c>
      <c r="Z290" s="2"/>
      <c r="AA290" s="2"/>
      <c r="AB290" s="2">
        <f>ROUND(SUMIF(AA284:AA288,"=16742901",O284:O288),2)</f>
        <v>2529.75</v>
      </c>
      <c r="AC290" s="2">
        <f>ROUND(SUMIF(AA284:AA288,"=16742901",P284:P288),2)</f>
        <v>0</v>
      </c>
      <c r="AD290" s="2">
        <f>ROUND(SUMIF(AA284:AA288,"=16742901",Q284:Q288),2)</f>
        <v>87.37</v>
      </c>
      <c r="AE290" s="2">
        <f>ROUND(SUMIF(AA284:AA288,"=16742901",R284:R288),2)</f>
        <v>17.47</v>
      </c>
      <c r="AF290" s="2">
        <f>ROUND(SUMIF(AA284:AA288,"=16742901",S284:S288),2)</f>
        <v>2442.38</v>
      </c>
      <c r="AG290" s="2">
        <f>ROUND(SUMIF(AA284:AA288,"=16742901",T284:T288),2)</f>
        <v>0</v>
      </c>
      <c r="AH290" s="2">
        <f>SUMIF(AA284:AA288,"=16742901",U284:U288)</f>
        <v>45.530779999999993</v>
      </c>
      <c r="AI290" s="2">
        <f>SUMIF(AA284:AA288,"=16742901",V284:V288)</f>
        <v>0.20541999999999999</v>
      </c>
      <c r="AJ290" s="2">
        <f>ROUND(SUMIF(AA284:AA288,"=16742901",W284:W288),2)</f>
        <v>0</v>
      </c>
      <c r="AK290" s="2">
        <f>ROUND(SUMIF(AA284:AA288,"=16742901",X284:X288),2)</f>
        <v>2142.58</v>
      </c>
      <c r="AL290" s="2">
        <f>ROUND(SUMIF(AA284:AA288,"=16742901",Y284:Y288),2)</f>
        <v>1598.91</v>
      </c>
      <c r="AM290" s="2"/>
      <c r="AN290" s="2"/>
      <c r="AO290" s="2">
        <f t="shared" ref="AO290:BC290" si="266">ROUND(BX290,2)</f>
        <v>0</v>
      </c>
      <c r="AP290" s="2">
        <f t="shared" si="266"/>
        <v>0</v>
      </c>
      <c r="AQ290" s="2">
        <f t="shared" si="266"/>
        <v>0</v>
      </c>
      <c r="AR290" s="2">
        <f t="shared" si="266"/>
        <v>6271.24</v>
      </c>
      <c r="AS290" s="2">
        <f t="shared" si="266"/>
        <v>4866.28</v>
      </c>
      <c r="AT290" s="2">
        <f t="shared" si="266"/>
        <v>1404.96</v>
      </c>
      <c r="AU290" s="2">
        <f t="shared" si="266"/>
        <v>0</v>
      </c>
      <c r="AV290" s="2">
        <f t="shared" si="266"/>
        <v>0</v>
      </c>
      <c r="AW290" s="2">
        <f t="shared" si="266"/>
        <v>0</v>
      </c>
      <c r="AX290" s="2">
        <f t="shared" si="266"/>
        <v>0</v>
      </c>
      <c r="AY290" s="2">
        <f t="shared" si="266"/>
        <v>0</v>
      </c>
      <c r="AZ290" s="2">
        <f t="shared" si="266"/>
        <v>0</v>
      </c>
      <c r="BA290" s="2">
        <f t="shared" si="266"/>
        <v>0</v>
      </c>
      <c r="BB290" s="2">
        <f t="shared" si="266"/>
        <v>0</v>
      </c>
      <c r="BC290" s="2">
        <f t="shared" si="266"/>
        <v>0</v>
      </c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>
        <f>ROUND(SUMIF(AA284:AA288,"=16742901",FQ284:FQ288),2)</f>
        <v>0</v>
      </c>
      <c r="BY290" s="2">
        <f>ROUND(SUMIF(AA284:AA288,"=16742901",FR284:FR288),2)</f>
        <v>0</v>
      </c>
      <c r="BZ290" s="2">
        <f>ROUND(SUMIF(AA284:AA288,"=16742901",GL284:GL288),2)</f>
        <v>0</v>
      </c>
      <c r="CA290" s="2">
        <f>ROUND(SUMIF(AA284:AA288,"=16742901",GM284:GM288),2)</f>
        <v>6271.24</v>
      </c>
      <c r="CB290" s="2">
        <f>ROUND(SUMIF(AA284:AA288,"=16742901",GN284:GN288),2)</f>
        <v>4866.28</v>
      </c>
      <c r="CC290" s="2">
        <f>ROUND(SUMIF(AA284:AA288,"=16742901",GO284:GO288),2)</f>
        <v>1404.96</v>
      </c>
      <c r="CD290" s="2">
        <f>ROUND(SUMIF(AA284:AA288,"=16742901",GP284:GP288),2)</f>
        <v>0</v>
      </c>
      <c r="CE290" s="2">
        <f>AC290-BX290</f>
        <v>0</v>
      </c>
      <c r="CF290" s="2">
        <f>AC290-BY290</f>
        <v>0</v>
      </c>
      <c r="CG290" s="2">
        <f>BX290-BZ290</f>
        <v>0</v>
      </c>
      <c r="CH290" s="2">
        <f>AC290-BX290-BY290+BZ290</f>
        <v>0</v>
      </c>
      <c r="CI290" s="2">
        <f>BY290-BZ290</f>
        <v>0</v>
      </c>
      <c r="CJ290" s="2">
        <f>ROUND(SUMIF(AA284:AA288,"=16742901",GX284:GX288),2)</f>
        <v>0</v>
      </c>
      <c r="CK290" s="2">
        <f>ROUND(SUMIF(AA284:AA288,"=16742901",GY284:GY288),2)</f>
        <v>0</v>
      </c>
      <c r="CL290" s="2">
        <f>ROUND(SUMIF(AA284:AA288,"=16742901",GZ284:GZ288),2)</f>
        <v>0</v>
      </c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3"/>
      <c r="EF290" s="3"/>
      <c r="EG290" s="3"/>
      <c r="EH290" s="3"/>
      <c r="EI290" s="3"/>
      <c r="EJ290" s="3"/>
      <c r="EK290" s="3"/>
      <c r="EL290" s="3"/>
      <c r="EM290" s="3"/>
      <c r="EN290" s="3"/>
      <c r="EO290" s="3"/>
      <c r="EP290" s="3"/>
      <c r="EQ290" s="3"/>
      <c r="ER290" s="3"/>
      <c r="ES290" s="3"/>
      <c r="ET290" s="3"/>
      <c r="EU290" s="3"/>
      <c r="EV290" s="3"/>
      <c r="EW290" s="3"/>
      <c r="EX290" s="3"/>
      <c r="EY290" s="3"/>
      <c r="EZ290" s="3"/>
      <c r="FA290" s="3"/>
      <c r="FB290" s="3"/>
      <c r="FC290" s="3"/>
      <c r="FD290" s="3"/>
      <c r="FE290" s="3"/>
      <c r="FF290" s="3"/>
      <c r="FG290" s="3"/>
      <c r="FH290" s="3"/>
      <c r="FI290" s="3"/>
      <c r="FJ290" s="3"/>
      <c r="FK290" s="3"/>
      <c r="FL290" s="3"/>
      <c r="FM290" s="3"/>
      <c r="FN290" s="3"/>
      <c r="FO290" s="3"/>
      <c r="FP290" s="3"/>
      <c r="FQ290" s="3"/>
      <c r="FR290" s="3"/>
      <c r="FS290" s="3"/>
      <c r="FT290" s="3"/>
      <c r="FU290" s="3"/>
      <c r="FV290" s="3"/>
      <c r="FW290" s="3"/>
      <c r="FX290" s="3"/>
      <c r="FY290" s="3"/>
      <c r="FZ290" s="3"/>
      <c r="GA290" s="3"/>
      <c r="GB290" s="3"/>
      <c r="GC290" s="3"/>
      <c r="GD290" s="3"/>
      <c r="GE290" s="3"/>
      <c r="GF290" s="3"/>
      <c r="GG290" s="3"/>
      <c r="GH290" s="3"/>
      <c r="GI290" s="3"/>
      <c r="GJ290" s="3"/>
      <c r="GK290" s="3"/>
      <c r="GL290" s="3"/>
      <c r="GM290" s="3"/>
      <c r="GN290" s="3"/>
      <c r="GO290" s="3"/>
      <c r="GP290" s="3"/>
      <c r="GQ290" s="3"/>
      <c r="GR290" s="3"/>
      <c r="GS290" s="3"/>
      <c r="GT290" s="3"/>
      <c r="GU290" s="3"/>
      <c r="GV290" s="3"/>
      <c r="GW290" s="3"/>
      <c r="GX290" s="3">
        <v>0</v>
      </c>
    </row>
    <row r="292" spans="1:206" x14ac:dyDescent="0.2">
      <c r="A292" s="4">
        <v>50</v>
      </c>
      <c r="B292" s="4">
        <v>0</v>
      </c>
      <c r="C292" s="4">
        <v>0</v>
      </c>
      <c r="D292" s="4">
        <v>1</v>
      </c>
      <c r="E292" s="4">
        <v>201</v>
      </c>
      <c r="F292" s="4">
        <f>ROUND(Source!O290,O292)</f>
        <v>2529.75</v>
      </c>
      <c r="G292" s="4" t="s">
        <v>130</v>
      </c>
      <c r="H292" s="4" t="s">
        <v>131</v>
      </c>
      <c r="I292" s="4"/>
      <c r="J292" s="4"/>
      <c r="K292" s="4">
        <v>201</v>
      </c>
      <c r="L292" s="4">
        <v>1</v>
      </c>
      <c r="M292" s="4">
        <v>3</v>
      </c>
      <c r="N292" s="4" t="s">
        <v>6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06" x14ac:dyDescent="0.2">
      <c r="A293" s="4">
        <v>50</v>
      </c>
      <c r="B293" s="4">
        <v>0</v>
      </c>
      <c r="C293" s="4">
        <v>0</v>
      </c>
      <c r="D293" s="4">
        <v>1</v>
      </c>
      <c r="E293" s="4">
        <v>202</v>
      </c>
      <c r="F293" s="4">
        <f>ROUND(Source!P290,O293)</f>
        <v>0</v>
      </c>
      <c r="G293" s="4" t="s">
        <v>132</v>
      </c>
      <c r="H293" s="4" t="s">
        <v>133</v>
      </c>
      <c r="I293" s="4"/>
      <c r="J293" s="4"/>
      <c r="K293" s="4">
        <v>202</v>
      </c>
      <c r="L293" s="4">
        <v>2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06" x14ac:dyDescent="0.2">
      <c r="A294" s="4">
        <v>50</v>
      </c>
      <c r="B294" s="4">
        <v>0</v>
      </c>
      <c r="C294" s="4">
        <v>0</v>
      </c>
      <c r="D294" s="4">
        <v>1</v>
      </c>
      <c r="E294" s="4">
        <v>222</v>
      </c>
      <c r="F294" s="4">
        <f>ROUND(Source!AO290,O294)</f>
        <v>0</v>
      </c>
      <c r="G294" s="4" t="s">
        <v>134</v>
      </c>
      <c r="H294" s="4" t="s">
        <v>135</v>
      </c>
      <c r="I294" s="4"/>
      <c r="J294" s="4"/>
      <c r="K294" s="4">
        <v>222</v>
      </c>
      <c r="L294" s="4">
        <v>3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06" x14ac:dyDescent="0.2">
      <c r="A295" s="4">
        <v>50</v>
      </c>
      <c r="B295" s="4">
        <v>0</v>
      </c>
      <c r="C295" s="4">
        <v>0</v>
      </c>
      <c r="D295" s="4">
        <v>1</v>
      </c>
      <c r="E295" s="4">
        <v>225</v>
      </c>
      <c r="F295" s="4">
        <f>ROUND(Source!AV290,O295)</f>
        <v>0</v>
      </c>
      <c r="G295" s="4" t="s">
        <v>136</v>
      </c>
      <c r="H295" s="4" t="s">
        <v>137</v>
      </c>
      <c r="I295" s="4"/>
      <c r="J295" s="4"/>
      <c r="K295" s="4">
        <v>225</v>
      </c>
      <c r="L295" s="4">
        <v>4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06" x14ac:dyDescent="0.2">
      <c r="A296" s="4">
        <v>50</v>
      </c>
      <c r="B296" s="4">
        <v>0</v>
      </c>
      <c r="C296" s="4">
        <v>0</v>
      </c>
      <c r="D296" s="4">
        <v>1</v>
      </c>
      <c r="E296" s="4">
        <v>226</v>
      </c>
      <c r="F296" s="4">
        <f>ROUND(Source!AW290,O296)</f>
        <v>0</v>
      </c>
      <c r="G296" s="4" t="s">
        <v>138</v>
      </c>
      <c r="H296" s="4" t="s">
        <v>139</v>
      </c>
      <c r="I296" s="4"/>
      <c r="J296" s="4"/>
      <c r="K296" s="4">
        <v>226</v>
      </c>
      <c r="L296" s="4">
        <v>5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06" x14ac:dyDescent="0.2">
      <c r="A297" s="4">
        <v>50</v>
      </c>
      <c r="B297" s="4">
        <v>0</v>
      </c>
      <c r="C297" s="4">
        <v>0</v>
      </c>
      <c r="D297" s="4">
        <v>1</v>
      </c>
      <c r="E297" s="4">
        <v>227</v>
      </c>
      <c r="F297" s="4">
        <f>ROUND(Source!AX290,O297)</f>
        <v>0</v>
      </c>
      <c r="G297" s="4" t="s">
        <v>140</v>
      </c>
      <c r="H297" s="4" t="s">
        <v>141</v>
      </c>
      <c r="I297" s="4"/>
      <c r="J297" s="4"/>
      <c r="K297" s="4">
        <v>227</v>
      </c>
      <c r="L297" s="4">
        <v>6</v>
      </c>
      <c r="M297" s="4">
        <v>3</v>
      </c>
      <c r="N297" s="4" t="s">
        <v>6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06" x14ac:dyDescent="0.2">
      <c r="A298" s="4">
        <v>50</v>
      </c>
      <c r="B298" s="4">
        <v>0</v>
      </c>
      <c r="C298" s="4">
        <v>0</v>
      </c>
      <c r="D298" s="4">
        <v>1</v>
      </c>
      <c r="E298" s="4">
        <v>228</v>
      </c>
      <c r="F298" s="4">
        <f>ROUND(Source!AY290,O298)</f>
        <v>0</v>
      </c>
      <c r="G298" s="4" t="s">
        <v>142</v>
      </c>
      <c r="H298" s="4" t="s">
        <v>143</v>
      </c>
      <c r="I298" s="4"/>
      <c r="J298" s="4"/>
      <c r="K298" s="4">
        <v>228</v>
      </c>
      <c r="L298" s="4">
        <v>7</v>
      </c>
      <c r="M298" s="4">
        <v>3</v>
      </c>
      <c r="N298" s="4" t="s">
        <v>6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06" x14ac:dyDescent="0.2">
      <c r="A299" s="4">
        <v>50</v>
      </c>
      <c r="B299" s="4">
        <v>0</v>
      </c>
      <c r="C299" s="4">
        <v>0</v>
      </c>
      <c r="D299" s="4">
        <v>1</v>
      </c>
      <c r="E299" s="4">
        <v>216</v>
      </c>
      <c r="F299" s="4">
        <f>ROUND(Source!AP290,O299)</f>
        <v>0</v>
      </c>
      <c r="G299" s="4" t="s">
        <v>144</v>
      </c>
      <c r="H299" s="4" t="s">
        <v>145</v>
      </c>
      <c r="I299" s="4"/>
      <c r="J299" s="4"/>
      <c r="K299" s="4">
        <v>216</v>
      </c>
      <c r="L299" s="4">
        <v>8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06" x14ac:dyDescent="0.2">
      <c r="A300" s="4">
        <v>50</v>
      </c>
      <c r="B300" s="4">
        <v>0</v>
      </c>
      <c r="C300" s="4">
        <v>0</v>
      </c>
      <c r="D300" s="4">
        <v>1</v>
      </c>
      <c r="E300" s="4">
        <v>223</v>
      </c>
      <c r="F300" s="4">
        <f>ROUND(Source!AQ290,O300)</f>
        <v>0</v>
      </c>
      <c r="G300" s="4" t="s">
        <v>146</v>
      </c>
      <c r="H300" s="4" t="s">
        <v>147</v>
      </c>
      <c r="I300" s="4"/>
      <c r="J300" s="4"/>
      <c r="K300" s="4">
        <v>223</v>
      </c>
      <c r="L300" s="4">
        <v>9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06" x14ac:dyDescent="0.2">
      <c r="A301" s="4">
        <v>50</v>
      </c>
      <c r="B301" s="4">
        <v>0</v>
      </c>
      <c r="C301" s="4">
        <v>0</v>
      </c>
      <c r="D301" s="4">
        <v>1</v>
      </c>
      <c r="E301" s="4">
        <v>229</v>
      </c>
      <c r="F301" s="4">
        <f>ROUND(Source!AZ290,O301)</f>
        <v>0</v>
      </c>
      <c r="G301" s="4" t="s">
        <v>148</v>
      </c>
      <c r="H301" s="4" t="s">
        <v>149</v>
      </c>
      <c r="I301" s="4"/>
      <c r="J301" s="4"/>
      <c r="K301" s="4">
        <v>229</v>
      </c>
      <c r="L301" s="4">
        <v>10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06" x14ac:dyDescent="0.2">
      <c r="A302" s="4">
        <v>50</v>
      </c>
      <c r="B302" s="4">
        <v>0</v>
      </c>
      <c r="C302" s="4">
        <v>0</v>
      </c>
      <c r="D302" s="4">
        <v>1</v>
      </c>
      <c r="E302" s="4">
        <v>203</v>
      </c>
      <c r="F302" s="4">
        <f>ROUND(Source!Q290,O302)</f>
        <v>87.37</v>
      </c>
      <c r="G302" s="4" t="s">
        <v>150</v>
      </c>
      <c r="H302" s="4" t="s">
        <v>151</v>
      </c>
      <c r="I302" s="4"/>
      <c r="J302" s="4"/>
      <c r="K302" s="4">
        <v>203</v>
      </c>
      <c r="L302" s="4">
        <v>11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06" x14ac:dyDescent="0.2">
      <c r="A303" s="4">
        <v>50</v>
      </c>
      <c r="B303" s="4">
        <v>0</v>
      </c>
      <c r="C303" s="4">
        <v>0</v>
      </c>
      <c r="D303" s="4">
        <v>1</v>
      </c>
      <c r="E303" s="4">
        <v>231</v>
      </c>
      <c r="F303" s="4">
        <f>ROUND(Source!BB290,O303)</f>
        <v>0</v>
      </c>
      <c r="G303" s="4" t="s">
        <v>152</v>
      </c>
      <c r="H303" s="4" t="s">
        <v>153</v>
      </c>
      <c r="I303" s="4"/>
      <c r="J303" s="4"/>
      <c r="K303" s="4">
        <v>231</v>
      </c>
      <c r="L303" s="4">
        <v>12</v>
      </c>
      <c r="M303" s="4">
        <v>3</v>
      </c>
      <c r="N303" s="4" t="s">
        <v>6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06" x14ac:dyDescent="0.2">
      <c r="A304" s="4">
        <v>50</v>
      </c>
      <c r="B304" s="4">
        <v>0</v>
      </c>
      <c r="C304" s="4">
        <v>0</v>
      </c>
      <c r="D304" s="4">
        <v>1</v>
      </c>
      <c r="E304" s="4">
        <v>204</v>
      </c>
      <c r="F304" s="4">
        <f>ROUND(Source!R290,O304)</f>
        <v>17.47</v>
      </c>
      <c r="G304" s="4" t="s">
        <v>154</v>
      </c>
      <c r="H304" s="4" t="s">
        <v>155</v>
      </c>
      <c r="I304" s="4"/>
      <c r="J304" s="4"/>
      <c r="K304" s="4">
        <v>204</v>
      </c>
      <c r="L304" s="4">
        <v>13</v>
      </c>
      <c r="M304" s="4">
        <v>3</v>
      </c>
      <c r="N304" s="4" t="s">
        <v>6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88" x14ac:dyDescent="0.2">
      <c r="A305" s="4">
        <v>50</v>
      </c>
      <c r="B305" s="4">
        <v>0</v>
      </c>
      <c r="C305" s="4">
        <v>0</v>
      </c>
      <c r="D305" s="4">
        <v>1</v>
      </c>
      <c r="E305" s="4">
        <v>205</v>
      </c>
      <c r="F305" s="4">
        <f>ROUND(Source!S290,O305)</f>
        <v>2442.38</v>
      </c>
      <c r="G305" s="4" t="s">
        <v>156</v>
      </c>
      <c r="H305" s="4" t="s">
        <v>157</v>
      </c>
      <c r="I305" s="4"/>
      <c r="J305" s="4"/>
      <c r="K305" s="4">
        <v>205</v>
      </c>
      <c r="L305" s="4">
        <v>14</v>
      </c>
      <c r="M305" s="4">
        <v>3</v>
      </c>
      <c r="N305" s="4" t="s">
        <v>6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88" x14ac:dyDescent="0.2">
      <c r="A306" s="4">
        <v>50</v>
      </c>
      <c r="B306" s="4">
        <v>0</v>
      </c>
      <c r="C306" s="4">
        <v>0</v>
      </c>
      <c r="D306" s="4">
        <v>1</v>
      </c>
      <c r="E306" s="4">
        <v>232</v>
      </c>
      <c r="F306" s="4">
        <f>ROUND(Source!BC290,O306)</f>
        <v>0</v>
      </c>
      <c r="G306" s="4" t="s">
        <v>158</v>
      </c>
      <c r="H306" s="4" t="s">
        <v>159</v>
      </c>
      <c r="I306" s="4"/>
      <c r="J306" s="4"/>
      <c r="K306" s="4">
        <v>232</v>
      </c>
      <c r="L306" s="4">
        <v>15</v>
      </c>
      <c r="M306" s="4">
        <v>3</v>
      </c>
      <c r="N306" s="4" t="s">
        <v>6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88" x14ac:dyDescent="0.2">
      <c r="A307" s="4">
        <v>50</v>
      </c>
      <c r="B307" s="4">
        <v>0</v>
      </c>
      <c r="C307" s="4">
        <v>0</v>
      </c>
      <c r="D307" s="4">
        <v>1</v>
      </c>
      <c r="E307" s="4">
        <v>214</v>
      </c>
      <c r="F307" s="4">
        <f>ROUND(Source!AS290,O307)</f>
        <v>4866.28</v>
      </c>
      <c r="G307" s="4" t="s">
        <v>160</v>
      </c>
      <c r="H307" s="4" t="s">
        <v>161</v>
      </c>
      <c r="I307" s="4"/>
      <c r="J307" s="4"/>
      <c r="K307" s="4">
        <v>214</v>
      </c>
      <c r="L307" s="4">
        <v>16</v>
      </c>
      <c r="M307" s="4">
        <v>3</v>
      </c>
      <c r="N307" s="4" t="s">
        <v>6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88" x14ac:dyDescent="0.2">
      <c r="A308" s="4">
        <v>50</v>
      </c>
      <c r="B308" s="4">
        <v>0</v>
      </c>
      <c r="C308" s="4">
        <v>0</v>
      </c>
      <c r="D308" s="4">
        <v>1</v>
      </c>
      <c r="E308" s="4">
        <v>215</v>
      </c>
      <c r="F308" s="4">
        <f>ROUND(Source!AT290,O308)</f>
        <v>1404.96</v>
      </c>
      <c r="G308" s="4" t="s">
        <v>162</v>
      </c>
      <c r="H308" s="4" t="s">
        <v>163</v>
      </c>
      <c r="I308" s="4"/>
      <c r="J308" s="4"/>
      <c r="K308" s="4">
        <v>215</v>
      </c>
      <c r="L308" s="4">
        <v>17</v>
      </c>
      <c r="M308" s="4">
        <v>3</v>
      </c>
      <c r="N308" s="4" t="s">
        <v>6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88" x14ac:dyDescent="0.2">
      <c r="A309" s="4">
        <v>50</v>
      </c>
      <c r="B309" s="4">
        <v>0</v>
      </c>
      <c r="C309" s="4">
        <v>0</v>
      </c>
      <c r="D309" s="4">
        <v>1</v>
      </c>
      <c r="E309" s="4">
        <v>217</v>
      </c>
      <c r="F309" s="4">
        <f>ROUND(Source!AU290,O309)</f>
        <v>0</v>
      </c>
      <c r="G309" s="4" t="s">
        <v>164</v>
      </c>
      <c r="H309" s="4" t="s">
        <v>165</v>
      </c>
      <c r="I309" s="4"/>
      <c r="J309" s="4"/>
      <c r="K309" s="4">
        <v>217</v>
      </c>
      <c r="L309" s="4">
        <v>18</v>
      </c>
      <c r="M309" s="4">
        <v>3</v>
      </c>
      <c r="N309" s="4" t="s">
        <v>6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88" x14ac:dyDescent="0.2">
      <c r="A310" s="4">
        <v>50</v>
      </c>
      <c r="B310" s="4">
        <v>0</v>
      </c>
      <c r="C310" s="4">
        <v>0</v>
      </c>
      <c r="D310" s="4">
        <v>1</v>
      </c>
      <c r="E310" s="4">
        <v>230</v>
      </c>
      <c r="F310" s="4">
        <f>ROUND(Source!BA290,O310)</f>
        <v>0</v>
      </c>
      <c r="G310" s="4" t="s">
        <v>166</v>
      </c>
      <c r="H310" s="4" t="s">
        <v>167</v>
      </c>
      <c r="I310" s="4"/>
      <c r="J310" s="4"/>
      <c r="K310" s="4">
        <v>230</v>
      </c>
      <c r="L310" s="4">
        <v>19</v>
      </c>
      <c r="M310" s="4">
        <v>3</v>
      </c>
      <c r="N310" s="4" t="s">
        <v>6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88" x14ac:dyDescent="0.2">
      <c r="A311" s="4">
        <v>50</v>
      </c>
      <c r="B311" s="4">
        <v>0</v>
      </c>
      <c r="C311" s="4">
        <v>0</v>
      </c>
      <c r="D311" s="4">
        <v>1</v>
      </c>
      <c r="E311" s="4">
        <v>206</v>
      </c>
      <c r="F311" s="4">
        <f>ROUND(Source!T290,O311)</f>
        <v>0</v>
      </c>
      <c r="G311" s="4" t="s">
        <v>168</v>
      </c>
      <c r="H311" s="4" t="s">
        <v>169</v>
      </c>
      <c r="I311" s="4"/>
      <c r="J311" s="4"/>
      <c r="K311" s="4">
        <v>206</v>
      </c>
      <c r="L311" s="4">
        <v>20</v>
      </c>
      <c r="M311" s="4">
        <v>3</v>
      </c>
      <c r="N311" s="4" t="s">
        <v>6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88" x14ac:dyDescent="0.2">
      <c r="A312" s="4">
        <v>50</v>
      </c>
      <c r="B312" s="4">
        <v>0</v>
      </c>
      <c r="C312" s="4">
        <v>0</v>
      </c>
      <c r="D312" s="4">
        <v>1</v>
      </c>
      <c r="E312" s="4">
        <v>207</v>
      </c>
      <c r="F312" s="4">
        <f>Source!U290</f>
        <v>45.530779999999993</v>
      </c>
      <c r="G312" s="4" t="s">
        <v>170</v>
      </c>
      <c r="H312" s="4" t="s">
        <v>171</v>
      </c>
      <c r="I312" s="4"/>
      <c r="J312" s="4"/>
      <c r="K312" s="4">
        <v>207</v>
      </c>
      <c r="L312" s="4">
        <v>21</v>
      </c>
      <c r="M312" s="4">
        <v>3</v>
      </c>
      <c r="N312" s="4" t="s">
        <v>6</v>
      </c>
      <c r="O312" s="4">
        <v>-1</v>
      </c>
      <c r="P312" s="4"/>
      <c r="Q312" s="4"/>
      <c r="R312" s="4"/>
      <c r="S312" s="4"/>
      <c r="T312" s="4"/>
      <c r="U312" s="4"/>
      <c r="V312" s="4"/>
      <c r="W312" s="4"/>
    </row>
    <row r="313" spans="1:88" x14ac:dyDescent="0.2">
      <c r="A313" s="4">
        <v>50</v>
      </c>
      <c r="B313" s="4">
        <v>0</v>
      </c>
      <c r="C313" s="4">
        <v>0</v>
      </c>
      <c r="D313" s="4">
        <v>1</v>
      </c>
      <c r="E313" s="4">
        <v>208</v>
      </c>
      <c r="F313" s="4">
        <f>Source!V290</f>
        <v>0.20541999999999999</v>
      </c>
      <c r="G313" s="4" t="s">
        <v>172</v>
      </c>
      <c r="H313" s="4" t="s">
        <v>173</v>
      </c>
      <c r="I313" s="4"/>
      <c r="J313" s="4"/>
      <c r="K313" s="4">
        <v>208</v>
      </c>
      <c r="L313" s="4">
        <v>22</v>
      </c>
      <c r="M313" s="4">
        <v>3</v>
      </c>
      <c r="N313" s="4" t="s">
        <v>6</v>
      </c>
      <c r="O313" s="4">
        <v>-1</v>
      </c>
      <c r="P313" s="4"/>
      <c r="Q313" s="4"/>
      <c r="R313" s="4"/>
      <c r="S313" s="4"/>
      <c r="T313" s="4"/>
      <c r="U313" s="4"/>
      <c r="V313" s="4"/>
      <c r="W313" s="4"/>
    </row>
    <row r="314" spans="1:88" x14ac:dyDescent="0.2">
      <c r="A314" s="4">
        <v>50</v>
      </c>
      <c r="B314" s="4">
        <v>0</v>
      </c>
      <c r="C314" s="4">
        <v>0</v>
      </c>
      <c r="D314" s="4">
        <v>1</v>
      </c>
      <c r="E314" s="4">
        <v>209</v>
      </c>
      <c r="F314" s="4">
        <f>ROUND(Source!W290,O314)</f>
        <v>0</v>
      </c>
      <c r="G314" s="4" t="s">
        <v>174</v>
      </c>
      <c r="H314" s="4" t="s">
        <v>175</v>
      </c>
      <c r="I314" s="4"/>
      <c r="J314" s="4"/>
      <c r="K314" s="4">
        <v>209</v>
      </c>
      <c r="L314" s="4">
        <v>23</v>
      </c>
      <c r="M314" s="4">
        <v>3</v>
      </c>
      <c r="N314" s="4" t="s">
        <v>6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88" x14ac:dyDescent="0.2">
      <c r="A315" s="4">
        <v>50</v>
      </c>
      <c r="B315" s="4">
        <v>0</v>
      </c>
      <c r="C315" s="4">
        <v>0</v>
      </c>
      <c r="D315" s="4">
        <v>1</v>
      </c>
      <c r="E315" s="4">
        <v>210</v>
      </c>
      <c r="F315" s="4">
        <f>ROUND(Source!X290,O315)</f>
        <v>2142.58</v>
      </c>
      <c r="G315" s="4" t="s">
        <v>176</v>
      </c>
      <c r="H315" s="4" t="s">
        <v>177</v>
      </c>
      <c r="I315" s="4"/>
      <c r="J315" s="4"/>
      <c r="K315" s="4">
        <v>210</v>
      </c>
      <c r="L315" s="4">
        <v>24</v>
      </c>
      <c r="M315" s="4">
        <v>3</v>
      </c>
      <c r="N315" s="4" t="s">
        <v>6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88" x14ac:dyDescent="0.2">
      <c r="A316" s="4">
        <v>50</v>
      </c>
      <c r="B316" s="4">
        <v>0</v>
      </c>
      <c r="C316" s="4">
        <v>0</v>
      </c>
      <c r="D316" s="4">
        <v>1</v>
      </c>
      <c r="E316" s="4">
        <v>211</v>
      </c>
      <c r="F316" s="4">
        <f>ROUND(Source!Y290,O316)</f>
        <v>1598.91</v>
      </c>
      <c r="G316" s="4" t="s">
        <v>178</v>
      </c>
      <c r="H316" s="4" t="s">
        <v>179</v>
      </c>
      <c r="I316" s="4"/>
      <c r="J316" s="4"/>
      <c r="K316" s="4">
        <v>211</v>
      </c>
      <c r="L316" s="4">
        <v>25</v>
      </c>
      <c r="M316" s="4">
        <v>3</v>
      </c>
      <c r="N316" s="4" t="s">
        <v>6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88" x14ac:dyDescent="0.2">
      <c r="A317" s="4">
        <v>50</v>
      </c>
      <c r="B317" s="4">
        <v>0</v>
      </c>
      <c r="C317" s="4">
        <v>0</v>
      </c>
      <c r="D317" s="4">
        <v>1</v>
      </c>
      <c r="E317" s="4">
        <v>224</v>
      </c>
      <c r="F317" s="4">
        <f>ROUND(Source!AR290,O317)</f>
        <v>6271.24</v>
      </c>
      <c r="G317" s="4" t="s">
        <v>180</v>
      </c>
      <c r="H317" s="4" t="s">
        <v>181</v>
      </c>
      <c r="I317" s="4"/>
      <c r="J317" s="4"/>
      <c r="K317" s="4">
        <v>224</v>
      </c>
      <c r="L317" s="4">
        <v>26</v>
      </c>
      <c r="M317" s="4">
        <v>3</v>
      </c>
      <c r="N317" s="4" t="s">
        <v>6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9" spans="1:88" x14ac:dyDescent="0.2">
      <c r="A319" s="1">
        <v>5</v>
      </c>
      <c r="B319" s="1">
        <v>1</v>
      </c>
      <c r="C319" s="1"/>
      <c r="D319" s="1">
        <f>ROW(A356)</f>
        <v>356</v>
      </c>
      <c r="E319" s="1"/>
      <c r="F319" s="1" t="s">
        <v>15</v>
      </c>
      <c r="G319" s="1" t="s">
        <v>701</v>
      </c>
      <c r="H319" s="1" t="s">
        <v>6</v>
      </c>
      <c r="I319" s="1">
        <v>0</v>
      </c>
      <c r="J319" s="1"/>
      <c r="K319" s="1">
        <v>0</v>
      </c>
      <c r="L319" s="1"/>
      <c r="M319" s="1"/>
      <c r="N319" s="1"/>
      <c r="O319" s="1"/>
      <c r="P319" s="1"/>
      <c r="Q319" s="1"/>
      <c r="R319" s="1"/>
      <c r="S319" s="1"/>
      <c r="T319" s="1"/>
      <c r="U319" s="1" t="s">
        <v>6</v>
      </c>
      <c r="V319" s="1">
        <v>0</v>
      </c>
      <c r="W319" s="1"/>
      <c r="X319" s="1"/>
      <c r="Y319" s="1"/>
      <c r="Z319" s="1"/>
      <c r="AA319" s="1"/>
      <c r="AB319" s="1" t="s">
        <v>6</v>
      </c>
      <c r="AC319" s="1" t="s">
        <v>6</v>
      </c>
      <c r="AD319" s="1" t="s">
        <v>6</v>
      </c>
      <c r="AE319" s="1" t="s">
        <v>6</v>
      </c>
      <c r="AF319" s="1" t="s">
        <v>6</v>
      </c>
      <c r="AG319" s="1" t="s">
        <v>6</v>
      </c>
      <c r="AH319" s="1"/>
      <c r="AI319" s="1"/>
      <c r="AJ319" s="1"/>
      <c r="AK319" s="1"/>
      <c r="AL319" s="1"/>
      <c r="AM319" s="1"/>
      <c r="AN319" s="1"/>
      <c r="AO319" s="1"/>
      <c r="AP319" s="1" t="s">
        <v>6</v>
      </c>
      <c r="AQ319" s="1" t="s">
        <v>6</v>
      </c>
      <c r="AR319" s="1" t="s">
        <v>6</v>
      </c>
      <c r="AS319" s="1"/>
      <c r="AT319" s="1"/>
      <c r="AU319" s="1"/>
      <c r="AV319" s="1"/>
      <c r="AW319" s="1"/>
      <c r="AX319" s="1"/>
      <c r="AY319" s="1"/>
      <c r="AZ319" s="1" t="s">
        <v>6</v>
      </c>
      <c r="BA319" s="1"/>
      <c r="BB319" s="1" t="s">
        <v>6</v>
      </c>
      <c r="BC319" s="1" t="s">
        <v>6</v>
      </c>
      <c r="BD319" s="1" t="s">
        <v>6</v>
      </c>
      <c r="BE319" s="1" t="s">
        <v>6</v>
      </c>
      <c r="BF319" s="1" t="s">
        <v>6</v>
      </c>
      <c r="BG319" s="1" t="s">
        <v>6</v>
      </c>
      <c r="BH319" s="1" t="s">
        <v>6</v>
      </c>
      <c r="BI319" s="1" t="s">
        <v>6</v>
      </c>
      <c r="BJ319" s="1" t="s">
        <v>6</v>
      </c>
      <c r="BK319" s="1" t="s">
        <v>6</v>
      </c>
      <c r="BL319" s="1" t="s">
        <v>6</v>
      </c>
      <c r="BM319" s="1" t="s">
        <v>6</v>
      </c>
      <c r="BN319" s="1" t="s">
        <v>6</v>
      </c>
      <c r="BO319" s="1" t="s">
        <v>6</v>
      </c>
      <c r="BP319" s="1" t="s">
        <v>6</v>
      </c>
      <c r="BQ319" s="1"/>
      <c r="BR319" s="1"/>
      <c r="BS319" s="1"/>
      <c r="BT319" s="1"/>
      <c r="BU319" s="1"/>
      <c r="BV319" s="1"/>
      <c r="BW319" s="1"/>
      <c r="BX319" s="1">
        <v>0</v>
      </c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>
        <v>0</v>
      </c>
    </row>
    <row r="321" spans="1:245" x14ac:dyDescent="0.2">
      <c r="A321" s="2">
        <v>52</v>
      </c>
      <c r="B321" s="2">
        <f t="shared" ref="B321:G321" si="267">B356</f>
        <v>1</v>
      </c>
      <c r="C321" s="2">
        <f t="shared" si="267"/>
        <v>5</v>
      </c>
      <c r="D321" s="2">
        <f t="shared" si="267"/>
        <v>319</v>
      </c>
      <c r="E321" s="2">
        <f t="shared" si="267"/>
        <v>0</v>
      </c>
      <c r="F321" s="2" t="str">
        <f t="shared" si="267"/>
        <v>Новый подраздел</v>
      </c>
      <c r="G321" s="2" t="str">
        <f t="shared" si="267"/>
        <v>2 Монтаж освещения</v>
      </c>
      <c r="H321" s="2"/>
      <c r="I321" s="2"/>
      <c r="J321" s="2"/>
      <c r="K321" s="2"/>
      <c r="L321" s="2"/>
      <c r="M321" s="2"/>
      <c r="N321" s="2"/>
      <c r="O321" s="2">
        <f t="shared" ref="O321:AT321" si="268">O356</f>
        <v>428707.13</v>
      </c>
      <c r="P321" s="2">
        <f t="shared" si="268"/>
        <v>405907.1</v>
      </c>
      <c r="Q321" s="2">
        <f t="shared" si="268"/>
        <v>5756.07</v>
      </c>
      <c r="R321" s="2">
        <f t="shared" si="268"/>
        <v>603.07000000000005</v>
      </c>
      <c r="S321" s="2">
        <f t="shared" si="268"/>
        <v>17043.96</v>
      </c>
      <c r="T321" s="2">
        <f t="shared" si="268"/>
        <v>0</v>
      </c>
      <c r="U321" s="2">
        <f t="shared" si="268"/>
        <v>267.42156999999997</v>
      </c>
      <c r="V321" s="2">
        <f t="shared" si="268"/>
        <v>7.1055800000000007</v>
      </c>
      <c r="W321" s="2">
        <f t="shared" si="268"/>
        <v>0</v>
      </c>
      <c r="X321" s="2">
        <f t="shared" si="268"/>
        <v>16324.16</v>
      </c>
      <c r="Y321" s="2">
        <f t="shared" si="268"/>
        <v>11319.15</v>
      </c>
      <c r="Z321" s="2">
        <f t="shared" si="268"/>
        <v>0</v>
      </c>
      <c r="AA321" s="2">
        <f t="shared" si="268"/>
        <v>0</v>
      </c>
      <c r="AB321" s="2">
        <f t="shared" si="268"/>
        <v>428707.13</v>
      </c>
      <c r="AC321" s="2">
        <f t="shared" si="268"/>
        <v>405907.1</v>
      </c>
      <c r="AD321" s="2">
        <f t="shared" si="268"/>
        <v>5756.07</v>
      </c>
      <c r="AE321" s="2">
        <f t="shared" si="268"/>
        <v>603.07000000000005</v>
      </c>
      <c r="AF321" s="2">
        <f t="shared" si="268"/>
        <v>17043.96</v>
      </c>
      <c r="AG321" s="2">
        <f t="shared" si="268"/>
        <v>0</v>
      </c>
      <c r="AH321" s="2">
        <f t="shared" si="268"/>
        <v>267.42156999999997</v>
      </c>
      <c r="AI321" s="2">
        <f t="shared" si="268"/>
        <v>7.1055800000000007</v>
      </c>
      <c r="AJ321" s="2">
        <f t="shared" si="268"/>
        <v>0</v>
      </c>
      <c r="AK321" s="2">
        <f t="shared" si="268"/>
        <v>16324.16</v>
      </c>
      <c r="AL321" s="2">
        <f t="shared" si="268"/>
        <v>11319.15</v>
      </c>
      <c r="AM321" s="2">
        <f t="shared" si="268"/>
        <v>0</v>
      </c>
      <c r="AN321" s="2">
        <f t="shared" si="268"/>
        <v>0</v>
      </c>
      <c r="AO321" s="2">
        <f t="shared" si="268"/>
        <v>0</v>
      </c>
      <c r="AP321" s="2">
        <f t="shared" si="268"/>
        <v>0</v>
      </c>
      <c r="AQ321" s="2">
        <f t="shared" si="268"/>
        <v>0</v>
      </c>
      <c r="AR321" s="2">
        <f t="shared" si="268"/>
        <v>456350.44</v>
      </c>
      <c r="AS321" s="2">
        <f t="shared" si="268"/>
        <v>112.07</v>
      </c>
      <c r="AT321" s="2">
        <f t="shared" si="268"/>
        <v>456238.37</v>
      </c>
      <c r="AU321" s="2">
        <f t="shared" ref="AU321:BZ321" si="269">AU356</f>
        <v>0</v>
      </c>
      <c r="AV321" s="2">
        <f t="shared" si="269"/>
        <v>405907.1</v>
      </c>
      <c r="AW321" s="2">
        <f t="shared" si="269"/>
        <v>405907.1</v>
      </c>
      <c r="AX321" s="2">
        <f t="shared" si="269"/>
        <v>0</v>
      </c>
      <c r="AY321" s="2">
        <f t="shared" si="269"/>
        <v>405907.1</v>
      </c>
      <c r="AZ321" s="2">
        <f t="shared" si="269"/>
        <v>0</v>
      </c>
      <c r="BA321" s="2">
        <f t="shared" si="269"/>
        <v>0</v>
      </c>
      <c r="BB321" s="2">
        <f t="shared" si="269"/>
        <v>0</v>
      </c>
      <c r="BC321" s="2">
        <f t="shared" si="269"/>
        <v>0</v>
      </c>
      <c r="BD321" s="2">
        <f t="shared" si="269"/>
        <v>0</v>
      </c>
      <c r="BE321" s="2">
        <f t="shared" si="269"/>
        <v>0</v>
      </c>
      <c r="BF321" s="2">
        <f t="shared" si="269"/>
        <v>0</v>
      </c>
      <c r="BG321" s="2">
        <f t="shared" si="269"/>
        <v>0</v>
      </c>
      <c r="BH321" s="2">
        <f t="shared" si="269"/>
        <v>0</v>
      </c>
      <c r="BI321" s="2">
        <f t="shared" si="269"/>
        <v>0</v>
      </c>
      <c r="BJ321" s="2">
        <f t="shared" si="269"/>
        <v>0</v>
      </c>
      <c r="BK321" s="2">
        <f t="shared" si="269"/>
        <v>0</v>
      </c>
      <c r="BL321" s="2">
        <f t="shared" si="269"/>
        <v>0</v>
      </c>
      <c r="BM321" s="2">
        <f t="shared" si="269"/>
        <v>0</v>
      </c>
      <c r="BN321" s="2">
        <f t="shared" si="269"/>
        <v>0</v>
      </c>
      <c r="BO321" s="2">
        <f t="shared" si="269"/>
        <v>0</v>
      </c>
      <c r="BP321" s="2">
        <f t="shared" si="269"/>
        <v>0</v>
      </c>
      <c r="BQ321" s="2">
        <f t="shared" si="269"/>
        <v>0</v>
      </c>
      <c r="BR321" s="2">
        <f t="shared" si="269"/>
        <v>0</v>
      </c>
      <c r="BS321" s="2">
        <f t="shared" si="269"/>
        <v>0</v>
      </c>
      <c r="BT321" s="2">
        <f t="shared" si="269"/>
        <v>0</v>
      </c>
      <c r="BU321" s="2">
        <f t="shared" si="269"/>
        <v>0</v>
      </c>
      <c r="BV321" s="2">
        <f t="shared" si="269"/>
        <v>0</v>
      </c>
      <c r="BW321" s="2">
        <f t="shared" si="269"/>
        <v>0</v>
      </c>
      <c r="BX321" s="2">
        <f t="shared" si="269"/>
        <v>0</v>
      </c>
      <c r="BY321" s="2">
        <f t="shared" si="269"/>
        <v>0</v>
      </c>
      <c r="BZ321" s="2">
        <f t="shared" si="269"/>
        <v>0</v>
      </c>
      <c r="CA321" s="2">
        <f t="shared" ref="CA321:DF321" si="270">CA356</f>
        <v>456350.44</v>
      </c>
      <c r="CB321" s="2">
        <f t="shared" si="270"/>
        <v>112.07</v>
      </c>
      <c r="CC321" s="2">
        <f t="shared" si="270"/>
        <v>456238.37</v>
      </c>
      <c r="CD321" s="2">
        <f t="shared" si="270"/>
        <v>0</v>
      </c>
      <c r="CE321" s="2">
        <f t="shared" si="270"/>
        <v>405907.1</v>
      </c>
      <c r="CF321" s="2">
        <f t="shared" si="270"/>
        <v>405907.1</v>
      </c>
      <c r="CG321" s="2">
        <f t="shared" si="270"/>
        <v>0</v>
      </c>
      <c r="CH321" s="2">
        <f t="shared" si="270"/>
        <v>405907.1</v>
      </c>
      <c r="CI321" s="2">
        <f t="shared" si="270"/>
        <v>0</v>
      </c>
      <c r="CJ321" s="2">
        <f t="shared" si="270"/>
        <v>0</v>
      </c>
      <c r="CK321" s="2">
        <f t="shared" si="270"/>
        <v>0</v>
      </c>
      <c r="CL321" s="2">
        <f t="shared" si="270"/>
        <v>0</v>
      </c>
      <c r="CM321" s="2">
        <f t="shared" si="270"/>
        <v>0</v>
      </c>
      <c r="CN321" s="2">
        <f t="shared" si="270"/>
        <v>0</v>
      </c>
      <c r="CO321" s="2">
        <f t="shared" si="270"/>
        <v>0</v>
      </c>
      <c r="CP321" s="2">
        <f t="shared" si="270"/>
        <v>0</v>
      </c>
      <c r="CQ321" s="2">
        <f t="shared" si="270"/>
        <v>0</v>
      </c>
      <c r="CR321" s="2">
        <f t="shared" si="270"/>
        <v>0</v>
      </c>
      <c r="CS321" s="2">
        <f t="shared" si="270"/>
        <v>0</v>
      </c>
      <c r="CT321" s="2">
        <f t="shared" si="270"/>
        <v>0</v>
      </c>
      <c r="CU321" s="2">
        <f t="shared" si="270"/>
        <v>0</v>
      </c>
      <c r="CV321" s="2">
        <f t="shared" si="270"/>
        <v>0</v>
      </c>
      <c r="CW321" s="2">
        <f t="shared" si="270"/>
        <v>0</v>
      </c>
      <c r="CX321" s="2">
        <f t="shared" si="270"/>
        <v>0</v>
      </c>
      <c r="CY321" s="2">
        <f t="shared" si="270"/>
        <v>0</v>
      </c>
      <c r="CZ321" s="2">
        <f t="shared" si="270"/>
        <v>0</v>
      </c>
      <c r="DA321" s="2">
        <f t="shared" si="270"/>
        <v>0</v>
      </c>
      <c r="DB321" s="2">
        <f t="shared" si="270"/>
        <v>0</v>
      </c>
      <c r="DC321" s="2">
        <f t="shared" si="270"/>
        <v>0</v>
      </c>
      <c r="DD321" s="2">
        <f t="shared" si="270"/>
        <v>0</v>
      </c>
      <c r="DE321" s="2">
        <f t="shared" si="270"/>
        <v>0</v>
      </c>
      <c r="DF321" s="2">
        <f t="shared" si="270"/>
        <v>0</v>
      </c>
      <c r="DG321" s="3">
        <f t="shared" ref="DG321:EL321" si="271">DG356</f>
        <v>0</v>
      </c>
      <c r="DH321" s="3">
        <f t="shared" si="271"/>
        <v>0</v>
      </c>
      <c r="DI321" s="3">
        <f t="shared" si="271"/>
        <v>0</v>
      </c>
      <c r="DJ321" s="3">
        <f t="shared" si="271"/>
        <v>0</v>
      </c>
      <c r="DK321" s="3">
        <f t="shared" si="271"/>
        <v>0</v>
      </c>
      <c r="DL321" s="3">
        <f t="shared" si="271"/>
        <v>0</v>
      </c>
      <c r="DM321" s="3">
        <f t="shared" si="271"/>
        <v>0</v>
      </c>
      <c r="DN321" s="3">
        <f t="shared" si="271"/>
        <v>0</v>
      </c>
      <c r="DO321" s="3">
        <f t="shared" si="271"/>
        <v>0</v>
      </c>
      <c r="DP321" s="3">
        <f t="shared" si="271"/>
        <v>0</v>
      </c>
      <c r="DQ321" s="3">
        <f t="shared" si="271"/>
        <v>0</v>
      </c>
      <c r="DR321" s="3">
        <f t="shared" si="271"/>
        <v>0</v>
      </c>
      <c r="DS321" s="3">
        <f t="shared" si="271"/>
        <v>0</v>
      </c>
      <c r="DT321" s="3">
        <f t="shared" si="271"/>
        <v>0</v>
      </c>
      <c r="DU321" s="3">
        <f t="shared" si="271"/>
        <v>0</v>
      </c>
      <c r="DV321" s="3">
        <f t="shared" si="271"/>
        <v>0</v>
      </c>
      <c r="DW321" s="3">
        <f t="shared" si="271"/>
        <v>0</v>
      </c>
      <c r="DX321" s="3">
        <f t="shared" si="271"/>
        <v>0</v>
      </c>
      <c r="DY321" s="3">
        <f t="shared" si="271"/>
        <v>0</v>
      </c>
      <c r="DZ321" s="3">
        <f t="shared" si="271"/>
        <v>0</v>
      </c>
      <c r="EA321" s="3">
        <f t="shared" si="271"/>
        <v>0</v>
      </c>
      <c r="EB321" s="3">
        <f t="shared" si="271"/>
        <v>0</v>
      </c>
      <c r="EC321" s="3">
        <f t="shared" si="271"/>
        <v>0</v>
      </c>
      <c r="ED321" s="3">
        <f t="shared" si="271"/>
        <v>0</v>
      </c>
      <c r="EE321" s="3">
        <f t="shared" si="271"/>
        <v>0</v>
      </c>
      <c r="EF321" s="3">
        <f t="shared" si="271"/>
        <v>0</v>
      </c>
      <c r="EG321" s="3">
        <f t="shared" si="271"/>
        <v>0</v>
      </c>
      <c r="EH321" s="3">
        <f t="shared" si="271"/>
        <v>0</v>
      </c>
      <c r="EI321" s="3">
        <f t="shared" si="271"/>
        <v>0</v>
      </c>
      <c r="EJ321" s="3">
        <f t="shared" si="271"/>
        <v>0</v>
      </c>
      <c r="EK321" s="3">
        <f t="shared" si="271"/>
        <v>0</v>
      </c>
      <c r="EL321" s="3">
        <f t="shared" si="271"/>
        <v>0</v>
      </c>
      <c r="EM321" s="3">
        <f t="shared" ref="EM321:FR321" si="272">EM356</f>
        <v>0</v>
      </c>
      <c r="EN321" s="3">
        <f t="shared" si="272"/>
        <v>0</v>
      </c>
      <c r="EO321" s="3">
        <f t="shared" si="272"/>
        <v>0</v>
      </c>
      <c r="EP321" s="3">
        <f t="shared" si="272"/>
        <v>0</v>
      </c>
      <c r="EQ321" s="3">
        <f t="shared" si="272"/>
        <v>0</v>
      </c>
      <c r="ER321" s="3">
        <f t="shared" si="272"/>
        <v>0</v>
      </c>
      <c r="ES321" s="3">
        <f t="shared" si="272"/>
        <v>0</v>
      </c>
      <c r="ET321" s="3">
        <f t="shared" si="272"/>
        <v>0</v>
      </c>
      <c r="EU321" s="3">
        <f t="shared" si="272"/>
        <v>0</v>
      </c>
      <c r="EV321" s="3">
        <f t="shared" si="272"/>
        <v>0</v>
      </c>
      <c r="EW321" s="3">
        <f t="shared" si="272"/>
        <v>0</v>
      </c>
      <c r="EX321" s="3">
        <f t="shared" si="272"/>
        <v>0</v>
      </c>
      <c r="EY321" s="3">
        <f t="shared" si="272"/>
        <v>0</v>
      </c>
      <c r="EZ321" s="3">
        <f t="shared" si="272"/>
        <v>0</v>
      </c>
      <c r="FA321" s="3">
        <f t="shared" si="272"/>
        <v>0</v>
      </c>
      <c r="FB321" s="3">
        <f t="shared" si="272"/>
        <v>0</v>
      </c>
      <c r="FC321" s="3">
        <f t="shared" si="272"/>
        <v>0</v>
      </c>
      <c r="FD321" s="3">
        <f t="shared" si="272"/>
        <v>0</v>
      </c>
      <c r="FE321" s="3">
        <f t="shared" si="272"/>
        <v>0</v>
      </c>
      <c r="FF321" s="3">
        <f t="shared" si="272"/>
        <v>0</v>
      </c>
      <c r="FG321" s="3">
        <f t="shared" si="272"/>
        <v>0</v>
      </c>
      <c r="FH321" s="3">
        <f t="shared" si="272"/>
        <v>0</v>
      </c>
      <c r="FI321" s="3">
        <f t="shared" si="272"/>
        <v>0</v>
      </c>
      <c r="FJ321" s="3">
        <f t="shared" si="272"/>
        <v>0</v>
      </c>
      <c r="FK321" s="3">
        <f t="shared" si="272"/>
        <v>0</v>
      </c>
      <c r="FL321" s="3">
        <f t="shared" si="272"/>
        <v>0</v>
      </c>
      <c r="FM321" s="3">
        <f t="shared" si="272"/>
        <v>0</v>
      </c>
      <c r="FN321" s="3">
        <f t="shared" si="272"/>
        <v>0</v>
      </c>
      <c r="FO321" s="3">
        <f t="shared" si="272"/>
        <v>0</v>
      </c>
      <c r="FP321" s="3">
        <f t="shared" si="272"/>
        <v>0</v>
      </c>
      <c r="FQ321" s="3">
        <f t="shared" si="272"/>
        <v>0</v>
      </c>
      <c r="FR321" s="3">
        <f t="shared" si="272"/>
        <v>0</v>
      </c>
      <c r="FS321" s="3">
        <f t="shared" ref="FS321:GX321" si="273">FS356</f>
        <v>0</v>
      </c>
      <c r="FT321" s="3">
        <f t="shared" si="273"/>
        <v>0</v>
      </c>
      <c r="FU321" s="3">
        <f t="shared" si="273"/>
        <v>0</v>
      </c>
      <c r="FV321" s="3">
        <f t="shared" si="273"/>
        <v>0</v>
      </c>
      <c r="FW321" s="3">
        <f t="shared" si="273"/>
        <v>0</v>
      </c>
      <c r="FX321" s="3">
        <f t="shared" si="273"/>
        <v>0</v>
      </c>
      <c r="FY321" s="3">
        <f t="shared" si="273"/>
        <v>0</v>
      </c>
      <c r="FZ321" s="3">
        <f t="shared" si="273"/>
        <v>0</v>
      </c>
      <c r="GA321" s="3">
        <f t="shared" si="273"/>
        <v>0</v>
      </c>
      <c r="GB321" s="3">
        <f t="shared" si="273"/>
        <v>0</v>
      </c>
      <c r="GC321" s="3">
        <f t="shared" si="273"/>
        <v>0</v>
      </c>
      <c r="GD321" s="3">
        <f t="shared" si="273"/>
        <v>0</v>
      </c>
      <c r="GE321" s="3">
        <f t="shared" si="273"/>
        <v>0</v>
      </c>
      <c r="GF321" s="3">
        <f t="shared" si="273"/>
        <v>0</v>
      </c>
      <c r="GG321" s="3">
        <f t="shared" si="273"/>
        <v>0</v>
      </c>
      <c r="GH321" s="3">
        <f t="shared" si="273"/>
        <v>0</v>
      </c>
      <c r="GI321" s="3">
        <f t="shared" si="273"/>
        <v>0</v>
      </c>
      <c r="GJ321" s="3">
        <f t="shared" si="273"/>
        <v>0</v>
      </c>
      <c r="GK321" s="3">
        <f t="shared" si="273"/>
        <v>0</v>
      </c>
      <c r="GL321" s="3">
        <f t="shared" si="273"/>
        <v>0</v>
      </c>
      <c r="GM321" s="3">
        <f t="shared" si="273"/>
        <v>0</v>
      </c>
      <c r="GN321" s="3">
        <f t="shared" si="273"/>
        <v>0</v>
      </c>
      <c r="GO321" s="3">
        <f t="shared" si="273"/>
        <v>0</v>
      </c>
      <c r="GP321" s="3">
        <f t="shared" si="273"/>
        <v>0</v>
      </c>
      <c r="GQ321" s="3">
        <f t="shared" si="273"/>
        <v>0</v>
      </c>
      <c r="GR321" s="3">
        <f t="shared" si="273"/>
        <v>0</v>
      </c>
      <c r="GS321" s="3">
        <f t="shared" si="273"/>
        <v>0</v>
      </c>
      <c r="GT321" s="3">
        <f t="shared" si="273"/>
        <v>0</v>
      </c>
      <c r="GU321" s="3">
        <f t="shared" si="273"/>
        <v>0</v>
      </c>
      <c r="GV321" s="3">
        <f t="shared" si="273"/>
        <v>0</v>
      </c>
      <c r="GW321" s="3">
        <f t="shared" si="273"/>
        <v>0</v>
      </c>
      <c r="GX321" s="3">
        <f t="shared" si="273"/>
        <v>0</v>
      </c>
    </row>
    <row r="323" spans="1:245" x14ac:dyDescent="0.2">
      <c r="A323">
        <v>17</v>
      </c>
      <c r="B323">
        <v>1</v>
      </c>
      <c r="C323">
        <f>ROW(SmtRes!A469)</f>
        <v>469</v>
      </c>
      <c r="D323">
        <f>ROW(EtalonRes!A441)</f>
        <v>441</v>
      </c>
      <c r="E323" t="s">
        <v>702</v>
      </c>
      <c r="F323" t="s">
        <v>703</v>
      </c>
      <c r="G323" t="s">
        <v>704</v>
      </c>
      <c r="H323" t="s">
        <v>66</v>
      </c>
      <c r="I323">
        <f>ROUND(20/100,9)</f>
        <v>0.2</v>
      </c>
      <c r="J323">
        <v>0</v>
      </c>
      <c r="O323">
        <f t="shared" ref="O323:O354" si="274">ROUND(CP323,2)</f>
        <v>1433.65</v>
      </c>
      <c r="P323">
        <f t="shared" ref="P323:P354" si="275">ROUND(CQ323*I323,2)</f>
        <v>158.4</v>
      </c>
      <c r="Q323">
        <f t="shared" ref="Q323:Q354" si="276">ROUND(CR323*I323,2)</f>
        <v>46.63</v>
      </c>
      <c r="R323">
        <f t="shared" ref="R323:R354" si="277">ROUND(CS323*I323,2)</f>
        <v>6.59</v>
      </c>
      <c r="S323">
        <f t="shared" ref="S323:S354" si="278">ROUND(CT323*I323,2)</f>
        <v>1228.6199999999999</v>
      </c>
      <c r="T323">
        <f t="shared" ref="T323:T354" si="279">ROUND(CU323*I323,2)</f>
        <v>0</v>
      </c>
      <c r="U323">
        <f t="shared" ref="U323:U354" si="280">CV323*I323</f>
        <v>18.880000000000003</v>
      </c>
      <c r="V323">
        <f t="shared" ref="V323:V354" si="281">CW323*I323</f>
        <v>8.0000000000000016E-2</v>
      </c>
      <c r="W323">
        <f t="shared" ref="W323:W354" si="282">ROUND(CX323*I323,2)</f>
        <v>0</v>
      </c>
      <c r="X323">
        <f t="shared" ref="X323:X354" si="283">ROUND(CY323,2)</f>
        <v>1173.45</v>
      </c>
      <c r="Y323">
        <f t="shared" ref="Y323:Y354" si="284">ROUND(CZ323,2)</f>
        <v>802.89</v>
      </c>
      <c r="AA323">
        <v>16742901</v>
      </c>
      <c r="AB323">
        <f t="shared" ref="AB323:AB354" si="285">ROUND((AC323+AD323+AF323),2)</f>
        <v>1092.72</v>
      </c>
      <c r="AC323">
        <f t="shared" ref="AC323:AC354" si="286">ROUND((ES323),2)</f>
        <v>120.73</v>
      </c>
      <c r="AD323">
        <f t="shared" ref="AD323:AD354" si="287">ROUND((((ET323)-(EU323))+AE323),2)</f>
        <v>35.54</v>
      </c>
      <c r="AE323">
        <f t="shared" ref="AE323:AE354" si="288">ROUND((EU323),2)</f>
        <v>5.0199999999999996</v>
      </c>
      <c r="AF323">
        <f t="shared" ref="AF323:AF354" si="289">ROUND((EV323),2)</f>
        <v>936.45</v>
      </c>
      <c r="AG323">
        <f t="shared" ref="AG323:AG354" si="290">ROUND((AP323),2)</f>
        <v>0</v>
      </c>
      <c r="AH323">
        <f t="shared" ref="AH323:AH354" si="291">(EW323)</f>
        <v>94.4</v>
      </c>
      <c r="AI323">
        <f t="shared" ref="AI323:AI354" si="292">(EX323)</f>
        <v>0.4</v>
      </c>
      <c r="AJ323">
        <f t="shared" ref="AJ323:AJ354" si="293">ROUND((AS323),2)</f>
        <v>0</v>
      </c>
      <c r="AK323">
        <v>1092.72</v>
      </c>
      <c r="AL323">
        <v>120.73</v>
      </c>
      <c r="AM323">
        <v>35.54</v>
      </c>
      <c r="AN323">
        <v>5.0199999999999996</v>
      </c>
      <c r="AO323">
        <v>936.45</v>
      </c>
      <c r="AP323">
        <v>0</v>
      </c>
      <c r="AQ323">
        <v>94.4</v>
      </c>
      <c r="AR323">
        <v>0.4</v>
      </c>
      <c r="AS323">
        <v>0</v>
      </c>
      <c r="AT323">
        <v>95</v>
      </c>
      <c r="AU323">
        <v>65</v>
      </c>
      <c r="AV323">
        <v>1</v>
      </c>
      <c r="AW323">
        <v>1</v>
      </c>
      <c r="AZ323">
        <v>6.56</v>
      </c>
      <c r="BA323">
        <v>6.56</v>
      </c>
      <c r="BB323">
        <v>6.56</v>
      </c>
      <c r="BC323">
        <v>6.56</v>
      </c>
      <c r="BD323" t="s">
        <v>6</v>
      </c>
      <c r="BE323" t="s">
        <v>6</v>
      </c>
      <c r="BF323" t="s">
        <v>6</v>
      </c>
      <c r="BG323" t="s">
        <v>6</v>
      </c>
      <c r="BH323">
        <v>0</v>
      </c>
      <c r="BI323">
        <v>2</v>
      </c>
      <c r="BJ323" t="s">
        <v>705</v>
      </c>
      <c r="BM323">
        <v>108001</v>
      </c>
      <c r="BN323">
        <v>0</v>
      </c>
      <c r="BO323" t="s">
        <v>6</v>
      </c>
      <c r="BP323">
        <v>0</v>
      </c>
      <c r="BQ323">
        <v>3</v>
      </c>
      <c r="BR323">
        <v>0</v>
      </c>
      <c r="BS323">
        <v>6.56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6</v>
      </c>
      <c r="BZ323">
        <v>95</v>
      </c>
      <c r="CA323">
        <v>65</v>
      </c>
      <c r="CF323">
        <v>0</v>
      </c>
      <c r="CG323">
        <v>0</v>
      </c>
      <c r="CM323">
        <v>0</v>
      </c>
      <c r="CN323" t="s">
        <v>6</v>
      </c>
      <c r="CO323">
        <v>0</v>
      </c>
      <c r="CP323">
        <f t="shared" ref="CP323:CP354" si="294">(P323+Q323+S323)</f>
        <v>1433.6499999999999</v>
      </c>
      <c r="CQ323">
        <f t="shared" ref="CQ323:CQ354" si="295">AC323*BC323</f>
        <v>791.98879999999997</v>
      </c>
      <c r="CR323">
        <f t="shared" ref="CR323:CR354" si="296">AD323*BB323</f>
        <v>233.14239999999998</v>
      </c>
      <c r="CS323">
        <f t="shared" ref="CS323:CS354" si="297">AE323*BS323</f>
        <v>32.931199999999997</v>
      </c>
      <c r="CT323">
        <f t="shared" ref="CT323:CT354" si="298">AF323*BA323</f>
        <v>6143.1120000000001</v>
      </c>
      <c r="CU323">
        <f t="shared" ref="CU323:CU354" si="299">AG323</f>
        <v>0</v>
      </c>
      <c r="CV323">
        <f t="shared" ref="CV323:CV354" si="300">AH323</f>
        <v>94.4</v>
      </c>
      <c r="CW323">
        <f t="shared" ref="CW323:CW354" si="301">AI323</f>
        <v>0.4</v>
      </c>
      <c r="CX323">
        <f t="shared" ref="CX323:CX354" si="302">AJ323</f>
        <v>0</v>
      </c>
      <c r="CY323">
        <f t="shared" ref="CY323:CY354" si="303">(((S323+R323)*AT323)/100)</f>
        <v>1173.4494999999997</v>
      </c>
      <c r="CZ323">
        <f t="shared" ref="CZ323:CZ354" si="304">(((S323+R323)*AU323)/100)</f>
        <v>802.88649999999996</v>
      </c>
      <c r="DC323" t="s">
        <v>6</v>
      </c>
      <c r="DD323" t="s">
        <v>6</v>
      </c>
      <c r="DE323" t="s">
        <v>6</v>
      </c>
      <c r="DF323" t="s">
        <v>6</v>
      </c>
      <c r="DG323" t="s">
        <v>6</v>
      </c>
      <c r="DH323" t="s">
        <v>6</v>
      </c>
      <c r="DI323" t="s">
        <v>6</v>
      </c>
      <c r="DJ323" t="s">
        <v>6</v>
      </c>
      <c r="DK323" t="s">
        <v>6</v>
      </c>
      <c r="DL323" t="s">
        <v>6</v>
      </c>
      <c r="DM323" t="s">
        <v>6</v>
      </c>
      <c r="DN323">
        <v>0</v>
      </c>
      <c r="DO323">
        <v>0</v>
      </c>
      <c r="DP323">
        <v>1</v>
      </c>
      <c r="DQ323">
        <v>1</v>
      </c>
      <c r="DU323">
        <v>1013</v>
      </c>
      <c r="DV323" t="s">
        <v>66</v>
      </c>
      <c r="DW323" t="s">
        <v>66</v>
      </c>
      <c r="DX323">
        <v>1</v>
      </c>
      <c r="EE323">
        <v>16510370</v>
      </c>
      <c r="EF323">
        <v>3</v>
      </c>
      <c r="EG323" t="s">
        <v>83</v>
      </c>
      <c r="EH323">
        <v>0</v>
      </c>
      <c r="EI323" t="s">
        <v>6</v>
      </c>
      <c r="EJ323">
        <v>2</v>
      </c>
      <c r="EK323">
        <v>108001</v>
      </c>
      <c r="EL323" t="s">
        <v>84</v>
      </c>
      <c r="EM323" t="s">
        <v>85</v>
      </c>
      <c r="EO323" t="s">
        <v>6</v>
      </c>
      <c r="EQ323">
        <v>131072</v>
      </c>
      <c r="ER323">
        <v>1092.72</v>
      </c>
      <c r="ES323">
        <v>120.73</v>
      </c>
      <c r="ET323">
        <v>35.54</v>
      </c>
      <c r="EU323">
        <v>5.0199999999999996</v>
      </c>
      <c r="EV323">
        <v>936.45</v>
      </c>
      <c r="EW323">
        <v>94.4</v>
      </c>
      <c r="EX323">
        <v>0.4</v>
      </c>
      <c r="EY323">
        <v>0</v>
      </c>
      <c r="FQ323">
        <v>0</v>
      </c>
      <c r="FR323">
        <f t="shared" ref="FR323:FR354" si="305">ROUND(IF(AND(BH323=3,BI323=3),P323,0),2)</f>
        <v>0</v>
      </c>
      <c r="FS323">
        <v>0</v>
      </c>
      <c r="FX323">
        <v>95</v>
      </c>
      <c r="FY323">
        <v>65</v>
      </c>
      <c r="GA323" t="s">
        <v>6</v>
      </c>
      <c r="GD323">
        <v>0</v>
      </c>
      <c r="GF323">
        <v>-1013997877</v>
      </c>
      <c r="GG323">
        <v>1</v>
      </c>
      <c r="GH323">
        <v>1</v>
      </c>
      <c r="GI323">
        <v>4</v>
      </c>
      <c r="GJ323">
        <v>0</v>
      </c>
      <c r="GK323">
        <f>ROUND(R323*(R12)/100,2)</f>
        <v>0</v>
      </c>
      <c r="GL323">
        <f t="shared" ref="GL323:GL354" si="306">ROUND(IF(AND(BH323=3,BI323=3,FS323&lt;&gt;0),P323,0),2)</f>
        <v>0</v>
      </c>
      <c r="GM323">
        <f t="shared" ref="GM323:GM354" si="307">ROUND(O323+X323+Y323+GK323,2)+GX323</f>
        <v>3409.99</v>
      </c>
      <c r="GN323">
        <f t="shared" ref="GN323:GN354" si="308">IF(OR(BI323=0,BI323=1),ROUND(O323+X323+Y323+GK323,2),0)</f>
        <v>0</v>
      </c>
      <c r="GO323">
        <f t="shared" ref="GO323:GO354" si="309">IF(BI323=2,ROUND(O323+X323+Y323+GK323,2),0)</f>
        <v>3409.99</v>
      </c>
      <c r="GP323">
        <f t="shared" ref="GP323:GP354" si="310">IF(BI323=4,ROUND(O323+X323+Y323+GK323,2)+GX323,0)</f>
        <v>0</v>
      </c>
      <c r="GR323">
        <v>0</v>
      </c>
      <c r="GS323">
        <v>3</v>
      </c>
      <c r="GT323">
        <v>0</v>
      </c>
      <c r="GU323" t="s">
        <v>6</v>
      </c>
      <c r="GV323">
        <f t="shared" ref="GV323:GV354" si="311">ROUND(GT323,2)</f>
        <v>0</v>
      </c>
      <c r="GW323">
        <v>1</v>
      </c>
      <c r="GX323">
        <f t="shared" ref="GX323:GX354" si="312">ROUND(GV323*GW323*I323,2)</f>
        <v>0</v>
      </c>
      <c r="HA323">
        <v>0</v>
      </c>
      <c r="HB323">
        <v>0</v>
      </c>
      <c r="IK323">
        <v>0</v>
      </c>
    </row>
    <row r="324" spans="1:245" x14ac:dyDescent="0.2">
      <c r="A324">
        <v>18</v>
      </c>
      <c r="B324">
        <v>1</v>
      </c>
      <c r="C324">
        <v>467</v>
      </c>
      <c r="E324" t="s">
        <v>706</v>
      </c>
      <c r="F324" t="s">
        <v>707</v>
      </c>
      <c r="G324" t="s">
        <v>708</v>
      </c>
      <c r="H324" t="s">
        <v>73</v>
      </c>
      <c r="I324">
        <f>I323*J324</f>
        <v>20</v>
      </c>
      <c r="J324">
        <v>100</v>
      </c>
      <c r="O324">
        <f t="shared" si="274"/>
        <v>44656.54</v>
      </c>
      <c r="P324">
        <f t="shared" si="275"/>
        <v>44656.54</v>
      </c>
      <c r="Q324">
        <f t="shared" si="276"/>
        <v>0</v>
      </c>
      <c r="R324">
        <f t="shared" si="277"/>
        <v>0</v>
      </c>
      <c r="S324">
        <f t="shared" si="278"/>
        <v>0</v>
      </c>
      <c r="T324">
        <f t="shared" si="279"/>
        <v>0</v>
      </c>
      <c r="U324">
        <f t="shared" si="280"/>
        <v>0</v>
      </c>
      <c r="V324">
        <f t="shared" si="281"/>
        <v>0</v>
      </c>
      <c r="W324">
        <f t="shared" si="282"/>
        <v>0</v>
      </c>
      <c r="X324">
        <f t="shared" si="283"/>
        <v>0</v>
      </c>
      <c r="Y324">
        <f t="shared" si="284"/>
        <v>0</v>
      </c>
      <c r="AA324">
        <v>16742901</v>
      </c>
      <c r="AB324">
        <f t="shared" si="285"/>
        <v>340.37</v>
      </c>
      <c r="AC324">
        <f t="shared" si="286"/>
        <v>340.37</v>
      </c>
      <c r="AD324">
        <f t="shared" si="287"/>
        <v>0</v>
      </c>
      <c r="AE324">
        <f t="shared" si="288"/>
        <v>0</v>
      </c>
      <c r="AF324">
        <f t="shared" si="289"/>
        <v>0</v>
      </c>
      <c r="AG324">
        <f t="shared" si="290"/>
        <v>0</v>
      </c>
      <c r="AH324">
        <f t="shared" si="291"/>
        <v>0</v>
      </c>
      <c r="AI324">
        <f t="shared" si="292"/>
        <v>0</v>
      </c>
      <c r="AJ324">
        <f t="shared" si="293"/>
        <v>0</v>
      </c>
      <c r="AK324">
        <v>340.37</v>
      </c>
      <c r="AL324">
        <v>340.37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95</v>
      </c>
      <c r="AU324">
        <v>65</v>
      </c>
      <c r="AV324">
        <v>1</v>
      </c>
      <c r="AW324">
        <v>1</v>
      </c>
      <c r="AZ324">
        <v>6.56</v>
      </c>
      <c r="BA324">
        <v>1</v>
      </c>
      <c r="BB324">
        <v>1</v>
      </c>
      <c r="BC324">
        <v>6.56</v>
      </c>
      <c r="BD324" t="s">
        <v>6</v>
      </c>
      <c r="BE324" t="s">
        <v>6</v>
      </c>
      <c r="BF324" t="s">
        <v>6</v>
      </c>
      <c r="BG324" t="s">
        <v>6</v>
      </c>
      <c r="BH324">
        <v>3</v>
      </c>
      <c r="BI324">
        <v>2</v>
      </c>
      <c r="BJ324" t="s">
        <v>709</v>
      </c>
      <c r="BM324">
        <v>108001</v>
      </c>
      <c r="BN324">
        <v>0</v>
      </c>
      <c r="BO324" t="s">
        <v>6</v>
      </c>
      <c r="BP324">
        <v>0</v>
      </c>
      <c r="BQ324">
        <v>3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6</v>
      </c>
      <c r="BZ324">
        <v>95</v>
      </c>
      <c r="CA324">
        <v>65</v>
      </c>
      <c r="CF324">
        <v>0</v>
      </c>
      <c r="CG324">
        <v>0</v>
      </c>
      <c r="CM324">
        <v>0</v>
      </c>
      <c r="CN324" t="s">
        <v>6</v>
      </c>
      <c r="CO324">
        <v>0</v>
      </c>
      <c r="CP324">
        <f t="shared" si="294"/>
        <v>44656.54</v>
      </c>
      <c r="CQ324">
        <f t="shared" si="295"/>
        <v>2232.8271999999997</v>
      </c>
      <c r="CR324">
        <f t="shared" si="296"/>
        <v>0</v>
      </c>
      <c r="CS324">
        <f t="shared" si="297"/>
        <v>0</v>
      </c>
      <c r="CT324">
        <f t="shared" si="298"/>
        <v>0</v>
      </c>
      <c r="CU324">
        <f t="shared" si="299"/>
        <v>0</v>
      </c>
      <c r="CV324">
        <f t="shared" si="300"/>
        <v>0</v>
      </c>
      <c r="CW324">
        <f t="shared" si="301"/>
        <v>0</v>
      </c>
      <c r="CX324">
        <f t="shared" si="302"/>
        <v>0</v>
      </c>
      <c r="CY324">
        <f t="shared" si="303"/>
        <v>0</v>
      </c>
      <c r="CZ324">
        <f t="shared" si="304"/>
        <v>0</v>
      </c>
      <c r="DC324" t="s">
        <v>6</v>
      </c>
      <c r="DD324" t="s">
        <v>6</v>
      </c>
      <c r="DE324" t="s">
        <v>6</v>
      </c>
      <c r="DF324" t="s">
        <v>6</v>
      </c>
      <c r="DG324" t="s">
        <v>6</v>
      </c>
      <c r="DH324" t="s">
        <v>6</v>
      </c>
      <c r="DI324" t="s">
        <v>6</v>
      </c>
      <c r="DJ324" t="s">
        <v>6</v>
      </c>
      <c r="DK324" t="s">
        <v>6</v>
      </c>
      <c r="DL324" t="s">
        <v>6</v>
      </c>
      <c r="DM324" t="s">
        <v>6</v>
      </c>
      <c r="DN324">
        <v>0</v>
      </c>
      <c r="DO324">
        <v>0</v>
      </c>
      <c r="DP324">
        <v>1</v>
      </c>
      <c r="DQ324">
        <v>1</v>
      </c>
      <c r="DU324">
        <v>1010</v>
      </c>
      <c r="DV324" t="s">
        <v>73</v>
      </c>
      <c r="DW324" t="s">
        <v>73</v>
      </c>
      <c r="DX324">
        <v>1</v>
      </c>
      <c r="EE324">
        <v>16510370</v>
      </c>
      <c r="EF324">
        <v>3</v>
      </c>
      <c r="EG324" t="s">
        <v>83</v>
      </c>
      <c r="EH324">
        <v>0</v>
      </c>
      <c r="EI324" t="s">
        <v>6</v>
      </c>
      <c r="EJ324">
        <v>2</v>
      </c>
      <c r="EK324">
        <v>108001</v>
      </c>
      <c r="EL324" t="s">
        <v>84</v>
      </c>
      <c r="EM324" t="s">
        <v>85</v>
      </c>
      <c r="EO324" t="s">
        <v>6</v>
      </c>
      <c r="EQ324">
        <v>0</v>
      </c>
      <c r="ER324">
        <v>340.37</v>
      </c>
      <c r="ES324">
        <v>340.37</v>
      </c>
      <c r="ET324">
        <v>0</v>
      </c>
      <c r="EU324">
        <v>0</v>
      </c>
      <c r="EV324">
        <v>0</v>
      </c>
      <c r="EW324">
        <v>0</v>
      </c>
      <c r="EX324">
        <v>0</v>
      </c>
      <c r="FQ324">
        <v>0</v>
      </c>
      <c r="FR324">
        <f t="shared" si="305"/>
        <v>0</v>
      </c>
      <c r="FS324">
        <v>0</v>
      </c>
      <c r="FX324">
        <v>95</v>
      </c>
      <c r="FY324">
        <v>65</v>
      </c>
      <c r="GA324" t="s">
        <v>6</v>
      </c>
      <c r="GD324">
        <v>0</v>
      </c>
      <c r="GF324">
        <v>-1476084766</v>
      </c>
      <c r="GG324">
        <v>1</v>
      </c>
      <c r="GH324">
        <v>1</v>
      </c>
      <c r="GI324">
        <v>4</v>
      </c>
      <c r="GJ324">
        <v>0</v>
      </c>
      <c r="GK324">
        <f>ROUND(R324*(R12)/100,2)</f>
        <v>0</v>
      </c>
      <c r="GL324">
        <f t="shared" si="306"/>
        <v>0</v>
      </c>
      <c r="GM324">
        <f t="shared" si="307"/>
        <v>44656.54</v>
      </c>
      <c r="GN324">
        <f t="shared" si="308"/>
        <v>0</v>
      </c>
      <c r="GO324">
        <f t="shared" si="309"/>
        <v>44656.54</v>
      </c>
      <c r="GP324">
        <f t="shared" si="310"/>
        <v>0</v>
      </c>
      <c r="GR324">
        <v>0</v>
      </c>
      <c r="GS324">
        <v>3</v>
      </c>
      <c r="GT324">
        <v>0</v>
      </c>
      <c r="GU324" t="s">
        <v>6</v>
      </c>
      <c r="GV324">
        <f t="shared" si="311"/>
        <v>0</v>
      </c>
      <c r="GW324">
        <v>1</v>
      </c>
      <c r="GX324">
        <f t="shared" si="312"/>
        <v>0</v>
      </c>
      <c r="HA324">
        <v>0</v>
      </c>
      <c r="HB324">
        <v>0</v>
      </c>
      <c r="IK324">
        <v>0</v>
      </c>
    </row>
    <row r="325" spans="1:245" x14ac:dyDescent="0.2">
      <c r="A325">
        <v>17</v>
      </c>
      <c r="B325">
        <v>1</v>
      </c>
      <c r="C325">
        <f>ROW(SmtRes!A477)</f>
        <v>477</v>
      </c>
      <c r="D325">
        <f>ROW(EtalonRes!A448)</f>
        <v>448</v>
      </c>
      <c r="E325" t="s">
        <v>710</v>
      </c>
      <c r="F325" t="s">
        <v>711</v>
      </c>
      <c r="G325" t="s">
        <v>712</v>
      </c>
      <c r="H325" t="s">
        <v>66</v>
      </c>
      <c r="I325">
        <f>ROUND(75/100,9)</f>
        <v>0.75</v>
      </c>
      <c r="J325">
        <v>0</v>
      </c>
      <c r="O325">
        <f t="shared" si="274"/>
        <v>7495.97</v>
      </c>
      <c r="P325">
        <f t="shared" si="275"/>
        <v>635.07000000000005</v>
      </c>
      <c r="Q325">
        <f t="shared" si="276"/>
        <v>262.29000000000002</v>
      </c>
      <c r="R325">
        <f t="shared" si="277"/>
        <v>37.049999999999997</v>
      </c>
      <c r="S325">
        <f t="shared" si="278"/>
        <v>6598.61</v>
      </c>
      <c r="T325">
        <f t="shared" si="279"/>
        <v>0</v>
      </c>
      <c r="U325">
        <f t="shared" si="280"/>
        <v>101.39999999999999</v>
      </c>
      <c r="V325">
        <f t="shared" si="281"/>
        <v>0.44999999999999996</v>
      </c>
      <c r="W325">
        <f t="shared" si="282"/>
        <v>0</v>
      </c>
      <c r="X325">
        <f t="shared" si="283"/>
        <v>6303.88</v>
      </c>
      <c r="Y325">
        <f t="shared" si="284"/>
        <v>4313.18</v>
      </c>
      <c r="AA325">
        <v>16742901</v>
      </c>
      <c r="AB325">
        <f t="shared" si="285"/>
        <v>1523.57</v>
      </c>
      <c r="AC325">
        <f t="shared" si="286"/>
        <v>129.08000000000001</v>
      </c>
      <c r="AD325">
        <f t="shared" si="287"/>
        <v>53.31</v>
      </c>
      <c r="AE325">
        <f t="shared" si="288"/>
        <v>7.53</v>
      </c>
      <c r="AF325">
        <f t="shared" si="289"/>
        <v>1341.18</v>
      </c>
      <c r="AG325">
        <f t="shared" si="290"/>
        <v>0</v>
      </c>
      <c r="AH325">
        <f t="shared" si="291"/>
        <v>135.19999999999999</v>
      </c>
      <c r="AI325">
        <f t="shared" si="292"/>
        <v>0.6</v>
      </c>
      <c r="AJ325">
        <f t="shared" si="293"/>
        <v>0</v>
      </c>
      <c r="AK325">
        <v>1523.57</v>
      </c>
      <c r="AL325">
        <v>129.08000000000001</v>
      </c>
      <c r="AM325">
        <v>53.31</v>
      </c>
      <c r="AN325">
        <v>7.53</v>
      </c>
      <c r="AO325">
        <v>1341.18</v>
      </c>
      <c r="AP325">
        <v>0</v>
      </c>
      <c r="AQ325">
        <v>135.19999999999999</v>
      </c>
      <c r="AR325">
        <v>0.6</v>
      </c>
      <c r="AS325">
        <v>0</v>
      </c>
      <c r="AT325">
        <v>95</v>
      </c>
      <c r="AU325">
        <v>65</v>
      </c>
      <c r="AV325">
        <v>1</v>
      </c>
      <c r="AW325">
        <v>1</v>
      </c>
      <c r="AZ325">
        <v>6.56</v>
      </c>
      <c r="BA325">
        <v>6.56</v>
      </c>
      <c r="BB325">
        <v>6.56</v>
      </c>
      <c r="BC325">
        <v>6.56</v>
      </c>
      <c r="BD325" t="s">
        <v>6</v>
      </c>
      <c r="BE325" t="s">
        <v>6</v>
      </c>
      <c r="BF325" t="s">
        <v>6</v>
      </c>
      <c r="BG325" t="s">
        <v>6</v>
      </c>
      <c r="BH325">
        <v>0</v>
      </c>
      <c r="BI325">
        <v>2</v>
      </c>
      <c r="BJ325" t="s">
        <v>713</v>
      </c>
      <c r="BM325">
        <v>108001</v>
      </c>
      <c r="BN325">
        <v>0</v>
      </c>
      <c r="BO325" t="s">
        <v>6</v>
      </c>
      <c r="BP325">
        <v>0</v>
      </c>
      <c r="BQ325">
        <v>3</v>
      </c>
      <c r="BR325">
        <v>0</v>
      </c>
      <c r="BS325">
        <v>6.56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6</v>
      </c>
      <c r="BZ325">
        <v>95</v>
      </c>
      <c r="CA325">
        <v>65</v>
      </c>
      <c r="CF325">
        <v>0</v>
      </c>
      <c r="CG325">
        <v>0</v>
      </c>
      <c r="CM325">
        <v>0</v>
      </c>
      <c r="CN325" t="s">
        <v>6</v>
      </c>
      <c r="CO325">
        <v>0</v>
      </c>
      <c r="CP325">
        <f t="shared" si="294"/>
        <v>7495.9699999999993</v>
      </c>
      <c r="CQ325">
        <f t="shared" si="295"/>
        <v>846.76480000000004</v>
      </c>
      <c r="CR325">
        <f t="shared" si="296"/>
        <v>349.71359999999999</v>
      </c>
      <c r="CS325">
        <f t="shared" si="297"/>
        <v>49.396799999999999</v>
      </c>
      <c r="CT325">
        <f t="shared" si="298"/>
        <v>8798.1407999999992</v>
      </c>
      <c r="CU325">
        <f t="shared" si="299"/>
        <v>0</v>
      </c>
      <c r="CV325">
        <f t="shared" si="300"/>
        <v>135.19999999999999</v>
      </c>
      <c r="CW325">
        <f t="shared" si="301"/>
        <v>0.6</v>
      </c>
      <c r="CX325">
        <f t="shared" si="302"/>
        <v>0</v>
      </c>
      <c r="CY325">
        <f t="shared" si="303"/>
        <v>6303.8769999999995</v>
      </c>
      <c r="CZ325">
        <f t="shared" si="304"/>
        <v>4313.1790000000001</v>
      </c>
      <c r="DC325" t="s">
        <v>6</v>
      </c>
      <c r="DD325" t="s">
        <v>6</v>
      </c>
      <c r="DE325" t="s">
        <v>6</v>
      </c>
      <c r="DF325" t="s">
        <v>6</v>
      </c>
      <c r="DG325" t="s">
        <v>6</v>
      </c>
      <c r="DH325" t="s">
        <v>6</v>
      </c>
      <c r="DI325" t="s">
        <v>6</v>
      </c>
      <c r="DJ325" t="s">
        <v>6</v>
      </c>
      <c r="DK325" t="s">
        <v>6</v>
      </c>
      <c r="DL325" t="s">
        <v>6</v>
      </c>
      <c r="DM325" t="s">
        <v>6</v>
      </c>
      <c r="DN325">
        <v>0</v>
      </c>
      <c r="DO325">
        <v>0</v>
      </c>
      <c r="DP325">
        <v>1</v>
      </c>
      <c r="DQ325">
        <v>1</v>
      </c>
      <c r="DU325">
        <v>1013</v>
      </c>
      <c r="DV325" t="s">
        <v>66</v>
      </c>
      <c r="DW325" t="s">
        <v>66</v>
      </c>
      <c r="DX325">
        <v>1</v>
      </c>
      <c r="EE325">
        <v>16510370</v>
      </c>
      <c r="EF325">
        <v>3</v>
      </c>
      <c r="EG325" t="s">
        <v>83</v>
      </c>
      <c r="EH325">
        <v>0</v>
      </c>
      <c r="EI325" t="s">
        <v>6</v>
      </c>
      <c r="EJ325">
        <v>2</v>
      </c>
      <c r="EK325">
        <v>108001</v>
      </c>
      <c r="EL325" t="s">
        <v>84</v>
      </c>
      <c r="EM325" t="s">
        <v>85</v>
      </c>
      <c r="EO325" t="s">
        <v>6</v>
      </c>
      <c r="EQ325">
        <v>0</v>
      </c>
      <c r="ER325">
        <v>1523.57</v>
      </c>
      <c r="ES325">
        <v>129.08000000000001</v>
      </c>
      <c r="ET325">
        <v>53.31</v>
      </c>
      <c r="EU325">
        <v>7.53</v>
      </c>
      <c r="EV325">
        <v>1341.18</v>
      </c>
      <c r="EW325">
        <v>135.19999999999999</v>
      </c>
      <c r="EX325">
        <v>0.6</v>
      </c>
      <c r="EY325">
        <v>0</v>
      </c>
      <c r="FQ325">
        <v>0</v>
      </c>
      <c r="FR325">
        <f t="shared" si="305"/>
        <v>0</v>
      </c>
      <c r="FS325">
        <v>0</v>
      </c>
      <c r="FX325">
        <v>95</v>
      </c>
      <c r="FY325">
        <v>65</v>
      </c>
      <c r="GA325" t="s">
        <v>6</v>
      </c>
      <c r="GD325">
        <v>0</v>
      </c>
      <c r="GF325">
        <v>-998437256</v>
      </c>
      <c r="GG325">
        <v>1</v>
      </c>
      <c r="GH325">
        <v>1</v>
      </c>
      <c r="GI325">
        <v>4</v>
      </c>
      <c r="GJ325">
        <v>0</v>
      </c>
      <c r="GK325">
        <f>ROUND(R325*(R12)/100,2)</f>
        <v>0</v>
      </c>
      <c r="GL325">
        <f t="shared" si="306"/>
        <v>0</v>
      </c>
      <c r="GM325">
        <f t="shared" si="307"/>
        <v>18113.03</v>
      </c>
      <c r="GN325">
        <f t="shared" si="308"/>
        <v>0</v>
      </c>
      <c r="GO325">
        <f t="shared" si="309"/>
        <v>18113.03</v>
      </c>
      <c r="GP325">
        <f t="shared" si="310"/>
        <v>0</v>
      </c>
      <c r="GR325">
        <v>0</v>
      </c>
      <c r="GS325">
        <v>3</v>
      </c>
      <c r="GT325">
        <v>0</v>
      </c>
      <c r="GU325" t="s">
        <v>6</v>
      </c>
      <c r="GV325">
        <f t="shared" si="311"/>
        <v>0</v>
      </c>
      <c r="GW325">
        <v>1</v>
      </c>
      <c r="GX325">
        <f t="shared" si="312"/>
        <v>0</v>
      </c>
      <c r="HA325">
        <v>0</v>
      </c>
      <c r="HB325">
        <v>0</v>
      </c>
      <c r="IK325">
        <v>0</v>
      </c>
    </row>
    <row r="326" spans="1:245" x14ac:dyDescent="0.2">
      <c r="A326">
        <v>18</v>
      </c>
      <c r="B326">
        <v>1</v>
      </c>
      <c r="C326">
        <v>475</v>
      </c>
      <c r="E326" t="s">
        <v>714</v>
      </c>
      <c r="F326" t="s">
        <v>707</v>
      </c>
      <c r="G326" t="s">
        <v>715</v>
      </c>
      <c r="H326" t="s">
        <v>73</v>
      </c>
      <c r="I326">
        <f>I325*J326</f>
        <v>75</v>
      </c>
      <c r="J326">
        <v>100</v>
      </c>
      <c r="O326">
        <f t="shared" si="274"/>
        <v>167462.04</v>
      </c>
      <c r="P326">
        <f t="shared" si="275"/>
        <v>167462.04</v>
      </c>
      <c r="Q326">
        <f t="shared" si="276"/>
        <v>0</v>
      </c>
      <c r="R326">
        <f t="shared" si="277"/>
        <v>0</v>
      </c>
      <c r="S326">
        <f t="shared" si="278"/>
        <v>0</v>
      </c>
      <c r="T326">
        <f t="shared" si="279"/>
        <v>0</v>
      </c>
      <c r="U326">
        <f t="shared" si="280"/>
        <v>0</v>
      </c>
      <c r="V326">
        <f t="shared" si="281"/>
        <v>0</v>
      </c>
      <c r="W326">
        <f t="shared" si="282"/>
        <v>0</v>
      </c>
      <c r="X326">
        <f t="shared" si="283"/>
        <v>0</v>
      </c>
      <c r="Y326">
        <f t="shared" si="284"/>
        <v>0</v>
      </c>
      <c r="AA326">
        <v>16742901</v>
      </c>
      <c r="AB326">
        <f t="shared" si="285"/>
        <v>340.37</v>
      </c>
      <c r="AC326">
        <f t="shared" si="286"/>
        <v>340.37</v>
      </c>
      <c r="AD326">
        <f t="shared" si="287"/>
        <v>0</v>
      </c>
      <c r="AE326">
        <f t="shared" si="288"/>
        <v>0</v>
      </c>
      <c r="AF326">
        <f t="shared" si="289"/>
        <v>0</v>
      </c>
      <c r="AG326">
        <f t="shared" si="290"/>
        <v>0</v>
      </c>
      <c r="AH326">
        <f t="shared" si="291"/>
        <v>0</v>
      </c>
      <c r="AI326">
        <f t="shared" si="292"/>
        <v>0</v>
      </c>
      <c r="AJ326">
        <f t="shared" si="293"/>
        <v>0</v>
      </c>
      <c r="AK326">
        <v>340.37</v>
      </c>
      <c r="AL326">
        <v>340.37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95</v>
      </c>
      <c r="AU326">
        <v>65</v>
      </c>
      <c r="AV326">
        <v>1</v>
      </c>
      <c r="AW326">
        <v>1</v>
      </c>
      <c r="AZ326">
        <v>6.56</v>
      </c>
      <c r="BA326">
        <v>1</v>
      </c>
      <c r="BB326">
        <v>1</v>
      </c>
      <c r="BC326">
        <v>6.56</v>
      </c>
      <c r="BD326" t="s">
        <v>6</v>
      </c>
      <c r="BE326" t="s">
        <v>6</v>
      </c>
      <c r="BF326" t="s">
        <v>6</v>
      </c>
      <c r="BG326" t="s">
        <v>6</v>
      </c>
      <c r="BH326">
        <v>3</v>
      </c>
      <c r="BI326">
        <v>2</v>
      </c>
      <c r="BJ326" t="s">
        <v>709</v>
      </c>
      <c r="BM326">
        <v>108001</v>
      </c>
      <c r="BN326">
        <v>0</v>
      </c>
      <c r="BO326" t="s">
        <v>6</v>
      </c>
      <c r="BP326">
        <v>0</v>
      </c>
      <c r="BQ326">
        <v>3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6</v>
      </c>
      <c r="BZ326">
        <v>95</v>
      </c>
      <c r="CA326">
        <v>65</v>
      </c>
      <c r="CF326">
        <v>0</v>
      </c>
      <c r="CG326">
        <v>0</v>
      </c>
      <c r="CM326">
        <v>0</v>
      </c>
      <c r="CN326" t="s">
        <v>6</v>
      </c>
      <c r="CO326">
        <v>0</v>
      </c>
      <c r="CP326">
        <f t="shared" si="294"/>
        <v>167462.04</v>
      </c>
      <c r="CQ326">
        <f t="shared" si="295"/>
        <v>2232.8271999999997</v>
      </c>
      <c r="CR326">
        <f t="shared" si="296"/>
        <v>0</v>
      </c>
      <c r="CS326">
        <f t="shared" si="297"/>
        <v>0</v>
      </c>
      <c r="CT326">
        <f t="shared" si="298"/>
        <v>0</v>
      </c>
      <c r="CU326">
        <f t="shared" si="299"/>
        <v>0</v>
      </c>
      <c r="CV326">
        <f t="shared" si="300"/>
        <v>0</v>
      </c>
      <c r="CW326">
        <f t="shared" si="301"/>
        <v>0</v>
      </c>
      <c r="CX326">
        <f t="shared" si="302"/>
        <v>0</v>
      </c>
      <c r="CY326">
        <f t="shared" si="303"/>
        <v>0</v>
      </c>
      <c r="CZ326">
        <f t="shared" si="304"/>
        <v>0</v>
      </c>
      <c r="DC326" t="s">
        <v>6</v>
      </c>
      <c r="DD326" t="s">
        <v>6</v>
      </c>
      <c r="DE326" t="s">
        <v>6</v>
      </c>
      <c r="DF326" t="s">
        <v>6</v>
      </c>
      <c r="DG326" t="s">
        <v>6</v>
      </c>
      <c r="DH326" t="s">
        <v>6</v>
      </c>
      <c r="DI326" t="s">
        <v>6</v>
      </c>
      <c r="DJ326" t="s">
        <v>6</v>
      </c>
      <c r="DK326" t="s">
        <v>6</v>
      </c>
      <c r="DL326" t="s">
        <v>6</v>
      </c>
      <c r="DM326" t="s">
        <v>6</v>
      </c>
      <c r="DN326">
        <v>0</v>
      </c>
      <c r="DO326">
        <v>0</v>
      </c>
      <c r="DP326">
        <v>1</v>
      </c>
      <c r="DQ326">
        <v>1</v>
      </c>
      <c r="DU326">
        <v>1010</v>
      </c>
      <c r="DV326" t="s">
        <v>73</v>
      </c>
      <c r="DW326" t="s">
        <v>73</v>
      </c>
      <c r="DX326">
        <v>1</v>
      </c>
      <c r="EE326">
        <v>16510370</v>
      </c>
      <c r="EF326">
        <v>3</v>
      </c>
      <c r="EG326" t="s">
        <v>83</v>
      </c>
      <c r="EH326">
        <v>0</v>
      </c>
      <c r="EI326" t="s">
        <v>6</v>
      </c>
      <c r="EJ326">
        <v>2</v>
      </c>
      <c r="EK326">
        <v>108001</v>
      </c>
      <c r="EL326" t="s">
        <v>84</v>
      </c>
      <c r="EM326" t="s">
        <v>85</v>
      </c>
      <c r="EO326" t="s">
        <v>6</v>
      </c>
      <c r="EQ326">
        <v>0</v>
      </c>
      <c r="ER326">
        <v>340.37</v>
      </c>
      <c r="ES326">
        <v>340.37</v>
      </c>
      <c r="ET326">
        <v>0</v>
      </c>
      <c r="EU326">
        <v>0</v>
      </c>
      <c r="EV326">
        <v>0</v>
      </c>
      <c r="EW326">
        <v>0</v>
      </c>
      <c r="EX326">
        <v>0</v>
      </c>
      <c r="FQ326">
        <v>0</v>
      </c>
      <c r="FR326">
        <f t="shared" si="305"/>
        <v>0</v>
      </c>
      <c r="FS326">
        <v>0</v>
      </c>
      <c r="FX326">
        <v>95</v>
      </c>
      <c r="FY326">
        <v>65</v>
      </c>
      <c r="GA326" t="s">
        <v>6</v>
      </c>
      <c r="GD326">
        <v>0</v>
      </c>
      <c r="GF326">
        <v>-287472163</v>
      </c>
      <c r="GG326">
        <v>1</v>
      </c>
      <c r="GH326">
        <v>1</v>
      </c>
      <c r="GI326">
        <v>4</v>
      </c>
      <c r="GJ326">
        <v>0</v>
      </c>
      <c r="GK326">
        <f>ROUND(R326*(R12)/100,2)</f>
        <v>0</v>
      </c>
      <c r="GL326">
        <f t="shared" si="306"/>
        <v>0</v>
      </c>
      <c r="GM326">
        <f t="shared" si="307"/>
        <v>167462.04</v>
      </c>
      <c r="GN326">
        <f t="shared" si="308"/>
        <v>0</v>
      </c>
      <c r="GO326">
        <f t="shared" si="309"/>
        <v>167462.04</v>
      </c>
      <c r="GP326">
        <f t="shared" si="310"/>
        <v>0</v>
      </c>
      <c r="GR326">
        <v>0</v>
      </c>
      <c r="GS326">
        <v>3</v>
      </c>
      <c r="GT326">
        <v>0</v>
      </c>
      <c r="GU326" t="s">
        <v>6</v>
      </c>
      <c r="GV326">
        <f t="shared" si="311"/>
        <v>0</v>
      </c>
      <c r="GW326">
        <v>1</v>
      </c>
      <c r="GX326">
        <f t="shared" si="312"/>
        <v>0</v>
      </c>
      <c r="HA326">
        <v>0</v>
      </c>
      <c r="HB326">
        <v>0</v>
      </c>
      <c r="IK326">
        <v>0</v>
      </c>
    </row>
    <row r="327" spans="1:245" x14ac:dyDescent="0.2">
      <c r="A327">
        <v>17</v>
      </c>
      <c r="B327">
        <v>1</v>
      </c>
      <c r="C327">
        <f>ROW(SmtRes!A486)</f>
        <v>486</v>
      </c>
      <c r="D327">
        <f>ROW(EtalonRes!A456)</f>
        <v>456</v>
      </c>
      <c r="E327" t="s">
        <v>716</v>
      </c>
      <c r="F327" t="s">
        <v>717</v>
      </c>
      <c r="G327" t="s">
        <v>718</v>
      </c>
      <c r="H327" t="s">
        <v>66</v>
      </c>
      <c r="I327">
        <f>ROUND(6/100,9)</f>
        <v>0.06</v>
      </c>
      <c r="J327">
        <v>0</v>
      </c>
      <c r="O327">
        <f t="shared" si="274"/>
        <v>179.63</v>
      </c>
      <c r="P327">
        <f t="shared" si="275"/>
        <v>40.619999999999997</v>
      </c>
      <c r="Q327">
        <f t="shared" si="276"/>
        <v>1.84</v>
      </c>
      <c r="R327">
        <f t="shared" si="277"/>
        <v>0.25</v>
      </c>
      <c r="S327">
        <f t="shared" si="278"/>
        <v>137.16999999999999</v>
      </c>
      <c r="T327">
        <f t="shared" si="279"/>
        <v>0</v>
      </c>
      <c r="U327">
        <f t="shared" si="280"/>
        <v>2.1078000000000001</v>
      </c>
      <c r="V327">
        <f t="shared" si="281"/>
        <v>3.0000000000000001E-3</v>
      </c>
      <c r="W327">
        <f t="shared" si="282"/>
        <v>0</v>
      </c>
      <c r="X327">
        <f t="shared" si="283"/>
        <v>130.55000000000001</v>
      </c>
      <c r="Y327">
        <f t="shared" si="284"/>
        <v>89.32</v>
      </c>
      <c r="AA327">
        <v>16742901</v>
      </c>
      <c r="AB327">
        <f t="shared" si="285"/>
        <v>456.35</v>
      </c>
      <c r="AC327">
        <f t="shared" si="286"/>
        <v>103.19</v>
      </c>
      <c r="AD327">
        <f t="shared" si="287"/>
        <v>4.67</v>
      </c>
      <c r="AE327">
        <f t="shared" si="288"/>
        <v>0.64</v>
      </c>
      <c r="AF327">
        <f t="shared" si="289"/>
        <v>348.49</v>
      </c>
      <c r="AG327">
        <f t="shared" si="290"/>
        <v>0</v>
      </c>
      <c r="AH327">
        <f t="shared" si="291"/>
        <v>35.130000000000003</v>
      </c>
      <c r="AI327">
        <f t="shared" si="292"/>
        <v>0.05</v>
      </c>
      <c r="AJ327">
        <f t="shared" si="293"/>
        <v>0</v>
      </c>
      <c r="AK327">
        <v>456.35</v>
      </c>
      <c r="AL327">
        <v>103.19</v>
      </c>
      <c r="AM327">
        <v>4.67</v>
      </c>
      <c r="AN327">
        <v>0.64</v>
      </c>
      <c r="AO327">
        <v>348.49</v>
      </c>
      <c r="AP327">
        <v>0</v>
      </c>
      <c r="AQ327">
        <v>35.130000000000003</v>
      </c>
      <c r="AR327">
        <v>0.05</v>
      </c>
      <c r="AS327">
        <v>0</v>
      </c>
      <c r="AT327">
        <v>95</v>
      </c>
      <c r="AU327">
        <v>65</v>
      </c>
      <c r="AV327">
        <v>1</v>
      </c>
      <c r="AW327">
        <v>1</v>
      </c>
      <c r="AZ327">
        <v>6.56</v>
      </c>
      <c r="BA327">
        <v>6.56</v>
      </c>
      <c r="BB327">
        <v>6.56</v>
      </c>
      <c r="BC327">
        <v>6.56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2</v>
      </c>
      <c r="BJ327" t="s">
        <v>719</v>
      </c>
      <c r="BM327">
        <v>108001</v>
      </c>
      <c r="BN327">
        <v>0</v>
      </c>
      <c r="BO327" t="s">
        <v>6</v>
      </c>
      <c r="BP327">
        <v>0</v>
      </c>
      <c r="BQ327">
        <v>3</v>
      </c>
      <c r="BR327">
        <v>0</v>
      </c>
      <c r="BS327">
        <v>6.56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95</v>
      </c>
      <c r="CA327">
        <v>65</v>
      </c>
      <c r="CF327">
        <v>0</v>
      </c>
      <c r="CG327">
        <v>0</v>
      </c>
      <c r="CM327">
        <v>0</v>
      </c>
      <c r="CN327" t="s">
        <v>6</v>
      </c>
      <c r="CO327">
        <v>0</v>
      </c>
      <c r="CP327">
        <f t="shared" si="294"/>
        <v>179.63</v>
      </c>
      <c r="CQ327">
        <f t="shared" si="295"/>
        <v>676.92639999999994</v>
      </c>
      <c r="CR327">
        <f t="shared" si="296"/>
        <v>30.635199999999998</v>
      </c>
      <c r="CS327">
        <f t="shared" si="297"/>
        <v>4.1983999999999995</v>
      </c>
      <c r="CT327">
        <f t="shared" si="298"/>
        <v>2286.0944</v>
      </c>
      <c r="CU327">
        <f t="shared" si="299"/>
        <v>0</v>
      </c>
      <c r="CV327">
        <f t="shared" si="300"/>
        <v>35.130000000000003</v>
      </c>
      <c r="CW327">
        <f t="shared" si="301"/>
        <v>0.05</v>
      </c>
      <c r="CX327">
        <f t="shared" si="302"/>
        <v>0</v>
      </c>
      <c r="CY327">
        <f t="shared" si="303"/>
        <v>130.54900000000001</v>
      </c>
      <c r="CZ327">
        <f t="shared" si="304"/>
        <v>89.322999999999993</v>
      </c>
      <c r="DC327" t="s">
        <v>6</v>
      </c>
      <c r="DD327" t="s">
        <v>6</v>
      </c>
      <c r="DE327" t="s">
        <v>6</v>
      </c>
      <c r="DF327" t="s">
        <v>6</v>
      </c>
      <c r="DG327" t="s">
        <v>6</v>
      </c>
      <c r="DH327" t="s">
        <v>6</v>
      </c>
      <c r="DI327" t="s">
        <v>6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66</v>
      </c>
      <c r="DW327" t="s">
        <v>66</v>
      </c>
      <c r="DX327">
        <v>1</v>
      </c>
      <c r="EE327">
        <v>16510370</v>
      </c>
      <c r="EF327">
        <v>3</v>
      </c>
      <c r="EG327" t="s">
        <v>83</v>
      </c>
      <c r="EH327">
        <v>0</v>
      </c>
      <c r="EI327" t="s">
        <v>6</v>
      </c>
      <c r="EJ327">
        <v>2</v>
      </c>
      <c r="EK327">
        <v>108001</v>
      </c>
      <c r="EL327" t="s">
        <v>84</v>
      </c>
      <c r="EM327" t="s">
        <v>85</v>
      </c>
      <c r="EO327" t="s">
        <v>6</v>
      </c>
      <c r="EQ327">
        <v>131072</v>
      </c>
      <c r="ER327">
        <v>456.35</v>
      </c>
      <c r="ES327">
        <v>103.19</v>
      </c>
      <c r="ET327">
        <v>4.67</v>
      </c>
      <c r="EU327">
        <v>0.64</v>
      </c>
      <c r="EV327">
        <v>348.49</v>
      </c>
      <c r="EW327">
        <v>35.130000000000003</v>
      </c>
      <c r="EX327">
        <v>0.05</v>
      </c>
      <c r="EY327">
        <v>0</v>
      </c>
      <c r="FQ327">
        <v>0</v>
      </c>
      <c r="FR327">
        <f t="shared" si="305"/>
        <v>0</v>
      </c>
      <c r="FS327">
        <v>0</v>
      </c>
      <c r="FX327">
        <v>95</v>
      </c>
      <c r="FY327">
        <v>65</v>
      </c>
      <c r="GA327" t="s">
        <v>6</v>
      </c>
      <c r="GD327">
        <v>0</v>
      </c>
      <c r="GF327">
        <v>-991288307</v>
      </c>
      <c r="GG327">
        <v>1</v>
      </c>
      <c r="GH327">
        <v>1</v>
      </c>
      <c r="GI327">
        <v>4</v>
      </c>
      <c r="GJ327">
        <v>0</v>
      </c>
      <c r="GK327">
        <f>ROUND(R327*(R12)/100,2)</f>
        <v>0</v>
      </c>
      <c r="GL327">
        <f t="shared" si="306"/>
        <v>0</v>
      </c>
      <c r="GM327">
        <f t="shared" si="307"/>
        <v>399.5</v>
      </c>
      <c r="GN327">
        <f t="shared" si="308"/>
        <v>0</v>
      </c>
      <c r="GO327">
        <f t="shared" si="309"/>
        <v>399.5</v>
      </c>
      <c r="GP327">
        <f t="shared" si="310"/>
        <v>0</v>
      </c>
      <c r="GR327">
        <v>0</v>
      </c>
      <c r="GS327">
        <v>3</v>
      </c>
      <c r="GT327">
        <v>0</v>
      </c>
      <c r="GU327" t="s">
        <v>6</v>
      </c>
      <c r="GV327">
        <f t="shared" si="311"/>
        <v>0</v>
      </c>
      <c r="GW327">
        <v>1</v>
      </c>
      <c r="GX327">
        <f t="shared" si="312"/>
        <v>0</v>
      </c>
      <c r="HA327">
        <v>0</v>
      </c>
      <c r="HB327">
        <v>0</v>
      </c>
      <c r="IK327">
        <v>0</v>
      </c>
    </row>
    <row r="328" spans="1:245" x14ac:dyDescent="0.2">
      <c r="A328">
        <v>18</v>
      </c>
      <c r="B328">
        <v>1</v>
      </c>
      <c r="C328">
        <v>485</v>
      </c>
      <c r="E328" t="s">
        <v>720</v>
      </c>
      <c r="F328" t="s">
        <v>721</v>
      </c>
      <c r="G328" t="s">
        <v>722</v>
      </c>
      <c r="H328" t="s">
        <v>723</v>
      </c>
      <c r="I328">
        <f>I327*J328</f>
        <v>0.6</v>
      </c>
      <c r="J328">
        <v>10</v>
      </c>
      <c r="O328">
        <f t="shared" si="274"/>
        <v>286.54000000000002</v>
      </c>
      <c r="P328">
        <f t="shared" si="275"/>
        <v>286.54000000000002</v>
      </c>
      <c r="Q328">
        <f t="shared" si="276"/>
        <v>0</v>
      </c>
      <c r="R328">
        <f t="shared" si="277"/>
        <v>0</v>
      </c>
      <c r="S328">
        <f t="shared" si="278"/>
        <v>0</v>
      </c>
      <c r="T328">
        <f t="shared" si="279"/>
        <v>0</v>
      </c>
      <c r="U328">
        <f t="shared" si="280"/>
        <v>0</v>
      </c>
      <c r="V328">
        <f t="shared" si="281"/>
        <v>0</v>
      </c>
      <c r="W328">
        <f t="shared" si="282"/>
        <v>0</v>
      </c>
      <c r="X328">
        <f t="shared" si="283"/>
        <v>0</v>
      </c>
      <c r="Y328">
        <f t="shared" si="284"/>
        <v>0</v>
      </c>
      <c r="AA328">
        <v>16742901</v>
      </c>
      <c r="AB328">
        <f t="shared" si="285"/>
        <v>72.8</v>
      </c>
      <c r="AC328">
        <f t="shared" si="286"/>
        <v>72.8</v>
      </c>
      <c r="AD328">
        <f t="shared" si="287"/>
        <v>0</v>
      </c>
      <c r="AE328">
        <f t="shared" si="288"/>
        <v>0</v>
      </c>
      <c r="AF328">
        <f t="shared" si="289"/>
        <v>0</v>
      </c>
      <c r="AG328">
        <f t="shared" si="290"/>
        <v>0</v>
      </c>
      <c r="AH328">
        <f t="shared" si="291"/>
        <v>0</v>
      </c>
      <c r="AI328">
        <f t="shared" si="292"/>
        <v>0</v>
      </c>
      <c r="AJ328">
        <f t="shared" si="293"/>
        <v>0</v>
      </c>
      <c r="AK328">
        <v>72.8</v>
      </c>
      <c r="AL328">
        <v>72.8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95</v>
      </c>
      <c r="AU328">
        <v>65</v>
      </c>
      <c r="AV328">
        <v>1</v>
      </c>
      <c r="AW328">
        <v>1</v>
      </c>
      <c r="AZ328">
        <v>6.56</v>
      </c>
      <c r="BA328">
        <v>1</v>
      </c>
      <c r="BB328">
        <v>1</v>
      </c>
      <c r="BC328">
        <v>6.56</v>
      </c>
      <c r="BD328" t="s">
        <v>6</v>
      </c>
      <c r="BE328" t="s">
        <v>6</v>
      </c>
      <c r="BF328" t="s">
        <v>6</v>
      </c>
      <c r="BG328" t="s">
        <v>6</v>
      </c>
      <c r="BH328">
        <v>3</v>
      </c>
      <c r="BI328">
        <v>2</v>
      </c>
      <c r="BJ328" t="s">
        <v>724</v>
      </c>
      <c r="BM328">
        <v>108001</v>
      </c>
      <c r="BN328">
        <v>0</v>
      </c>
      <c r="BO328" t="s">
        <v>6</v>
      </c>
      <c r="BP328">
        <v>0</v>
      </c>
      <c r="BQ328">
        <v>3</v>
      </c>
      <c r="BR328">
        <v>0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6</v>
      </c>
      <c r="BZ328">
        <v>95</v>
      </c>
      <c r="CA328">
        <v>65</v>
      </c>
      <c r="CF328">
        <v>0</v>
      </c>
      <c r="CG328">
        <v>0</v>
      </c>
      <c r="CM328">
        <v>0</v>
      </c>
      <c r="CN328" t="s">
        <v>6</v>
      </c>
      <c r="CO328">
        <v>0</v>
      </c>
      <c r="CP328">
        <f t="shared" si="294"/>
        <v>286.54000000000002</v>
      </c>
      <c r="CQ328">
        <f t="shared" si="295"/>
        <v>477.56799999999993</v>
      </c>
      <c r="CR328">
        <f t="shared" si="296"/>
        <v>0</v>
      </c>
      <c r="CS328">
        <f t="shared" si="297"/>
        <v>0</v>
      </c>
      <c r="CT328">
        <f t="shared" si="298"/>
        <v>0</v>
      </c>
      <c r="CU328">
        <f t="shared" si="299"/>
        <v>0</v>
      </c>
      <c r="CV328">
        <f t="shared" si="300"/>
        <v>0</v>
      </c>
      <c r="CW328">
        <f t="shared" si="301"/>
        <v>0</v>
      </c>
      <c r="CX328">
        <f t="shared" si="302"/>
        <v>0</v>
      </c>
      <c r="CY328">
        <f t="shared" si="303"/>
        <v>0</v>
      </c>
      <c r="CZ328">
        <f t="shared" si="304"/>
        <v>0</v>
      </c>
      <c r="DC328" t="s">
        <v>6</v>
      </c>
      <c r="DD328" t="s">
        <v>6</v>
      </c>
      <c r="DE328" t="s">
        <v>6</v>
      </c>
      <c r="DF328" t="s">
        <v>6</v>
      </c>
      <c r="DG328" t="s">
        <v>6</v>
      </c>
      <c r="DH328" t="s">
        <v>6</v>
      </c>
      <c r="DI328" t="s">
        <v>6</v>
      </c>
      <c r="DJ328" t="s">
        <v>6</v>
      </c>
      <c r="DK328" t="s">
        <v>6</v>
      </c>
      <c r="DL328" t="s">
        <v>6</v>
      </c>
      <c r="DM328" t="s">
        <v>6</v>
      </c>
      <c r="DN328">
        <v>0</v>
      </c>
      <c r="DO328">
        <v>0</v>
      </c>
      <c r="DP328">
        <v>1</v>
      </c>
      <c r="DQ328">
        <v>1</v>
      </c>
      <c r="DU328">
        <v>1010</v>
      </c>
      <c r="DV328" t="s">
        <v>723</v>
      </c>
      <c r="DW328" t="s">
        <v>723</v>
      </c>
      <c r="DX328">
        <v>10</v>
      </c>
      <c r="EE328">
        <v>16510370</v>
      </c>
      <c r="EF328">
        <v>3</v>
      </c>
      <c r="EG328" t="s">
        <v>83</v>
      </c>
      <c r="EH328">
        <v>0</v>
      </c>
      <c r="EI328" t="s">
        <v>6</v>
      </c>
      <c r="EJ328">
        <v>2</v>
      </c>
      <c r="EK328">
        <v>108001</v>
      </c>
      <c r="EL328" t="s">
        <v>84</v>
      </c>
      <c r="EM328" t="s">
        <v>85</v>
      </c>
      <c r="EO328" t="s">
        <v>6</v>
      </c>
      <c r="EQ328">
        <v>0</v>
      </c>
      <c r="ER328">
        <v>72.8</v>
      </c>
      <c r="ES328">
        <v>72.8</v>
      </c>
      <c r="ET328">
        <v>0</v>
      </c>
      <c r="EU328">
        <v>0</v>
      </c>
      <c r="EV328">
        <v>0</v>
      </c>
      <c r="EW328">
        <v>0</v>
      </c>
      <c r="EX328">
        <v>0</v>
      </c>
      <c r="FQ328">
        <v>0</v>
      </c>
      <c r="FR328">
        <f t="shared" si="305"/>
        <v>0</v>
      </c>
      <c r="FS328">
        <v>0</v>
      </c>
      <c r="FX328">
        <v>95</v>
      </c>
      <c r="FY328">
        <v>65</v>
      </c>
      <c r="GA328" t="s">
        <v>6</v>
      </c>
      <c r="GD328">
        <v>0</v>
      </c>
      <c r="GF328">
        <v>668519206</v>
      </c>
      <c r="GG328">
        <v>1</v>
      </c>
      <c r="GH328">
        <v>1</v>
      </c>
      <c r="GI328">
        <v>4</v>
      </c>
      <c r="GJ328">
        <v>0</v>
      </c>
      <c r="GK328">
        <f>ROUND(R328*(R12)/100,2)</f>
        <v>0</v>
      </c>
      <c r="GL328">
        <f t="shared" si="306"/>
        <v>0</v>
      </c>
      <c r="GM328">
        <f t="shared" si="307"/>
        <v>286.54000000000002</v>
      </c>
      <c r="GN328">
        <f t="shared" si="308"/>
        <v>0</v>
      </c>
      <c r="GO328">
        <f t="shared" si="309"/>
        <v>286.54000000000002</v>
      </c>
      <c r="GP328">
        <f t="shared" si="310"/>
        <v>0</v>
      </c>
      <c r="GR328">
        <v>0</v>
      </c>
      <c r="GS328">
        <v>3</v>
      </c>
      <c r="GT328">
        <v>0</v>
      </c>
      <c r="GU328" t="s">
        <v>6</v>
      </c>
      <c r="GV328">
        <f t="shared" si="311"/>
        <v>0</v>
      </c>
      <c r="GW328">
        <v>1</v>
      </c>
      <c r="GX328">
        <f t="shared" si="312"/>
        <v>0</v>
      </c>
      <c r="HA328">
        <v>0</v>
      </c>
      <c r="HB328">
        <v>0</v>
      </c>
      <c r="IK328">
        <v>0</v>
      </c>
    </row>
    <row r="329" spans="1:245" x14ac:dyDescent="0.2">
      <c r="A329">
        <v>17</v>
      </c>
      <c r="B329">
        <v>1</v>
      </c>
      <c r="C329">
        <f>ROW(SmtRes!A496)</f>
        <v>496</v>
      </c>
      <c r="D329">
        <f>ROW(EtalonRes!A465)</f>
        <v>465</v>
      </c>
      <c r="E329" t="s">
        <v>725</v>
      </c>
      <c r="F329" t="s">
        <v>726</v>
      </c>
      <c r="G329" t="s">
        <v>727</v>
      </c>
      <c r="H329" t="s">
        <v>66</v>
      </c>
      <c r="I329">
        <f>ROUND(3/100,9)</f>
        <v>0.03</v>
      </c>
      <c r="J329">
        <v>0</v>
      </c>
      <c r="O329">
        <f t="shared" si="274"/>
        <v>83.44</v>
      </c>
      <c r="P329">
        <f t="shared" si="275"/>
        <v>20.83</v>
      </c>
      <c r="Q329">
        <f t="shared" si="276"/>
        <v>0.92</v>
      </c>
      <c r="R329">
        <f t="shared" si="277"/>
        <v>0.13</v>
      </c>
      <c r="S329">
        <f t="shared" si="278"/>
        <v>61.69</v>
      </c>
      <c r="T329">
        <f t="shared" si="279"/>
        <v>0</v>
      </c>
      <c r="U329">
        <f t="shared" si="280"/>
        <v>0.94799999999999995</v>
      </c>
      <c r="V329">
        <f t="shared" si="281"/>
        <v>1.5E-3</v>
      </c>
      <c r="W329">
        <f t="shared" si="282"/>
        <v>0</v>
      </c>
      <c r="X329">
        <f t="shared" si="283"/>
        <v>58.73</v>
      </c>
      <c r="Y329">
        <f t="shared" si="284"/>
        <v>40.18</v>
      </c>
      <c r="AA329">
        <v>16742901</v>
      </c>
      <c r="AB329">
        <f t="shared" si="285"/>
        <v>423.97</v>
      </c>
      <c r="AC329">
        <f t="shared" si="286"/>
        <v>105.83</v>
      </c>
      <c r="AD329">
        <f t="shared" si="287"/>
        <v>4.67</v>
      </c>
      <c r="AE329">
        <f t="shared" si="288"/>
        <v>0.64</v>
      </c>
      <c r="AF329">
        <f t="shared" si="289"/>
        <v>313.47000000000003</v>
      </c>
      <c r="AG329">
        <f t="shared" si="290"/>
        <v>0</v>
      </c>
      <c r="AH329">
        <f t="shared" si="291"/>
        <v>31.6</v>
      </c>
      <c r="AI329">
        <f t="shared" si="292"/>
        <v>0.05</v>
      </c>
      <c r="AJ329">
        <f t="shared" si="293"/>
        <v>0</v>
      </c>
      <c r="AK329">
        <v>423.97</v>
      </c>
      <c r="AL329">
        <v>105.83</v>
      </c>
      <c r="AM329">
        <v>4.67</v>
      </c>
      <c r="AN329">
        <v>0.64</v>
      </c>
      <c r="AO329">
        <v>313.47000000000003</v>
      </c>
      <c r="AP329">
        <v>0</v>
      </c>
      <c r="AQ329">
        <v>31.6</v>
      </c>
      <c r="AR329">
        <v>0.05</v>
      </c>
      <c r="AS329">
        <v>0</v>
      </c>
      <c r="AT329">
        <v>95</v>
      </c>
      <c r="AU329">
        <v>65</v>
      </c>
      <c r="AV329">
        <v>1</v>
      </c>
      <c r="AW329">
        <v>1</v>
      </c>
      <c r="AZ329">
        <v>6.56</v>
      </c>
      <c r="BA329">
        <v>6.56</v>
      </c>
      <c r="BB329">
        <v>6.56</v>
      </c>
      <c r="BC329">
        <v>6.56</v>
      </c>
      <c r="BD329" t="s">
        <v>6</v>
      </c>
      <c r="BE329" t="s">
        <v>6</v>
      </c>
      <c r="BF329" t="s">
        <v>6</v>
      </c>
      <c r="BG329" t="s">
        <v>6</v>
      </c>
      <c r="BH329">
        <v>0</v>
      </c>
      <c r="BI329">
        <v>2</v>
      </c>
      <c r="BJ329" t="s">
        <v>728</v>
      </c>
      <c r="BM329">
        <v>108001</v>
      </c>
      <c r="BN329">
        <v>0</v>
      </c>
      <c r="BO329" t="s">
        <v>6</v>
      </c>
      <c r="BP329">
        <v>0</v>
      </c>
      <c r="BQ329">
        <v>3</v>
      </c>
      <c r="BR329">
        <v>0</v>
      </c>
      <c r="BS329">
        <v>6.56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95</v>
      </c>
      <c r="CA329">
        <v>65</v>
      </c>
      <c r="CF329">
        <v>0</v>
      </c>
      <c r="CG329">
        <v>0</v>
      </c>
      <c r="CM329">
        <v>0</v>
      </c>
      <c r="CN329" t="s">
        <v>6</v>
      </c>
      <c r="CO329">
        <v>0</v>
      </c>
      <c r="CP329">
        <f t="shared" si="294"/>
        <v>83.44</v>
      </c>
      <c r="CQ329">
        <f t="shared" si="295"/>
        <v>694.24479999999994</v>
      </c>
      <c r="CR329">
        <f t="shared" si="296"/>
        <v>30.635199999999998</v>
      </c>
      <c r="CS329">
        <f t="shared" si="297"/>
        <v>4.1983999999999995</v>
      </c>
      <c r="CT329">
        <f t="shared" si="298"/>
        <v>2056.3632000000002</v>
      </c>
      <c r="CU329">
        <f t="shared" si="299"/>
        <v>0</v>
      </c>
      <c r="CV329">
        <f t="shared" si="300"/>
        <v>31.6</v>
      </c>
      <c r="CW329">
        <f t="shared" si="301"/>
        <v>0.05</v>
      </c>
      <c r="CX329">
        <f t="shared" si="302"/>
        <v>0</v>
      </c>
      <c r="CY329">
        <f t="shared" si="303"/>
        <v>58.728999999999999</v>
      </c>
      <c r="CZ329">
        <f t="shared" si="304"/>
        <v>40.183</v>
      </c>
      <c r="DC329" t="s">
        <v>6</v>
      </c>
      <c r="DD329" t="s">
        <v>6</v>
      </c>
      <c r="DE329" t="s">
        <v>6</v>
      </c>
      <c r="DF329" t="s">
        <v>6</v>
      </c>
      <c r="DG329" t="s">
        <v>6</v>
      </c>
      <c r="DH329" t="s">
        <v>6</v>
      </c>
      <c r="DI329" t="s">
        <v>6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1013</v>
      </c>
      <c r="DV329" t="s">
        <v>66</v>
      </c>
      <c r="DW329" t="s">
        <v>66</v>
      </c>
      <c r="DX329">
        <v>1</v>
      </c>
      <c r="EE329">
        <v>16510370</v>
      </c>
      <c r="EF329">
        <v>3</v>
      </c>
      <c r="EG329" t="s">
        <v>83</v>
      </c>
      <c r="EH329">
        <v>0</v>
      </c>
      <c r="EI329" t="s">
        <v>6</v>
      </c>
      <c r="EJ329">
        <v>2</v>
      </c>
      <c r="EK329">
        <v>108001</v>
      </c>
      <c r="EL329" t="s">
        <v>84</v>
      </c>
      <c r="EM329" t="s">
        <v>85</v>
      </c>
      <c r="EO329" t="s">
        <v>6</v>
      </c>
      <c r="EQ329">
        <v>131072</v>
      </c>
      <c r="ER329">
        <v>423.97</v>
      </c>
      <c r="ES329">
        <v>105.83</v>
      </c>
      <c r="ET329">
        <v>4.67</v>
      </c>
      <c r="EU329">
        <v>0.64</v>
      </c>
      <c r="EV329">
        <v>313.47000000000003</v>
      </c>
      <c r="EW329">
        <v>31.6</v>
      </c>
      <c r="EX329">
        <v>0.05</v>
      </c>
      <c r="EY329">
        <v>0</v>
      </c>
      <c r="FQ329">
        <v>0</v>
      </c>
      <c r="FR329">
        <f t="shared" si="305"/>
        <v>0</v>
      </c>
      <c r="FS329">
        <v>0</v>
      </c>
      <c r="FX329">
        <v>95</v>
      </c>
      <c r="FY329">
        <v>65</v>
      </c>
      <c r="GA329" t="s">
        <v>6</v>
      </c>
      <c r="GD329">
        <v>0</v>
      </c>
      <c r="GF329">
        <v>-312235141</v>
      </c>
      <c r="GG329">
        <v>1</v>
      </c>
      <c r="GH329">
        <v>1</v>
      </c>
      <c r="GI329">
        <v>4</v>
      </c>
      <c r="GJ329">
        <v>0</v>
      </c>
      <c r="GK329">
        <f>ROUND(R329*(R12)/100,2)</f>
        <v>0</v>
      </c>
      <c r="GL329">
        <f t="shared" si="306"/>
        <v>0</v>
      </c>
      <c r="GM329">
        <f t="shared" si="307"/>
        <v>182.35</v>
      </c>
      <c r="GN329">
        <f t="shared" si="308"/>
        <v>0</v>
      </c>
      <c r="GO329">
        <f t="shared" si="309"/>
        <v>182.35</v>
      </c>
      <c r="GP329">
        <f t="shared" si="310"/>
        <v>0</v>
      </c>
      <c r="GR329">
        <v>0</v>
      </c>
      <c r="GS329">
        <v>3</v>
      </c>
      <c r="GT329">
        <v>0</v>
      </c>
      <c r="GU329" t="s">
        <v>6</v>
      </c>
      <c r="GV329">
        <f t="shared" si="311"/>
        <v>0</v>
      </c>
      <c r="GW329">
        <v>1</v>
      </c>
      <c r="GX329">
        <f t="shared" si="312"/>
        <v>0</v>
      </c>
      <c r="HA329">
        <v>0</v>
      </c>
      <c r="HB329">
        <v>0</v>
      </c>
      <c r="IK329">
        <v>0</v>
      </c>
    </row>
    <row r="330" spans="1:245" x14ac:dyDescent="0.2">
      <c r="A330">
        <v>18</v>
      </c>
      <c r="B330">
        <v>1</v>
      </c>
      <c r="C330">
        <v>495</v>
      </c>
      <c r="E330" t="s">
        <v>729</v>
      </c>
      <c r="F330" t="s">
        <v>730</v>
      </c>
      <c r="G330" t="s">
        <v>731</v>
      </c>
      <c r="H330" t="s">
        <v>723</v>
      </c>
      <c r="I330">
        <f>I329*J330</f>
        <v>0.3</v>
      </c>
      <c r="J330">
        <v>10</v>
      </c>
      <c r="O330">
        <f t="shared" si="274"/>
        <v>126.74</v>
      </c>
      <c r="P330">
        <f t="shared" si="275"/>
        <v>126.74</v>
      </c>
      <c r="Q330">
        <f t="shared" si="276"/>
        <v>0</v>
      </c>
      <c r="R330">
        <f t="shared" si="277"/>
        <v>0</v>
      </c>
      <c r="S330">
        <f t="shared" si="278"/>
        <v>0</v>
      </c>
      <c r="T330">
        <f t="shared" si="279"/>
        <v>0</v>
      </c>
      <c r="U330">
        <f t="shared" si="280"/>
        <v>0</v>
      </c>
      <c r="V330">
        <f t="shared" si="281"/>
        <v>0</v>
      </c>
      <c r="W330">
        <f t="shared" si="282"/>
        <v>0</v>
      </c>
      <c r="X330">
        <f t="shared" si="283"/>
        <v>0</v>
      </c>
      <c r="Y330">
        <f t="shared" si="284"/>
        <v>0</v>
      </c>
      <c r="AA330">
        <v>16742901</v>
      </c>
      <c r="AB330">
        <f t="shared" si="285"/>
        <v>64.400000000000006</v>
      </c>
      <c r="AC330">
        <f t="shared" si="286"/>
        <v>64.400000000000006</v>
      </c>
      <c r="AD330">
        <f t="shared" si="287"/>
        <v>0</v>
      </c>
      <c r="AE330">
        <f t="shared" si="288"/>
        <v>0</v>
      </c>
      <c r="AF330">
        <f t="shared" si="289"/>
        <v>0</v>
      </c>
      <c r="AG330">
        <f t="shared" si="290"/>
        <v>0</v>
      </c>
      <c r="AH330">
        <f t="shared" si="291"/>
        <v>0</v>
      </c>
      <c r="AI330">
        <f t="shared" si="292"/>
        <v>0</v>
      </c>
      <c r="AJ330">
        <f t="shared" si="293"/>
        <v>0</v>
      </c>
      <c r="AK330">
        <v>64.400000000000006</v>
      </c>
      <c r="AL330">
        <v>64.400000000000006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95</v>
      </c>
      <c r="AU330">
        <v>65</v>
      </c>
      <c r="AV330">
        <v>1</v>
      </c>
      <c r="AW330">
        <v>1</v>
      </c>
      <c r="AZ330">
        <v>6.56</v>
      </c>
      <c r="BA330">
        <v>1</v>
      </c>
      <c r="BB330">
        <v>1</v>
      </c>
      <c r="BC330">
        <v>6.56</v>
      </c>
      <c r="BD330" t="s">
        <v>6</v>
      </c>
      <c r="BE330" t="s">
        <v>6</v>
      </c>
      <c r="BF330" t="s">
        <v>6</v>
      </c>
      <c r="BG330" t="s">
        <v>6</v>
      </c>
      <c r="BH330">
        <v>3</v>
      </c>
      <c r="BI330">
        <v>2</v>
      </c>
      <c r="BJ330" t="s">
        <v>732</v>
      </c>
      <c r="BM330">
        <v>108001</v>
      </c>
      <c r="BN330">
        <v>0</v>
      </c>
      <c r="BO330" t="s">
        <v>6</v>
      </c>
      <c r="BP330">
        <v>0</v>
      </c>
      <c r="BQ330">
        <v>3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6</v>
      </c>
      <c r="BZ330">
        <v>95</v>
      </c>
      <c r="CA330">
        <v>65</v>
      </c>
      <c r="CF330">
        <v>0</v>
      </c>
      <c r="CG330">
        <v>0</v>
      </c>
      <c r="CM330">
        <v>0</v>
      </c>
      <c r="CN330" t="s">
        <v>6</v>
      </c>
      <c r="CO330">
        <v>0</v>
      </c>
      <c r="CP330">
        <f t="shared" si="294"/>
        <v>126.74</v>
      </c>
      <c r="CQ330">
        <f t="shared" si="295"/>
        <v>422.464</v>
      </c>
      <c r="CR330">
        <f t="shared" si="296"/>
        <v>0</v>
      </c>
      <c r="CS330">
        <f t="shared" si="297"/>
        <v>0</v>
      </c>
      <c r="CT330">
        <f t="shared" si="298"/>
        <v>0</v>
      </c>
      <c r="CU330">
        <f t="shared" si="299"/>
        <v>0</v>
      </c>
      <c r="CV330">
        <f t="shared" si="300"/>
        <v>0</v>
      </c>
      <c r="CW330">
        <f t="shared" si="301"/>
        <v>0</v>
      </c>
      <c r="CX330">
        <f t="shared" si="302"/>
        <v>0</v>
      </c>
      <c r="CY330">
        <f t="shared" si="303"/>
        <v>0</v>
      </c>
      <c r="CZ330">
        <f t="shared" si="304"/>
        <v>0</v>
      </c>
      <c r="DC330" t="s">
        <v>6</v>
      </c>
      <c r="DD330" t="s">
        <v>6</v>
      </c>
      <c r="DE330" t="s">
        <v>6</v>
      </c>
      <c r="DF330" t="s">
        <v>6</v>
      </c>
      <c r="DG330" t="s">
        <v>6</v>
      </c>
      <c r="DH330" t="s">
        <v>6</v>
      </c>
      <c r="DI330" t="s">
        <v>6</v>
      </c>
      <c r="DJ330" t="s">
        <v>6</v>
      </c>
      <c r="DK330" t="s">
        <v>6</v>
      </c>
      <c r="DL330" t="s">
        <v>6</v>
      </c>
      <c r="DM330" t="s">
        <v>6</v>
      </c>
      <c r="DN330">
        <v>0</v>
      </c>
      <c r="DO330">
        <v>0</v>
      </c>
      <c r="DP330">
        <v>1</v>
      </c>
      <c r="DQ330">
        <v>1</v>
      </c>
      <c r="DU330">
        <v>1010</v>
      </c>
      <c r="DV330" t="s">
        <v>723</v>
      </c>
      <c r="DW330" t="s">
        <v>723</v>
      </c>
      <c r="DX330">
        <v>10</v>
      </c>
      <c r="EE330">
        <v>16510370</v>
      </c>
      <c r="EF330">
        <v>3</v>
      </c>
      <c r="EG330" t="s">
        <v>83</v>
      </c>
      <c r="EH330">
        <v>0</v>
      </c>
      <c r="EI330" t="s">
        <v>6</v>
      </c>
      <c r="EJ330">
        <v>2</v>
      </c>
      <c r="EK330">
        <v>108001</v>
      </c>
      <c r="EL330" t="s">
        <v>84</v>
      </c>
      <c r="EM330" t="s">
        <v>85</v>
      </c>
      <c r="EO330" t="s">
        <v>6</v>
      </c>
      <c r="EQ330">
        <v>0</v>
      </c>
      <c r="ER330">
        <v>64.400000000000006</v>
      </c>
      <c r="ES330">
        <v>64.400000000000006</v>
      </c>
      <c r="ET330">
        <v>0</v>
      </c>
      <c r="EU330">
        <v>0</v>
      </c>
      <c r="EV330">
        <v>0</v>
      </c>
      <c r="EW330">
        <v>0</v>
      </c>
      <c r="EX330">
        <v>0</v>
      </c>
      <c r="FQ330">
        <v>0</v>
      </c>
      <c r="FR330">
        <f t="shared" si="305"/>
        <v>0</v>
      </c>
      <c r="FS330">
        <v>0</v>
      </c>
      <c r="FX330">
        <v>95</v>
      </c>
      <c r="FY330">
        <v>65</v>
      </c>
      <c r="GA330" t="s">
        <v>6</v>
      </c>
      <c r="GD330">
        <v>0</v>
      </c>
      <c r="GF330">
        <v>-168123214</v>
      </c>
      <c r="GG330">
        <v>1</v>
      </c>
      <c r="GH330">
        <v>1</v>
      </c>
      <c r="GI330">
        <v>4</v>
      </c>
      <c r="GJ330">
        <v>0</v>
      </c>
      <c r="GK330">
        <f>ROUND(R330*(R12)/100,2)</f>
        <v>0</v>
      </c>
      <c r="GL330">
        <f t="shared" si="306"/>
        <v>0</v>
      </c>
      <c r="GM330">
        <f t="shared" si="307"/>
        <v>126.74</v>
      </c>
      <c r="GN330">
        <f t="shared" si="308"/>
        <v>0</v>
      </c>
      <c r="GO330">
        <f t="shared" si="309"/>
        <v>126.74</v>
      </c>
      <c r="GP330">
        <f t="shared" si="310"/>
        <v>0</v>
      </c>
      <c r="GR330">
        <v>0</v>
      </c>
      <c r="GS330">
        <v>3</v>
      </c>
      <c r="GT330">
        <v>0</v>
      </c>
      <c r="GU330" t="s">
        <v>6</v>
      </c>
      <c r="GV330">
        <f t="shared" si="311"/>
        <v>0</v>
      </c>
      <c r="GW330">
        <v>1</v>
      </c>
      <c r="GX330">
        <f t="shared" si="312"/>
        <v>0</v>
      </c>
      <c r="HA330">
        <v>0</v>
      </c>
      <c r="HB330">
        <v>0</v>
      </c>
      <c r="IK330">
        <v>0</v>
      </c>
    </row>
    <row r="331" spans="1:245" x14ac:dyDescent="0.2">
      <c r="A331">
        <v>17</v>
      </c>
      <c r="B331">
        <v>1</v>
      </c>
      <c r="C331">
        <f>ROW(SmtRes!A500)</f>
        <v>500</v>
      </c>
      <c r="D331">
        <f>ROW(EtalonRes!A468)</f>
        <v>468</v>
      </c>
      <c r="E331" t="s">
        <v>733</v>
      </c>
      <c r="F331" t="s">
        <v>734</v>
      </c>
      <c r="G331" t="s">
        <v>735</v>
      </c>
      <c r="H331" t="s">
        <v>34</v>
      </c>
      <c r="I331">
        <f>ROUND(183/100,9)</f>
        <v>1.83</v>
      </c>
      <c r="J331">
        <v>0</v>
      </c>
      <c r="O331">
        <f t="shared" si="274"/>
        <v>1876.71</v>
      </c>
      <c r="P331">
        <f t="shared" si="275"/>
        <v>201.56</v>
      </c>
      <c r="Q331">
        <f t="shared" si="276"/>
        <v>0</v>
      </c>
      <c r="R331">
        <f t="shared" si="277"/>
        <v>0</v>
      </c>
      <c r="S331">
        <f t="shared" si="278"/>
        <v>1675.15</v>
      </c>
      <c r="T331">
        <f t="shared" si="279"/>
        <v>0</v>
      </c>
      <c r="U331">
        <f t="shared" si="280"/>
        <v>27.815999999999999</v>
      </c>
      <c r="V331">
        <f t="shared" si="281"/>
        <v>0</v>
      </c>
      <c r="W331">
        <f t="shared" si="282"/>
        <v>0</v>
      </c>
      <c r="X331">
        <f t="shared" si="283"/>
        <v>1591.39</v>
      </c>
      <c r="Y331">
        <f t="shared" si="284"/>
        <v>1088.8499999999999</v>
      </c>
      <c r="AA331">
        <v>16742901</v>
      </c>
      <c r="AB331">
        <f t="shared" si="285"/>
        <v>156.33000000000001</v>
      </c>
      <c r="AC331">
        <f t="shared" si="286"/>
        <v>16.79</v>
      </c>
      <c r="AD331">
        <f t="shared" si="287"/>
        <v>0</v>
      </c>
      <c r="AE331">
        <f t="shared" si="288"/>
        <v>0</v>
      </c>
      <c r="AF331">
        <f t="shared" si="289"/>
        <v>139.54</v>
      </c>
      <c r="AG331">
        <f t="shared" si="290"/>
        <v>0</v>
      </c>
      <c r="AH331">
        <f t="shared" si="291"/>
        <v>15.2</v>
      </c>
      <c r="AI331">
        <f t="shared" si="292"/>
        <v>0</v>
      </c>
      <c r="AJ331">
        <f t="shared" si="293"/>
        <v>0</v>
      </c>
      <c r="AK331">
        <v>156.33000000000001</v>
      </c>
      <c r="AL331">
        <v>16.79</v>
      </c>
      <c r="AM331">
        <v>0</v>
      </c>
      <c r="AN331">
        <v>0</v>
      </c>
      <c r="AO331">
        <v>139.54</v>
      </c>
      <c r="AP331">
        <v>0</v>
      </c>
      <c r="AQ331">
        <v>15.2</v>
      </c>
      <c r="AR331">
        <v>0</v>
      </c>
      <c r="AS331">
        <v>0</v>
      </c>
      <c r="AT331">
        <v>95</v>
      </c>
      <c r="AU331">
        <v>65</v>
      </c>
      <c r="AV331">
        <v>1</v>
      </c>
      <c r="AW331">
        <v>1</v>
      </c>
      <c r="AZ331">
        <v>6.56</v>
      </c>
      <c r="BA331">
        <v>6.56</v>
      </c>
      <c r="BB331">
        <v>6.56</v>
      </c>
      <c r="BC331">
        <v>6.56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2</v>
      </c>
      <c r="BJ331" t="s">
        <v>736</v>
      </c>
      <c r="BM331">
        <v>108001</v>
      </c>
      <c r="BN331">
        <v>0</v>
      </c>
      <c r="BO331" t="s">
        <v>6</v>
      </c>
      <c r="BP331">
        <v>0</v>
      </c>
      <c r="BQ331">
        <v>3</v>
      </c>
      <c r="BR331">
        <v>0</v>
      </c>
      <c r="BS331">
        <v>6.56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95</v>
      </c>
      <c r="CA331">
        <v>65</v>
      </c>
      <c r="CF331">
        <v>0</v>
      </c>
      <c r="CG331">
        <v>0</v>
      </c>
      <c r="CM331">
        <v>0</v>
      </c>
      <c r="CN331" t="s">
        <v>6</v>
      </c>
      <c r="CO331">
        <v>0</v>
      </c>
      <c r="CP331">
        <f t="shared" si="294"/>
        <v>1876.71</v>
      </c>
      <c r="CQ331">
        <f t="shared" si="295"/>
        <v>110.14239999999998</v>
      </c>
      <c r="CR331">
        <f t="shared" si="296"/>
        <v>0</v>
      </c>
      <c r="CS331">
        <f t="shared" si="297"/>
        <v>0</v>
      </c>
      <c r="CT331">
        <f t="shared" si="298"/>
        <v>915.38239999999985</v>
      </c>
      <c r="CU331">
        <f t="shared" si="299"/>
        <v>0</v>
      </c>
      <c r="CV331">
        <f t="shared" si="300"/>
        <v>15.2</v>
      </c>
      <c r="CW331">
        <f t="shared" si="301"/>
        <v>0</v>
      </c>
      <c r="CX331">
        <f t="shared" si="302"/>
        <v>0</v>
      </c>
      <c r="CY331">
        <f t="shared" si="303"/>
        <v>1591.3924999999999</v>
      </c>
      <c r="CZ331">
        <f t="shared" si="304"/>
        <v>1088.8475000000001</v>
      </c>
      <c r="DC331" t="s">
        <v>6</v>
      </c>
      <c r="DD331" t="s">
        <v>6</v>
      </c>
      <c r="DE331" t="s">
        <v>6</v>
      </c>
      <c r="DF331" t="s">
        <v>6</v>
      </c>
      <c r="DG331" t="s">
        <v>6</v>
      </c>
      <c r="DH331" t="s">
        <v>6</v>
      </c>
      <c r="DI331" t="s">
        <v>6</v>
      </c>
      <c r="DJ331" t="s">
        <v>6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34</v>
      </c>
      <c r="DW331" t="s">
        <v>34</v>
      </c>
      <c r="DX331">
        <v>100</v>
      </c>
      <c r="EE331">
        <v>16510370</v>
      </c>
      <c r="EF331">
        <v>3</v>
      </c>
      <c r="EG331" t="s">
        <v>83</v>
      </c>
      <c r="EH331">
        <v>0</v>
      </c>
      <c r="EI331" t="s">
        <v>6</v>
      </c>
      <c r="EJ331">
        <v>2</v>
      </c>
      <c r="EK331">
        <v>108001</v>
      </c>
      <c r="EL331" t="s">
        <v>84</v>
      </c>
      <c r="EM331" t="s">
        <v>85</v>
      </c>
      <c r="EO331" t="s">
        <v>6</v>
      </c>
      <c r="EQ331">
        <v>131072</v>
      </c>
      <c r="ER331">
        <v>156.33000000000001</v>
      </c>
      <c r="ES331">
        <v>16.79</v>
      </c>
      <c r="ET331">
        <v>0</v>
      </c>
      <c r="EU331">
        <v>0</v>
      </c>
      <c r="EV331">
        <v>139.54</v>
      </c>
      <c r="EW331">
        <v>15.2</v>
      </c>
      <c r="EX331">
        <v>0</v>
      </c>
      <c r="EY331">
        <v>0</v>
      </c>
      <c r="FQ331">
        <v>0</v>
      </c>
      <c r="FR331">
        <f t="shared" si="305"/>
        <v>0</v>
      </c>
      <c r="FS331">
        <v>0</v>
      </c>
      <c r="FX331">
        <v>95</v>
      </c>
      <c r="FY331">
        <v>65</v>
      </c>
      <c r="GA331" t="s">
        <v>6</v>
      </c>
      <c r="GD331">
        <v>0</v>
      </c>
      <c r="GF331">
        <v>-596386547</v>
      </c>
      <c r="GG331">
        <v>1</v>
      </c>
      <c r="GH331">
        <v>1</v>
      </c>
      <c r="GI331">
        <v>4</v>
      </c>
      <c r="GJ331">
        <v>0</v>
      </c>
      <c r="GK331">
        <f>ROUND(R331*(R12)/100,2)</f>
        <v>0</v>
      </c>
      <c r="GL331">
        <f t="shared" si="306"/>
        <v>0</v>
      </c>
      <c r="GM331">
        <f t="shared" si="307"/>
        <v>4556.95</v>
      </c>
      <c r="GN331">
        <f t="shared" si="308"/>
        <v>0</v>
      </c>
      <c r="GO331">
        <f t="shared" si="309"/>
        <v>4556.95</v>
      </c>
      <c r="GP331">
        <f t="shared" si="310"/>
        <v>0</v>
      </c>
      <c r="GR331">
        <v>0</v>
      </c>
      <c r="GS331">
        <v>3</v>
      </c>
      <c r="GT331">
        <v>0</v>
      </c>
      <c r="GU331" t="s">
        <v>6</v>
      </c>
      <c r="GV331">
        <f t="shared" si="311"/>
        <v>0</v>
      </c>
      <c r="GW331">
        <v>1</v>
      </c>
      <c r="GX331">
        <f t="shared" si="312"/>
        <v>0</v>
      </c>
      <c r="HA331">
        <v>0</v>
      </c>
      <c r="HB331">
        <v>0</v>
      </c>
      <c r="IK331">
        <v>0</v>
      </c>
    </row>
    <row r="332" spans="1:245" x14ac:dyDescent="0.2">
      <c r="A332">
        <v>18</v>
      </c>
      <c r="B332">
        <v>1</v>
      </c>
      <c r="C332">
        <v>499</v>
      </c>
      <c r="E332" t="s">
        <v>737</v>
      </c>
      <c r="F332" t="s">
        <v>738</v>
      </c>
      <c r="G332" t="s">
        <v>739</v>
      </c>
      <c r="H332" t="s">
        <v>740</v>
      </c>
      <c r="I332">
        <f>I331*J332</f>
        <v>18.3</v>
      </c>
      <c r="J332">
        <v>10</v>
      </c>
      <c r="O332">
        <f t="shared" si="274"/>
        <v>1933.97</v>
      </c>
      <c r="P332">
        <f t="shared" si="275"/>
        <v>1933.97</v>
      </c>
      <c r="Q332">
        <f t="shared" si="276"/>
        <v>0</v>
      </c>
      <c r="R332">
        <f t="shared" si="277"/>
        <v>0</v>
      </c>
      <c r="S332">
        <f t="shared" si="278"/>
        <v>0</v>
      </c>
      <c r="T332">
        <f t="shared" si="279"/>
        <v>0</v>
      </c>
      <c r="U332">
        <f t="shared" si="280"/>
        <v>0</v>
      </c>
      <c r="V332">
        <f t="shared" si="281"/>
        <v>0</v>
      </c>
      <c r="W332">
        <f t="shared" si="282"/>
        <v>0</v>
      </c>
      <c r="X332">
        <f t="shared" si="283"/>
        <v>0</v>
      </c>
      <c r="Y332">
        <f t="shared" si="284"/>
        <v>0</v>
      </c>
      <c r="AA332">
        <v>16742901</v>
      </c>
      <c r="AB332">
        <f t="shared" si="285"/>
        <v>16.11</v>
      </c>
      <c r="AC332">
        <f t="shared" si="286"/>
        <v>16.11</v>
      </c>
      <c r="AD332">
        <f t="shared" si="287"/>
        <v>0</v>
      </c>
      <c r="AE332">
        <f t="shared" si="288"/>
        <v>0</v>
      </c>
      <c r="AF332">
        <f t="shared" si="289"/>
        <v>0</v>
      </c>
      <c r="AG332">
        <f t="shared" si="290"/>
        <v>0</v>
      </c>
      <c r="AH332">
        <f t="shared" si="291"/>
        <v>0</v>
      </c>
      <c r="AI332">
        <f t="shared" si="292"/>
        <v>0</v>
      </c>
      <c r="AJ332">
        <f t="shared" si="293"/>
        <v>0</v>
      </c>
      <c r="AK332">
        <v>16.11</v>
      </c>
      <c r="AL332">
        <v>16.11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95</v>
      </c>
      <c r="AU332">
        <v>65</v>
      </c>
      <c r="AV332">
        <v>1</v>
      </c>
      <c r="AW332">
        <v>1</v>
      </c>
      <c r="AZ332">
        <v>6.56</v>
      </c>
      <c r="BA332">
        <v>1</v>
      </c>
      <c r="BB332">
        <v>1</v>
      </c>
      <c r="BC332">
        <v>6.56</v>
      </c>
      <c r="BD332" t="s">
        <v>6</v>
      </c>
      <c r="BE332" t="s">
        <v>6</v>
      </c>
      <c r="BF332" t="s">
        <v>6</v>
      </c>
      <c r="BG332" t="s">
        <v>6</v>
      </c>
      <c r="BH332">
        <v>3</v>
      </c>
      <c r="BI332">
        <v>2</v>
      </c>
      <c r="BJ332" t="s">
        <v>741</v>
      </c>
      <c r="BM332">
        <v>108001</v>
      </c>
      <c r="BN332">
        <v>0</v>
      </c>
      <c r="BO332" t="s">
        <v>6</v>
      </c>
      <c r="BP332">
        <v>0</v>
      </c>
      <c r="BQ332">
        <v>3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6</v>
      </c>
      <c r="BZ332">
        <v>95</v>
      </c>
      <c r="CA332">
        <v>65</v>
      </c>
      <c r="CF332">
        <v>0</v>
      </c>
      <c r="CG332">
        <v>0</v>
      </c>
      <c r="CM332">
        <v>0</v>
      </c>
      <c r="CN332" t="s">
        <v>6</v>
      </c>
      <c r="CO332">
        <v>0</v>
      </c>
      <c r="CP332">
        <f t="shared" si="294"/>
        <v>1933.97</v>
      </c>
      <c r="CQ332">
        <f t="shared" si="295"/>
        <v>105.68159999999999</v>
      </c>
      <c r="CR332">
        <f t="shared" si="296"/>
        <v>0</v>
      </c>
      <c r="CS332">
        <f t="shared" si="297"/>
        <v>0</v>
      </c>
      <c r="CT332">
        <f t="shared" si="298"/>
        <v>0</v>
      </c>
      <c r="CU332">
        <f t="shared" si="299"/>
        <v>0</v>
      </c>
      <c r="CV332">
        <f t="shared" si="300"/>
        <v>0</v>
      </c>
      <c r="CW332">
        <f t="shared" si="301"/>
        <v>0</v>
      </c>
      <c r="CX332">
        <f t="shared" si="302"/>
        <v>0</v>
      </c>
      <c r="CY332">
        <f t="shared" si="303"/>
        <v>0</v>
      </c>
      <c r="CZ332">
        <f t="shared" si="304"/>
        <v>0</v>
      </c>
      <c r="DC332" t="s">
        <v>6</v>
      </c>
      <c r="DD332" t="s">
        <v>6</v>
      </c>
      <c r="DE332" t="s">
        <v>6</v>
      </c>
      <c r="DF332" t="s">
        <v>6</v>
      </c>
      <c r="DG332" t="s">
        <v>6</v>
      </c>
      <c r="DH332" t="s">
        <v>6</v>
      </c>
      <c r="DI332" t="s">
        <v>6</v>
      </c>
      <c r="DJ332" t="s">
        <v>6</v>
      </c>
      <c r="DK332" t="s">
        <v>6</v>
      </c>
      <c r="DL332" t="s">
        <v>6</v>
      </c>
      <c r="DM332" t="s">
        <v>6</v>
      </c>
      <c r="DN332">
        <v>0</v>
      </c>
      <c r="DO332">
        <v>0</v>
      </c>
      <c r="DP332">
        <v>1</v>
      </c>
      <c r="DQ332">
        <v>1</v>
      </c>
      <c r="DU332">
        <v>1003</v>
      </c>
      <c r="DV332" t="s">
        <v>740</v>
      </c>
      <c r="DW332" t="s">
        <v>740</v>
      </c>
      <c r="DX332">
        <v>10</v>
      </c>
      <c r="EE332">
        <v>16510370</v>
      </c>
      <c r="EF332">
        <v>3</v>
      </c>
      <c r="EG332" t="s">
        <v>83</v>
      </c>
      <c r="EH332">
        <v>0</v>
      </c>
      <c r="EI332" t="s">
        <v>6</v>
      </c>
      <c r="EJ332">
        <v>2</v>
      </c>
      <c r="EK332">
        <v>108001</v>
      </c>
      <c r="EL332" t="s">
        <v>84</v>
      </c>
      <c r="EM332" t="s">
        <v>85</v>
      </c>
      <c r="EO332" t="s">
        <v>6</v>
      </c>
      <c r="EQ332">
        <v>0</v>
      </c>
      <c r="ER332">
        <v>16.11</v>
      </c>
      <c r="ES332">
        <v>16.11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05"/>
        <v>0</v>
      </c>
      <c r="FS332">
        <v>0</v>
      </c>
      <c r="FX332">
        <v>95</v>
      </c>
      <c r="FY332">
        <v>65</v>
      </c>
      <c r="GA332" t="s">
        <v>6</v>
      </c>
      <c r="GD332">
        <v>0</v>
      </c>
      <c r="GF332">
        <v>-819900352</v>
      </c>
      <c r="GG332">
        <v>1</v>
      </c>
      <c r="GH332">
        <v>1</v>
      </c>
      <c r="GI332">
        <v>4</v>
      </c>
      <c r="GJ332">
        <v>0</v>
      </c>
      <c r="GK332">
        <f>ROUND(R332*(R12)/100,2)</f>
        <v>0</v>
      </c>
      <c r="GL332">
        <f t="shared" si="306"/>
        <v>0</v>
      </c>
      <c r="GM332">
        <f t="shared" si="307"/>
        <v>1933.97</v>
      </c>
      <c r="GN332">
        <f t="shared" si="308"/>
        <v>0</v>
      </c>
      <c r="GO332">
        <f t="shared" si="309"/>
        <v>1933.97</v>
      </c>
      <c r="GP332">
        <f t="shared" si="310"/>
        <v>0</v>
      </c>
      <c r="GR332">
        <v>0</v>
      </c>
      <c r="GS332">
        <v>3</v>
      </c>
      <c r="GT332">
        <v>0</v>
      </c>
      <c r="GU332" t="s">
        <v>6</v>
      </c>
      <c r="GV332">
        <f t="shared" si="311"/>
        <v>0</v>
      </c>
      <c r="GW332">
        <v>1</v>
      </c>
      <c r="GX332">
        <f t="shared" si="312"/>
        <v>0</v>
      </c>
      <c r="HA332">
        <v>0</v>
      </c>
      <c r="HB332">
        <v>0</v>
      </c>
      <c r="IK332">
        <v>0</v>
      </c>
    </row>
    <row r="333" spans="1:245" x14ac:dyDescent="0.2">
      <c r="A333">
        <v>17</v>
      </c>
      <c r="B333">
        <v>1</v>
      </c>
      <c r="C333">
        <f>ROW(SmtRes!A511)</f>
        <v>511</v>
      </c>
      <c r="D333">
        <f>ROW(EtalonRes!A478)</f>
        <v>478</v>
      </c>
      <c r="E333" t="s">
        <v>742</v>
      </c>
      <c r="F333" t="s">
        <v>743</v>
      </c>
      <c r="G333" t="s">
        <v>744</v>
      </c>
      <c r="H333" t="s">
        <v>34</v>
      </c>
      <c r="I333">
        <f>ROUND(258/100,9)</f>
        <v>2.58</v>
      </c>
      <c r="J333">
        <v>0</v>
      </c>
      <c r="O333">
        <f t="shared" si="274"/>
        <v>1162.73</v>
      </c>
      <c r="P333">
        <f t="shared" si="275"/>
        <v>245.07</v>
      </c>
      <c r="Q333">
        <f t="shared" si="276"/>
        <v>60.08</v>
      </c>
      <c r="R333">
        <f t="shared" si="277"/>
        <v>8.4600000000000009</v>
      </c>
      <c r="S333">
        <f t="shared" si="278"/>
        <v>857.58</v>
      </c>
      <c r="T333">
        <f t="shared" si="279"/>
        <v>0</v>
      </c>
      <c r="U333">
        <f t="shared" si="280"/>
        <v>13.9062</v>
      </c>
      <c r="V333">
        <f t="shared" si="281"/>
        <v>0.1032</v>
      </c>
      <c r="W333">
        <f t="shared" si="282"/>
        <v>0</v>
      </c>
      <c r="X333">
        <f t="shared" si="283"/>
        <v>822.74</v>
      </c>
      <c r="Y333">
        <f t="shared" si="284"/>
        <v>562.92999999999995</v>
      </c>
      <c r="AA333">
        <v>16742901</v>
      </c>
      <c r="AB333">
        <f t="shared" si="285"/>
        <v>68.7</v>
      </c>
      <c r="AC333">
        <f t="shared" si="286"/>
        <v>14.48</v>
      </c>
      <c r="AD333">
        <f t="shared" si="287"/>
        <v>3.55</v>
      </c>
      <c r="AE333">
        <f t="shared" si="288"/>
        <v>0.5</v>
      </c>
      <c r="AF333">
        <f t="shared" si="289"/>
        <v>50.67</v>
      </c>
      <c r="AG333">
        <f t="shared" si="290"/>
        <v>0</v>
      </c>
      <c r="AH333">
        <f t="shared" si="291"/>
        <v>5.39</v>
      </c>
      <c r="AI333">
        <f t="shared" si="292"/>
        <v>0.04</v>
      </c>
      <c r="AJ333">
        <f t="shared" si="293"/>
        <v>0</v>
      </c>
      <c r="AK333">
        <v>68.7</v>
      </c>
      <c r="AL333">
        <v>14.48</v>
      </c>
      <c r="AM333">
        <v>3.55</v>
      </c>
      <c r="AN333">
        <v>0.5</v>
      </c>
      <c r="AO333">
        <v>50.67</v>
      </c>
      <c r="AP333">
        <v>0</v>
      </c>
      <c r="AQ333">
        <v>5.39</v>
      </c>
      <c r="AR333">
        <v>0.04</v>
      </c>
      <c r="AS333">
        <v>0</v>
      </c>
      <c r="AT333">
        <v>95</v>
      </c>
      <c r="AU333">
        <v>65</v>
      </c>
      <c r="AV333">
        <v>1</v>
      </c>
      <c r="AW333">
        <v>1</v>
      </c>
      <c r="AZ333">
        <v>6.56</v>
      </c>
      <c r="BA333">
        <v>6.56</v>
      </c>
      <c r="BB333">
        <v>6.56</v>
      </c>
      <c r="BC333">
        <v>6.56</v>
      </c>
      <c r="BD333" t="s">
        <v>6</v>
      </c>
      <c r="BE333" t="s">
        <v>6</v>
      </c>
      <c r="BF333" t="s">
        <v>6</v>
      </c>
      <c r="BG333" t="s">
        <v>6</v>
      </c>
      <c r="BH333">
        <v>0</v>
      </c>
      <c r="BI333">
        <v>2</v>
      </c>
      <c r="BJ333" t="s">
        <v>745</v>
      </c>
      <c r="BM333">
        <v>108001</v>
      </c>
      <c r="BN333">
        <v>0</v>
      </c>
      <c r="BO333" t="s">
        <v>6</v>
      </c>
      <c r="BP333">
        <v>0</v>
      </c>
      <c r="BQ333">
        <v>3</v>
      </c>
      <c r="BR333">
        <v>0</v>
      </c>
      <c r="BS333">
        <v>6.56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6</v>
      </c>
      <c r="BZ333">
        <v>95</v>
      </c>
      <c r="CA333">
        <v>65</v>
      </c>
      <c r="CF333">
        <v>0</v>
      </c>
      <c r="CG333">
        <v>0</v>
      </c>
      <c r="CM333">
        <v>0</v>
      </c>
      <c r="CN333" t="s">
        <v>6</v>
      </c>
      <c r="CO333">
        <v>0</v>
      </c>
      <c r="CP333">
        <f t="shared" si="294"/>
        <v>1162.73</v>
      </c>
      <c r="CQ333">
        <f t="shared" si="295"/>
        <v>94.988799999999998</v>
      </c>
      <c r="CR333">
        <f t="shared" si="296"/>
        <v>23.287999999999997</v>
      </c>
      <c r="CS333">
        <f t="shared" si="297"/>
        <v>3.28</v>
      </c>
      <c r="CT333">
        <f t="shared" si="298"/>
        <v>332.39519999999999</v>
      </c>
      <c r="CU333">
        <f t="shared" si="299"/>
        <v>0</v>
      </c>
      <c r="CV333">
        <f t="shared" si="300"/>
        <v>5.39</v>
      </c>
      <c r="CW333">
        <f t="shared" si="301"/>
        <v>0.04</v>
      </c>
      <c r="CX333">
        <f t="shared" si="302"/>
        <v>0</v>
      </c>
      <c r="CY333">
        <f t="shared" si="303"/>
        <v>822.73800000000006</v>
      </c>
      <c r="CZ333">
        <f t="shared" si="304"/>
        <v>562.92600000000004</v>
      </c>
      <c r="DC333" t="s">
        <v>6</v>
      </c>
      <c r="DD333" t="s">
        <v>6</v>
      </c>
      <c r="DE333" t="s">
        <v>6</v>
      </c>
      <c r="DF333" t="s">
        <v>6</v>
      </c>
      <c r="DG333" t="s">
        <v>6</v>
      </c>
      <c r="DH333" t="s">
        <v>6</v>
      </c>
      <c r="DI333" t="s">
        <v>6</v>
      </c>
      <c r="DJ333" t="s">
        <v>6</v>
      </c>
      <c r="DK333" t="s">
        <v>6</v>
      </c>
      <c r="DL333" t="s">
        <v>6</v>
      </c>
      <c r="DM333" t="s">
        <v>6</v>
      </c>
      <c r="DN333">
        <v>0</v>
      </c>
      <c r="DO333">
        <v>0</v>
      </c>
      <c r="DP333">
        <v>1</v>
      </c>
      <c r="DQ333">
        <v>1</v>
      </c>
      <c r="DU333">
        <v>1003</v>
      </c>
      <c r="DV333" t="s">
        <v>34</v>
      </c>
      <c r="DW333" t="s">
        <v>34</v>
      </c>
      <c r="DX333">
        <v>100</v>
      </c>
      <c r="EE333">
        <v>16510370</v>
      </c>
      <c r="EF333">
        <v>3</v>
      </c>
      <c r="EG333" t="s">
        <v>83</v>
      </c>
      <c r="EH333">
        <v>0</v>
      </c>
      <c r="EI333" t="s">
        <v>6</v>
      </c>
      <c r="EJ333">
        <v>2</v>
      </c>
      <c r="EK333">
        <v>108001</v>
      </c>
      <c r="EL333" t="s">
        <v>84</v>
      </c>
      <c r="EM333" t="s">
        <v>85</v>
      </c>
      <c r="EO333" t="s">
        <v>6</v>
      </c>
      <c r="EQ333">
        <v>131072</v>
      </c>
      <c r="ER333">
        <v>68.7</v>
      </c>
      <c r="ES333">
        <v>14.48</v>
      </c>
      <c r="ET333">
        <v>3.55</v>
      </c>
      <c r="EU333">
        <v>0.5</v>
      </c>
      <c r="EV333">
        <v>50.67</v>
      </c>
      <c r="EW333">
        <v>5.39</v>
      </c>
      <c r="EX333">
        <v>0.04</v>
      </c>
      <c r="EY333">
        <v>0</v>
      </c>
      <c r="FQ333">
        <v>0</v>
      </c>
      <c r="FR333">
        <f t="shared" si="305"/>
        <v>0</v>
      </c>
      <c r="FS333">
        <v>0</v>
      </c>
      <c r="FX333">
        <v>95</v>
      </c>
      <c r="FY333">
        <v>65</v>
      </c>
      <c r="GA333" t="s">
        <v>6</v>
      </c>
      <c r="GD333">
        <v>0</v>
      </c>
      <c r="GF333">
        <v>-1215790049</v>
      </c>
      <c r="GG333">
        <v>1</v>
      </c>
      <c r="GH333">
        <v>1</v>
      </c>
      <c r="GI333">
        <v>4</v>
      </c>
      <c r="GJ333">
        <v>0</v>
      </c>
      <c r="GK333">
        <f>ROUND(R333*(R12)/100,2)</f>
        <v>0</v>
      </c>
      <c r="GL333">
        <f t="shared" si="306"/>
        <v>0</v>
      </c>
      <c r="GM333">
        <f t="shared" si="307"/>
        <v>2548.4</v>
      </c>
      <c r="GN333">
        <f t="shared" si="308"/>
        <v>0</v>
      </c>
      <c r="GO333">
        <f t="shared" si="309"/>
        <v>2548.4</v>
      </c>
      <c r="GP333">
        <f t="shared" si="310"/>
        <v>0</v>
      </c>
      <c r="GR333">
        <v>0</v>
      </c>
      <c r="GS333">
        <v>3</v>
      </c>
      <c r="GT333">
        <v>0</v>
      </c>
      <c r="GU333" t="s">
        <v>6</v>
      </c>
      <c r="GV333">
        <f t="shared" si="311"/>
        <v>0</v>
      </c>
      <c r="GW333">
        <v>1</v>
      </c>
      <c r="GX333">
        <f t="shared" si="312"/>
        <v>0</v>
      </c>
      <c r="HA333">
        <v>0</v>
      </c>
      <c r="HB333">
        <v>0</v>
      </c>
      <c r="IK333">
        <v>0</v>
      </c>
    </row>
    <row r="334" spans="1:245" x14ac:dyDescent="0.2">
      <c r="A334">
        <v>18</v>
      </c>
      <c r="B334">
        <v>1</v>
      </c>
      <c r="C334">
        <v>510</v>
      </c>
      <c r="E334" t="s">
        <v>746</v>
      </c>
      <c r="F334" t="s">
        <v>747</v>
      </c>
      <c r="G334" t="s">
        <v>748</v>
      </c>
      <c r="H334" t="s">
        <v>749</v>
      </c>
      <c r="I334">
        <f>I333*J334</f>
        <v>0.25800000000000001</v>
      </c>
      <c r="J334">
        <v>0.1</v>
      </c>
      <c r="O334">
        <f t="shared" si="274"/>
        <v>18551.05</v>
      </c>
      <c r="P334">
        <f t="shared" si="275"/>
        <v>18551.05</v>
      </c>
      <c r="Q334">
        <f t="shared" si="276"/>
        <v>0</v>
      </c>
      <c r="R334">
        <f t="shared" si="277"/>
        <v>0</v>
      </c>
      <c r="S334">
        <f t="shared" si="278"/>
        <v>0</v>
      </c>
      <c r="T334">
        <f t="shared" si="279"/>
        <v>0</v>
      </c>
      <c r="U334">
        <f t="shared" si="280"/>
        <v>0</v>
      </c>
      <c r="V334">
        <f t="shared" si="281"/>
        <v>0</v>
      </c>
      <c r="W334">
        <f t="shared" si="282"/>
        <v>0</v>
      </c>
      <c r="X334">
        <f t="shared" si="283"/>
        <v>0</v>
      </c>
      <c r="Y334">
        <f t="shared" si="284"/>
        <v>0</v>
      </c>
      <c r="AA334">
        <v>16742901</v>
      </c>
      <c r="AB334">
        <f t="shared" si="285"/>
        <v>10960.87</v>
      </c>
      <c r="AC334">
        <f t="shared" si="286"/>
        <v>10960.87</v>
      </c>
      <c r="AD334">
        <f t="shared" si="287"/>
        <v>0</v>
      </c>
      <c r="AE334">
        <f t="shared" si="288"/>
        <v>0</v>
      </c>
      <c r="AF334">
        <f t="shared" si="289"/>
        <v>0</v>
      </c>
      <c r="AG334">
        <f t="shared" si="290"/>
        <v>0</v>
      </c>
      <c r="AH334">
        <f t="shared" si="291"/>
        <v>0</v>
      </c>
      <c r="AI334">
        <f t="shared" si="292"/>
        <v>0</v>
      </c>
      <c r="AJ334">
        <f t="shared" si="293"/>
        <v>0</v>
      </c>
      <c r="AK334">
        <v>10960.87</v>
      </c>
      <c r="AL334">
        <v>10960.87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95</v>
      </c>
      <c r="AU334">
        <v>65</v>
      </c>
      <c r="AV334">
        <v>1</v>
      </c>
      <c r="AW334">
        <v>1</v>
      </c>
      <c r="AZ334">
        <v>6.56</v>
      </c>
      <c r="BA334">
        <v>1</v>
      </c>
      <c r="BB334">
        <v>1</v>
      </c>
      <c r="BC334">
        <v>6.56</v>
      </c>
      <c r="BD334" t="s">
        <v>6</v>
      </c>
      <c r="BE334" t="s">
        <v>6</v>
      </c>
      <c r="BF334" t="s">
        <v>6</v>
      </c>
      <c r="BG334" t="s">
        <v>6</v>
      </c>
      <c r="BH334">
        <v>3</v>
      </c>
      <c r="BI334">
        <v>2</v>
      </c>
      <c r="BJ334" t="s">
        <v>750</v>
      </c>
      <c r="BM334">
        <v>108001</v>
      </c>
      <c r="BN334">
        <v>0</v>
      </c>
      <c r="BO334" t="s">
        <v>6</v>
      </c>
      <c r="BP334">
        <v>0</v>
      </c>
      <c r="BQ334">
        <v>3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6</v>
      </c>
      <c r="BZ334">
        <v>95</v>
      </c>
      <c r="CA334">
        <v>65</v>
      </c>
      <c r="CF334">
        <v>0</v>
      </c>
      <c r="CG334">
        <v>0</v>
      </c>
      <c r="CM334">
        <v>0</v>
      </c>
      <c r="CN334" t="s">
        <v>6</v>
      </c>
      <c r="CO334">
        <v>0</v>
      </c>
      <c r="CP334">
        <f t="shared" si="294"/>
        <v>18551.05</v>
      </c>
      <c r="CQ334">
        <f t="shared" si="295"/>
        <v>71903.307199999996</v>
      </c>
      <c r="CR334">
        <f t="shared" si="296"/>
        <v>0</v>
      </c>
      <c r="CS334">
        <f t="shared" si="297"/>
        <v>0</v>
      </c>
      <c r="CT334">
        <f t="shared" si="298"/>
        <v>0</v>
      </c>
      <c r="CU334">
        <f t="shared" si="299"/>
        <v>0</v>
      </c>
      <c r="CV334">
        <f t="shared" si="300"/>
        <v>0</v>
      </c>
      <c r="CW334">
        <f t="shared" si="301"/>
        <v>0</v>
      </c>
      <c r="CX334">
        <f t="shared" si="302"/>
        <v>0</v>
      </c>
      <c r="CY334">
        <f t="shared" si="303"/>
        <v>0</v>
      </c>
      <c r="CZ334">
        <f t="shared" si="304"/>
        <v>0</v>
      </c>
      <c r="DC334" t="s">
        <v>6</v>
      </c>
      <c r="DD334" t="s">
        <v>6</v>
      </c>
      <c r="DE334" t="s">
        <v>6</v>
      </c>
      <c r="DF334" t="s">
        <v>6</v>
      </c>
      <c r="DG334" t="s">
        <v>6</v>
      </c>
      <c r="DH334" t="s">
        <v>6</v>
      </c>
      <c r="DI334" t="s">
        <v>6</v>
      </c>
      <c r="DJ334" t="s">
        <v>6</v>
      </c>
      <c r="DK334" t="s">
        <v>6</v>
      </c>
      <c r="DL334" t="s">
        <v>6</v>
      </c>
      <c r="DM334" t="s">
        <v>6</v>
      </c>
      <c r="DN334">
        <v>0</v>
      </c>
      <c r="DO334">
        <v>0</v>
      </c>
      <c r="DP334">
        <v>1</v>
      </c>
      <c r="DQ334">
        <v>1</v>
      </c>
      <c r="DU334">
        <v>1013</v>
      </c>
      <c r="DV334" t="s">
        <v>749</v>
      </c>
      <c r="DW334" t="s">
        <v>751</v>
      </c>
      <c r="DX334">
        <v>1</v>
      </c>
      <c r="EE334">
        <v>16510370</v>
      </c>
      <c r="EF334">
        <v>3</v>
      </c>
      <c r="EG334" t="s">
        <v>83</v>
      </c>
      <c r="EH334">
        <v>0</v>
      </c>
      <c r="EI334" t="s">
        <v>6</v>
      </c>
      <c r="EJ334">
        <v>2</v>
      </c>
      <c r="EK334">
        <v>108001</v>
      </c>
      <c r="EL334" t="s">
        <v>84</v>
      </c>
      <c r="EM334" t="s">
        <v>85</v>
      </c>
      <c r="EO334" t="s">
        <v>6</v>
      </c>
      <c r="EQ334">
        <v>0</v>
      </c>
      <c r="ER334">
        <v>10960.87</v>
      </c>
      <c r="ES334">
        <v>10960.87</v>
      </c>
      <c r="ET334">
        <v>0</v>
      </c>
      <c r="EU334">
        <v>0</v>
      </c>
      <c r="EV334">
        <v>0</v>
      </c>
      <c r="EW334">
        <v>0</v>
      </c>
      <c r="EX334">
        <v>0</v>
      </c>
      <c r="FQ334">
        <v>0</v>
      </c>
      <c r="FR334">
        <f t="shared" si="305"/>
        <v>0</v>
      </c>
      <c r="FS334">
        <v>0</v>
      </c>
      <c r="FX334">
        <v>95</v>
      </c>
      <c r="FY334">
        <v>65</v>
      </c>
      <c r="GA334" t="s">
        <v>6</v>
      </c>
      <c r="GD334">
        <v>0</v>
      </c>
      <c r="GF334">
        <v>-798446083</v>
      </c>
      <c r="GG334">
        <v>1</v>
      </c>
      <c r="GH334">
        <v>1</v>
      </c>
      <c r="GI334">
        <v>4</v>
      </c>
      <c r="GJ334">
        <v>0</v>
      </c>
      <c r="GK334">
        <f>ROUND(R334*(R12)/100,2)</f>
        <v>0</v>
      </c>
      <c r="GL334">
        <f t="shared" si="306"/>
        <v>0</v>
      </c>
      <c r="GM334">
        <f t="shared" si="307"/>
        <v>18551.05</v>
      </c>
      <c r="GN334">
        <f t="shared" si="308"/>
        <v>0</v>
      </c>
      <c r="GO334">
        <f t="shared" si="309"/>
        <v>18551.05</v>
      </c>
      <c r="GP334">
        <f t="shared" si="310"/>
        <v>0</v>
      </c>
      <c r="GR334">
        <v>0</v>
      </c>
      <c r="GS334">
        <v>3</v>
      </c>
      <c r="GT334">
        <v>0</v>
      </c>
      <c r="GU334" t="s">
        <v>6</v>
      </c>
      <c r="GV334">
        <f t="shared" si="311"/>
        <v>0</v>
      </c>
      <c r="GW334">
        <v>1</v>
      </c>
      <c r="GX334">
        <f t="shared" si="312"/>
        <v>0</v>
      </c>
      <c r="HA334">
        <v>0</v>
      </c>
      <c r="HB334">
        <v>0</v>
      </c>
      <c r="IK334">
        <v>0</v>
      </c>
    </row>
    <row r="335" spans="1:245" x14ac:dyDescent="0.2">
      <c r="A335">
        <v>17</v>
      </c>
      <c r="B335">
        <v>1</v>
      </c>
      <c r="C335">
        <f>ROW(SmtRes!A518)</f>
        <v>518</v>
      </c>
      <c r="D335">
        <f>ROW(EtalonRes!A484)</f>
        <v>484</v>
      </c>
      <c r="E335" t="s">
        <v>752</v>
      </c>
      <c r="F335" t="s">
        <v>694</v>
      </c>
      <c r="G335" t="s">
        <v>753</v>
      </c>
      <c r="H335" t="s">
        <v>34</v>
      </c>
      <c r="I335">
        <f>ROUND(80/100,9)</f>
        <v>0.8</v>
      </c>
      <c r="J335">
        <v>0</v>
      </c>
      <c r="O335">
        <f t="shared" si="274"/>
        <v>1085.08</v>
      </c>
      <c r="P335">
        <f t="shared" si="275"/>
        <v>270.43</v>
      </c>
      <c r="Q335">
        <f t="shared" si="276"/>
        <v>1.63</v>
      </c>
      <c r="R335">
        <f t="shared" si="277"/>
        <v>0.73</v>
      </c>
      <c r="S335">
        <f t="shared" si="278"/>
        <v>813.02</v>
      </c>
      <c r="T335">
        <f t="shared" si="279"/>
        <v>0</v>
      </c>
      <c r="U335">
        <f t="shared" si="280"/>
        <v>13.032</v>
      </c>
      <c r="V335">
        <f t="shared" si="281"/>
        <v>8.0000000000000002E-3</v>
      </c>
      <c r="W335">
        <f t="shared" si="282"/>
        <v>0</v>
      </c>
      <c r="X335">
        <f t="shared" si="283"/>
        <v>773.06</v>
      </c>
      <c r="Y335">
        <f t="shared" si="284"/>
        <v>528.94000000000005</v>
      </c>
      <c r="AA335">
        <v>16742901</v>
      </c>
      <c r="AB335">
        <f t="shared" si="285"/>
        <v>206.76</v>
      </c>
      <c r="AC335">
        <f t="shared" si="286"/>
        <v>51.53</v>
      </c>
      <c r="AD335">
        <f t="shared" si="287"/>
        <v>0.31</v>
      </c>
      <c r="AE335">
        <f t="shared" si="288"/>
        <v>0.14000000000000001</v>
      </c>
      <c r="AF335">
        <f t="shared" si="289"/>
        <v>154.91999999999999</v>
      </c>
      <c r="AG335">
        <f t="shared" si="290"/>
        <v>0</v>
      </c>
      <c r="AH335">
        <f t="shared" si="291"/>
        <v>16.29</v>
      </c>
      <c r="AI335">
        <f t="shared" si="292"/>
        <v>0.01</v>
      </c>
      <c r="AJ335">
        <f t="shared" si="293"/>
        <v>0</v>
      </c>
      <c r="AK335">
        <v>206.76</v>
      </c>
      <c r="AL335">
        <v>51.53</v>
      </c>
      <c r="AM335">
        <v>0.31</v>
      </c>
      <c r="AN335">
        <v>0.14000000000000001</v>
      </c>
      <c r="AO335">
        <v>154.91999999999999</v>
      </c>
      <c r="AP335">
        <v>0</v>
      </c>
      <c r="AQ335">
        <v>16.29</v>
      </c>
      <c r="AR335">
        <v>0.01</v>
      </c>
      <c r="AS335">
        <v>0</v>
      </c>
      <c r="AT335">
        <v>95</v>
      </c>
      <c r="AU335">
        <v>65</v>
      </c>
      <c r="AV335">
        <v>1</v>
      </c>
      <c r="AW335">
        <v>1</v>
      </c>
      <c r="AZ335">
        <v>6.56</v>
      </c>
      <c r="BA335">
        <v>6.56</v>
      </c>
      <c r="BB335">
        <v>6.56</v>
      </c>
      <c r="BC335">
        <v>6.56</v>
      </c>
      <c r="BD335" t="s">
        <v>6</v>
      </c>
      <c r="BE335" t="s">
        <v>6</v>
      </c>
      <c r="BF335" t="s">
        <v>6</v>
      </c>
      <c r="BG335" t="s">
        <v>6</v>
      </c>
      <c r="BH335">
        <v>0</v>
      </c>
      <c r="BI335">
        <v>2</v>
      </c>
      <c r="BJ335" t="s">
        <v>696</v>
      </c>
      <c r="BM335">
        <v>108001</v>
      </c>
      <c r="BN335">
        <v>0</v>
      </c>
      <c r="BO335" t="s">
        <v>6</v>
      </c>
      <c r="BP335">
        <v>0</v>
      </c>
      <c r="BQ335">
        <v>3</v>
      </c>
      <c r="BR335">
        <v>0</v>
      </c>
      <c r="BS335">
        <v>6.56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6</v>
      </c>
      <c r="BZ335">
        <v>95</v>
      </c>
      <c r="CA335">
        <v>65</v>
      </c>
      <c r="CF335">
        <v>0</v>
      </c>
      <c r="CG335">
        <v>0</v>
      </c>
      <c r="CM335">
        <v>0</v>
      </c>
      <c r="CN335" t="s">
        <v>6</v>
      </c>
      <c r="CO335">
        <v>0</v>
      </c>
      <c r="CP335">
        <f t="shared" si="294"/>
        <v>1085.08</v>
      </c>
      <c r="CQ335">
        <f t="shared" si="295"/>
        <v>338.03679999999997</v>
      </c>
      <c r="CR335">
        <f t="shared" si="296"/>
        <v>2.0335999999999999</v>
      </c>
      <c r="CS335">
        <f t="shared" si="297"/>
        <v>0.91839999999999999</v>
      </c>
      <c r="CT335">
        <f t="shared" si="298"/>
        <v>1016.2751999999998</v>
      </c>
      <c r="CU335">
        <f t="shared" si="299"/>
        <v>0</v>
      </c>
      <c r="CV335">
        <f t="shared" si="300"/>
        <v>16.29</v>
      </c>
      <c r="CW335">
        <f t="shared" si="301"/>
        <v>0.01</v>
      </c>
      <c r="CX335">
        <f t="shared" si="302"/>
        <v>0</v>
      </c>
      <c r="CY335">
        <f t="shared" si="303"/>
        <v>773.0625</v>
      </c>
      <c r="CZ335">
        <f t="shared" si="304"/>
        <v>528.9375</v>
      </c>
      <c r="DC335" t="s">
        <v>6</v>
      </c>
      <c r="DD335" t="s">
        <v>6</v>
      </c>
      <c r="DE335" t="s">
        <v>6</v>
      </c>
      <c r="DF335" t="s">
        <v>6</v>
      </c>
      <c r="DG335" t="s">
        <v>6</v>
      </c>
      <c r="DH335" t="s">
        <v>6</v>
      </c>
      <c r="DI335" t="s">
        <v>6</v>
      </c>
      <c r="DJ335" t="s">
        <v>6</v>
      </c>
      <c r="DK335" t="s">
        <v>6</v>
      </c>
      <c r="DL335" t="s">
        <v>6</v>
      </c>
      <c r="DM335" t="s">
        <v>6</v>
      </c>
      <c r="DN335">
        <v>0</v>
      </c>
      <c r="DO335">
        <v>0</v>
      </c>
      <c r="DP335">
        <v>1</v>
      </c>
      <c r="DQ335">
        <v>1</v>
      </c>
      <c r="DU335">
        <v>1003</v>
      </c>
      <c r="DV335" t="s">
        <v>34</v>
      </c>
      <c r="DW335" t="s">
        <v>34</v>
      </c>
      <c r="DX335">
        <v>100</v>
      </c>
      <c r="EE335">
        <v>16510370</v>
      </c>
      <c r="EF335">
        <v>3</v>
      </c>
      <c r="EG335" t="s">
        <v>83</v>
      </c>
      <c r="EH335">
        <v>0</v>
      </c>
      <c r="EI335" t="s">
        <v>6</v>
      </c>
      <c r="EJ335">
        <v>2</v>
      </c>
      <c r="EK335">
        <v>108001</v>
      </c>
      <c r="EL335" t="s">
        <v>84</v>
      </c>
      <c r="EM335" t="s">
        <v>85</v>
      </c>
      <c r="EO335" t="s">
        <v>6</v>
      </c>
      <c r="EQ335">
        <v>131072</v>
      </c>
      <c r="ER335">
        <v>206.76</v>
      </c>
      <c r="ES335">
        <v>51.53</v>
      </c>
      <c r="ET335">
        <v>0.31</v>
      </c>
      <c r="EU335">
        <v>0.14000000000000001</v>
      </c>
      <c r="EV335">
        <v>154.91999999999999</v>
      </c>
      <c r="EW335">
        <v>16.29</v>
      </c>
      <c r="EX335">
        <v>0.01</v>
      </c>
      <c r="EY335">
        <v>0</v>
      </c>
      <c r="FQ335">
        <v>0</v>
      </c>
      <c r="FR335">
        <f t="shared" si="305"/>
        <v>0</v>
      </c>
      <c r="FS335">
        <v>0</v>
      </c>
      <c r="FX335">
        <v>95</v>
      </c>
      <c r="FY335">
        <v>65</v>
      </c>
      <c r="GA335" t="s">
        <v>6</v>
      </c>
      <c r="GD335">
        <v>0</v>
      </c>
      <c r="GF335">
        <v>-1776686347</v>
      </c>
      <c r="GG335">
        <v>1</v>
      </c>
      <c r="GH335">
        <v>1</v>
      </c>
      <c r="GI335">
        <v>4</v>
      </c>
      <c r="GJ335">
        <v>0</v>
      </c>
      <c r="GK335">
        <f>ROUND(R335*(R12)/100,2)</f>
        <v>0</v>
      </c>
      <c r="GL335">
        <f t="shared" si="306"/>
        <v>0</v>
      </c>
      <c r="GM335">
        <f t="shared" si="307"/>
        <v>2387.08</v>
      </c>
      <c r="GN335">
        <f t="shared" si="308"/>
        <v>0</v>
      </c>
      <c r="GO335">
        <f t="shared" si="309"/>
        <v>2387.08</v>
      </c>
      <c r="GP335">
        <f t="shared" si="310"/>
        <v>0</v>
      </c>
      <c r="GR335">
        <v>0</v>
      </c>
      <c r="GS335">
        <v>3</v>
      </c>
      <c r="GT335">
        <v>0</v>
      </c>
      <c r="GU335" t="s">
        <v>6</v>
      </c>
      <c r="GV335">
        <f t="shared" si="311"/>
        <v>0</v>
      </c>
      <c r="GW335">
        <v>1</v>
      </c>
      <c r="GX335">
        <f t="shared" si="312"/>
        <v>0</v>
      </c>
      <c r="HA335">
        <v>0</v>
      </c>
      <c r="HB335">
        <v>0</v>
      </c>
      <c r="IK335">
        <v>0</v>
      </c>
    </row>
    <row r="336" spans="1:245" x14ac:dyDescent="0.2">
      <c r="A336">
        <v>18</v>
      </c>
      <c r="B336">
        <v>1</v>
      </c>
      <c r="C336">
        <v>517</v>
      </c>
      <c r="E336" t="s">
        <v>754</v>
      </c>
      <c r="F336" t="s">
        <v>755</v>
      </c>
      <c r="G336" t="s">
        <v>756</v>
      </c>
      <c r="H336" t="s">
        <v>34</v>
      </c>
      <c r="I336">
        <f>I335*J336</f>
        <v>0.8</v>
      </c>
      <c r="J336">
        <v>1</v>
      </c>
      <c r="O336">
        <f t="shared" si="274"/>
        <v>3752.32</v>
      </c>
      <c r="P336">
        <f t="shared" si="275"/>
        <v>3752.32</v>
      </c>
      <c r="Q336">
        <f t="shared" si="276"/>
        <v>0</v>
      </c>
      <c r="R336">
        <f t="shared" si="277"/>
        <v>0</v>
      </c>
      <c r="S336">
        <f t="shared" si="278"/>
        <v>0</v>
      </c>
      <c r="T336">
        <f t="shared" si="279"/>
        <v>0</v>
      </c>
      <c r="U336">
        <f t="shared" si="280"/>
        <v>0</v>
      </c>
      <c r="V336">
        <f t="shared" si="281"/>
        <v>0</v>
      </c>
      <c r="W336">
        <f t="shared" si="282"/>
        <v>0</v>
      </c>
      <c r="X336">
        <f t="shared" si="283"/>
        <v>0</v>
      </c>
      <c r="Y336">
        <f t="shared" si="284"/>
        <v>0</v>
      </c>
      <c r="AA336">
        <v>16742901</v>
      </c>
      <c r="AB336">
        <f t="shared" si="285"/>
        <v>715</v>
      </c>
      <c r="AC336">
        <f t="shared" si="286"/>
        <v>715</v>
      </c>
      <c r="AD336">
        <f t="shared" si="287"/>
        <v>0</v>
      </c>
      <c r="AE336">
        <f t="shared" si="288"/>
        <v>0</v>
      </c>
      <c r="AF336">
        <f t="shared" si="289"/>
        <v>0</v>
      </c>
      <c r="AG336">
        <f t="shared" si="290"/>
        <v>0</v>
      </c>
      <c r="AH336">
        <f t="shared" si="291"/>
        <v>0</v>
      </c>
      <c r="AI336">
        <f t="shared" si="292"/>
        <v>0</v>
      </c>
      <c r="AJ336">
        <f t="shared" si="293"/>
        <v>0</v>
      </c>
      <c r="AK336">
        <v>715</v>
      </c>
      <c r="AL336">
        <v>715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95</v>
      </c>
      <c r="AU336">
        <v>65</v>
      </c>
      <c r="AV336">
        <v>1</v>
      </c>
      <c r="AW336">
        <v>1</v>
      </c>
      <c r="AZ336">
        <v>6.56</v>
      </c>
      <c r="BA336">
        <v>1</v>
      </c>
      <c r="BB336">
        <v>1</v>
      </c>
      <c r="BC336">
        <v>6.56</v>
      </c>
      <c r="BD336" t="s">
        <v>6</v>
      </c>
      <c r="BE336" t="s">
        <v>6</v>
      </c>
      <c r="BF336" t="s">
        <v>6</v>
      </c>
      <c r="BG336" t="s">
        <v>6</v>
      </c>
      <c r="BH336">
        <v>3</v>
      </c>
      <c r="BI336">
        <v>2</v>
      </c>
      <c r="BJ336" t="s">
        <v>757</v>
      </c>
      <c r="BM336">
        <v>108001</v>
      </c>
      <c r="BN336">
        <v>0</v>
      </c>
      <c r="BO336" t="s">
        <v>6</v>
      </c>
      <c r="BP336">
        <v>0</v>
      </c>
      <c r="BQ336">
        <v>3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6</v>
      </c>
      <c r="BZ336">
        <v>95</v>
      </c>
      <c r="CA336">
        <v>65</v>
      </c>
      <c r="CF336">
        <v>0</v>
      </c>
      <c r="CG336">
        <v>0</v>
      </c>
      <c r="CM336">
        <v>0</v>
      </c>
      <c r="CN336" t="s">
        <v>6</v>
      </c>
      <c r="CO336">
        <v>0</v>
      </c>
      <c r="CP336">
        <f t="shared" si="294"/>
        <v>3752.32</v>
      </c>
      <c r="CQ336">
        <f t="shared" si="295"/>
        <v>4690.3999999999996</v>
      </c>
      <c r="CR336">
        <f t="shared" si="296"/>
        <v>0</v>
      </c>
      <c r="CS336">
        <f t="shared" si="297"/>
        <v>0</v>
      </c>
      <c r="CT336">
        <f t="shared" si="298"/>
        <v>0</v>
      </c>
      <c r="CU336">
        <f t="shared" si="299"/>
        <v>0</v>
      </c>
      <c r="CV336">
        <f t="shared" si="300"/>
        <v>0</v>
      </c>
      <c r="CW336">
        <f t="shared" si="301"/>
        <v>0</v>
      </c>
      <c r="CX336">
        <f t="shared" si="302"/>
        <v>0</v>
      </c>
      <c r="CY336">
        <f t="shared" si="303"/>
        <v>0</v>
      </c>
      <c r="CZ336">
        <f t="shared" si="304"/>
        <v>0</v>
      </c>
      <c r="DC336" t="s">
        <v>6</v>
      </c>
      <c r="DD336" t="s">
        <v>6</v>
      </c>
      <c r="DE336" t="s">
        <v>6</v>
      </c>
      <c r="DF336" t="s">
        <v>6</v>
      </c>
      <c r="DG336" t="s">
        <v>6</v>
      </c>
      <c r="DH336" t="s">
        <v>6</v>
      </c>
      <c r="DI336" t="s">
        <v>6</v>
      </c>
      <c r="DJ336" t="s">
        <v>6</v>
      </c>
      <c r="DK336" t="s">
        <v>6</v>
      </c>
      <c r="DL336" t="s">
        <v>6</v>
      </c>
      <c r="DM336" t="s">
        <v>6</v>
      </c>
      <c r="DN336">
        <v>0</v>
      </c>
      <c r="DO336">
        <v>0</v>
      </c>
      <c r="DP336">
        <v>1</v>
      </c>
      <c r="DQ336">
        <v>1</v>
      </c>
      <c r="DU336">
        <v>1003</v>
      </c>
      <c r="DV336" t="s">
        <v>34</v>
      </c>
      <c r="DW336" t="s">
        <v>34</v>
      </c>
      <c r="DX336">
        <v>100</v>
      </c>
      <c r="EE336">
        <v>16510370</v>
      </c>
      <c r="EF336">
        <v>3</v>
      </c>
      <c r="EG336" t="s">
        <v>83</v>
      </c>
      <c r="EH336">
        <v>0</v>
      </c>
      <c r="EI336" t="s">
        <v>6</v>
      </c>
      <c r="EJ336">
        <v>2</v>
      </c>
      <c r="EK336">
        <v>108001</v>
      </c>
      <c r="EL336" t="s">
        <v>84</v>
      </c>
      <c r="EM336" t="s">
        <v>85</v>
      </c>
      <c r="EO336" t="s">
        <v>6</v>
      </c>
      <c r="EQ336">
        <v>0</v>
      </c>
      <c r="ER336">
        <v>715</v>
      </c>
      <c r="ES336">
        <v>715</v>
      </c>
      <c r="ET336">
        <v>0</v>
      </c>
      <c r="EU336">
        <v>0</v>
      </c>
      <c r="EV336">
        <v>0</v>
      </c>
      <c r="EW336">
        <v>0</v>
      </c>
      <c r="EX336">
        <v>0</v>
      </c>
      <c r="FQ336">
        <v>0</v>
      </c>
      <c r="FR336">
        <f t="shared" si="305"/>
        <v>0</v>
      </c>
      <c r="FS336">
        <v>0</v>
      </c>
      <c r="FX336">
        <v>95</v>
      </c>
      <c r="FY336">
        <v>65</v>
      </c>
      <c r="GA336" t="s">
        <v>6</v>
      </c>
      <c r="GD336">
        <v>0</v>
      </c>
      <c r="GF336">
        <v>575153488</v>
      </c>
      <c r="GG336">
        <v>1</v>
      </c>
      <c r="GH336">
        <v>1</v>
      </c>
      <c r="GI336">
        <v>4</v>
      </c>
      <c r="GJ336">
        <v>0</v>
      </c>
      <c r="GK336">
        <f>ROUND(R336*(R12)/100,2)</f>
        <v>0</v>
      </c>
      <c r="GL336">
        <f t="shared" si="306"/>
        <v>0</v>
      </c>
      <c r="GM336">
        <f t="shared" si="307"/>
        <v>3752.32</v>
      </c>
      <c r="GN336">
        <f t="shared" si="308"/>
        <v>0</v>
      </c>
      <c r="GO336">
        <f t="shared" si="309"/>
        <v>3752.32</v>
      </c>
      <c r="GP336">
        <f t="shared" si="310"/>
        <v>0</v>
      </c>
      <c r="GR336">
        <v>0</v>
      </c>
      <c r="GS336">
        <v>3</v>
      </c>
      <c r="GT336">
        <v>0</v>
      </c>
      <c r="GU336" t="s">
        <v>6</v>
      </c>
      <c r="GV336">
        <f t="shared" si="311"/>
        <v>0</v>
      </c>
      <c r="GW336">
        <v>1</v>
      </c>
      <c r="GX336">
        <f t="shared" si="312"/>
        <v>0</v>
      </c>
      <c r="HA336">
        <v>0</v>
      </c>
      <c r="HB336">
        <v>0</v>
      </c>
      <c r="IK336">
        <v>0</v>
      </c>
    </row>
    <row r="337" spans="1:245" x14ac:dyDescent="0.2">
      <c r="A337">
        <v>17</v>
      </c>
      <c r="B337">
        <v>1</v>
      </c>
      <c r="C337">
        <f>ROW(SmtRes!A527)</f>
        <v>527</v>
      </c>
      <c r="D337">
        <f>ROW(EtalonRes!A492)</f>
        <v>492</v>
      </c>
      <c r="E337" t="s">
        <v>758</v>
      </c>
      <c r="F337" t="s">
        <v>759</v>
      </c>
      <c r="G337" t="s">
        <v>760</v>
      </c>
      <c r="H337" t="s">
        <v>34</v>
      </c>
      <c r="I337">
        <f>ROUND(80/100,9)</f>
        <v>0.8</v>
      </c>
      <c r="J337">
        <v>0</v>
      </c>
      <c r="O337">
        <f t="shared" si="274"/>
        <v>215.74</v>
      </c>
      <c r="P337">
        <f t="shared" si="275"/>
        <v>67.28</v>
      </c>
      <c r="Q337">
        <f t="shared" si="276"/>
        <v>9.34</v>
      </c>
      <c r="R337">
        <f t="shared" si="277"/>
        <v>1.36</v>
      </c>
      <c r="S337">
        <f t="shared" si="278"/>
        <v>139.12</v>
      </c>
      <c r="T337">
        <f t="shared" si="279"/>
        <v>0</v>
      </c>
      <c r="U337">
        <f t="shared" si="280"/>
        <v>2.2559999999999998</v>
      </c>
      <c r="V337">
        <f t="shared" si="281"/>
        <v>1.6E-2</v>
      </c>
      <c r="W337">
        <f t="shared" si="282"/>
        <v>0</v>
      </c>
      <c r="X337">
        <f t="shared" si="283"/>
        <v>133.46</v>
      </c>
      <c r="Y337">
        <f t="shared" si="284"/>
        <v>91.31</v>
      </c>
      <c r="AA337">
        <v>16742901</v>
      </c>
      <c r="AB337">
        <f t="shared" si="285"/>
        <v>41.11</v>
      </c>
      <c r="AC337">
        <f t="shared" si="286"/>
        <v>12.82</v>
      </c>
      <c r="AD337">
        <f t="shared" si="287"/>
        <v>1.78</v>
      </c>
      <c r="AE337">
        <f t="shared" si="288"/>
        <v>0.26</v>
      </c>
      <c r="AF337">
        <f t="shared" si="289"/>
        <v>26.51</v>
      </c>
      <c r="AG337">
        <f t="shared" si="290"/>
        <v>0</v>
      </c>
      <c r="AH337">
        <f t="shared" si="291"/>
        <v>2.82</v>
      </c>
      <c r="AI337">
        <f t="shared" si="292"/>
        <v>0.02</v>
      </c>
      <c r="AJ337">
        <f t="shared" si="293"/>
        <v>0</v>
      </c>
      <c r="AK337">
        <v>41.11</v>
      </c>
      <c r="AL337">
        <v>12.82</v>
      </c>
      <c r="AM337">
        <v>1.78</v>
      </c>
      <c r="AN337">
        <v>0.26</v>
      </c>
      <c r="AO337">
        <v>26.51</v>
      </c>
      <c r="AP337">
        <v>0</v>
      </c>
      <c r="AQ337">
        <v>2.82</v>
      </c>
      <c r="AR337">
        <v>0.02</v>
      </c>
      <c r="AS337">
        <v>0</v>
      </c>
      <c r="AT337">
        <v>95</v>
      </c>
      <c r="AU337">
        <v>65</v>
      </c>
      <c r="AV337">
        <v>1</v>
      </c>
      <c r="AW337">
        <v>1</v>
      </c>
      <c r="AZ337">
        <v>6.56</v>
      </c>
      <c r="BA337">
        <v>6.56</v>
      </c>
      <c r="BB337">
        <v>6.56</v>
      </c>
      <c r="BC337">
        <v>6.56</v>
      </c>
      <c r="BD337" t="s">
        <v>6</v>
      </c>
      <c r="BE337" t="s">
        <v>6</v>
      </c>
      <c r="BF337" t="s">
        <v>6</v>
      </c>
      <c r="BG337" t="s">
        <v>6</v>
      </c>
      <c r="BH337">
        <v>0</v>
      </c>
      <c r="BI337">
        <v>2</v>
      </c>
      <c r="BJ337" t="s">
        <v>761</v>
      </c>
      <c r="BM337">
        <v>108001</v>
      </c>
      <c r="BN337">
        <v>0</v>
      </c>
      <c r="BO337" t="s">
        <v>6</v>
      </c>
      <c r="BP337">
        <v>0</v>
      </c>
      <c r="BQ337">
        <v>3</v>
      </c>
      <c r="BR337">
        <v>0</v>
      </c>
      <c r="BS337">
        <v>6.56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6</v>
      </c>
      <c r="BZ337">
        <v>95</v>
      </c>
      <c r="CA337">
        <v>65</v>
      </c>
      <c r="CF337">
        <v>0</v>
      </c>
      <c r="CG337">
        <v>0</v>
      </c>
      <c r="CM337">
        <v>0</v>
      </c>
      <c r="CN337" t="s">
        <v>6</v>
      </c>
      <c r="CO337">
        <v>0</v>
      </c>
      <c r="CP337">
        <f t="shared" si="294"/>
        <v>215.74</v>
      </c>
      <c r="CQ337">
        <f t="shared" si="295"/>
        <v>84.099199999999996</v>
      </c>
      <c r="CR337">
        <f t="shared" si="296"/>
        <v>11.6768</v>
      </c>
      <c r="CS337">
        <f t="shared" si="297"/>
        <v>1.7056</v>
      </c>
      <c r="CT337">
        <f t="shared" si="298"/>
        <v>173.90559999999999</v>
      </c>
      <c r="CU337">
        <f t="shared" si="299"/>
        <v>0</v>
      </c>
      <c r="CV337">
        <f t="shared" si="300"/>
        <v>2.82</v>
      </c>
      <c r="CW337">
        <f t="shared" si="301"/>
        <v>0.02</v>
      </c>
      <c r="CX337">
        <f t="shared" si="302"/>
        <v>0</v>
      </c>
      <c r="CY337">
        <f t="shared" si="303"/>
        <v>133.45600000000002</v>
      </c>
      <c r="CZ337">
        <f t="shared" si="304"/>
        <v>91.312000000000012</v>
      </c>
      <c r="DC337" t="s">
        <v>6</v>
      </c>
      <c r="DD337" t="s">
        <v>6</v>
      </c>
      <c r="DE337" t="s">
        <v>6</v>
      </c>
      <c r="DF337" t="s">
        <v>6</v>
      </c>
      <c r="DG337" t="s">
        <v>6</v>
      </c>
      <c r="DH337" t="s">
        <v>6</v>
      </c>
      <c r="DI337" t="s">
        <v>6</v>
      </c>
      <c r="DJ337" t="s">
        <v>6</v>
      </c>
      <c r="DK337" t="s">
        <v>6</v>
      </c>
      <c r="DL337" t="s">
        <v>6</v>
      </c>
      <c r="DM337" t="s">
        <v>6</v>
      </c>
      <c r="DN337">
        <v>0</v>
      </c>
      <c r="DO337">
        <v>0</v>
      </c>
      <c r="DP337">
        <v>1</v>
      </c>
      <c r="DQ337">
        <v>1</v>
      </c>
      <c r="DU337">
        <v>1003</v>
      </c>
      <c r="DV337" t="s">
        <v>34</v>
      </c>
      <c r="DW337" t="s">
        <v>34</v>
      </c>
      <c r="DX337">
        <v>100</v>
      </c>
      <c r="EE337">
        <v>16510370</v>
      </c>
      <c r="EF337">
        <v>3</v>
      </c>
      <c r="EG337" t="s">
        <v>83</v>
      </c>
      <c r="EH337">
        <v>0</v>
      </c>
      <c r="EI337" t="s">
        <v>6</v>
      </c>
      <c r="EJ337">
        <v>2</v>
      </c>
      <c r="EK337">
        <v>108001</v>
      </c>
      <c r="EL337" t="s">
        <v>84</v>
      </c>
      <c r="EM337" t="s">
        <v>85</v>
      </c>
      <c r="EO337" t="s">
        <v>6</v>
      </c>
      <c r="EQ337">
        <v>131072</v>
      </c>
      <c r="ER337">
        <v>41.11</v>
      </c>
      <c r="ES337">
        <v>12.82</v>
      </c>
      <c r="ET337">
        <v>1.78</v>
      </c>
      <c r="EU337">
        <v>0.26</v>
      </c>
      <c r="EV337">
        <v>26.51</v>
      </c>
      <c r="EW337">
        <v>2.82</v>
      </c>
      <c r="EX337">
        <v>0.02</v>
      </c>
      <c r="EY337">
        <v>0</v>
      </c>
      <c r="FQ337">
        <v>0</v>
      </c>
      <c r="FR337">
        <f t="shared" si="305"/>
        <v>0</v>
      </c>
      <c r="FS337">
        <v>0</v>
      </c>
      <c r="FX337">
        <v>95</v>
      </c>
      <c r="FY337">
        <v>65</v>
      </c>
      <c r="GA337" t="s">
        <v>6</v>
      </c>
      <c r="GD337">
        <v>0</v>
      </c>
      <c r="GF337">
        <v>-1159239760</v>
      </c>
      <c r="GG337">
        <v>1</v>
      </c>
      <c r="GH337">
        <v>1</v>
      </c>
      <c r="GI337">
        <v>4</v>
      </c>
      <c r="GJ337">
        <v>0</v>
      </c>
      <c r="GK337">
        <f>ROUND(R337*(R12)/100,2)</f>
        <v>0</v>
      </c>
      <c r="GL337">
        <f t="shared" si="306"/>
        <v>0</v>
      </c>
      <c r="GM337">
        <f t="shared" si="307"/>
        <v>440.51</v>
      </c>
      <c r="GN337">
        <f t="shared" si="308"/>
        <v>0</v>
      </c>
      <c r="GO337">
        <f t="shared" si="309"/>
        <v>440.51</v>
      </c>
      <c r="GP337">
        <f t="shared" si="310"/>
        <v>0</v>
      </c>
      <c r="GR337">
        <v>0</v>
      </c>
      <c r="GS337">
        <v>3</v>
      </c>
      <c r="GT337">
        <v>0</v>
      </c>
      <c r="GU337" t="s">
        <v>6</v>
      </c>
      <c r="GV337">
        <f t="shared" si="311"/>
        <v>0</v>
      </c>
      <c r="GW337">
        <v>1</v>
      </c>
      <c r="GX337">
        <f t="shared" si="312"/>
        <v>0</v>
      </c>
      <c r="HA337">
        <v>0</v>
      </c>
      <c r="HB337">
        <v>0</v>
      </c>
      <c r="IK337">
        <v>0</v>
      </c>
    </row>
    <row r="338" spans="1:245" x14ac:dyDescent="0.2">
      <c r="A338">
        <v>18</v>
      </c>
      <c r="B338">
        <v>1</v>
      </c>
      <c r="C338">
        <v>526</v>
      </c>
      <c r="E338" t="s">
        <v>762</v>
      </c>
      <c r="F338" t="s">
        <v>747</v>
      </c>
      <c r="G338" t="s">
        <v>748</v>
      </c>
      <c r="H338" t="s">
        <v>749</v>
      </c>
      <c r="I338">
        <f>I337*J338</f>
        <v>0.08</v>
      </c>
      <c r="J338">
        <v>9.9999999999999992E-2</v>
      </c>
      <c r="O338">
        <f t="shared" si="274"/>
        <v>5752.26</v>
      </c>
      <c r="P338">
        <f t="shared" si="275"/>
        <v>5752.26</v>
      </c>
      <c r="Q338">
        <f t="shared" si="276"/>
        <v>0</v>
      </c>
      <c r="R338">
        <f t="shared" si="277"/>
        <v>0</v>
      </c>
      <c r="S338">
        <f t="shared" si="278"/>
        <v>0</v>
      </c>
      <c r="T338">
        <f t="shared" si="279"/>
        <v>0</v>
      </c>
      <c r="U338">
        <f t="shared" si="280"/>
        <v>0</v>
      </c>
      <c r="V338">
        <f t="shared" si="281"/>
        <v>0</v>
      </c>
      <c r="W338">
        <f t="shared" si="282"/>
        <v>0</v>
      </c>
      <c r="X338">
        <f t="shared" si="283"/>
        <v>0</v>
      </c>
      <c r="Y338">
        <f t="shared" si="284"/>
        <v>0</v>
      </c>
      <c r="AA338">
        <v>16742901</v>
      </c>
      <c r="AB338">
        <f t="shared" si="285"/>
        <v>10960.87</v>
      </c>
      <c r="AC338">
        <f t="shared" si="286"/>
        <v>10960.87</v>
      </c>
      <c r="AD338">
        <f t="shared" si="287"/>
        <v>0</v>
      </c>
      <c r="AE338">
        <f t="shared" si="288"/>
        <v>0</v>
      </c>
      <c r="AF338">
        <f t="shared" si="289"/>
        <v>0</v>
      </c>
      <c r="AG338">
        <f t="shared" si="290"/>
        <v>0</v>
      </c>
      <c r="AH338">
        <f t="shared" si="291"/>
        <v>0</v>
      </c>
      <c r="AI338">
        <f t="shared" si="292"/>
        <v>0</v>
      </c>
      <c r="AJ338">
        <f t="shared" si="293"/>
        <v>0</v>
      </c>
      <c r="AK338">
        <v>10960.87</v>
      </c>
      <c r="AL338">
        <v>10960.87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95</v>
      </c>
      <c r="AU338">
        <v>65</v>
      </c>
      <c r="AV338">
        <v>1</v>
      </c>
      <c r="AW338">
        <v>1</v>
      </c>
      <c r="AZ338">
        <v>6.56</v>
      </c>
      <c r="BA338">
        <v>1</v>
      </c>
      <c r="BB338">
        <v>1</v>
      </c>
      <c r="BC338">
        <v>6.56</v>
      </c>
      <c r="BD338" t="s">
        <v>6</v>
      </c>
      <c r="BE338" t="s">
        <v>6</v>
      </c>
      <c r="BF338" t="s">
        <v>6</v>
      </c>
      <c r="BG338" t="s">
        <v>6</v>
      </c>
      <c r="BH338">
        <v>3</v>
      </c>
      <c r="BI338">
        <v>2</v>
      </c>
      <c r="BJ338" t="s">
        <v>750</v>
      </c>
      <c r="BM338">
        <v>108001</v>
      </c>
      <c r="BN338">
        <v>0</v>
      </c>
      <c r="BO338" t="s">
        <v>6</v>
      </c>
      <c r="BP338">
        <v>0</v>
      </c>
      <c r="BQ338">
        <v>3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6</v>
      </c>
      <c r="BZ338">
        <v>95</v>
      </c>
      <c r="CA338">
        <v>65</v>
      </c>
      <c r="CF338">
        <v>0</v>
      </c>
      <c r="CG338">
        <v>0</v>
      </c>
      <c r="CM338">
        <v>0</v>
      </c>
      <c r="CN338" t="s">
        <v>6</v>
      </c>
      <c r="CO338">
        <v>0</v>
      </c>
      <c r="CP338">
        <f t="shared" si="294"/>
        <v>5752.26</v>
      </c>
      <c r="CQ338">
        <f t="shared" si="295"/>
        <v>71903.307199999996</v>
      </c>
      <c r="CR338">
        <f t="shared" si="296"/>
        <v>0</v>
      </c>
      <c r="CS338">
        <f t="shared" si="297"/>
        <v>0</v>
      </c>
      <c r="CT338">
        <f t="shared" si="298"/>
        <v>0</v>
      </c>
      <c r="CU338">
        <f t="shared" si="299"/>
        <v>0</v>
      </c>
      <c r="CV338">
        <f t="shared" si="300"/>
        <v>0</v>
      </c>
      <c r="CW338">
        <f t="shared" si="301"/>
        <v>0</v>
      </c>
      <c r="CX338">
        <f t="shared" si="302"/>
        <v>0</v>
      </c>
      <c r="CY338">
        <f t="shared" si="303"/>
        <v>0</v>
      </c>
      <c r="CZ338">
        <f t="shared" si="304"/>
        <v>0</v>
      </c>
      <c r="DC338" t="s">
        <v>6</v>
      </c>
      <c r="DD338" t="s">
        <v>6</v>
      </c>
      <c r="DE338" t="s">
        <v>6</v>
      </c>
      <c r="DF338" t="s">
        <v>6</v>
      </c>
      <c r="DG338" t="s">
        <v>6</v>
      </c>
      <c r="DH338" t="s">
        <v>6</v>
      </c>
      <c r="DI338" t="s">
        <v>6</v>
      </c>
      <c r="DJ338" t="s">
        <v>6</v>
      </c>
      <c r="DK338" t="s">
        <v>6</v>
      </c>
      <c r="DL338" t="s">
        <v>6</v>
      </c>
      <c r="DM338" t="s">
        <v>6</v>
      </c>
      <c r="DN338">
        <v>0</v>
      </c>
      <c r="DO338">
        <v>0</v>
      </c>
      <c r="DP338">
        <v>1</v>
      </c>
      <c r="DQ338">
        <v>1</v>
      </c>
      <c r="DU338">
        <v>1013</v>
      </c>
      <c r="DV338" t="s">
        <v>749</v>
      </c>
      <c r="DW338" t="s">
        <v>751</v>
      </c>
      <c r="DX338">
        <v>1</v>
      </c>
      <c r="EE338">
        <v>16510370</v>
      </c>
      <c r="EF338">
        <v>3</v>
      </c>
      <c r="EG338" t="s">
        <v>83</v>
      </c>
      <c r="EH338">
        <v>0</v>
      </c>
      <c r="EI338" t="s">
        <v>6</v>
      </c>
      <c r="EJ338">
        <v>2</v>
      </c>
      <c r="EK338">
        <v>108001</v>
      </c>
      <c r="EL338" t="s">
        <v>84</v>
      </c>
      <c r="EM338" t="s">
        <v>85</v>
      </c>
      <c r="EO338" t="s">
        <v>6</v>
      </c>
      <c r="EQ338">
        <v>0</v>
      </c>
      <c r="ER338">
        <v>10960.87</v>
      </c>
      <c r="ES338">
        <v>10960.87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05"/>
        <v>0</v>
      </c>
      <c r="FS338">
        <v>0</v>
      </c>
      <c r="FX338">
        <v>95</v>
      </c>
      <c r="FY338">
        <v>65</v>
      </c>
      <c r="GA338" t="s">
        <v>6</v>
      </c>
      <c r="GD338">
        <v>0</v>
      </c>
      <c r="GF338">
        <v>-798446083</v>
      </c>
      <c r="GG338">
        <v>1</v>
      </c>
      <c r="GH338">
        <v>1</v>
      </c>
      <c r="GI338">
        <v>4</v>
      </c>
      <c r="GJ338">
        <v>0</v>
      </c>
      <c r="GK338">
        <f>ROUND(R338*(R12)/100,2)</f>
        <v>0</v>
      </c>
      <c r="GL338">
        <f t="shared" si="306"/>
        <v>0</v>
      </c>
      <c r="GM338">
        <f t="shared" si="307"/>
        <v>5752.26</v>
      </c>
      <c r="GN338">
        <f t="shared" si="308"/>
        <v>0</v>
      </c>
      <c r="GO338">
        <f t="shared" si="309"/>
        <v>5752.26</v>
      </c>
      <c r="GP338">
        <f t="shared" si="310"/>
        <v>0</v>
      </c>
      <c r="GR338">
        <v>0</v>
      </c>
      <c r="GS338">
        <v>3</v>
      </c>
      <c r="GT338">
        <v>0</v>
      </c>
      <c r="GU338" t="s">
        <v>6</v>
      </c>
      <c r="GV338">
        <f t="shared" si="311"/>
        <v>0</v>
      </c>
      <c r="GW338">
        <v>1</v>
      </c>
      <c r="GX338">
        <f t="shared" si="312"/>
        <v>0</v>
      </c>
      <c r="HA338">
        <v>0</v>
      </c>
      <c r="HB338">
        <v>0</v>
      </c>
      <c r="IK338">
        <v>0</v>
      </c>
    </row>
    <row r="339" spans="1:245" x14ac:dyDescent="0.2">
      <c r="A339">
        <v>17</v>
      </c>
      <c r="B339">
        <v>1</v>
      </c>
      <c r="C339">
        <f>ROW(SmtRes!A533)</f>
        <v>533</v>
      </c>
      <c r="D339">
        <f>ROW(EtalonRes!A497)</f>
        <v>497</v>
      </c>
      <c r="E339" t="s">
        <v>763</v>
      </c>
      <c r="F339" t="s">
        <v>764</v>
      </c>
      <c r="G339" t="s">
        <v>765</v>
      </c>
      <c r="H339" t="s">
        <v>56</v>
      </c>
      <c r="I339">
        <v>90</v>
      </c>
      <c r="J339">
        <v>0</v>
      </c>
      <c r="O339">
        <f t="shared" si="274"/>
        <v>3123.21</v>
      </c>
      <c r="P339">
        <f t="shared" si="275"/>
        <v>242.06</v>
      </c>
      <c r="Q339">
        <f t="shared" si="276"/>
        <v>0</v>
      </c>
      <c r="R339">
        <f t="shared" si="277"/>
        <v>0</v>
      </c>
      <c r="S339">
        <f t="shared" si="278"/>
        <v>2881.15</v>
      </c>
      <c r="T339">
        <f t="shared" si="279"/>
        <v>0</v>
      </c>
      <c r="U339">
        <f t="shared" si="280"/>
        <v>45</v>
      </c>
      <c r="V339">
        <f t="shared" si="281"/>
        <v>0</v>
      </c>
      <c r="W339">
        <f t="shared" si="282"/>
        <v>0</v>
      </c>
      <c r="X339">
        <f t="shared" si="283"/>
        <v>2304.92</v>
      </c>
      <c r="Y339">
        <f t="shared" si="284"/>
        <v>1728.69</v>
      </c>
      <c r="AA339">
        <v>16742901</v>
      </c>
      <c r="AB339">
        <f t="shared" si="285"/>
        <v>5.29</v>
      </c>
      <c r="AC339">
        <f t="shared" si="286"/>
        <v>0.41</v>
      </c>
      <c r="AD339">
        <f t="shared" si="287"/>
        <v>0</v>
      </c>
      <c r="AE339">
        <f t="shared" si="288"/>
        <v>0</v>
      </c>
      <c r="AF339">
        <f t="shared" si="289"/>
        <v>4.88</v>
      </c>
      <c r="AG339">
        <f t="shared" si="290"/>
        <v>0</v>
      </c>
      <c r="AH339">
        <f t="shared" si="291"/>
        <v>0.5</v>
      </c>
      <c r="AI339">
        <f t="shared" si="292"/>
        <v>0</v>
      </c>
      <c r="AJ339">
        <f t="shared" si="293"/>
        <v>0</v>
      </c>
      <c r="AK339">
        <v>5.29</v>
      </c>
      <c r="AL339">
        <v>0.41</v>
      </c>
      <c r="AM339">
        <v>0</v>
      </c>
      <c r="AN339">
        <v>0</v>
      </c>
      <c r="AO339">
        <v>4.88</v>
      </c>
      <c r="AP339">
        <v>0</v>
      </c>
      <c r="AQ339">
        <v>0.5</v>
      </c>
      <c r="AR339">
        <v>0</v>
      </c>
      <c r="AS339">
        <v>0</v>
      </c>
      <c r="AT339">
        <v>80</v>
      </c>
      <c r="AU339">
        <v>60</v>
      </c>
      <c r="AV339">
        <v>1</v>
      </c>
      <c r="AW339">
        <v>1</v>
      </c>
      <c r="AZ339">
        <v>6.56</v>
      </c>
      <c r="BA339">
        <v>6.56</v>
      </c>
      <c r="BB339">
        <v>6.56</v>
      </c>
      <c r="BC339">
        <v>6.56</v>
      </c>
      <c r="BD339" t="s">
        <v>6</v>
      </c>
      <c r="BE339" t="s">
        <v>6</v>
      </c>
      <c r="BF339" t="s">
        <v>6</v>
      </c>
      <c r="BG339" t="s">
        <v>6</v>
      </c>
      <c r="BH339">
        <v>0</v>
      </c>
      <c r="BI339">
        <v>2</v>
      </c>
      <c r="BJ339" t="s">
        <v>766</v>
      </c>
      <c r="BM339">
        <v>110011</v>
      </c>
      <c r="BN339">
        <v>0</v>
      </c>
      <c r="BO339" t="s">
        <v>6</v>
      </c>
      <c r="BP339">
        <v>0</v>
      </c>
      <c r="BQ339">
        <v>3</v>
      </c>
      <c r="BR339">
        <v>0</v>
      </c>
      <c r="BS339">
        <v>6.56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6</v>
      </c>
      <c r="BZ339">
        <v>80</v>
      </c>
      <c r="CA339">
        <v>60</v>
      </c>
      <c r="CF339">
        <v>0</v>
      </c>
      <c r="CG339">
        <v>0</v>
      </c>
      <c r="CM339">
        <v>0</v>
      </c>
      <c r="CN339" t="s">
        <v>6</v>
      </c>
      <c r="CO339">
        <v>0</v>
      </c>
      <c r="CP339">
        <f t="shared" si="294"/>
        <v>3123.21</v>
      </c>
      <c r="CQ339">
        <f t="shared" si="295"/>
        <v>2.6895999999999995</v>
      </c>
      <c r="CR339">
        <f t="shared" si="296"/>
        <v>0</v>
      </c>
      <c r="CS339">
        <f t="shared" si="297"/>
        <v>0</v>
      </c>
      <c r="CT339">
        <f t="shared" si="298"/>
        <v>32.012799999999999</v>
      </c>
      <c r="CU339">
        <f t="shared" si="299"/>
        <v>0</v>
      </c>
      <c r="CV339">
        <f t="shared" si="300"/>
        <v>0.5</v>
      </c>
      <c r="CW339">
        <f t="shared" si="301"/>
        <v>0</v>
      </c>
      <c r="CX339">
        <f t="shared" si="302"/>
        <v>0</v>
      </c>
      <c r="CY339">
        <f t="shared" si="303"/>
        <v>2304.92</v>
      </c>
      <c r="CZ339">
        <f t="shared" si="304"/>
        <v>1728.69</v>
      </c>
      <c r="DC339" t="s">
        <v>6</v>
      </c>
      <c r="DD339" t="s">
        <v>6</v>
      </c>
      <c r="DE339" t="s">
        <v>6</v>
      </c>
      <c r="DF339" t="s">
        <v>6</v>
      </c>
      <c r="DG339" t="s">
        <v>6</v>
      </c>
      <c r="DH339" t="s">
        <v>6</v>
      </c>
      <c r="DI339" t="s">
        <v>6</v>
      </c>
      <c r="DJ339" t="s">
        <v>6</v>
      </c>
      <c r="DK339" t="s">
        <v>6</v>
      </c>
      <c r="DL339" t="s">
        <v>6</v>
      </c>
      <c r="DM339" t="s">
        <v>6</v>
      </c>
      <c r="DN339">
        <v>0</v>
      </c>
      <c r="DO339">
        <v>0</v>
      </c>
      <c r="DP339">
        <v>1</v>
      </c>
      <c r="DQ339">
        <v>1</v>
      </c>
      <c r="DU339">
        <v>1013</v>
      </c>
      <c r="DV339" t="s">
        <v>56</v>
      </c>
      <c r="DW339" t="s">
        <v>56</v>
      </c>
      <c r="DX339">
        <v>1</v>
      </c>
      <c r="EE339">
        <v>16510417</v>
      </c>
      <c r="EF339">
        <v>3</v>
      </c>
      <c r="EG339" t="s">
        <v>83</v>
      </c>
      <c r="EH339">
        <v>0</v>
      </c>
      <c r="EI339" t="s">
        <v>6</v>
      </c>
      <c r="EJ339">
        <v>2</v>
      </c>
      <c r="EK339">
        <v>110011</v>
      </c>
      <c r="EL339" t="s">
        <v>767</v>
      </c>
      <c r="EM339" t="s">
        <v>768</v>
      </c>
      <c r="EO339" t="s">
        <v>6</v>
      </c>
      <c r="EQ339">
        <v>131072</v>
      </c>
      <c r="ER339">
        <v>5.29</v>
      </c>
      <c r="ES339">
        <v>0.41</v>
      </c>
      <c r="ET339">
        <v>0</v>
      </c>
      <c r="EU339">
        <v>0</v>
      </c>
      <c r="EV339">
        <v>4.88</v>
      </c>
      <c r="EW339">
        <v>0.5</v>
      </c>
      <c r="EX339">
        <v>0</v>
      </c>
      <c r="EY339">
        <v>0</v>
      </c>
      <c r="FQ339">
        <v>0</v>
      </c>
      <c r="FR339">
        <f t="shared" si="305"/>
        <v>0</v>
      </c>
      <c r="FS339">
        <v>0</v>
      </c>
      <c r="FX339">
        <v>80</v>
      </c>
      <c r="FY339">
        <v>60</v>
      </c>
      <c r="GA339" t="s">
        <v>6</v>
      </c>
      <c r="GD339">
        <v>0</v>
      </c>
      <c r="GF339">
        <v>287023441</v>
      </c>
      <c r="GG339">
        <v>1</v>
      </c>
      <c r="GH339">
        <v>1</v>
      </c>
      <c r="GI339">
        <v>4</v>
      </c>
      <c r="GJ339">
        <v>0</v>
      </c>
      <c r="GK339">
        <f>ROUND(R339*(R12)/100,2)</f>
        <v>0</v>
      </c>
      <c r="GL339">
        <f t="shared" si="306"/>
        <v>0</v>
      </c>
      <c r="GM339">
        <f t="shared" si="307"/>
        <v>7156.82</v>
      </c>
      <c r="GN339">
        <f t="shared" si="308"/>
        <v>0</v>
      </c>
      <c r="GO339">
        <f t="shared" si="309"/>
        <v>7156.82</v>
      </c>
      <c r="GP339">
        <f t="shared" si="310"/>
        <v>0</v>
      </c>
      <c r="GR339">
        <v>0</v>
      </c>
      <c r="GS339">
        <v>3</v>
      </c>
      <c r="GT339">
        <v>0</v>
      </c>
      <c r="GU339" t="s">
        <v>6</v>
      </c>
      <c r="GV339">
        <f t="shared" si="311"/>
        <v>0</v>
      </c>
      <c r="GW339">
        <v>1</v>
      </c>
      <c r="GX339">
        <f t="shared" si="312"/>
        <v>0</v>
      </c>
      <c r="HA339">
        <v>0</v>
      </c>
      <c r="HB339">
        <v>0</v>
      </c>
      <c r="IK339">
        <v>0</v>
      </c>
    </row>
    <row r="340" spans="1:245" x14ac:dyDescent="0.2">
      <c r="A340">
        <v>18</v>
      </c>
      <c r="B340">
        <v>1</v>
      </c>
      <c r="C340">
        <v>532</v>
      </c>
      <c r="E340" t="s">
        <v>769</v>
      </c>
      <c r="F340" t="s">
        <v>770</v>
      </c>
      <c r="G340" t="s">
        <v>771</v>
      </c>
      <c r="H340" t="s">
        <v>73</v>
      </c>
      <c r="I340">
        <f>I339*J340</f>
        <v>90</v>
      </c>
      <c r="J340">
        <v>1</v>
      </c>
      <c r="O340">
        <f t="shared" si="274"/>
        <v>5089.25</v>
      </c>
      <c r="P340">
        <f t="shared" si="275"/>
        <v>5089.25</v>
      </c>
      <c r="Q340">
        <f t="shared" si="276"/>
        <v>0</v>
      </c>
      <c r="R340">
        <f t="shared" si="277"/>
        <v>0</v>
      </c>
      <c r="S340">
        <f t="shared" si="278"/>
        <v>0</v>
      </c>
      <c r="T340">
        <f t="shared" si="279"/>
        <v>0</v>
      </c>
      <c r="U340">
        <f t="shared" si="280"/>
        <v>0</v>
      </c>
      <c r="V340">
        <f t="shared" si="281"/>
        <v>0</v>
      </c>
      <c r="W340">
        <f t="shared" si="282"/>
        <v>0</v>
      </c>
      <c r="X340">
        <f t="shared" si="283"/>
        <v>0</v>
      </c>
      <c r="Y340">
        <f t="shared" si="284"/>
        <v>0</v>
      </c>
      <c r="AA340">
        <v>16742901</v>
      </c>
      <c r="AB340">
        <f t="shared" si="285"/>
        <v>8.6199999999999992</v>
      </c>
      <c r="AC340">
        <f t="shared" si="286"/>
        <v>8.6199999999999992</v>
      </c>
      <c r="AD340">
        <f t="shared" si="287"/>
        <v>0</v>
      </c>
      <c r="AE340">
        <f t="shared" si="288"/>
        <v>0</v>
      </c>
      <c r="AF340">
        <f t="shared" si="289"/>
        <v>0</v>
      </c>
      <c r="AG340">
        <f t="shared" si="290"/>
        <v>0</v>
      </c>
      <c r="AH340">
        <f t="shared" si="291"/>
        <v>0</v>
      </c>
      <c r="AI340">
        <f t="shared" si="292"/>
        <v>0</v>
      </c>
      <c r="AJ340">
        <f t="shared" si="293"/>
        <v>0</v>
      </c>
      <c r="AK340">
        <v>8.6199999999999992</v>
      </c>
      <c r="AL340">
        <v>8.6199999999999992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80</v>
      </c>
      <c r="AU340">
        <v>60</v>
      </c>
      <c r="AV340">
        <v>1</v>
      </c>
      <c r="AW340">
        <v>1</v>
      </c>
      <c r="AZ340">
        <v>6.56</v>
      </c>
      <c r="BA340">
        <v>1</v>
      </c>
      <c r="BB340">
        <v>1</v>
      </c>
      <c r="BC340">
        <v>6.56</v>
      </c>
      <c r="BD340" t="s">
        <v>6</v>
      </c>
      <c r="BE340" t="s">
        <v>6</v>
      </c>
      <c r="BF340" t="s">
        <v>6</v>
      </c>
      <c r="BG340" t="s">
        <v>6</v>
      </c>
      <c r="BH340">
        <v>3</v>
      </c>
      <c r="BI340">
        <v>2</v>
      </c>
      <c r="BJ340" t="s">
        <v>772</v>
      </c>
      <c r="BM340">
        <v>110011</v>
      </c>
      <c r="BN340">
        <v>0</v>
      </c>
      <c r="BO340" t="s">
        <v>6</v>
      </c>
      <c r="BP340">
        <v>0</v>
      </c>
      <c r="BQ340">
        <v>3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6</v>
      </c>
      <c r="BZ340">
        <v>80</v>
      </c>
      <c r="CA340">
        <v>60</v>
      </c>
      <c r="CF340">
        <v>0</v>
      </c>
      <c r="CG340">
        <v>0</v>
      </c>
      <c r="CM340">
        <v>0</v>
      </c>
      <c r="CN340" t="s">
        <v>6</v>
      </c>
      <c r="CO340">
        <v>0</v>
      </c>
      <c r="CP340">
        <f t="shared" si="294"/>
        <v>5089.25</v>
      </c>
      <c r="CQ340">
        <f t="shared" si="295"/>
        <v>56.547199999999989</v>
      </c>
      <c r="CR340">
        <f t="shared" si="296"/>
        <v>0</v>
      </c>
      <c r="CS340">
        <f t="shared" si="297"/>
        <v>0</v>
      </c>
      <c r="CT340">
        <f t="shared" si="298"/>
        <v>0</v>
      </c>
      <c r="CU340">
        <f t="shared" si="299"/>
        <v>0</v>
      </c>
      <c r="CV340">
        <f t="shared" si="300"/>
        <v>0</v>
      </c>
      <c r="CW340">
        <f t="shared" si="301"/>
        <v>0</v>
      </c>
      <c r="CX340">
        <f t="shared" si="302"/>
        <v>0</v>
      </c>
      <c r="CY340">
        <f t="shared" si="303"/>
        <v>0</v>
      </c>
      <c r="CZ340">
        <f t="shared" si="304"/>
        <v>0</v>
      </c>
      <c r="DC340" t="s">
        <v>6</v>
      </c>
      <c r="DD340" t="s">
        <v>6</v>
      </c>
      <c r="DE340" t="s">
        <v>6</v>
      </c>
      <c r="DF340" t="s">
        <v>6</v>
      </c>
      <c r="DG340" t="s">
        <v>6</v>
      </c>
      <c r="DH340" t="s">
        <v>6</v>
      </c>
      <c r="DI340" t="s">
        <v>6</v>
      </c>
      <c r="DJ340" t="s">
        <v>6</v>
      </c>
      <c r="DK340" t="s">
        <v>6</v>
      </c>
      <c r="DL340" t="s">
        <v>6</v>
      </c>
      <c r="DM340" t="s">
        <v>6</v>
      </c>
      <c r="DN340">
        <v>0</v>
      </c>
      <c r="DO340">
        <v>0</v>
      </c>
      <c r="DP340">
        <v>1</v>
      </c>
      <c r="DQ340">
        <v>1</v>
      </c>
      <c r="DU340">
        <v>1010</v>
      </c>
      <c r="DV340" t="s">
        <v>73</v>
      </c>
      <c r="DW340" t="s">
        <v>73</v>
      </c>
      <c r="DX340">
        <v>1</v>
      </c>
      <c r="EE340">
        <v>16510417</v>
      </c>
      <c r="EF340">
        <v>3</v>
      </c>
      <c r="EG340" t="s">
        <v>83</v>
      </c>
      <c r="EH340">
        <v>0</v>
      </c>
      <c r="EI340" t="s">
        <v>6</v>
      </c>
      <c r="EJ340">
        <v>2</v>
      </c>
      <c r="EK340">
        <v>110011</v>
      </c>
      <c r="EL340" t="s">
        <v>767</v>
      </c>
      <c r="EM340" t="s">
        <v>768</v>
      </c>
      <c r="EO340" t="s">
        <v>6</v>
      </c>
      <c r="EQ340">
        <v>0</v>
      </c>
      <c r="ER340">
        <v>8.6199999999999992</v>
      </c>
      <c r="ES340">
        <v>8.6199999999999992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05"/>
        <v>0</v>
      </c>
      <c r="FS340">
        <v>0</v>
      </c>
      <c r="FX340">
        <v>80</v>
      </c>
      <c r="FY340">
        <v>60</v>
      </c>
      <c r="GA340" t="s">
        <v>6</v>
      </c>
      <c r="GD340">
        <v>0</v>
      </c>
      <c r="GF340">
        <v>-1197549434</v>
      </c>
      <c r="GG340">
        <v>1</v>
      </c>
      <c r="GH340">
        <v>1</v>
      </c>
      <c r="GI340">
        <v>4</v>
      </c>
      <c r="GJ340">
        <v>0</v>
      </c>
      <c r="GK340">
        <f>ROUND(R340*(R12)/100,2)</f>
        <v>0</v>
      </c>
      <c r="GL340">
        <f t="shared" si="306"/>
        <v>0</v>
      </c>
      <c r="GM340">
        <f t="shared" si="307"/>
        <v>5089.25</v>
      </c>
      <c r="GN340">
        <f t="shared" si="308"/>
        <v>0</v>
      </c>
      <c r="GO340">
        <f t="shared" si="309"/>
        <v>5089.25</v>
      </c>
      <c r="GP340">
        <f t="shared" si="310"/>
        <v>0</v>
      </c>
      <c r="GR340">
        <v>0</v>
      </c>
      <c r="GS340">
        <v>3</v>
      </c>
      <c r="GT340">
        <v>0</v>
      </c>
      <c r="GU340" t="s">
        <v>6</v>
      </c>
      <c r="GV340">
        <f t="shared" si="311"/>
        <v>0</v>
      </c>
      <c r="GW340">
        <v>1</v>
      </c>
      <c r="GX340">
        <f t="shared" si="312"/>
        <v>0</v>
      </c>
      <c r="HA340">
        <v>0</v>
      </c>
      <c r="HB340">
        <v>0</v>
      </c>
      <c r="IK340">
        <v>0</v>
      </c>
    </row>
    <row r="341" spans="1:245" x14ac:dyDescent="0.2">
      <c r="A341">
        <v>17</v>
      </c>
      <c r="B341">
        <v>1</v>
      </c>
      <c r="C341">
        <f>ROW(SmtRes!A534)</f>
        <v>534</v>
      </c>
      <c r="D341">
        <f>ROW(EtalonRes!A499)</f>
        <v>499</v>
      </c>
      <c r="E341" t="s">
        <v>773</v>
      </c>
      <c r="F341" t="s">
        <v>774</v>
      </c>
      <c r="G341" t="s">
        <v>775</v>
      </c>
      <c r="H341" t="s">
        <v>66</v>
      </c>
      <c r="I341">
        <f>ROUND(16/100,9)</f>
        <v>0.16</v>
      </c>
      <c r="J341">
        <v>0</v>
      </c>
      <c r="O341">
        <f t="shared" si="274"/>
        <v>49.15</v>
      </c>
      <c r="P341">
        <f t="shared" si="275"/>
        <v>0</v>
      </c>
      <c r="Q341">
        <f t="shared" si="276"/>
        <v>0</v>
      </c>
      <c r="R341">
        <f t="shared" si="277"/>
        <v>0</v>
      </c>
      <c r="S341">
        <f t="shared" si="278"/>
        <v>49.15</v>
      </c>
      <c r="T341">
        <f t="shared" si="279"/>
        <v>0</v>
      </c>
      <c r="U341">
        <f t="shared" si="280"/>
        <v>0.87840000000000007</v>
      </c>
      <c r="V341">
        <f t="shared" si="281"/>
        <v>0</v>
      </c>
      <c r="W341">
        <f t="shared" si="282"/>
        <v>0</v>
      </c>
      <c r="X341">
        <f t="shared" si="283"/>
        <v>38.340000000000003</v>
      </c>
      <c r="Y341">
        <f t="shared" si="284"/>
        <v>24.58</v>
      </c>
      <c r="AA341">
        <v>16742901</v>
      </c>
      <c r="AB341">
        <f t="shared" si="285"/>
        <v>46.83</v>
      </c>
      <c r="AC341">
        <f t="shared" si="286"/>
        <v>0</v>
      </c>
      <c r="AD341">
        <f t="shared" si="287"/>
        <v>0</v>
      </c>
      <c r="AE341">
        <f t="shared" si="288"/>
        <v>0</v>
      </c>
      <c r="AF341">
        <f t="shared" si="289"/>
        <v>46.83</v>
      </c>
      <c r="AG341">
        <f t="shared" si="290"/>
        <v>0</v>
      </c>
      <c r="AH341">
        <f t="shared" si="291"/>
        <v>5.49</v>
      </c>
      <c r="AI341">
        <f t="shared" si="292"/>
        <v>0</v>
      </c>
      <c r="AJ341">
        <f t="shared" si="293"/>
        <v>0</v>
      </c>
      <c r="AK341">
        <v>46.83</v>
      </c>
      <c r="AL341">
        <v>0</v>
      </c>
      <c r="AM341">
        <v>0</v>
      </c>
      <c r="AN341">
        <v>0</v>
      </c>
      <c r="AO341">
        <v>46.83</v>
      </c>
      <c r="AP341">
        <v>0</v>
      </c>
      <c r="AQ341">
        <v>5.49</v>
      </c>
      <c r="AR341">
        <v>0</v>
      </c>
      <c r="AS341">
        <v>0</v>
      </c>
      <c r="AT341">
        <v>78</v>
      </c>
      <c r="AU341">
        <v>50</v>
      </c>
      <c r="AV341">
        <v>1</v>
      </c>
      <c r="AW341">
        <v>1</v>
      </c>
      <c r="AZ341">
        <v>6.56</v>
      </c>
      <c r="BA341">
        <v>6.56</v>
      </c>
      <c r="BB341">
        <v>6.56</v>
      </c>
      <c r="BC341">
        <v>6.56</v>
      </c>
      <c r="BD341" t="s">
        <v>6</v>
      </c>
      <c r="BE341" t="s">
        <v>6</v>
      </c>
      <c r="BF341" t="s">
        <v>6</v>
      </c>
      <c r="BG341" t="s">
        <v>6</v>
      </c>
      <c r="BH341">
        <v>0</v>
      </c>
      <c r="BI341">
        <v>1</v>
      </c>
      <c r="BJ341" t="s">
        <v>776</v>
      </c>
      <c r="BM341">
        <v>69001</v>
      </c>
      <c r="BN341">
        <v>0</v>
      </c>
      <c r="BO341" t="s">
        <v>6</v>
      </c>
      <c r="BP341">
        <v>0</v>
      </c>
      <c r="BQ341">
        <v>6</v>
      </c>
      <c r="BR341">
        <v>0</v>
      </c>
      <c r="BS341">
        <v>6.56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6</v>
      </c>
      <c r="BZ341">
        <v>78</v>
      </c>
      <c r="CA341">
        <v>50</v>
      </c>
      <c r="CF341">
        <v>0</v>
      </c>
      <c r="CG341">
        <v>0</v>
      </c>
      <c r="CM341">
        <v>0</v>
      </c>
      <c r="CN341" t="s">
        <v>6</v>
      </c>
      <c r="CO341">
        <v>0</v>
      </c>
      <c r="CP341">
        <f t="shared" si="294"/>
        <v>49.15</v>
      </c>
      <c r="CQ341">
        <f t="shared" si="295"/>
        <v>0</v>
      </c>
      <c r="CR341">
        <f t="shared" si="296"/>
        <v>0</v>
      </c>
      <c r="CS341">
        <f t="shared" si="297"/>
        <v>0</v>
      </c>
      <c r="CT341">
        <f t="shared" si="298"/>
        <v>307.20479999999998</v>
      </c>
      <c r="CU341">
        <f t="shared" si="299"/>
        <v>0</v>
      </c>
      <c r="CV341">
        <f t="shared" si="300"/>
        <v>5.49</v>
      </c>
      <c r="CW341">
        <f t="shared" si="301"/>
        <v>0</v>
      </c>
      <c r="CX341">
        <f t="shared" si="302"/>
        <v>0</v>
      </c>
      <c r="CY341">
        <f t="shared" si="303"/>
        <v>38.336999999999996</v>
      </c>
      <c r="CZ341">
        <f t="shared" si="304"/>
        <v>24.574999999999999</v>
      </c>
      <c r="DC341" t="s">
        <v>6</v>
      </c>
      <c r="DD341" t="s">
        <v>6</v>
      </c>
      <c r="DE341" t="s">
        <v>6</v>
      </c>
      <c r="DF341" t="s">
        <v>6</v>
      </c>
      <c r="DG341" t="s">
        <v>6</v>
      </c>
      <c r="DH341" t="s">
        <v>6</v>
      </c>
      <c r="DI341" t="s">
        <v>6</v>
      </c>
      <c r="DJ341" t="s">
        <v>6</v>
      </c>
      <c r="DK341" t="s">
        <v>6</v>
      </c>
      <c r="DL341" t="s">
        <v>6</v>
      </c>
      <c r="DM341" t="s">
        <v>6</v>
      </c>
      <c r="DN341">
        <v>0</v>
      </c>
      <c r="DO341">
        <v>0</v>
      </c>
      <c r="DP341">
        <v>1</v>
      </c>
      <c r="DQ341">
        <v>1</v>
      </c>
      <c r="DU341">
        <v>1013</v>
      </c>
      <c r="DV341" t="s">
        <v>66</v>
      </c>
      <c r="DW341" t="s">
        <v>66</v>
      </c>
      <c r="DX341">
        <v>1</v>
      </c>
      <c r="EE341">
        <v>16510614</v>
      </c>
      <c r="EF341">
        <v>6</v>
      </c>
      <c r="EG341" t="s">
        <v>36</v>
      </c>
      <c r="EH341">
        <v>0</v>
      </c>
      <c r="EI341" t="s">
        <v>6</v>
      </c>
      <c r="EJ341">
        <v>1</v>
      </c>
      <c r="EK341">
        <v>69001</v>
      </c>
      <c r="EL341" t="s">
        <v>660</v>
      </c>
      <c r="EM341" t="s">
        <v>661</v>
      </c>
      <c r="EO341" t="s">
        <v>6</v>
      </c>
      <c r="EQ341">
        <v>131072</v>
      </c>
      <c r="ER341">
        <v>46.83</v>
      </c>
      <c r="ES341">
        <v>0</v>
      </c>
      <c r="ET341">
        <v>0</v>
      </c>
      <c r="EU341">
        <v>0</v>
      </c>
      <c r="EV341">
        <v>46.83</v>
      </c>
      <c r="EW341">
        <v>5.49</v>
      </c>
      <c r="EX341">
        <v>0</v>
      </c>
      <c r="EY341">
        <v>0</v>
      </c>
      <c r="FQ341">
        <v>0</v>
      </c>
      <c r="FR341">
        <f t="shared" si="305"/>
        <v>0</v>
      </c>
      <c r="FS341">
        <v>0</v>
      </c>
      <c r="FX341">
        <v>78</v>
      </c>
      <c r="FY341">
        <v>50</v>
      </c>
      <c r="GA341" t="s">
        <v>6</v>
      </c>
      <c r="GD341">
        <v>0</v>
      </c>
      <c r="GF341">
        <v>-746968197</v>
      </c>
      <c r="GG341">
        <v>1</v>
      </c>
      <c r="GH341">
        <v>1</v>
      </c>
      <c r="GI341">
        <v>4</v>
      </c>
      <c r="GJ341">
        <v>0</v>
      </c>
      <c r="GK341">
        <f>ROUND(R341*(R12)/100,2)</f>
        <v>0</v>
      </c>
      <c r="GL341">
        <f t="shared" si="306"/>
        <v>0</v>
      </c>
      <c r="GM341">
        <f t="shared" si="307"/>
        <v>112.07</v>
      </c>
      <c r="GN341">
        <f t="shared" si="308"/>
        <v>112.07</v>
      </c>
      <c r="GO341">
        <f t="shared" si="309"/>
        <v>0</v>
      </c>
      <c r="GP341">
        <f t="shared" si="310"/>
        <v>0</v>
      </c>
      <c r="GR341">
        <v>0</v>
      </c>
      <c r="GS341">
        <v>3</v>
      </c>
      <c r="GT341">
        <v>0</v>
      </c>
      <c r="GU341" t="s">
        <v>6</v>
      </c>
      <c r="GV341">
        <f t="shared" si="311"/>
        <v>0</v>
      </c>
      <c r="GW341">
        <v>1</v>
      </c>
      <c r="GX341">
        <f t="shared" si="312"/>
        <v>0</v>
      </c>
      <c r="HA341">
        <v>0</v>
      </c>
      <c r="HB341">
        <v>0</v>
      </c>
      <c r="IK341">
        <v>0</v>
      </c>
    </row>
    <row r="342" spans="1:245" x14ac:dyDescent="0.2">
      <c r="A342">
        <v>17</v>
      </c>
      <c r="B342">
        <v>1</v>
      </c>
      <c r="C342">
        <f>ROW(SmtRes!A545)</f>
        <v>545</v>
      </c>
      <c r="D342">
        <f>ROW(EtalonRes!A509)</f>
        <v>509</v>
      </c>
      <c r="E342" t="s">
        <v>777</v>
      </c>
      <c r="F342" t="s">
        <v>778</v>
      </c>
      <c r="G342" t="s">
        <v>779</v>
      </c>
      <c r="H342" t="s">
        <v>34</v>
      </c>
      <c r="I342">
        <f>ROUND(2.4/100,9)</f>
        <v>2.4E-2</v>
      </c>
      <c r="J342">
        <v>0</v>
      </c>
      <c r="O342">
        <f t="shared" si="274"/>
        <v>39.5</v>
      </c>
      <c r="P342">
        <f t="shared" si="275"/>
        <v>13.81</v>
      </c>
      <c r="Q342">
        <f t="shared" si="276"/>
        <v>3.08</v>
      </c>
      <c r="R342">
        <f t="shared" si="277"/>
        <v>0.44</v>
      </c>
      <c r="S342">
        <f t="shared" si="278"/>
        <v>22.61</v>
      </c>
      <c r="T342">
        <f t="shared" si="279"/>
        <v>0</v>
      </c>
      <c r="U342">
        <f t="shared" si="280"/>
        <v>0.36671999999999999</v>
      </c>
      <c r="V342">
        <f t="shared" si="281"/>
        <v>5.28E-3</v>
      </c>
      <c r="W342">
        <f t="shared" si="282"/>
        <v>0</v>
      </c>
      <c r="X342">
        <f t="shared" si="283"/>
        <v>21.9</v>
      </c>
      <c r="Y342">
        <f t="shared" si="284"/>
        <v>14.98</v>
      </c>
      <c r="AA342">
        <v>16742901</v>
      </c>
      <c r="AB342">
        <f t="shared" si="285"/>
        <v>250.92</v>
      </c>
      <c r="AC342">
        <f t="shared" si="286"/>
        <v>87.74</v>
      </c>
      <c r="AD342">
        <f t="shared" si="287"/>
        <v>19.55</v>
      </c>
      <c r="AE342">
        <f t="shared" si="288"/>
        <v>2.77</v>
      </c>
      <c r="AF342">
        <f t="shared" si="289"/>
        <v>143.63</v>
      </c>
      <c r="AG342">
        <f t="shared" si="290"/>
        <v>0</v>
      </c>
      <c r="AH342">
        <f t="shared" si="291"/>
        <v>15.28</v>
      </c>
      <c r="AI342">
        <f t="shared" si="292"/>
        <v>0.22</v>
      </c>
      <c r="AJ342">
        <f t="shared" si="293"/>
        <v>0</v>
      </c>
      <c r="AK342">
        <v>250.92</v>
      </c>
      <c r="AL342">
        <v>87.74</v>
      </c>
      <c r="AM342">
        <v>19.55</v>
      </c>
      <c r="AN342">
        <v>2.77</v>
      </c>
      <c r="AO342">
        <v>143.63</v>
      </c>
      <c r="AP342">
        <v>0</v>
      </c>
      <c r="AQ342">
        <v>15.28</v>
      </c>
      <c r="AR342">
        <v>0.22</v>
      </c>
      <c r="AS342">
        <v>0</v>
      </c>
      <c r="AT342">
        <v>95</v>
      </c>
      <c r="AU342">
        <v>65</v>
      </c>
      <c r="AV342">
        <v>1</v>
      </c>
      <c r="AW342">
        <v>1</v>
      </c>
      <c r="AZ342">
        <v>6.56</v>
      </c>
      <c r="BA342">
        <v>6.56</v>
      </c>
      <c r="BB342">
        <v>6.56</v>
      </c>
      <c r="BC342">
        <v>6.56</v>
      </c>
      <c r="BD342" t="s">
        <v>6</v>
      </c>
      <c r="BE342" t="s">
        <v>6</v>
      </c>
      <c r="BF342" t="s">
        <v>6</v>
      </c>
      <c r="BG342" t="s">
        <v>6</v>
      </c>
      <c r="BH342">
        <v>0</v>
      </c>
      <c r="BI342">
        <v>2</v>
      </c>
      <c r="BJ342" t="s">
        <v>780</v>
      </c>
      <c r="BM342">
        <v>108001</v>
      </c>
      <c r="BN342">
        <v>0</v>
      </c>
      <c r="BO342" t="s">
        <v>6</v>
      </c>
      <c r="BP342">
        <v>0</v>
      </c>
      <c r="BQ342">
        <v>3</v>
      </c>
      <c r="BR342">
        <v>0</v>
      </c>
      <c r="BS342">
        <v>6.56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6</v>
      </c>
      <c r="BZ342">
        <v>95</v>
      </c>
      <c r="CA342">
        <v>65</v>
      </c>
      <c r="CF342">
        <v>0</v>
      </c>
      <c r="CG342">
        <v>0</v>
      </c>
      <c r="CM342">
        <v>0</v>
      </c>
      <c r="CN342" t="s">
        <v>6</v>
      </c>
      <c r="CO342">
        <v>0</v>
      </c>
      <c r="CP342">
        <f t="shared" si="294"/>
        <v>39.5</v>
      </c>
      <c r="CQ342">
        <f t="shared" si="295"/>
        <v>575.57439999999997</v>
      </c>
      <c r="CR342">
        <f t="shared" si="296"/>
        <v>128.24799999999999</v>
      </c>
      <c r="CS342">
        <f t="shared" si="297"/>
        <v>18.171199999999999</v>
      </c>
      <c r="CT342">
        <f t="shared" si="298"/>
        <v>942.2127999999999</v>
      </c>
      <c r="CU342">
        <f t="shared" si="299"/>
        <v>0</v>
      </c>
      <c r="CV342">
        <f t="shared" si="300"/>
        <v>15.28</v>
      </c>
      <c r="CW342">
        <f t="shared" si="301"/>
        <v>0.22</v>
      </c>
      <c r="CX342">
        <f t="shared" si="302"/>
        <v>0</v>
      </c>
      <c r="CY342">
        <f t="shared" si="303"/>
        <v>21.897500000000001</v>
      </c>
      <c r="CZ342">
        <f t="shared" si="304"/>
        <v>14.9825</v>
      </c>
      <c r="DC342" t="s">
        <v>6</v>
      </c>
      <c r="DD342" t="s">
        <v>6</v>
      </c>
      <c r="DE342" t="s">
        <v>6</v>
      </c>
      <c r="DF342" t="s">
        <v>6</v>
      </c>
      <c r="DG342" t="s">
        <v>6</v>
      </c>
      <c r="DH342" t="s">
        <v>6</v>
      </c>
      <c r="DI342" t="s">
        <v>6</v>
      </c>
      <c r="DJ342" t="s">
        <v>6</v>
      </c>
      <c r="DK342" t="s">
        <v>6</v>
      </c>
      <c r="DL342" t="s">
        <v>6</v>
      </c>
      <c r="DM342" t="s">
        <v>6</v>
      </c>
      <c r="DN342">
        <v>0</v>
      </c>
      <c r="DO342">
        <v>0</v>
      </c>
      <c r="DP342">
        <v>1</v>
      </c>
      <c r="DQ342">
        <v>1</v>
      </c>
      <c r="DU342">
        <v>1003</v>
      </c>
      <c r="DV342" t="s">
        <v>34</v>
      </c>
      <c r="DW342" t="s">
        <v>34</v>
      </c>
      <c r="DX342">
        <v>100</v>
      </c>
      <c r="EE342">
        <v>16510370</v>
      </c>
      <c r="EF342">
        <v>3</v>
      </c>
      <c r="EG342" t="s">
        <v>83</v>
      </c>
      <c r="EH342">
        <v>0</v>
      </c>
      <c r="EI342" t="s">
        <v>6</v>
      </c>
      <c r="EJ342">
        <v>2</v>
      </c>
      <c r="EK342">
        <v>108001</v>
      </c>
      <c r="EL342" t="s">
        <v>84</v>
      </c>
      <c r="EM342" t="s">
        <v>85</v>
      </c>
      <c r="EO342" t="s">
        <v>6</v>
      </c>
      <c r="EQ342">
        <v>131072</v>
      </c>
      <c r="ER342">
        <v>250.92</v>
      </c>
      <c r="ES342">
        <v>87.74</v>
      </c>
      <c r="ET342">
        <v>19.55</v>
      </c>
      <c r="EU342">
        <v>2.77</v>
      </c>
      <c r="EV342">
        <v>143.63</v>
      </c>
      <c r="EW342">
        <v>15.28</v>
      </c>
      <c r="EX342">
        <v>0.22</v>
      </c>
      <c r="EY342">
        <v>0</v>
      </c>
      <c r="FQ342">
        <v>0</v>
      </c>
      <c r="FR342">
        <f t="shared" si="305"/>
        <v>0</v>
      </c>
      <c r="FS342">
        <v>0</v>
      </c>
      <c r="FX342">
        <v>95</v>
      </c>
      <c r="FY342">
        <v>65</v>
      </c>
      <c r="GA342" t="s">
        <v>6</v>
      </c>
      <c r="GD342">
        <v>0</v>
      </c>
      <c r="GF342">
        <v>-137810929</v>
      </c>
      <c r="GG342">
        <v>1</v>
      </c>
      <c r="GH342">
        <v>1</v>
      </c>
      <c r="GI342">
        <v>4</v>
      </c>
      <c r="GJ342">
        <v>0</v>
      </c>
      <c r="GK342">
        <f>ROUND(R342*(R12)/100,2)</f>
        <v>0</v>
      </c>
      <c r="GL342">
        <f t="shared" si="306"/>
        <v>0</v>
      </c>
      <c r="GM342">
        <f t="shared" si="307"/>
        <v>76.38</v>
      </c>
      <c r="GN342">
        <f t="shared" si="308"/>
        <v>0</v>
      </c>
      <c r="GO342">
        <f t="shared" si="309"/>
        <v>76.38</v>
      </c>
      <c r="GP342">
        <f t="shared" si="310"/>
        <v>0</v>
      </c>
      <c r="GR342">
        <v>0</v>
      </c>
      <c r="GS342">
        <v>3</v>
      </c>
      <c r="GT342">
        <v>0</v>
      </c>
      <c r="GU342" t="s">
        <v>6</v>
      </c>
      <c r="GV342">
        <f t="shared" si="311"/>
        <v>0</v>
      </c>
      <c r="GW342">
        <v>1</v>
      </c>
      <c r="GX342">
        <f t="shared" si="312"/>
        <v>0</v>
      </c>
      <c r="HA342">
        <v>0</v>
      </c>
      <c r="HB342">
        <v>0</v>
      </c>
      <c r="IK342">
        <v>0</v>
      </c>
    </row>
    <row r="343" spans="1:245" x14ac:dyDescent="0.2">
      <c r="A343">
        <v>18</v>
      </c>
      <c r="B343">
        <v>1</v>
      </c>
      <c r="C343">
        <v>544</v>
      </c>
      <c r="E343" t="s">
        <v>781</v>
      </c>
      <c r="F343" t="s">
        <v>782</v>
      </c>
      <c r="G343" t="s">
        <v>783</v>
      </c>
      <c r="H343" t="s">
        <v>740</v>
      </c>
      <c r="I343">
        <f>I342*J343</f>
        <v>0.24</v>
      </c>
      <c r="J343">
        <v>10</v>
      </c>
      <c r="O343">
        <f t="shared" si="274"/>
        <v>125.12</v>
      </c>
      <c r="P343">
        <f t="shared" si="275"/>
        <v>125.12</v>
      </c>
      <c r="Q343">
        <f t="shared" si="276"/>
        <v>0</v>
      </c>
      <c r="R343">
        <f t="shared" si="277"/>
        <v>0</v>
      </c>
      <c r="S343">
        <f t="shared" si="278"/>
        <v>0</v>
      </c>
      <c r="T343">
        <f t="shared" si="279"/>
        <v>0</v>
      </c>
      <c r="U343">
        <f t="shared" si="280"/>
        <v>0</v>
      </c>
      <c r="V343">
        <f t="shared" si="281"/>
        <v>0</v>
      </c>
      <c r="W343">
        <f t="shared" si="282"/>
        <v>0</v>
      </c>
      <c r="X343">
        <f t="shared" si="283"/>
        <v>0</v>
      </c>
      <c r="Y343">
        <f t="shared" si="284"/>
        <v>0</v>
      </c>
      <c r="AA343">
        <v>16742901</v>
      </c>
      <c r="AB343">
        <f t="shared" si="285"/>
        <v>79.47</v>
      </c>
      <c r="AC343">
        <f t="shared" si="286"/>
        <v>79.47</v>
      </c>
      <c r="AD343">
        <f t="shared" si="287"/>
        <v>0</v>
      </c>
      <c r="AE343">
        <f t="shared" si="288"/>
        <v>0</v>
      </c>
      <c r="AF343">
        <f t="shared" si="289"/>
        <v>0</v>
      </c>
      <c r="AG343">
        <f t="shared" si="290"/>
        <v>0</v>
      </c>
      <c r="AH343">
        <f t="shared" si="291"/>
        <v>0</v>
      </c>
      <c r="AI343">
        <f t="shared" si="292"/>
        <v>0</v>
      </c>
      <c r="AJ343">
        <f t="shared" si="293"/>
        <v>0</v>
      </c>
      <c r="AK343">
        <v>79.47</v>
      </c>
      <c r="AL343">
        <v>79.47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95</v>
      </c>
      <c r="AU343">
        <v>65</v>
      </c>
      <c r="AV343">
        <v>1</v>
      </c>
      <c r="AW343">
        <v>1</v>
      </c>
      <c r="AZ343">
        <v>6.56</v>
      </c>
      <c r="BA343">
        <v>1</v>
      </c>
      <c r="BB343">
        <v>1</v>
      </c>
      <c r="BC343">
        <v>6.56</v>
      </c>
      <c r="BD343" t="s">
        <v>6</v>
      </c>
      <c r="BE343" t="s">
        <v>6</v>
      </c>
      <c r="BF343" t="s">
        <v>6</v>
      </c>
      <c r="BG343" t="s">
        <v>6</v>
      </c>
      <c r="BH343">
        <v>3</v>
      </c>
      <c r="BI343">
        <v>2</v>
      </c>
      <c r="BJ343" t="s">
        <v>784</v>
      </c>
      <c r="BM343">
        <v>108001</v>
      </c>
      <c r="BN343">
        <v>0</v>
      </c>
      <c r="BO343" t="s">
        <v>6</v>
      </c>
      <c r="BP343">
        <v>0</v>
      </c>
      <c r="BQ343">
        <v>3</v>
      </c>
      <c r="BR343">
        <v>0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6</v>
      </c>
      <c r="BZ343">
        <v>95</v>
      </c>
      <c r="CA343">
        <v>65</v>
      </c>
      <c r="CF343">
        <v>0</v>
      </c>
      <c r="CG343">
        <v>0</v>
      </c>
      <c r="CM343">
        <v>0</v>
      </c>
      <c r="CN343" t="s">
        <v>6</v>
      </c>
      <c r="CO343">
        <v>0</v>
      </c>
      <c r="CP343">
        <f t="shared" si="294"/>
        <v>125.12</v>
      </c>
      <c r="CQ343">
        <f t="shared" si="295"/>
        <v>521.32319999999993</v>
      </c>
      <c r="CR343">
        <f t="shared" si="296"/>
        <v>0</v>
      </c>
      <c r="CS343">
        <f t="shared" si="297"/>
        <v>0</v>
      </c>
      <c r="CT343">
        <f t="shared" si="298"/>
        <v>0</v>
      </c>
      <c r="CU343">
        <f t="shared" si="299"/>
        <v>0</v>
      </c>
      <c r="CV343">
        <f t="shared" si="300"/>
        <v>0</v>
      </c>
      <c r="CW343">
        <f t="shared" si="301"/>
        <v>0</v>
      </c>
      <c r="CX343">
        <f t="shared" si="302"/>
        <v>0</v>
      </c>
      <c r="CY343">
        <f t="shared" si="303"/>
        <v>0</v>
      </c>
      <c r="CZ343">
        <f t="shared" si="304"/>
        <v>0</v>
      </c>
      <c r="DC343" t="s">
        <v>6</v>
      </c>
      <c r="DD343" t="s">
        <v>6</v>
      </c>
      <c r="DE343" t="s">
        <v>6</v>
      </c>
      <c r="DF343" t="s">
        <v>6</v>
      </c>
      <c r="DG343" t="s">
        <v>6</v>
      </c>
      <c r="DH343" t="s">
        <v>6</v>
      </c>
      <c r="DI343" t="s">
        <v>6</v>
      </c>
      <c r="DJ343" t="s">
        <v>6</v>
      </c>
      <c r="DK343" t="s">
        <v>6</v>
      </c>
      <c r="DL343" t="s">
        <v>6</v>
      </c>
      <c r="DM343" t="s">
        <v>6</v>
      </c>
      <c r="DN343">
        <v>0</v>
      </c>
      <c r="DO343">
        <v>0</v>
      </c>
      <c r="DP343">
        <v>1</v>
      </c>
      <c r="DQ343">
        <v>1</v>
      </c>
      <c r="DU343">
        <v>1003</v>
      </c>
      <c r="DV343" t="s">
        <v>740</v>
      </c>
      <c r="DW343" t="s">
        <v>740</v>
      </c>
      <c r="DX343">
        <v>10</v>
      </c>
      <c r="EE343">
        <v>16510370</v>
      </c>
      <c r="EF343">
        <v>3</v>
      </c>
      <c r="EG343" t="s">
        <v>83</v>
      </c>
      <c r="EH343">
        <v>0</v>
      </c>
      <c r="EI343" t="s">
        <v>6</v>
      </c>
      <c r="EJ343">
        <v>2</v>
      </c>
      <c r="EK343">
        <v>108001</v>
      </c>
      <c r="EL343" t="s">
        <v>84</v>
      </c>
      <c r="EM343" t="s">
        <v>85</v>
      </c>
      <c r="EO343" t="s">
        <v>6</v>
      </c>
      <c r="EQ343">
        <v>0</v>
      </c>
      <c r="ER343">
        <v>79.47</v>
      </c>
      <c r="ES343">
        <v>79.47</v>
      </c>
      <c r="ET343">
        <v>0</v>
      </c>
      <c r="EU343">
        <v>0</v>
      </c>
      <c r="EV343">
        <v>0</v>
      </c>
      <c r="EW343">
        <v>0</v>
      </c>
      <c r="EX343">
        <v>0</v>
      </c>
      <c r="FQ343">
        <v>0</v>
      </c>
      <c r="FR343">
        <f t="shared" si="305"/>
        <v>0</v>
      </c>
      <c r="FS343">
        <v>0</v>
      </c>
      <c r="FX343">
        <v>95</v>
      </c>
      <c r="FY343">
        <v>65</v>
      </c>
      <c r="GA343" t="s">
        <v>6</v>
      </c>
      <c r="GD343">
        <v>0</v>
      </c>
      <c r="GF343">
        <v>1974421767</v>
      </c>
      <c r="GG343">
        <v>1</v>
      </c>
      <c r="GH343">
        <v>1</v>
      </c>
      <c r="GI343">
        <v>4</v>
      </c>
      <c r="GJ343">
        <v>0</v>
      </c>
      <c r="GK343">
        <f>ROUND(R343*(R12)/100,2)</f>
        <v>0</v>
      </c>
      <c r="GL343">
        <f t="shared" si="306"/>
        <v>0</v>
      </c>
      <c r="GM343">
        <f t="shared" si="307"/>
        <v>125.12</v>
      </c>
      <c r="GN343">
        <f t="shared" si="308"/>
        <v>0</v>
      </c>
      <c r="GO343">
        <f t="shared" si="309"/>
        <v>125.12</v>
      </c>
      <c r="GP343">
        <f t="shared" si="310"/>
        <v>0</v>
      </c>
      <c r="GR343">
        <v>0</v>
      </c>
      <c r="GS343">
        <v>3</v>
      </c>
      <c r="GT343">
        <v>0</v>
      </c>
      <c r="GU343" t="s">
        <v>6</v>
      </c>
      <c r="GV343">
        <f t="shared" si="311"/>
        <v>0</v>
      </c>
      <c r="GW343">
        <v>1</v>
      </c>
      <c r="GX343">
        <f t="shared" si="312"/>
        <v>0</v>
      </c>
      <c r="HA343">
        <v>0</v>
      </c>
      <c r="HB343">
        <v>0</v>
      </c>
      <c r="IK343">
        <v>0</v>
      </c>
    </row>
    <row r="344" spans="1:245" x14ac:dyDescent="0.2">
      <c r="A344">
        <v>17</v>
      </c>
      <c r="B344">
        <v>1</v>
      </c>
      <c r="C344">
        <f>ROW(SmtRes!A554)</f>
        <v>554</v>
      </c>
      <c r="D344">
        <f>ROW(EtalonRes!A517)</f>
        <v>517</v>
      </c>
      <c r="E344" t="s">
        <v>785</v>
      </c>
      <c r="F344" t="s">
        <v>698</v>
      </c>
      <c r="G344" t="s">
        <v>786</v>
      </c>
      <c r="H344" t="s">
        <v>56</v>
      </c>
      <c r="I344">
        <v>2</v>
      </c>
      <c r="J344">
        <v>0</v>
      </c>
      <c r="O344">
        <f t="shared" si="274"/>
        <v>438.46</v>
      </c>
      <c r="P344">
        <f t="shared" si="275"/>
        <v>81.34</v>
      </c>
      <c r="Q344">
        <f t="shared" si="276"/>
        <v>233.14</v>
      </c>
      <c r="R344">
        <f t="shared" si="277"/>
        <v>32.93</v>
      </c>
      <c r="S344">
        <f t="shared" si="278"/>
        <v>123.98</v>
      </c>
      <c r="T344">
        <f t="shared" si="279"/>
        <v>0</v>
      </c>
      <c r="U344">
        <f t="shared" si="280"/>
        <v>1.8</v>
      </c>
      <c r="V344">
        <f t="shared" si="281"/>
        <v>0.4</v>
      </c>
      <c r="W344">
        <f t="shared" si="282"/>
        <v>0</v>
      </c>
      <c r="X344">
        <f t="shared" si="283"/>
        <v>149.06</v>
      </c>
      <c r="Y344">
        <f t="shared" si="284"/>
        <v>101.99</v>
      </c>
      <c r="AA344">
        <v>16742901</v>
      </c>
      <c r="AB344">
        <f t="shared" si="285"/>
        <v>33.42</v>
      </c>
      <c r="AC344">
        <f t="shared" si="286"/>
        <v>6.2</v>
      </c>
      <c r="AD344">
        <f t="shared" si="287"/>
        <v>17.77</v>
      </c>
      <c r="AE344">
        <f t="shared" si="288"/>
        <v>2.5099999999999998</v>
      </c>
      <c r="AF344">
        <f t="shared" si="289"/>
        <v>9.4499999999999993</v>
      </c>
      <c r="AG344">
        <f t="shared" si="290"/>
        <v>0</v>
      </c>
      <c r="AH344">
        <f t="shared" si="291"/>
        <v>0.9</v>
      </c>
      <c r="AI344">
        <f t="shared" si="292"/>
        <v>0.2</v>
      </c>
      <c r="AJ344">
        <f t="shared" si="293"/>
        <v>0</v>
      </c>
      <c r="AK344">
        <v>33.42</v>
      </c>
      <c r="AL344">
        <v>6.2</v>
      </c>
      <c r="AM344">
        <v>17.77</v>
      </c>
      <c r="AN344">
        <v>2.5099999999999998</v>
      </c>
      <c r="AO344">
        <v>9.4499999999999993</v>
      </c>
      <c r="AP344">
        <v>0</v>
      </c>
      <c r="AQ344">
        <v>0.9</v>
      </c>
      <c r="AR344">
        <v>0.2</v>
      </c>
      <c r="AS344">
        <v>0</v>
      </c>
      <c r="AT344">
        <v>95</v>
      </c>
      <c r="AU344">
        <v>65</v>
      </c>
      <c r="AV344">
        <v>1</v>
      </c>
      <c r="AW344">
        <v>1</v>
      </c>
      <c r="AZ344">
        <v>6.56</v>
      </c>
      <c r="BA344">
        <v>6.56</v>
      </c>
      <c r="BB344">
        <v>6.56</v>
      </c>
      <c r="BC344">
        <v>6.56</v>
      </c>
      <c r="BD344" t="s">
        <v>6</v>
      </c>
      <c r="BE344" t="s">
        <v>6</v>
      </c>
      <c r="BF344" t="s">
        <v>6</v>
      </c>
      <c r="BG344" t="s">
        <v>6</v>
      </c>
      <c r="BH344">
        <v>0</v>
      </c>
      <c r="BI344">
        <v>2</v>
      </c>
      <c r="BJ344" t="s">
        <v>700</v>
      </c>
      <c r="BM344">
        <v>108001</v>
      </c>
      <c r="BN344">
        <v>0</v>
      </c>
      <c r="BO344" t="s">
        <v>6</v>
      </c>
      <c r="BP344">
        <v>0</v>
      </c>
      <c r="BQ344">
        <v>3</v>
      </c>
      <c r="BR344">
        <v>0</v>
      </c>
      <c r="BS344">
        <v>6.56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6</v>
      </c>
      <c r="BZ344">
        <v>95</v>
      </c>
      <c r="CA344">
        <v>65</v>
      </c>
      <c r="CF344">
        <v>0</v>
      </c>
      <c r="CG344">
        <v>0</v>
      </c>
      <c r="CM344">
        <v>0</v>
      </c>
      <c r="CN344" t="s">
        <v>6</v>
      </c>
      <c r="CO344">
        <v>0</v>
      </c>
      <c r="CP344">
        <f t="shared" si="294"/>
        <v>438.46000000000004</v>
      </c>
      <c r="CQ344">
        <f t="shared" si="295"/>
        <v>40.671999999999997</v>
      </c>
      <c r="CR344">
        <f t="shared" si="296"/>
        <v>116.57119999999999</v>
      </c>
      <c r="CS344">
        <f t="shared" si="297"/>
        <v>16.465599999999998</v>
      </c>
      <c r="CT344">
        <f t="shared" si="298"/>
        <v>61.99199999999999</v>
      </c>
      <c r="CU344">
        <f t="shared" si="299"/>
        <v>0</v>
      </c>
      <c r="CV344">
        <f t="shared" si="300"/>
        <v>0.9</v>
      </c>
      <c r="CW344">
        <f t="shared" si="301"/>
        <v>0.2</v>
      </c>
      <c r="CX344">
        <f t="shared" si="302"/>
        <v>0</v>
      </c>
      <c r="CY344">
        <f t="shared" si="303"/>
        <v>149.06449999999998</v>
      </c>
      <c r="CZ344">
        <f t="shared" si="304"/>
        <v>101.9915</v>
      </c>
      <c r="DC344" t="s">
        <v>6</v>
      </c>
      <c r="DD344" t="s">
        <v>6</v>
      </c>
      <c r="DE344" t="s">
        <v>6</v>
      </c>
      <c r="DF344" t="s">
        <v>6</v>
      </c>
      <c r="DG344" t="s">
        <v>6</v>
      </c>
      <c r="DH344" t="s">
        <v>6</v>
      </c>
      <c r="DI344" t="s">
        <v>6</v>
      </c>
      <c r="DJ344" t="s">
        <v>6</v>
      </c>
      <c r="DK344" t="s">
        <v>6</v>
      </c>
      <c r="DL344" t="s">
        <v>6</v>
      </c>
      <c r="DM344" t="s">
        <v>6</v>
      </c>
      <c r="DN344">
        <v>0</v>
      </c>
      <c r="DO344">
        <v>0</v>
      </c>
      <c r="DP344">
        <v>1</v>
      </c>
      <c r="DQ344">
        <v>1</v>
      </c>
      <c r="DU344">
        <v>1013</v>
      </c>
      <c r="DV344" t="s">
        <v>56</v>
      </c>
      <c r="DW344" t="s">
        <v>56</v>
      </c>
      <c r="DX344">
        <v>1</v>
      </c>
      <c r="EE344">
        <v>16510370</v>
      </c>
      <c r="EF344">
        <v>3</v>
      </c>
      <c r="EG344" t="s">
        <v>83</v>
      </c>
      <c r="EH344">
        <v>0</v>
      </c>
      <c r="EI344" t="s">
        <v>6</v>
      </c>
      <c r="EJ344">
        <v>2</v>
      </c>
      <c r="EK344">
        <v>108001</v>
      </c>
      <c r="EL344" t="s">
        <v>84</v>
      </c>
      <c r="EM344" t="s">
        <v>85</v>
      </c>
      <c r="EO344" t="s">
        <v>6</v>
      </c>
      <c r="EQ344">
        <v>131072</v>
      </c>
      <c r="ER344">
        <v>33.42</v>
      </c>
      <c r="ES344">
        <v>6.2</v>
      </c>
      <c r="ET344">
        <v>17.77</v>
      </c>
      <c r="EU344">
        <v>2.5099999999999998</v>
      </c>
      <c r="EV344">
        <v>9.4499999999999993</v>
      </c>
      <c r="EW344">
        <v>0.9</v>
      </c>
      <c r="EX344">
        <v>0.2</v>
      </c>
      <c r="EY344">
        <v>0</v>
      </c>
      <c r="FQ344">
        <v>0</v>
      </c>
      <c r="FR344">
        <f t="shared" si="305"/>
        <v>0</v>
      </c>
      <c r="FS344">
        <v>0</v>
      </c>
      <c r="FX344">
        <v>95</v>
      </c>
      <c r="FY344">
        <v>65</v>
      </c>
      <c r="GA344" t="s">
        <v>6</v>
      </c>
      <c r="GD344">
        <v>0</v>
      </c>
      <c r="GF344">
        <v>-64978218</v>
      </c>
      <c r="GG344">
        <v>1</v>
      </c>
      <c r="GH344">
        <v>1</v>
      </c>
      <c r="GI344">
        <v>4</v>
      </c>
      <c r="GJ344">
        <v>0</v>
      </c>
      <c r="GK344">
        <f>ROUND(R344*(R12)/100,2)</f>
        <v>0</v>
      </c>
      <c r="GL344">
        <f t="shared" si="306"/>
        <v>0</v>
      </c>
      <c r="GM344">
        <f t="shared" si="307"/>
        <v>689.51</v>
      </c>
      <c r="GN344">
        <f t="shared" si="308"/>
        <v>0</v>
      </c>
      <c r="GO344">
        <f t="shared" si="309"/>
        <v>689.51</v>
      </c>
      <c r="GP344">
        <f t="shared" si="310"/>
        <v>0</v>
      </c>
      <c r="GR344">
        <v>0</v>
      </c>
      <c r="GS344">
        <v>3</v>
      </c>
      <c r="GT344">
        <v>0</v>
      </c>
      <c r="GU344" t="s">
        <v>6</v>
      </c>
      <c r="GV344">
        <f t="shared" si="311"/>
        <v>0</v>
      </c>
      <c r="GW344">
        <v>1</v>
      </c>
      <c r="GX344">
        <f t="shared" si="312"/>
        <v>0</v>
      </c>
      <c r="HA344">
        <v>0</v>
      </c>
      <c r="HB344">
        <v>0</v>
      </c>
      <c r="IK344">
        <v>0</v>
      </c>
    </row>
    <row r="345" spans="1:245" x14ac:dyDescent="0.2">
      <c r="A345">
        <v>18</v>
      </c>
      <c r="B345">
        <v>1</v>
      </c>
      <c r="C345">
        <v>553</v>
      </c>
      <c r="E345" t="s">
        <v>787</v>
      </c>
      <c r="F345" t="s">
        <v>788</v>
      </c>
      <c r="G345" t="s">
        <v>789</v>
      </c>
      <c r="H345" t="s">
        <v>73</v>
      </c>
      <c r="I345">
        <f>I344*J345</f>
        <v>2</v>
      </c>
      <c r="J345">
        <v>1</v>
      </c>
      <c r="O345">
        <f t="shared" si="274"/>
        <v>19611.38</v>
      </c>
      <c r="P345">
        <f t="shared" si="275"/>
        <v>19611.38</v>
      </c>
      <c r="Q345">
        <f t="shared" si="276"/>
        <v>0</v>
      </c>
      <c r="R345">
        <f t="shared" si="277"/>
        <v>0</v>
      </c>
      <c r="S345">
        <f t="shared" si="278"/>
        <v>0</v>
      </c>
      <c r="T345">
        <f t="shared" si="279"/>
        <v>0</v>
      </c>
      <c r="U345">
        <f t="shared" si="280"/>
        <v>0</v>
      </c>
      <c r="V345">
        <f t="shared" si="281"/>
        <v>0</v>
      </c>
      <c r="W345">
        <f t="shared" si="282"/>
        <v>0</v>
      </c>
      <c r="X345">
        <f t="shared" si="283"/>
        <v>0</v>
      </c>
      <c r="Y345">
        <f t="shared" si="284"/>
        <v>0</v>
      </c>
      <c r="AA345">
        <v>16742901</v>
      </c>
      <c r="AB345">
        <f t="shared" si="285"/>
        <v>1494.77</v>
      </c>
      <c r="AC345">
        <f t="shared" si="286"/>
        <v>1494.77</v>
      </c>
      <c r="AD345">
        <f t="shared" si="287"/>
        <v>0</v>
      </c>
      <c r="AE345">
        <f t="shared" si="288"/>
        <v>0</v>
      </c>
      <c r="AF345">
        <f t="shared" si="289"/>
        <v>0</v>
      </c>
      <c r="AG345">
        <f t="shared" si="290"/>
        <v>0</v>
      </c>
      <c r="AH345">
        <f t="shared" si="291"/>
        <v>0</v>
      </c>
      <c r="AI345">
        <f t="shared" si="292"/>
        <v>0</v>
      </c>
      <c r="AJ345">
        <f t="shared" si="293"/>
        <v>0</v>
      </c>
      <c r="AK345">
        <v>1494.77</v>
      </c>
      <c r="AL345">
        <v>1494.77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95</v>
      </c>
      <c r="AU345">
        <v>65</v>
      </c>
      <c r="AV345">
        <v>1</v>
      </c>
      <c r="AW345">
        <v>1</v>
      </c>
      <c r="AZ345">
        <v>6.56</v>
      </c>
      <c r="BA345">
        <v>1</v>
      </c>
      <c r="BB345">
        <v>1</v>
      </c>
      <c r="BC345">
        <v>6.56</v>
      </c>
      <c r="BD345" t="s">
        <v>6</v>
      </c>
      <c r="BE345" t="s">
        <v>6</v>
      </c>
      <c r="BF345" t="s">
        <v>6</v>
      </c>
      <c r="BG345" t="s">
        <v>6</v>
      </c>
      <c r="BH345">
        <v>3</v>
      </c>
      <c r="BI345">
        <v>2</v>
      </c>
      <c r="BJ345" t="s">
        <v>790</v>
      </c>
      <c r="BM345">
        <v>108001</v>
      </c>
      <c r="BN345">
        <v>0</v>
      </c>
      <c r="BO345" t="s">
        <v>6</v>
      </c>
      <c r="BP345">
        <v>0</v>
      </c>
      <c r="BQ345">
        <v>3</v>
      </c>
      <c r="BR345">
        <v>0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6</v>
      </c>
      <c r="BZ345">
        <v>95</v>
      </c>
      <c r="CA345">
        <v>65</v>
      </c>
      <c r="CF345">
        <v>0</v>
      </c>
      <c r="CG345">
        <v>0</v>
      </c>
      <c r="CM345">
        <v>0</v>
      </c>
      <c r="CN345" t="s">
        <v>6</v>
      </c>
      <c r="CO345">
        <v>0</v>
      </c>
      <c r="CP345">
        <f t="shared" si="294"/>
        <v>19611.38</v>
      </c>
      <c r="CQ345">
        <f t="shared" si="295"/>
        <v>9805.6911999999993</v>
      </c>
      <c r="CR345">
        <f t="shared" si="296"/>
        <v>0</v>
      </c>
      <c r="CS345">
        <f t="shared" si="297"/>
        <v>0</v>
      </c>
      <c r="CT345">
        <f t="shared" si="298"/>
        <v>0</v>
      </c>
      <c r="CU345">
        <f t="shared" si="299"/>
        <v>0</v>
      </c>
      <c r="CV345">
        <f t="shared" si="300"/>
        <v>0</v>
      </c>
      <c r="CW345">
        <f t="shared" si="301"/>
        <v>0</v>
      </c>
      <c r="CX345">
        <f t="shared" si="302"/>
        <v>0</v>
      </c>
      <c r="CY345">
        <f t="shared" si="303"/>
        <v>0</v>
      </c>
      <c r="CZ345">
        <f t="shared" si="304"/>
        <v>0</v>
      </c>
      <c r="DC345" t="s">
        <v>6</v>
      </c>
      <c r="DD345" t="s">
        <v>6</v>
      </c>
      <c r="DE345" t="s">
        <v>6</v>
      </c>
      <c r="DF345" t="s">
        <v>6</v>
      </c>
      <c r="DG345" t="s">
        <v>6</v>
      </c>
      <c r="DH345" t="s">
        <v>6</v>
      </c>
      <c r="DI345" t="s">
        <v>6</v>
      </c>
      <c r="DJ345" t="s">
        <v>6</v>
      </c>
      <c r="DK345" t="s">
        <v>6</v>
      </c>
      <c r="DL345" t="s">
        <v>6</v>
      </c>
      <c r="DM345" t="s">
        <v>6</v>
      </c>
      <c r="DN345">
        <v>0</v>
      </c>
      <c r="DO345">
        <v>0</v>
      </c>
      <c r="DP345">
        <v>1</v>
      </c>
      <c r="DQ345">
        <v>1</v>
      </c>
      <c r="DU345">
        <v>1010</v>
      </c>
      <c r="DV345" t="s">
        <v>73</v>
      </c>
      <c r="DW345" t="s">
        <v>73</v>
      </c>
      <c r="DX345">
        <v>1</v>
      </c>
      <c r="EE345">
        <v>16510370</v>
      </c>
      <c r="EF345">
        <v>3</v>
      </c>
      <c r="EG345" t="s">
        <v>83</v>
      </c>
      <c r="EH345">
        <v>0</v>
      </c>
      <c r="EI345" t="s">
        <v>6</v>
      </c>
      <c r="EJ345">
        <v>2</v>
      </c>
      <c r="EK345">
        <v>108001</v>
      </c>
      <c r="EL345" t="s">
        <v>84</v>
      </c>
      <c r="EM345" t="s">
        <v>85</v>
      </c>
      <c r="EO345" t="s">
        <v>6</v>
      </c>
      <c r="EQ345">
        <v>0</v>
      </c>
      <c r="ER345">
        <v>1494.77</v>
      </c>
      <c r="ES345">
        <v>1494.77</v>
      </c>
      <c r="ET345">
        <v>0</v>
      </c>
      <c r="EU345">
        <v>0</v>
      </c>
      <c r="EV345">
        <v>0</v>
      </c>
      <c r="EW345">
        <v>0</v>
      </c>
      <c r="EX345">
        <v>0</v>
      </c>
      <c r="FQ345">
        <v>0</v>
      </c>
      <c r="FR345">
        <f t="shared" si="305"/>
        <v>0</v>
      </c>
      <c r="FS345">
        <v>0</v>
      </c>
      <c r="FX345">
        <v>95</v>
      </c>
      <c r="FY345">
        <v>65</v>
      </c>
      <c r="GA345" t="s">
        <v>6</v>
      </c>
      <c r="GD345">
        <v>0</v>
      </c>
      <c r="GF345">
        <v>973980002</v>
      </c>
      <c r="GG345">
        <v>1</v>
      </c>
      <c r="GH345">
        <v>1</v>
      </c>
      <c r="GI345">
        <v>4</v>
      </c>
      <c r="GJ345">
        <v>0</v>
      </c>
      <c r="GK345">
        <f>ROUND(R345*(R12)/100,2)</f>
        <v>0</v>
      </c>
      <c r="GL345">
        <f t="shared" si="306"/>
        <v>0</v>
      </c>
      <c r="GM345">
        <f t="shared" si="307"/>
        <v>19611.38</v>
      </c>
      <c r="GN345">
        <f t="shared" si="308"/>
        <v>0</v>
      </c>
      <c r="GO345">
        <f t="shared" si="309"/>
        <v>19611.38</v>
      </c>
      <c r="GP345">
        <f t="shared" si="310"/>
        <v>0</v>
      </c>
      <c r="GR345">
        <v>0</v>
      </c>
      <c r="GS345">
        <v>3</v>
      </c>
      <c r="GT345">
        <v>0</v>
      </c>
      <c r="GU345" t="s">
        <v>6</v>
      </c>
      <c r="GV345">
        <f t="shared" si="311"/>
        <v>0</v>
      </c>
      <c r="GW345">
        <v>1</v>
      </c>
      <c r="GX345">
        <f t="shared" si="312"/>
        <v>0</v>
      </c>
      <c r="HA345">
        <v>0</v>
      </c>
      <c r="HB345">
        <v>0</v>
      </c>
      <c r="IK345">
        <v>0</v>
      </c>
    </row>
    <row r="346" spans="1:245" x14ac:dyDescent="0.2">
      <c r="A346">
        <v>17</v>
      </c>
      <c r="B346">
        <v>1</v>
      </c>
      <c r="C346">
        <f>ROW(SmtRes!A569)</f>
        <v>569</v>
      </c>
      <c r="D346">
        <f>ROW(EtalonRes!A531)</f>
        <v>531</v>
      </c>
      <c r="E346" t="s">
        <v>791</v>
      </c>
      <c r="F346" t="s">
        <v>792</v>
      </c>
      <c r="G346" t="s">
        <v>793</v>
      </c>
      <c r="H346" t="s">
        <v>56</v>
      </c>
      <c r="I346">
        <v>10</v>
      </c>
      <c r="J346">
        <v>0</v>
      </c>
      <c r="O346">
        <f t="shared" si="274"/>
        <v>4721.24</v>
      </c>
      <c r="P346">
        <f t="shared" si="275"/>
        <v>3636.21</v>
      </c>
      <c r="Q346">
        <f t="shared" si="276"/>
        <v>74.13</v>
      </c>
      <c r="R346">
        <f t="shared" si="277"/>
        <v>0</v>
      </c>
      <c r="S346">
        <f t="shared" si="278"/>
        <v>1010.9</v>
      </c>
      <c r="T346">
        <f t="shared" si="279"/>
        <v>0</v>
      </c>
      <c r="U346">
        <f t="shared" si="280"/>
        <v>16.200000000000003</v>
      </c>
      <c r="V346">
        <f t="shared" si="281"/>
        <v>0</v>
      </c>
      <c r="W346">
        <f t="shared" si="282"/>
        <v>0</v>
      </c>
      <c r="X346">
        <f t="shared" si="283"/>
        <v>960.36</v>
      </c>
      <c r="Y346">
        <f t="shared" si="284"/>
        <v>657.09</v>
      </c>
      <c r="AA346">
        <v>16742901</v>
      </c>
      <c r="AB346">
        <f t="shared" si="285"/>
        <v>71.97</v>
      </c>
      <c r="AC346">
        <f t="shared" si="286"/>
        <v>55.43</v>
      </c>
      <c r="AD346">
        <f t="shared" si="287"/>
        <v>1.1299999999999999</v>
      </c>
      <c r="AE346">
        <f t="shared" si="288"/>
        <v>0</v>
      </c>
      <c r="AF346">
        <f t="shared" si="289"/>
        <v>15.41</v>
      </c>
      <c r="AG346">
        <f t="shared" si="290"/>
        <v>0</v>
      </c>
      <c r="AH346">
        <f t="shared" si="291"/>
        <v>1.62</v>
      </c>
      <c r="AI346">
        <f t="shared" si="292"/>
        <v>0</v>
      </c>
      <c r="AJ346">
        <f t="shared" si="293"/>
        <v>0</v>
      </c>
      <c r="AK346">
        <v>71.97</v>
      </c>
      <c r="AL346">
        <v>55.43</v>
      </c>
      <c r="AM346">
        <v>1.1299999999999999</v>
      </c>
      <c r="AN346">
        <v>0</v>
      </c>
      <c r="AO346">
        <v>15.41</v>
      </c>
      <c r="AP346">
        <v>0</v>
      </c>
      <c r="AQ346">
        <v>1.62</v>
      </c>
      <c r="AR346">
        <v>0</v>
      </c>
      <c r="AS346">
        <v>0</v>
      </c>
      <c r="AT346">
        <v>95</v>
      </c>
      <c r="AU346">
        <v>65</v>
      </c>
      <c r="AV346">
        <v>1</v>
      </c>
      <c r="AW346">
        <v>1</v>
      </c>
      <c r="AZ346">
        <v>6.56</v>
      </c>
      <c r="BA346">
        <v>6.56</v>
      </c>
      <c r="BB346">
        <v>6.56</v>
      </c>
      <c r="BC346">
        <v>6.56</v>
      </c>
      <c r="BD346" t="s">
        <v>6</v>
      </c>
      <c r="BE346" t="s">
        <v>6</v>
      </c>
      <c r="BF346" t="s">
        <v>6</v>
      </c>
      <c r="BG346" t="s">
        <v>6</v>
      </c>
      <c r="BH346">
        <v>0</v>
      </c>
      <c r="BI346">
        <v>2</v>
      </c>
      <c r="BJ346" t="s">
        <v>794</v>
      </c>
      <c r="BM346">
        <v>108001</v>
      </c>
      <c r="BN346">
        <v>0</v>
      </c>
      <c r="BO346" t="s">
        <v>6</v>
      </c>
      <c r="BP346">
        <v>0</v>
      </c>
      <c r="BQ346">
        <v>3</v>
      </c>
      <c r="BR346">
        <v>0</v>
      </c>
      <c r="BS346">
        <v>6.56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6</v>
      </c>
      <c r="BZ346">
        <v>95</v>
      </c>
      <c r="CA346">
        <v>65</v>
      </c>
      <c r="CF346">
        <v>0</v>
      </c>
      <c r="CG346">
        <v>0</v>
      </c>
      <c r="CM346">
        <v>0</v>
      </c>
      <c r="CN346" t="s">
        <v>6</v>
      </c>
      <c r="CO346">
        <v>0</v>
      </c>
      <c r="CP346">
        <f t="shared" si="294"/>
        <v>4721.24</v>
      </c>
      <c r="CQ346">
        <f t="shared" si="295"/>
        <v>363.62079999999997</v>
      </c>
      <c r="CR346">
        <f t="shared" si="296"/>
        <v>7.4127999999999989</v>
      </c>
      <c r="CS346">
        <f t="shared" si="297"/>
        <v>0</v>
      </c>
      <c r="CT346">
        <f t="shared" si="298"/>
        <v>101.08959999999999</v>
      </c>
      <c r="CU346">
        <f t="shared" si="299"/>
        <v>0</v>
      </c>
      <c r="CV346">
        <f t="shared" si="300"/>
        <v>1.62</v>
      </c>
      <c r="CW346">
        <f t="shared" si="301"/>
        <v>0</v>
      </c>
      <c r="CX346">
        <f t="shared" si="302"/>
        <v>0</v>
      </c>
      <c r="CY346">
        <f t="shared" si="303"/>
        <v>960.35500000000002</v>
      </c>
      <c r="CZ346">
        <f t="shared" si="304"/>
        <v>657.08500000000004</v>
      </c>
      <c r="DC346" t="s">
        <v>6</v>
      </c>
      <c r="DD346" t="s">
        <v>6</v>
      </c>
      <c r="DE346" t="s">
        <v>6</v>
      </c>
      <c r="DF346" t="s">
        <v>6</v>
      </c>
      <c r="DG346" t="s">
        <v>6</v>
      </c>
      <c r="DH346" t="s">
        <v>6</v>
      </c>
      <c r="DI346" t="s">
        <v>6</v>
      </c>
      <c r="DJ346" t="s">
        <v>6</v>
      </c>
      <c r="DK346" t="s">
        <v>6</v>
      </c>
      <c r="DL346" t="s">
        <v>6</v>
      </c>
      <c r="DM346" t="s">
        <v>6</v>
      </c>
      <c r="DN346">
        <v>0</v>
      </c>
      <c r="DO346">
        <v>0</v>
      </c>
      <c r="DP346">
        <v>1</v>
      </c>
      <c r="DQ346">
        <v>1</v>
      </c>
      <c r="DU346">
        <v>1013</v>
      </c>
      <c r="DV346" t="s">
        <v>56</v>
      </c>
      <c r="DW346" t="s">
        <v>56</v>
      </c>
      <c r="DX346">
        <v>1</v>
      </c>
      <c r="EE346">
        <v>16510370</v>
      </c>
      <c r="EF346">
        <v>3</v>
      </c>
      <c r="EG346" t="s">
        <v>83</v>
      </c>
      <c r="EH346">
        <v>0</v>
      </c>
      <c r="EI346" t="s">
        <v>6</v>
      </c>
      <c r="EJ346">
        <v>2</v>
      </c>
      <c r="EK346">
        <v>108001</v>
      </c>
      <c r="EL346" t="s">
        <v>84</v>
      </c>
      <c r="EM346" t="s">
        <v>85</v>
      </c>
      <c r="EO346" t="s">
        <v>6</v>
      </c>
      <c r="EQ346">
        <v>131072</v>
      </c>
      <c r="ER346">
        <v>71.97</v>
      </c>
      <c r="ES346">
        <v>55.43</v>
      </c>
      <c r="ET346">
        <v>1.1299999999999999</v>
      </c>
      <c r="EU346">
        <v>0</v>
      </c>
      <c r="EV346">
        <v>15.41</v>
      </c>
      <c r="EW346">
        <v>1.62</v>
      </c>
      <c r="EX346">
        <v>0</v>
      </c>
      <c r="EY346">
        <v>0</v>
      </c>
      <c r="FQ346">
        <v>0</v>
      </c>
      <c r="FR346">
        <f t="shared" si="305"/>
        <v>0</v>
      </c>
      <c r="FS346">
        <v>0</v>
      </c>
      <c r="FX346">
        <v>95</v>
      </c>
      <c r="FY346">
        <v>65</v>
      </c>
      <c r="GA346" t="s">
        <v>6</v>
      </c>
      <c r="GD346">
        <v>0</v>
      </c>
      <c r="GF346">
        <v>-545657699</v>
      </c>
      <c r="GG346">
        <v>1</v>
      </c>
      <c r="GH346">
        <v>1</v>
      </c>
      <c r="GI346">
        <v>4</v>
      </c>
      <c r="GJ346">
        <v>0</v>
      </c>
      <c r="GK346">
        <f>ROUND(R346*(R12)/100,2)</f>
        <v>0</v>
      </c>
      <c r="GL346">
        <f t="shared" si="306"/>
        <v>0</v>
      </c>
      <c r="GM346">
        <f t="shared" si="307"/>
        <v>6338.69</v>
      </c>
      <c r="GN346">
        <f t="shared" si="308"/>
        <v>0</v>
      </c>
      <c r="GO346">
        <f t="shared" si="309"/>
        <v>6338.69</v>
      </c>
      <c r="GP346">
        <f t="shared" si="310"/>
        <v>0</v>
      </c>
      <c r="GR346">
        <v>0</v>
      </c>
      <c r="GS346">
        <v>3</v>
      </c>
      <c r="GT346">
        <v>0</v>
      </c>
      <c r="GU346" t="s">
        <v>6</v>
      </c>
      <c r="GV346">
        <f t="shared" si="311"/>
        <v>0</v>
      </c>
      <c r="GW346">
        <v>1</v>
      </c>
      <c r="GX346">
        <f t="shared" si="312"/>
        <v>0</v>
      </c>
      <c r="HA346">
        <v>0</v>
      </c>
      <c r="HB346">
        <v>0</v>
      </c>
      <c r="IK346">
        <v>0</v>
      </c>
    </row>
    <row r="347" spans="1:245" x14ac:dyDescent="0.2">
      <c r="A347">
        <v>18</v>
      </c>
      <c r="B347">
        <v>1</v>
      </c>
      <c r="C347">
        <v>568</v>
      </c>
      <c r="E347" t="s">
        <v>795</v>
      </c>
      <c r="F347" t="s">
        <v>796</v>
      </c>
      <c r="G347" t="s">
        <v>797</v>
      </c>
      <c r="H347" t="s">
        <v>73</v>
      </c>
      <c r="I347">
        <f>I346*J347</f>
        <v>10</v>
      </c>
      <c r="J347">
        <v>1</v>
      </c>
      <c r="O347">
        <f t="shared" si="274"/>
        <v>5353.62</v>
      </c>
      <c r="P347">
        <f t="shared" si="275"/>
        <v>5353.62</v>
      </c>
      <c r="Q347">
        <f t="shared" si="276"/>
        <v>0</v>
      </c>
      <c r="R347">
        <f t="shared" si="277"/>
        <v>0</v>
      </c>
      <c r="S347">
        <f t="shared" si="278"/>
        <v>0</v>
      </c>
      <c r="T347">
        <f t="shared" si="279"/>
        <v>0</v>
      </c>
      <c r="U347">
        <f t="shared" si="280"/>
        <v>0</v>
      </c>
      <c r="V347">
        <f t="shared" si="281"/>
        <v>0</v>
      </c>
      <c r="W347">
        <f t="shared" si="282"/>
        <v>0</v>
      </c>
      <c r="X347">
        <f t="shared" si="283"/>
        <v>0</v>
      </c>
      <c r="Y347">
        <f t="shared" si="284"/>
        <v>0</v>
      </c>
      <c r="AA347">
        <v>16742901</v>
      </c>
      <c r="AB347">
        <f t="shared" si="285"/>
        <v>81.61</v>
      </c>
      <c r="AC347">
        <f t="shared" si="286"/>
        <v>81.61</v>
      </c>
      <c r="AD347">
        <f t="shared" si="287"/>
        <v>0</v>
      </c>
      <c r="AE347">
        <f t="shared" si="288"/>
        <v>0</v>
      </c>
      <c r="AF347">
        <f t="shared" si="289"/>
        <v>0</v>
      </c>
      <c r="AG347">
        <f t="shared" si="290"/>
        <v>0</v>
      </c>
      <c r="AH347">
        <f t="shared" si="291"/>
        <v>0</v>
      </c>
      <c r="AI347">
        <f t="shared" si="292"/>
        <v>0</v>
      </c>
      <c r="AJ347">
        <f t="shared" si="293"/>
        <v>0</v>
      </c>
      <c r="AK347">
        <v>81.61</v>
      </c>
      <c r="AL347">
        <v>81.61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95</v>
      </c>
      <c r="AU347">
        <v>65</v>
      </c>
      <c r="AV347">
        <v>1</v>
      </c>
      <c r="AW347">
        <v>1</v>
      </c>
      <c r="AZ347">
        <v>6.56</v>
      </c>
      <c r="BA347">
        <v>1</v>
      </c>
      <c r="BB347">
        <v>1</v>
      </c>
      <c r="BC347">
        <v>6.56</v>
      </c>
      <c r="BD347" t="s">
        <v>6</v>
      </c>
      <c r="BE347" t="s">
        <v>6</v>
      </c>
      <c r="BF347" t="s">
        <v>6</v>
      </c>
      <c r="BG347" t="s">
        <v>6</v>
      </c>
      <c r="BH347">
        <v>3</v>
      </c>
      <c r="BI347">
        <v>2</v>
      </c>
      <c r="BJ347" t="s">
        <v>798</v>
      </c>
      <c r="BM347">
        <v>108001</v>
      </c>
      <c r="BN347">
        <v>0</v>
      </c>
      <c r="BO347" t="s">
        <v>6</v>
      </c>
      <c r="BP347">
        <v>0</v>
      </c>
      <c r="BQ347">
        <v>3</v>
      </c>
      <c r="BR347">
        <v>0</v>
      </c>
      <c r="BS347">
        <v>1</v>
      </c>
      <c r="BT347">
        <v>1</v>
      </c>
      <c r="BU347">
        <v>1</v>
      </c>
      <c r="BV347">
        <v>1</v>
      </c>
      <c r="BW347">
        <v>1</v>
      </c>
      <c r="BX347">
        <v>1</v>
      </c>
      <c r="BY347" t="s">
        <v>6</v>
      </c>
      <c r="BZ347">
        <v>95</v>
      </c>
      <c r="CA347">
        <v>65</v>
      </c>
      <c r="CF347">
        <v>0</v>
      </c>
      <c r="CG347">
        <v>0</v>
      </c>
      <c r="CM347">
        <v>0</v>
      </c>
      <c r="CN347" t="s">
        <v>6</v>
      </c>
      <c r="CO347">
        <v>0</v>
      </c>
      <c r="CP347">
        <f t="shared" si="294"/>
        <v>5353.62</v>
      </c>
      <c r="CQ347">
        <f t="shared" si="295"/>
        <v>535.36159999999995</v>
      </c>
      <c r="CR347">
        <f t="shared" si="296"/>
        <v>0</v>
      </c>
      <c r="CS347">
        <f t="shared" si="297"/>
        <v>0</v>
      </c>
      <c r="CT347">
        <f t="shared" si="298"/>
        <v>0</v>
      </c>
      <c r="CU347">
        <f t="shared" si="299"/>
        <v>0</v>
      </c>
      <c r="CV347">
        <f t="shared" si="300"/>
        <v>0</v>
      </c>
      <c r="CW347">
        <f t="shared" si="301"/>
        <v>0</v>
      </c>
      <c r="CX347">
        <f t="shared" si="302"/>
        <v>0</v>
      </c>
      <c r="CY347">
        <f t="shared" si="303"/>
        <v>0</v>
      </c>
      <c r="CZ347">
        <f t="shared" si="304"/>
        <v>0</v>
      </c>
      <c r="DC347" t="s">
        <v>6</v>
      </c>
      <c r="DD347" t="s">
        <v>6</v>
      </c>
      <c r="DE347" t="s">
        <v>6</v>
      </c>
      <c r="DF347" t="s">
        <v>6</v>
      </c>
      <c r="DG347" t="s">
        <v>6</v>
      </c>
      <c r="DH347" t="s">
        <v>6</v>
      </c>
      <c r="DI347" t="s">
        <v>6</v>
      </c>
      <c r="DJ347" t="s">
        <v>6</v>
      </c>
      <c r="DK347" t="s">
        <v>6</v>
      </c>
      <c r="DL347" t="s">
        <v>6</v>
      </c>
      <c r="DM347" t="s">
        <v>6</v>
      </c>
      <c r="DN347">
        <v>0</v>
      </c>
      <c r="DO347">
        <v>0</v>
      </c>
      <c r="DP347">
        <v>1</v>
      </c>
      <c r="DQ347">
        <v>1</v>
      </c>
      <c r="DU347">
        <v>1010</v>
      </c>
      <c r="DV347" t="s">
        <v>73</v>
      </c>
      <c r="DW347" t="s">
        <v>73</v>
      </c>
      <c r="DX347">
        <v>1</v>
      </c>
      <c r="EE347">
        <v>16510370</v>
      </c>
      <c r="EF347">
        <v>3</v>
      </c>
      <c r="EG347" t="s">
        <v>83</v>
      </c>
      <c r="EH347">
        <v>0</v>
      </c>
      <c r="EI347" t="s">
        <v>6</v>
      </c>
      <c r="EJ347">
        <v>2</v>
      </c>
      <c r="EK347">
        <v>108001</v>
      </c>
      <c r="EL347" t="s">
        <v>84</v>
      </c>
      <c r="EM347" t="s">
        <v>85</v>
      </c>
      <c r="EO347" t="s">
        <v>6</v>
      </c>
      <c r="EQ347">
        <v>0</v>
      </c>
      <c r="ER347">
        <v>81.61</v>
      </c>
      <c r="ES347">
        <v>81.61</v>
      </c>
      <c r="ET347">
        <v>0</v>
      </c>
      <c r="EU347">
        <v>0</v>
      </c>
      <c r="EV347">
        <v>0</v>
      </c>
      <c r="EW347">
        <v>0</v>
      </c>
      <c r="EX347">
        <v>0</v>
      </c>
      <c r="FQ347">
        <v>0</v>
      </c>
      <c r="FR347">
        <f t="shared" si="305"/>
        <v>0</v>
      </c>
      <c r="FS347">
        <v>0</v>
      </c>
      <c r="FX347">
        <v>95</v>
      </c>
      <c r="FY347">
        <v>65</v>
      </c>
      <c r="GA347" t="s">
        <v>6</v>
      </c>
      <c r="GD347">
        <v>0</v>
      </c>
      <c r="GF347">
        <v>-2112522711</v>
      </c>
      <c r="GG347">
        <v>1</v>
      </c>
      <c r="GH347">
        <v>1</v>
      </c>
      <c r="GI347">
        <v>4</v>
      </c>
      <c r="GJ347">
        <v>0</v>
      </c>
      <c r="GK347">
        <f>ROUND(R347*(R12)/100,2)</f>
        <v>0</v>
      </c>
      <c r="GL347">
        <f t="shared" si="306"/>
        <v>0</v>
      </c>
      <c r="GM347">
        <f t="shared" si="307"/>
        <v>5353.62</v>
      </c>
      <c r="GN347">
        <f t="shared" si="308"/>
        <v>0</v>
      </c>
      <c r="GO347">
        <f t="shared" si="309"/>
        <v>5353.62</v>
      </c>
      <c r="GP347">
        <f t="shared" si="310"/>
        <v>0</v>
      </c>
      <c r="GR347">
        <v>0</v>
      </c>
      <c r="GS347">
        <v>3</v>
      </c>
      <c r="GT347">
        <v>0</v>
      </c>
      <c r="GU347" t="s">
        <v>6</v>
      </c>
      <c r="GV347">
        <f t="shared" si="311"/>
        <v>0</v>
      </c>
      <c r="GW347">
        <v>1</v>
      </c>
      <c r="GX347">
        <f t="shared" si="312"/>
        <v>0</v>
      </c>
      <c r="HA347">
        <v>0</v>
      </c>
      <c r="HB347">
        <v>0</v>
      </c>
      <c r="IK347">
        <v>0</v>
      </c>
    </row>
    <row r="348" spans="1:245" x14ac:dyDescent="0.2">
      <c r="A348">
        <v>17</v>
      </c>
      <c r="B348">
        <v>1</v>
      </c>
      <c r="C348">
        <f>ROW(SmtRes!A574)</f>
        <v>574</v>
      </c>
      <c r="D348">
        <f>ROW(EtalonRes!A534)</f>
        <v>534</v>
      </c>
      <c r="E348" t="s">
        <v>799</v>
      </c>
      <c r="F348" t="s">
        <v>800</v>
      </c>
      <c r="G348" t="s">
        <v>801</v>
      </c>
      <c r="H348" t="s">
        <v>56</v>
      </c>
      <c r="I348">
        <v>4</v>
      </c>
      <c r="J348">
        <v>0</v>
      </c>
      <c r="O348">
        <f t="shared" si="274"/>
        <v>302.02999999999997</v>
      </c>
      <c r="P348">
        <f t="shared" si="275"/>
        <v>10.5</v>
      </c>
      <c r="Q348">
        <f t="shared" si="276"/>
        <v>0</v>
      </c>
      <c r="R348">
        <f t="shared" si="277"/>
        <v>0</v>
      </c>
      <c r="S348">
        <f t="shared" si="278"/>
        <v>291.52999999999997</v>
      </c>
      <c r="T348">
        <f t="shared" si="279"/>
        <v>0</v>
      </c>
      <c r="U348">
        <f t="shared" si="280"/>
        <v>4.4800000000000004</v>
      </c>
      <c r="V348">
        <f t="shared" si="281"/>
        <v>0</v>
      </c>
      <c r="W348">
        <f t="shared" si="282"/>
        <v>0</v>
      </c>
      <c r="X348">
        <f t="shared" si="283"/>
        <v>276.95</v>
      </c>
      <c r="Y348">
        <f t="shared" si="284"/>
        <v>189.49</v>
      </c>
      <c r="AA348">
        <v>16742901</v>
      </c>
      <c r="AB348">
        <f t="shared" si="285"/>
        <v>11.51</v>
      </c>
      <c r="AC348">
        <f t="shared" si="286"/>
        <v>0.4</v>
      </c>
      <c r="AD348">
        <f t="shared" si="287"/>
        <v>0</v>
      </c>
      <c r="AE348">
        <f t="shared" si="288"/>
        <v>0</v>
      </c>
      <c r="AF348">
        <f t="shared" si="289"/>
        <v>11.11</v>
      </c>
      <c r="AG348">
        <f t="shared" si="290"/>
        <v>0</v>
      </c>
      <c r="AH348">
        <f t="shared" si="291"/>
        <v>1.1200000000000001</v>
      </c>
      <c r="AI348">
        <f t="shared" si="292"/>
        <v>0</v>
      </c>
      <c r="AJ348">
        <f t="shared" si="293"/>
        <v>0</v>
      </c>
      <c r="AK348">
        <v>11.51</v>
      </c>
      <c r="AL348">
        <v>0.4</v>
      </c>
      <c r="AM348">
        <v>0</v>
      </c>
      <c r="AN348">
        <v>0</v>
      </c>
      <c r="AO348">
        <v>11.11</v>
      </c>
      <c r="AP348">
        <v>0</v>
      </c>
      <c r="AQ348">
        <v>1.1200000000000001</v>
      </c>
      <c r="AR348">
        <v>0</v>
      </c>
      <c r="AS348">
        <v>0</v>
      </c>
      <c r="AT348">
        <v>95</v>
      </c>
      <c r="AU348">
        <v>65</v>
      </c>
      <c r="AV348">
        <v>1</v>
      </c>
      <c r="AW348">
        <v>1</v>
      </c>
      <c r="AZ348">
        <v>6.56</v>
      </c>
      <c r="BA348">
        <v>6.56</v>
      </c>
      <c r="BB348">
        <v>6.56</v>
      </c>
      <c r="BC348">
        <v>6.56</v>
      </c>
      <c r="BD348" t="s">
        <v>6</v>
      </c>
      <c r="BE348" t="s">
        <v>6</v>
      </c>
      <c r="BF348" t="s">
        <v>6</v>
      </c>
      <c r="BG348" t="s">
        <v>6</v>
      </c>
      <c r="BH348">
        <v>0</v>
      </c>
      <c r="BI348">
        <v>2</v>
      </c>
      <c r="BJ348" t="s">
        <v>802</v>
      </c>
      <c r="BM348">
        <v>108001</v>
      </c>
      <c r="BN348">
        <v>0</v>
      </c>
      <c r="BO348" t="s">
        <v>6</v>
      </c>
      <c r="BP348">
        <v>0</v>
      </c>
      <c r="BQ348">
        <v>3</v>
      </c>
      <c r="BR348">
        <v>0</v>
      </c>
      <c r="BS348">
        <v>6.56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6</v>
      </c>
      <c r="BZ348">
        <v>95</v>
      </c>
      <c r="CA348">
        <v>65</v>
      </c>
      <c r="CF348">
        <v>0</v>
      </c>
      <c r="CG348">
        <v>0</v>
      </c>
      <c r="CM348">
        <v>0</v>
      </c>
      <c r="CN348" t="s">
        <v>6</v>
      </c>
      <c r="CO348">
        <v>0</v>
      </c>
      <c r="CP348">
        <f t="shared" si="294"/>
        <v>302.02999999999997</v>
      </c>
      <c r="CQ348">
        <f t="shared" si="295"/>
        <v>2.6240000000000001</v>
      </c>
      <c r="CR348">
        <f t="shared" si="296"/>
        <v>0</v>
      </c>
      <c r="CS348">
        <f t="shared" si="297"/>
        <v>0</v>
      </c>
      <c r="CT348">
        <f t="shared" si="298"/>
        <v>72.881599999999992</v>
      </c>
      <c r="CU348">
        <f t="shared" si="299"/>
        <v>0</v>
      </c>
      <c r="CV348">
        <f t="shared" si="300"/>
        <v>1.1200000000000001</v>
      </c>
      <c r="CW348">
        <f t="shared" si="301"/>
        <v>0</v>
      </c>
      <c r="CX348">
        <f t="shared" si="302"/>
        <v>0</v>
      </c>
      <c r="CY348">
        <f t="shared" si="303"/>
        <v>276.95349999999996</v>
      </c>
      <c r="CZ348">
        <f t="shared" si="304"/>
        <v>189.49449999999996</v>
      </c>
      <c r="DC348" t="s">
        <v>6</v>
      </c>
      <c r="DD348" t="s">
        <v>6</v>
      </c>
      <c r="DE348" t="s">
        <v>6</v>
      </c>
      <c r="DF348" t="s">
        <v>6</v>
      </c>
      <c r="DG348" t="s">
        <v>6</v>
      </c>
      <c r="DH348" t="s">
        <v>6</v>
      </c>
      <c r="DI348" t="s">
        <v>6</v>
      </c>
      <c r="DJ348" t="s">
        <v>6</v>
      </c>
      <c r="DK348" t="s">
        <v>6</v>
      </c>
      <c r="DL348" t="s">
        <v>6</v>
      </c>
      <c r="DM348" t="s">
        <v>6</v>
      </c>
      <c r="DN348">
        <v>0</v>
      </c>
      <c r="DO348">
        <v>0</v>
      </c>
      <c r="DP348">
        <v>1</v>
      </c>
      <c r="DQ348">
        <v>1</v>
      </c>
      <c r="DU348">
        <v>1013</v>
      </c>
      <c r="DV348" t="s">
        <v>56</v>
      </c>
      <c r="DW348" t="s">
        <v>56</v>
      </c>
      <c r="DX348">
        <v>1</v>
      </c>
      <c r="EE348">
        <v>16510370</v>
      </c>
      <c r="EF348">
        <v>3</v>
      </c>
      <c r="EG348" t="s">
        <v>83</v>
      </c>
      <c r="EH348">
        <v>0</v>
      </c>
      <c r="EI348" t="s">
        <v>6</v>
      </c>
      <c r="EJ348">
        <v>2</v>
      </c>
      <c r="EK348">
        <v>108001</v>
      </c>
      <c r="EL348" t="s">
        <v>84</v>
      </c>
      <c r="EM348" t="s">
        <v>85</v>
      </c>
      <c r="EO348" t="s">
        <v>6</v>
      </c>
      <c r="EQ348">
        <v>131072</v>
      </c>
      <c r="ER348">
        <v>11.51</v>
      </c>
      <c r="ES348">
        <v>0.4</v>
      </c>
      <c r="ET348">
        <v>0</v>
      </c>
      <c r="EU348">
        <v>0</v>
      </c>
      <c r="EV348">
        <v>11.11</v>
      </c>
      <c r="EW348">
        <v>1.1200000000000001</v>
      </c>
      <c r="EX348">
        <v>0</v>
      </c>
      <c r="EY348">
        <v>0</v>
      </c>
      <c r="FQ348">
        <v>0</v>
      </c>
      <c r="FR348">
        <f t="shared" si="305"/>
        <v>0</v>
      </c>
      <c r="FS348">
        <v>0</v>
      </c>
      <c r="FX348">
        <v>95</v>
      </c>
      <c r="FY348">
        <v>65</v>
      </c>
      <c r="GA348" t="s">
        <v>6</v>
      </c>
      <c r="GD348">
        <v>0</v>
      </c>
      <c r="GF348">
        <v>234181014</v>
      </c>
      <c r="GG348">
        <v>1</v>
      </c>
      <c r="GH348">
        <v>1</v>
      </c>
      <c r="GI348">
        <v>4</v>
      </c>
      <c r="GJ348">
        <v>0</v>
      </c>
      <c r="GK348">
        <f>ROUND(R348*(R12)/100,2)</f>
        <v>0</v>
      </c>
      <c r="GL348">
        <f t="shared" si="306"/>
        <v>0</v>
      </c>
      <c r="GM348">
        <f t="shared" si="307"/>
        <v>768.47</v>
      </c>
      <c r="GN348">
        <f t="shared" si="308"/>
        <v>0</v>
      </c>
      <c r="GO348">
        <f t="shared" si="309"/>
        <v>768.47</v>
      </c>
      <c r="GP348">
        <f t="shared" si="310"/>
        <v>0</v>
      </c>
      <c r="GR348">
        <v>0</v>
      </c>
      <c r="GS348">
        <v>3</v>
      </c>
      <c r="GT348">
        <v>0</v>
      </c>
      <c r="GU348" t="s">
        <v>6</v>
      </c>
      <c r="GV348">
        <f t="shared" si="311"/>
        <v>0</v>
      </c>
      <c r="GW348">
        <v>1</v>
      </c>
      <c r="GX348">
        <f t="shared" si="312"/>
        <v>0</v>
      </c>
      <c r="HA348">
        <v>0</v>
      </c>
      <c r="HB348">
        <v>0</v>
      </c>
      <c r="IK348">
        <v>0</v>
      </c>
    </row>
    <row r="349" spans="1:245" x14ac:dyDescent="0.2">
      <c r="A349">
        <v>18</v>
      </c>
      <c r="B349">
        <v>1</v>
      </c>
      <c r="C349">
        <v>572</v>
      </c>
      <c r="E349" t="s">
        <v>803</v>
      </c>
      <c r="F349" t="s">
        <v>804</v>
      </c>
      <c r="G349" t="s">
        <v>805</v>
      </c>
      <c r="H349" t="s">
        <v>73</v>
      </c>
      <c r="I349">
        <f>I348*J349</f>
        <v>2</v>
      </c>
      <c r="J349">
        <v>0.5</v>
      </c>
      <c r="O349">
        <f t="shared" si="274"/>
        <v>5620.61</v>
      </c>
      <c r="P349">
        <f t="shared" si="275"/>
        <v>5620.61</v>
      </c>
      <c r="Q349">
        <f t="shared" si="276"/>
        <v>0</v>
      </c>
      <c r="R349">
        <f t="shared" si="277"/>
        <v>0</v>
      </c>
      <c r="S349">
        <f t="shared" si="278"/>
        <v>0</v>
      </c>
      <c r="T349">
        <f t="shared" si="279"/>
        <v>0</v>
      </c>
      <c r="U349">
        <f t="shared" si="280"/>
        <v>0</v>
      </c>
      <c r="V349">
        <f t="shared" si="281"/>
        <v>0</v>
      </c>
      <c r="W349">
        <f t="shared" si="282"/>
        <v>0</v>
      </c>
      <c r="X349">
        <f t="shared" si="283"/>
        <v>0</v>
      </c>
      <c r="Y349">
        <f t="shared" si="284"/>
        <v>0</v>
      </c>
      <c r="AA349">
        <v>16742901</v>
      </c>
      <c r="AB349">
        <f t="shared" si="285"/>
        <v>428.4</v>
      </c>
      <c r="AC349">
        <f t="shared" si="286"/>
        <v>428.4</v>
      </c>
      <c r="AD349">
        <f t="shared" si="287"/>
        <v>0</v>
      </c>
      <c r="AE349">
        <f t="shared" si="288"/>
        <v>0</v>
      </c>
      <c r="AF349">
        <f t="shared" si="289"/>
        <v>0</v>
      </c>
      <c r="AG349">
        <f t="shared" si="290"/>
        <v>0</v>
      </c>
      <c r="AH349">
        <f t="shared" si="291"/>
        <v>0</v>
      </c>
      <c r="AI349">
        <f t="shared" si="292"/>
        <v>0</v>
      </c>
      <c r="AJ349">
        <f t="shared" si="293"/>
        <v>0</v>
      </c>
      <c r="AK349">
        <v>428.4</v>
      </c>
      <c r="AL349">
        <v>428.4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95</v>
      </c>
      <c r="AU349">
        <v>65</v>
      </c>
      <c r="AV349">
        <v>1</v>
      </c>
      <c r="AW349">
        <v>1</v>
      </c>
      <c r="AZ349">
        <v>6.56</v>
      </c>
      <c r="BA349">
        <v>1</v>
      </c>
      <c r="BB349">
        <v>1</v>
      </c>
      <c r="BC349">
        <v>6.56</v>
      </c>
      <c r="BD349" t="s">
        <v>6</v>
      </c>
      <c r="BE349" t="s">
        <v>6</v>
      </c>
      <c r="BF349" t="s">
        <v>6</v>
      </c>
      <c r="BG349" t="s">
        <v>6</v>
      </c>
      <c r="BH349">
        <v>3</v>
      </c>
      <c r="BI349">
        <v>2</v>
      </c>
      <c r="BJ349" t="s">
        <v>806</v>
      </c>
      <c r="BM349">
        <v>108001</v>
      </c>
      <c r="BN349">
        <v>0</v>
      </c>
      <c r="BO349" t="s">
        <v>6</v>
      </c>
      <c r="BP349">
        <v>0</v>
      </c>
      <c r="BQ349">
        <v>3</v>
      </c>
      <c r="BR349">
        <v>0</v>
      </c>
      <c r="BS349">
        <v>1</v>
      </c>
      <c r="BT349">
        <v>1</v>
      </c>
      <c r="BU349">
        <v>1</v>
      </c>
      <c r="BV349">
        <v>1</v>
      </c>
      <c r="BW349">
        <v>1</v>
      </c>
      <c r="BX349">
        <v>1</v>
      </c>
      <c r="BY349" t="s">
        <v>6</v>
      </c>
      <c r="BZ349">
        <v>95</v>
      </c>
      <c r="CA349">
        <v>65</v>
      </c>
      <c r="CF349">
        <v>0</v>
      </c>
      <c r="CG349">
        <v>0</v>
      </c>
      <c r="CM349">
        <v>0</v>
      </c>
      <c r="CN349" t="s">
        <v>6</v>
      </c>
      <c r="CO349">
        <v>0</v>
      </c>
      <c r="CP349">
        <f t="shared" si="294"/>
        <v>5620.61</v>
      </c>
      <c r="CQ349">
        <f t="shared" si="295"/>
        <v>2810.3039999999996</v>
      </c>
      <c r="CR349">
        <f t="shared" si="296"/>
        <v>0</v>
      </c>
      <c r="CS349">
        <f t="shared" si="297"/>
        <v>0</v>
      </c>
      <c r="CT349">
        <f t="shared" si="298"/>
        <v>0</v>
      </c>
      <c r="CU349">
        <f t="shared" si="299"/>
        <v>0</v>
      </c>
      <c r="CV349">
        <f t="shared" si="300"/>
        <v>0</v>
      </c>
      <c r="CW349">
        <f t="shared" si="301"/>
        <v>0</v>
      </c>
      <c r="CX349">
        <f t="shared" si="302"/>
        <v>0</v>
      </c>
      <c r="CY349">
        <f t="shared" si="303"/>
        <v>0</v>
      </c>
      <c r="CZ349">
        <f t="shared" si="304"/>
        <v>0</v>
      </c>
      <c r="DC349" t="s">
        <v>6</v>
      </c>
      <c r="DD349" t="s">
        <v>6</v>
      </c>
      <c r="DE349" t="s">
        <v>6</v>
      </c>
      <c r="DF349" t="s">
        <v>6</v>
      </c>
      <c r="DG349" t="s">
        <v>6</v>
      </c>
      <c r="DH349" t="s">
        <v>6</v>
      </c>
      <c r="DI349" t="s">
        <v>6</v>
      </c>
      <c r="DJ349" t="s">
        <v>6</v>
      </c>
      <c r="DK349" t="s">
        <v>6</v>
      </c>
      <c r="DL349" t="s">
        <v>6</v>
      </c>
      <c r="DM349" t="s">
        <v>6</v>
      </c>
      <c r="DN349">
        <v>0</v>
      </c>
      <c r="DO349">
        <v>0</v>
      </c>
      <c r="DP349">
        <v>1</v>
      </c>
      <c r="DQ349">
        <v>1</v>
      </c>
      <c r="DU349">
        <v>1010</v>
      </c>
      <c r="DV349" t="s">
        <v>73</v>
      </c>
      <c r="DW349" t="s">
        <v>73</v>
      </c>
      <c r="DX349">
        <v>1</v>
      </c>
      <c r="EE349">
        <v>16510370</v>
      </c>
      <c r="EF349">
        <v>3</v>
      </c>
      <c r="EG349" t="s">
        <v>83</v>
      </c>
      <c r="EH349">
        <v>0</v>
      </c>
      <c r="EI349" t="s">
        <v>6</v>
      </c>
      <c r="EJ349">
        <v>2</v>
      </c>
      <c r="EK349">
        <v>108001</v>
      </c>
      <c r="EL349" t="s">
        <v>84</v>
      </c>
      <c r="EM349" t="s">
        <v>85</v>
      </c>
      <c r="EO349" t="s">
        <v>6</v>
      </c>
      <c r="EQ349">
        <v>0</v>
      </c>
      <c r="ER349">
        <v>428.4</v>
      </c>
      <c r="ES349">
        <v>428.4</v>
      </c>
      <c r="ET349">
        <v>0</v>
      </c>
      <c r="EU349">
        <v>0</v>
      </c>
      <c r="EV349">
        <v>0</v>
      </c>
      <c r="EW349">
        <v>0</v>
      </c>
      <c r="EX349">
        <v>0</v>
      </c>
      <c r="FQ349">
        <v>0</v>
      </c>
      <c r="FR349">
        <f t="shared" si="305"/>
        <v>0</v>
      </c>
      <c r="FS349">
        <v>0</v>
      </c>
      <c r="FX349">
        <v>95</v>
      </c>
      <c r="FY349">
        <v>65</v>
      </c>
      <c r="GA349" t="s">
        <v>6</v>
      </c>
      <c r="GD349">
        <v>0</v>
      </c>
      <c r="GF349">
        <v>727481344</v>
      </c>
      <c r="GG349">
        <v>1</v>
      </c>
      <c r="GH349">
        <v>1</v>
      </c>
      <c r="GI349">
        <v>4</v>
      </c>
      <c r="GJ349">
        <v>0</v>
      </c>
      <c r="GK349">
        <f>ROUND(R349*(R12)/100,2)</f>
        <v>0</v>
      </c>
      <c r="GL349">
        <f t="shared" si="306"/>
        <v>0</v>
      </c>
      <c r="GM349">
        <f t="shared" si="307"/>
        <v>5620.61</v>
      </c>
      <c r="GN349">
        <f t="shared" si="308"/>
        <v>0</v>
      </c>
      <c r="GO349">
        <f t="shared" si="309"/>
        <v>5620.61</v>
      </c>
      <c r="GP349">
        <f t="shared" si="310"/>
        <v>0</v>
      </c>
      <c r="GR349">
        <v>0</v>
      </c>
      <c r="GS349">
        <v>3</v>
      </c>
      <c r="GT349">
        <v>0</v>
      </c>
      <c r="GU349" t="s">
        <v>6</v>
      </c>
      <c r="GV349">
        <f t="shared" si="311"/>
        <v>0</v>
      </c>
      <c r="GW349">
        <v>1</v>
      </c>
      <c r="GX349">
        <f t="shared" si="312"/>
        <v>0</v>
      </c>
      <c r="HA349">
        <v>0</v>
      </c>
      <c r="HB349">
        <v>0</v>
      </c>
      <c r="IK349">
        <v>0</v>
      </c>
    </row>
    <row r="350" spans="1:245" x14ac:dyDescent="0.2">
      <c r="A350">
        <v>18</v>
      </c>
      <c r="B350">
        <v>1</v>
      </c>
      <c r="C350">
        <v>573</v>
      </c>
      <c r="E350" t="s">
        <v>807</v>
      </c>
      <c r="F350" t="s">
        <v>808</v>
      </c>
      <c r="G350" t="s">
        <v>809</v>
      </c>
      <c r="H350" t="s">
        <v>73</v>
      </c>
      <c r="I350">
        <f>I348*J350</f>
        <v>2</v>
      </c>
      <c r="J350">
        <v>0.5</v>
      </c>
      <c r="O350">
        <f t="shared" si="274"/>
        <v>5620.61</v>
      </c>
      <c r="P350">
        <f t="shared" si="275"/>
        <v>5620.61</v>
      </c>
      <c r="Q350">
        <f t="shared" si="276"/>
        <v>0</v>
      </c>
      <c r="R350">
        <f t="shared" si="277"/>
        <v>0</v>
      </c>
      <c r="S350">
        <f t="shared" si="278"/>
        <v>0</v>
      </c>
      <c r="T350">
        <f t="shared" si="279"/>
        <v>0</v>
      </c>
      <c r="U350">
        <f t="shared" si="280"/>
        <v>0</v>
      </c>
      <c r="V350">
        <f t="shared" si="281"/>
        <v>0</v>
      </c>
      <c r="W350">
        <f t="shared" si="282"/>
        <v>0</v>
      </c>
      <c r="X350">
        <f t="shared" si="283"/>
        <v>0</v>
      </c>
      <c r="Y350">
        <f t="shared" si="284"/>
        <v>0</v>
      </c>
      <c r="AA350">
        <v>16742901</v>
      </c>
      <c r="AB350">
        <f t="shared" si="285"/>
        <v>428.4</v>
      </c>
      <c r="AC350">
        <f t="shared" si="286"/>
        <v>428.4</v>
      </c>
      <c r="AD350">
        <f t="shared" si="287"/>
        <v>0</v>
      </c>
      <c r="AE350">
        <f t="shared" si="288"/>
        <v>0</v>
      </c>
      <c r="AF350">
        <f t="shared" si="289"/>
        <v>0</v>
      </c>
      <c r="AG350">
        <f t="shared" si="290"/>
        <v>0</v>
      </c>
      <c r="AH350">
        <f t="shared" si="291"/>
        <v>0</v>
      </c>
      <c r="AI350">
        <f t="shared" si="292"/>
        <v>0</v>
      </c>
      <c r="AJ350">
        <f t="shared" si="293"/>
        <v>0</v>
      </c>
      <c r="AK350">
        <v>428.4</v>
      </c>
      <c r="AL350">
        <v>428.4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95</v>
      </c>
      <c r="AU350">
        <v>65</v>
      </c>
      <c r="AV350">
        <v>1</v>
      </c>
      <c r="AW350">
        <v>1</v>
      </c>
      <c r="AZ350">
        <v>6.56</v>
      </c>
      <c r="BA350">
        <v>1</v>
      </c>
      <c r="BB350">
        <v>1</v>
      </c>
      <c r="BC350">
        <v>6.56</v>
      </c>
      <c r="BD350" t="s">
        <v>6</v>
      </c>
      <c r="BE350" t="s">
        <v>6</v>
      </c>
      <c r="BF350" t="s">
        <v>6</v>
      </c>
      <c r="BG350" t="s">
        <v>6</v>
      </c>
      <c r="BH350">
        <v>3</v>
      </c>
      <c r="BI350">
        <v>2</v>
      </c>
      <c r="BJ350" t="s">
        <v>810</v>
      </c>
      <c r="BM350">
        <v>108001</v>
      </c>
      <c r="BN350">
        <v>0</v>
      </c>
      <c r="BO350" t="s">
        <v>6</v>
      </c>
      <c r="BP350">
        <v>0</v>
      </c>
      <c r="BQ350">
        <v>3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6</v>
      </c>
      <c r="BZ350">
        <v>95</v>
      </c>
      <c r="CA350">
        <v>65</v>
      </c>
      <c r="CF350">
        <v>0</v>
      </c>
      <c r="CG350">
        <v>0</v>
      </c>
      <c r="CM350">
        <v>0</v>
      </c>
      <c r="CN350" t="s">
        <v>6</v>
      </c>
      <c r="CO350">
        <v>0</v>
      </c>
      <c r="CP350">
        <f t="shared" si="294"/>
        <v>5620.61</v>
      </c>
      <c r="CQ350">
        <f t="shared" si="295"/>
        <v>2810.3039999999996</v>
      </c>
      <c r="CR350">
        <f t="shared" si="296"/>
        <v>0</v>
      </c>
      <c r="CS350">
        <f t="shared" si="297"/>
        <v>0</v>
      </c>
      <c r="CT350">
        <f t="shared" si="298"/>
        <v>0</v>
      </c>
      <c r="CU350">
        <f t="shared" si="299"/>
        <v>0</v>
      </c>
      <c r="CV350">
        <f t="shared" si="300"/>
        <v>0</v>
      </c>
      <c r="CW350">
        <f t="shared" si="301"/>
        <v>0</v>
      </c>
      <c r="CX350">
        <f t="shared" si="302"/>
        <v>0</v>
      </c>
      <c r="CY350">
        <f t="shared" si="303"/>
        <v>0</v>
      </c>
      <c r="CZ350">
        <f t="shared" si="304"/>
        <v>0</v>
      </c>
      <c r="DC350" t="s">
        <v>6</v>
      </c>
      <c r="DD350" t="s">
        <v>6</v>
      </c>
      <c r="DE350" t="s">
        <v>6</v>
      </c>
      <c r="DF350" t="s">
        <v>6</v>
      </c>
      <c r="DG350" t="s">
        <v>6</v>
      </c>
      <c r="DH350" t="s">
        <v>6</v>
      </c>
      <c r="DI350" t="s">
        <v>6</v>
      </c>
      <c r="DJ350" t="s">
        <v>6</v>
      </c>
      <c r="DK350" t="s">
        <v>6</v>
      </c>
      <c r="DL350" t="s">
        <v>6</v>
      </c>
      <c r="DM350" t="s">
        <v>6</v>
      </c>
      <c r="DN350">
        <v>0</v>
      </c>
      <c r="DO350">
        <v>0</v>
      </c>
      <c r="DP350">
        <v>1</v>
      </c>
      <c r="DQ350">
        <v>1</v>
      </c>
      <c r="DU350">
        <v>1010</v>
      </c>
      <c r="DV350" t="s">
        <v>73</v>
      </c>
      <c r="DW350" t="s">
        <v>73</v>
      </c>
      <c r="DX350">
        <v>1</v>
      </c>
      <c r="EE350">
        <v>16510370</v>
      </c>
      <c r="EF350">
        <v>3</v>
      </c>
      <c r="EG350" t="s">
        <v>83</v>
      </c>
      <c r="EH350">
        <v>0</v>
      </c>
      <c r="EI350" t="s">
        <v>6</v>
      </c>
      <c r="EJ350">
        <v>2</v>
      </c>
      <c r="EK350">
        <v>108001</v>
      </c>
      <c r="EL350" t="s">
        <v>84</v>
      </c>
      <c r="EM350" t="s">
        <v>85</v>
      </c>
      <c r="EO350" t="s">
        <v>6</v>
      </c>
      <c r="EQ350">
        <v>0</v>
      </c>
      <c r="ER350">
        <v>428.4</v>
      </c>
      <c r="ES350">
        <v>428.4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05"/>
        <v>0</v>
      </c>
      <c r="FS350">
        <v>0</v>
      </c>
      <c r="FX350">
        <v>95</v>
      </c>
      <c r="FY350">
        <v>65</v>
      </c>
      <c r="GA350" t="s">
        <v>6</v>
      </c>
      <c r="GD350">
        <v>0</v>
      </c>
      <c r="GF350">
        <v>-2075971747</v>
      </c>
      <c r="GG350">
        <v>1</v>
      </c>
      <c r="GH350">
        <v>1</v>
      </c>
      <c r="GI350">
        <v>4</v>
      </c>
      <c r="GJ350">
        <v>0</v>
      </c>
      <c r="GK350">
        <f>ROUND(R350*(R12)/100,2)</f>
        <v>0</v>
      </c>
      <c r="GL350">
        <f t="shared" si="306"/>
        <v>0</v>
      </c>
      <c r="GM350">
        <f t="shared" si="307"/>
        <v>5620.61</v>
      </c>
      <c r="GN350">
        <f t="shared" si="308"/>
        <v>0</v>
      </c>
      <c r="GO350">
        <f t="shared" si="309"/>
        <v>5620.61</v>
      </c>
      <c r="GP350">
        <f t="shared" si="310"/>
        <v>0</v>
      </c>
      <c r="GR350">
        <v>0</v>
      </c>
      <c r="GS350">
        <v>3</v>
      </c>
      <c r="GT350">
        <v>0</v>
      </c>
      <c r="GU350" t="s">
        <v>6</v>
      </c>
      <c r="GV350">
        <f t="shared" si="311"/>
        <v>0</v>
      </c>
      <c r="GW350">
        <v>1</v>
      </c>
      <c r="GX350">
        <f t="shared" si="312"/>
        <v>0</v>
      </c>
      <c r="HA350">
        <v>0</v>
      </c>
      <c r="HB350">
        <v>0</v>
      </c>
      <c r="IK350">
        <v>0</v>
      </c>
    </row>
    <row r="351" spans="1:245" x14ac:dyDescent="0.2">
      <c r="A351">
        <v>17</v>
      </c>
      <c r="B351">
        <v>1</v>
      </c>
      <c r="C351">
        <f>ROW(SmtRes!A587)</f>
        <v>587</v>
      </c>
      <c r="D351">
        <f>ROW(EtalonRes!A546)</f>
        <v>546</v>
      </c>
      <c r="E351" t="s">
        <v>811</v>
      </c>
      <c r="F351" t="s">
        <v>812</v>
      </c>
      <c r="G351" t="s">
        <v>813</v>
      </c>
      <c r="H351" t="s">
        <v>34</v>
      </c>
      <c r="I351">
        <f>ROUND(35/100,9)</f>
        <v>0.35</v>
      </c>
      <c r="J351">
        <v>0</v>
      </c>
      <c r="O351">
        <f t="shared" si="274"/>
        <v>1337.79</v>
      </c>
      <c r="P351">
        <f t="shared" si="275"/>
        <v>935.69</v>
      </c>
      <c r="Q351">
        <f t="shared" si="276"/>
        <v>217.36</v>
      </c>
      <c r="R351">
        <f t="shared" si="277"/>
        <v>53.57</v>
      </c>
      <c r="S351">
        <f t="shared" si="278"/>
        <v>184.74</v>
      </c>
      <c r="T351">
        <f t="shared" si="279"/>
        <v>0</v>
      </c>
      <c r="U351">
        <f t="shared" si="280"/>
        <v>2.996</v>
      </c>
      <c r="V351">
        <f t="shared" si="281"/>
        <v>0.79449999999999998</v>
      </c>
      <c r="W351">
        <f t="shared" si="282"/>
        <v>0</v>
      </c>
      <c r="X351">
        <f t="shared" si="283"/>
        <v>226.39</v>
      </c>
      <c r="Y351">
        <f t="shared" si="284"/>
        <v>154.9</v>
      </c>
      <c r="AA351">
        <v>16742901</v>
      </c>
      <c r="AB351">
        <f t="shared" si="285"/>
        <v>582.66</v>
      </c>
      <c r="AC351">
        <f t="shared" si="286"/>
        <v>407.53</v>
      </c>
      <c r="AD351">
        <f t="shared" si="287"/>
        <v>94.67</v>
      </c>
      <c r="AE351">
        <f t="shared" si="288"/>
        <v>23.33</v>
      </c>
      <c r="AF351">
        <f t="shared" si="289"/>
        <v>80.459999999999994</v>
      </c>
      <c r="AG351">
        <f t="shared" si="290"/>
        <v>0</v>
      </c>
      <c r="AH351">
        <f t="shared" si="291"/>
        <v>8.56</v>
      </c>
      <c r="AI351">
        <f t="shared" si="292"/>
        <v>2.27</v>
      </c>
      <c r="AJ351">
        <f t="shared" si="293"/>
        <v>0</v>
      </c>
      <c r="AK351">
        <v>582.66</v>
      </c>
      <c r="AL351">
        <v>407.53</v>
      </c>
      <c r="AM351">
        <v>94.67</v>
      </c>
      <c r="AN351">
        <v>23.33</v>
      </c>
      <c r="AO351">
        <v>80.459999999999994</v>
      </c>
      <c r="AP351">
        <v>0</v>
      </c>
      <c r="AQ351">
        <v>8.56</v>
      </c>
      <c r="AR351">
        <v>2.27</v>
      </c>
      <c r="AS351">
        <v>0</v>
      </c>
      <c r="AT351">
        <v>95</v>
      </c>
      <c r="AU351">
        <v>65</v>
      </c>
      <c r="AV351">
        <v>1</v>
      </c>
      <c r="AW351">
        <v>1</v>
      </c>
      <c r="AZ351">
        <v>6.56</v>
      </c>
      <c r="BA351">
        <v>6.56</v>
      </c>
      <c r="BB351">
        <v>6.56</v>
      </c>
      <c r="BC351">
        <v>6.56</v>
      </c>
      <c r="BD351" t="s">
        <v>6</v>
      </c>
      <c r="BE351" t="s">
        <v>6</v>
      </c>
      <c r="BF351" t="s">
        <v>6</v>
      </c>
      <c r="BG351" t="s">
        <v>6</v>
      </c>
      <c r="BH351">
        <v>0</v>
      </c>
      <c r="BI351">
        <v>2</v>
      </c>
      <c r="BJ351" t="s">
        <v>814</v>
      </c>
      <c r="BM351">
        <v>108001</v>
      </c>
      <c r="BN351">
        <v>0</v>
      </c>
      <c r="BO351" t="s">
        <v>6</v>
      </c>
      <c r="BP351">
        <v>0</v>
      </c>
      <c r="BQ351">
        <v>3</v>
      </c>
      <c r="BR351">
        <v>0</v>
      </c>
      <c r="BS351">
        <v>6.56</v>
      </c>
      <c r="BT351">
        <v>1</v>
      </c>
      <c r="BU351">
        <v>1</v>
      </c>
      <c r="BV351">
        <v>1</v>
      </c>
      <c r="BW351">
        <v>1</v>
      </c>
      <c r="BX351">
        <v>1</v>
      </c>
      <c r="BY351" t="s">
        <v>6</v>
      </c>
      <c r="BZ351">
        <v>95</v>
      </c>
      <c r="CA351">
        <v>65</v>
      </c>
      <c r="CF351">
        <v>0</v>
      </c>
      <c r="CG351">
        <v>0</v>
      </c>
      <c r="CM351">
        <v>0</v>
      </c>
      <c r="CN351" t="s">
        <v>6</v>
      </c>
      <c r="CO351">
        <v>0</v>
      </c>
      <c r="CP351">
        <f t="shared" si="294"/>
        <v>1337.7900000000002</v>
      </c>
      <c r="CQ351">
        <f t="shared" si="295"/>
        <v>2673.3967999999995</v>
      </c>
      <c r="CR351">
        <f t="shared" si="296"/>
        <v>621.03519999999992</v>
      </c>
      <c r="CS351">
        <f t="shared" si="297"/>
        <v>153.04479999999998</v>
      </c>
      <c r="CT351">
        <f t="shared" si="298"/>
        <v>527.81759999999997</v>
      </c>
      <c r="CU351">
        <f t="shared" si="299"/>
        <v>0</v>
      </c>
      <c r="CV351">
        <f t="shared" si="300"/>
        <v>8.56</v>
      </c>
      <c r="CW351">
        <f t="shared" si="301"/>
        <v>2.27</v>
      </c>
      <c r="CX351">
        <f t="shared" si="302"/>
        <v>0</v>
      </c>
      <c r="CY351">
        <f t="shared" si="303"/>
        <v>226.39449999999999</v>
      </c>
      <c r="CZ351">
        <f t="shared" si="304"/>
        <v>154.9015</v>
      </c>
      <c r="DC351" t="s">
        <v>6</v>
      </c>
      <c r="DD351" t="s">
        <v>6</v>
      </c>
      <c r="DE351" t="s">
        <v>6</v>
      </c>
      <c r="DF351" t="s">
        <v>6</v>
      </c>
      <c r="DG351" t="s">
        <v>6</v>
      </c>
      <c r="DH351" t="s">
        <v>6</v>
      </c>
      <c r="DI351" t="s">
        <v>6</v>
      </c>
      <c r="DJ351" t="s">
        <v>6</v>
      </c>
      <c r="DK351" t="s">
        <v>6</v>
      </c>
      <c r="DL351" t="s">
        <v>6</v>
      </c>
      <c r="DM351" t="s">
        <v>6</v>
      </c>
      <c r="DN351">
        <v>0</v>
      </c>
      <c r="DO351">
        <v>0</v>
      </c>
      <c r="DP351">
        <v>1</v>
      </c>
      <c r="DQ351">
        <v>1</v>
      </c>
      <c r="DU351">
        <v>1003</v>
      </c>
      <c r="DV351" t="s">
        <v>34</v>
      </c>
      <c r="DW351" t="s">
        <v>34</v>
      </c>
      <c r="DX351">
        <v>100</v>
      </c>
      <c r="EE351">
        <v>16510370</v>
      </c>
      <c r="EF351">
        <v>3</v>
      </c>
      <c r="EG351" t="s">
        <v>83</v>
      </c>
      <c r="EH351">
        <v>0</v>
      </c>
      <c r="EI351" t="s">
        <v>6</v>
      </c>
      <c r="EJ351">
        <v>2</v>
      </c>
      <c r="EK351">
        <v>108001</v>
      </c>
      <c r="EL351" t="s">
        <v>84</v>
      </c>
      <c r="EM351" t="s">
        <v>85</v>
      </c>
      <c r="EO351" t="s">
        <v>6</v>
      </c>
      <c r="EQ351">
        <v>131072</v>
      </c>
      <c r="ER351">
        <v>582.66</v>
      </c>
      <c r="ES351">
        <v>407.53</v>
      </c>
      <c r="ET351">
        <v>94.67</v>
      </c>
      <c r="EU351">
        <v>23.33</v>
      </c>
      <c r="EV351">
        <v>80.459999999999994</v>
      </c>
      <c r="EW351">
        <v>8.56</v>
      </c>
      <c r="EX351">
        <v>2.27</v>
      </c>
      <c r="EY351">
        <v>0</v>
      </c>
      <c r="FQ351">
        <v>0</v>
      </c>
      <c r="FR351">
        <f t="shared" si="305"/>
        <v>0</v>
      </c>
      <c r="FS351">
        <v>0</v>
      </c>
      <c r="FX351">
        <v>95</v>
      </c>
      <c r="FY351">
        <v>65</v>
      </c>
      <c r="GA351" t="s">
        <v>6</v>
      </c>
      <c r="GD351">
        <v>0</v>
      </c>
      <c r="GF351">
        <v>-1279751464</v>
      </c>
      <c r="GG351">
        <v>1</v>
      </c>
      <c r="GH351">
        <v>1</v>
      </c>
      <c r="GI351">
        <v>4</v>
      </c>
      <c r="GJ351">
        <v>0</v>
      </c>
      <c r="GK351">
        <f>ROUND(R351*(R12)/100,2)</f>
        <v>0</v>
      </c>
      <c r="GL351">
        <f t="shared" si="306"/>
        <v>0</v>
      </c>
      <c r="GM351">
        <f t="shared" si="307"/>
        <v>1719.08</v>
      </c>
      <c r="GN351">
        <f t="shared" si="308"/>
        <v>0</v>
      </c>
      <c r="GO351">
        <f t="shared" si="309"/>
        <v>1719.08</v>
      </c>
      <c r="GP351">
        <f t="shared" si="310"/>
        <v>0</v>
      </c>
      <c r="GR351">
        <v>0</v>
      </c>
      <c r="GS351">
        <v>3</v>
      </c>
      <c r="GT351">
        <v>0</v>
      </c>
      <c r="GU351" t="s">
        <v>6</v>
      </c>
      <c r="GV351">
        <f t="shared" si="311"/>
        <v>0</v>
      </c>
      <c r="GW351">
        <v>1</v>
      </c>
      <c r="GX351">
        <f t="shared" si="312"/>
        <v>0</v>
      </c>
      <c r="HA351">
        <v>0</v>
      </c>
      <c r="HB351">
        <v>0</v>
      </c>
      <c r="IK351">
        <v>0</v>
      </c>
    </row>
    <row r="352" spans="1:245" x14ac:dyDescent="0.2">
      <c r="A352">
        <v>18</v>
      </c>
      <c r="B352">
        <v>1</v>
      </c>
      <c r="C352">
        <v>585</v>
      </c>
      <c r="E352" t="s">
        <v>815</v>
      </c>
      <c r="F352" t="s">
        <v>816</v>
      </c>
      <c r="G352" t="s">
        <v>817</v>
      </c>
      <c r="H352" t="s">
        <v>73</v>
      </c>
      <c r="I352">
        <f>I351*J352</f>
        <v>14</v>
      </c>
      <c r="J352">
        <v>40</v>
      </c>
      <c r="O352">
        <f t="shared" si="274"/>
        <v>5730.82</v>
      </c>
      <c r="P352">
        <f t="shared" si="275"/>
        <v>5730.82</v>
      </c>
      <c r="Q352">
        <f t="shared" si="276"/>
        <v>0</v>
      </c>
      <c r="R352">
        <f t="shared" si="277"/>
        <v>0</v>
      </c>
      <c r="S352">
        <f t="shared" si="278"/>
        <v>0</v>
      </c>
      <c r="T352">
        <f t="shared" si="279"/>
        <v>0</v>
      </c>
      <c r="U352">
        <f t="shared" si="280"/>
        <v>0</v>
      </c>
      <c r="V352">
        <f t="shared" si="281"/>
        <v>0</v>
      </c>
      <c r="W352">
        <f t="shared" si="282"/>
        <v>0</v>
      </c>
      <c r="X352">
        <f t="shared" si="283"/>
        <v>0</v>
      </c>
      <c r="Y352">
        <f t="shared" si="284"/>
        <v>0</v>
      </c>
      <c r="AA352">
        <v>16742901</v>
      </c>
      <c r="AB352">
        <f t="shared" si="285"/>
        <v>62.4</v>
      </c>
      <c r="AC352">
        <f t="shared" si="286"/>
        <v>62.4</v>
      </c>
      <c r="AD352">
        <f t="shared" si="287"/>
        <v>0</v>
      </c>
      <c r="AE352">
        <f t="shared" si="288"/>
        <v>0</v>
      </c>
      <c r="AF352">
        <f t="shared" si="289"/>
        <v>0</v>
      </c>
      <c r="AG352">
        <f t="shared" si="290"/>
        <v>0</v>
      </c>
      <c r="AH352">
        <f t="shared" si="291"/>
        <v>0</v>
      </c>
      <c r="AI352">
        <f t="shared" si="292"/>
        <v>0</v>
      </c>
      <c r="AJ352">
        <f t="shared" si="293"/>
        <v>0</v>
      </c>
      <c r="AK352">
        <v>62.4</v>
      </c>
      <c r="AL352">
        <v>62.4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95</v>
      </c>
      <c r="AU352">
        <v>65</v>
      </c>
      <c r="AV352">
        <v>1</v>
      </c>
      <c r="AW352">
        <v>1</v>
      </c>
      <c r="AZ352">
        <v>6.56</v>
      </c>
      <c r="BA352">
        <v>1</v>
      </c>
      <c r="BB352">
        <v>1</v>
      </c>
      <c r="BC352">
        <v>6.56</v>
      </c>
      <c r="BD352" t="s">
        <v>6</v>
      </c>
      <c r="BE352" t="s">
        <v>6</v>
      </c>
      <c r="BF352" t="s">
        <v>6</v>
      </c>
      <c r="BG352" t="s">
        <v>6</v>
      </c>
      <c r="BH352">
        <v>3</v>
      </c>
      <c r="BI352">
        <v>2</v>
      </c>
      <c r="BJ352" t="s">
        <v>818</v>
      </c>
      <c r="BM352">
        <v>108001</v>
      </c>
      <c r="BN352">
        <v>0</v>
      </c>
      <c r="BO352" t="s">
        <v>6</v>
      </c>
      <c r="BP352">
        <v>0</v>
      </c>
      <c r="BQ352">
        <v>3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6</v>
      </c>
      <c r="BZ352">
        <v>95</v>
      </c>
      <c r="CA352">
        <v>65</v>
      </c>
      <c r="CF352">
        <v>0</v>
      </c>
      <c r="CG352">
        <v>0</v>
      </c>
      <c r="CM352">
        <v>0</v>
      </c>
      <c r="CN352" t="s">
        <v>6</v>
      </c>
      <c r="CO352">
        <v>0</v>
      </c>
      <c r="CP352">
        <f t="shared" si="294"/>
        <v>5730.82</v>
      </c>
      <c r="CQ352">
        <f t="shared" si="295"/>
        <v>409.34399999999999</v>
      </c>
      <c r="CR352">
        <f t="shared" si="296"/>
        <v>0</v>
      </c>
      <c r="CS352">
        <f t="shared" si="297"/>
        <v>0</v>
      </c>
      <c r="CT352">
        <f t="shared" si="298"/>
        <v>0</v>
      </c>
      <c r="CU352">
        <f t="shared" si="299"/>
        <v>0</v>
      </c>
      <c r="CV352">
        <f t="shared" si="300"/>
        <v>0</v>
      </c>
      <c r="CW352">
        <f t="shared" si="301"/>
        <v>0</v>
      </c>
      <c r="CX352">
        <f t="shared" si="302"/>
        <v>0</v>
      </c>
      <c r="CY352">
        <f t="shared" si="303"/>
        <v>0</v>
      </c>
      <c r="CZ352">
        <f t="shared" si="304"/>
        <v>0</v>
      </c>
      <c r="DC352" t="s">
        <v>6</v>
      </c>
      <c r="DD352" t="s">
        <v>6</v>
      </c>
      <c r="DE352" t="s">
        <v>6</v>
      </c>
      <c r="DF352" t="s">
        <v>6</v>
      </c>
      <c r="DG352" t="s">
        <v>6</v>
      </c>
      <c r="DH352" t="s">
        <v>6</v>
      </c>
      <c r="DI352" t="s">
        <v>6</v>
      </c>
      <c r="DJ352" t="s">
        <v>6</v>
      </c>
      <c r="DK352" t="s">
        <v>6</v>
      </c>
      <c r="DL352" t="s">
        <v>6</v>
      </c>
      <c r="DM352" t="s">
        <v>6</v>
      </c>
      <c r="DN352">
        <v>0</v>
      </c>
      <c r="DO352">
        <v>0</v>
      </c>
      <c r="DP352">
        <v>1</v>
      </c>
      <c r="DQ352">
        <v>1</v>
      </c>
      <c r="DU352">
        <v>1010</v>
      </c>
      <c r="DV352" t="s">
        <v>73</v>
      </c>
      <c r="DW352" t="s">
        <v>73</v>
      </c>
      <c r="DX352">
        <v>1</v>
      </c>
      <c r="EE352">
        <v>16510370</v>
      </c>
      <c r="EF352">
        <v>3</v>
      </c>
      <c r="EG352" t="s">
        <v>83</v>
      </c>
      <c r="EH352">
        <v>0</v>
      </c>
      <c r="EI352" t="s">
        <v>6</v>
      </c>
      <c r="EJ352">
        <v>2</v>
      </c>
      <c r="EK352">
        <v>108001</v>
      </c>
      <c r="EL352" t="s">
        <v>84</v>
      </c>
      <c r="EM352" t="s">
        <v>85</v>
      </c>
      <c r="EO352" t="s">
        <v>6</v>
      </c>
      <c r="EQ352">
        <v>0</v>
      </c>
      <c r="ER352">
        <v>62.4</v>
      </c>
      <c r="ES352">
        <v>62.4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05"/>
        <v>0</v>
      </c>
      <c r="FS352">
        <v>0</v>
      </c>
      <c r="FX352">
        <v>95</v>
      </c>
      <c r="FY352">
        <v>65</v>
      </c>
      <c r="GA352" t="s">
        <v>6</v>
      </c>
      <c r="GD352">
        <v>0</v>
      </c>
      <c r="GF352">
        <v>1131365880</v>
      </c>
      <c r="GG352">
        <v>1</v>
      </c>
      <c r="GH352">
        <v>1</v>
      </c>
      <c r="GI352">
        <v>4</v>
      </c>
      <c r="GJ352">
        <v>0</v>
      </c>
      <c r="GK352">
        <f>ROUND(R352*(R12)/100,2)</f>
        <v>0</v>
      </c>
      <c r="GL352">
        <f t="shared" si="306"/>
        <v>0</v>
      </c>
      <c r="GM352">
        <f t="shared" si="307"/>
        <v>5730.82</v>
      </c>
      <c r="GN352">
        <f t="shared" si="308"/>
        <v>0</v>
      </c>
      <c r="GO352">
        <f t="shared" si="309"/>
        <v>5730.82</v>
      </c>
      <c r="GP352">
        <f t="shared" si="310"/>
        <v>0</v>
      </c>
      <c r="GR352">
        <v>0</v>
      </c>
      <c r="GS352">
        <v>3</v>
      </c>
      <c r="GT352">
        <v>0</v>
      </c>
      <c r="GU352" t="s">
        <v>6</v>
      </c>
      <c r="GV352">
        <f t="shared" si="311"/>
        <v>0</v>
      </c>
      <c r="GW352">
        <v>1</v>
      </c>
      <c r="GX352">
        <f t="shared" si="312"/>
        <v>0</v>
      </c>
      <c r="HA352">
        <v>0</v>
      </c>
      <c r="HB352">
        <v>0</v>
      </c>
      <c r="IK352">
        <v>0</v>
      </c>
    </row>
    <row r="353" spans="1:245" x14ac:dyDescent="0.2">
      <c r="A353">
        <v>17</v>
      </c>
      <c r="B353">
        <v>1</v>
      </c>
      <c r="C353">
        <f>ROW(SmtRes!A599)</f>
        <v>599</v>
      </c>
      <c r="D353">
        <f>ROW(EtalonRes!A557)</f>
        <v>557</v>
      </c>
      <c r="E353" t="s">
        <v>819</v>
      </c>
      <c r="F353" t="s">
        <v>820</v>
      </c>
      <c r="G353" t="s">
        <v>821</v>
      </c>
      <c r="H353" t="s">
        <v>34</v>
      </c>
      <c r="I353">
        <f>ROUND(114.5/100,9)</f>
        <v>1.145</v>
      </c>
      <c r="J353">
        <v>0</v>
      </c>
      <c r="O353">
        <f t="shared" si="274"/>
        <v>6280.94</v>
      </c>
      <c r="P353">
        <f t="shared" si="275"/>
        <v>466.37</v>
      </c>
      <c r="Q353">
        <f t="shared" si="276"/>
        <v>4845.63</v>
      </c>
      <c r="R353">
        <f t="shared" si="277"/>
        <v>461.56</v>
      </c>
      <c r="S353">
        <f t="shared" si="278"/>
        <v>968.94</v>
      </c>
      <c r="T353">
        <f t="shared" si="279"/>
        <v>0</v>
      </c>
      <c r="U353">
        <f t="shared" si="280"/>
        <v>15.35445</v>
      </c>
      <c r="V353">
        <f t="shared" si="281"/>
        <v>5.2441000000000004</v>
      </c>
      <c r="W353">
        <f t="shared" si="282"/>
        <v>0</v>
      </c>
      <c r="X353">
        <f t="shared" si="283"/>
        <v>1358.98</v>
      </c>
      <c r="Y353">
        <f t="shared" si="284"/>
        <v>929.83</v>
      </c>
      <c r="AA353">
        <v>16742901</v>
      </c>
      <c r="AB353">
        <f t="shared" si="285"/>
        <v>836.21</v>
      </c>
      <c r="AC353">
        <f t="shared" si="286"/>
        <v>62.09</v>
      </c>
      <c r="AD353">
        <f t="shared" si="287"/>
        <v>645.12</v>
      </c>
      <c r="AE353">
        <f t="shared" si="288"/>
        <v>61.45</v>
      </c>
      <c r="AF353">
        <f t="shared" si="289"/>
        <v>129</v>
      </c>
      <c r="AG353">
        <f t="shared" si="290"/>
        <v>0</v>
      </c>
      <c r="AH353">
        <f t="shared" si="291"/>
        <v>13.41</v>
      </c>
      <c r="AI353">
        <f t="shared" si="292"/>
        <v>4.58</v>
      </c>
      <c r="AJ353">
        <f t="shared" si="293"/>
        <v>0</v>
      </c>
      <c r="AK353">
        <v>836.21</v>
      </c>
      <c r="AL353">
        <v>62.09</v>
      </c>
      <c r="AM353">
        <v>645.12</v>
      </c>
      <c r="AN353">
        <v>61.45</v>
      </c>
      <c r="AO353">
        <v>129</v>
      </c>
      <c r="AP353">
        <v>0</v>
      </c>
      <c r="AQ353">
        <v>13.41</v>
      </c>
      <c r="AR353">
        <v>4.58</v>
      </c>
      <c r="AS353">
        <v>0</v>
      </c>
      <c r="AT353">
        <v>95</v>
      </c>
      <c r="AU353">
        <v>65</v>
      </c>
      <c r="AV353">
        <v>1</v>
      </c>
      <c r="AW353">
        <v>1</v>
      </c>
      <c r="AZ353">
        <v>6.56</v>
      </c>
      <c r="BA353">
        <v>6.56</v>
      </c>
      <c r="BB353">
        <v>6.56</v>
      </c>
      <c r="BC353">
        <v>6.56</v>
      </c>
      <c r="BD353" t="s">
        <v>6</v>
      </c>
      <c r="BE353" t="s">
        <v>6</v>
      </c>
      <c r="BF353" t="s">
        <v>6</v>
      </c>
      <c r="BG353" t="s">
        <v>6</v>
      </c>
      <c r="BH353">
        <v>0</v>
      </c>
      <c r="BI353">
        <v>2</v>
      </c>
      <c r="BJ353" t="s">
        <v>822</v>
      </c>
      <c r="BM353">
        <v>108001</v>
      </c>
      <c r="BN353">
        <v>0</v>
      </c>
      <c r="BO353" t="s">
        <v>6</v>
      </c>
      <c r="BP353">
        <v>0</v>
      </c>
      <c r="BQ353">
        <v>3</v>
      </c>
      <c r="BR353">
        <v>0</v>
      </c>
      <c r="BS353">
        <v>6.56</v>
      </c>
      <c r="BT353">
        <v>1</v>
      </c>
      <c r="BU353">
        <v>1</v>
      </c>
      <c r="BV353">
        <v>1</v>
      </c>
      <c r="BW353">
        <v>1</v>
      </c>
      <c r="BX353">
        <v>1</v>
      </c>
      <c r="BY353" t="s">
        <v>6</v>
      </c>
      <c r="BZ353">
        <v>95</v>
      </c>
      <c r="CA353">
        <v>65</v>
      </c>
      <c r="CF353">
        <v>0</v>
      </c>
      <c r="CG353">
        <v>0</v>
      </c>
      <c r="CM353">
        <v>0</v>
      </c>
      <c r="CN353" t="s">
        <v>6</v>
      </c>
      <c r="CO353">
        <v>0</v>
      </c>
      <c r="CP353">
        <f t="shared" si="294"/>
        <v>6280.9400000000005</v>
      </c>
      <c r="CQ353">
        <f t="shared" si="295"/>
        <v>407.31040000000002</v>
      </c>
      <c r="CR353">
        <f t="shared" si="296"/>
        <v>4231.9871999999996</v>
      </c>
      <c r="CS353">
        <f t="shared" si="297"/>
        <v>403.11199999999997</v>
      </c>
      <c r="CT353">
        <f t="shared" si="298"/>
        <v>846.2399999999999</v>
      </c>
      <c r="CU353">
        <f t="shared" si="299"/>
        <v>0</v>
      </c>
      <c r="CV353">
        <f t="shared" si="300"/>
        <v>13.41</v>
      </c>
      <c r="CW353">
        <f t="shared" si="301"/>
        <v>4.58</v>
      </c>
      <c r="CX353">
        <f t="shared" si="302"/>
        <v>0</v>
      </c>
      <c r="CY353">
        <f t="shared" si="303"/>
        <v>1358.9749999999999</v>
      </c>
      <c r="CZ353">
        <f t="shared" si="304"/>
        <v>929.82500000000005</v>
      </c>
      <c r="DC353" t="s">
        <v>6</v>
      </c>
      <c r="DD353" t="s">
        <v>6</v>
      </c>
      <c r="DE353" t="s">
        <v>6</v>
      </c>
      <c r="DF353" t="s">
        <v>6</v>
      </c>
      <c r="DG353" t="s">
        <v>6</v>
      </c>
      <c r="DH353" t="s">
        <v>6</v>
      </c>
      <c r="DI353" t="s">
        <v>6</v>
      </c>
      <c r="DJ353" t="s">
        <v>6</v>
      </c>
      <c r="DK353" t="s">
        <v>6</v>
      </c>
      <c r="DL353" t="s">
        <v>6</v>
      </c>
      <c r="DM353" t="s">
        <v>6</v>
      </c>
      <c r="DN353">
        <v>0</v>
      </c>
      <c r="DO353">
        <v>0</v>
      </c>
      <c r="DP353">
        <v>1</v>
      </c>
      <c r="DQ353">
        <v>1</v>
      </c>
      <c r="DU353">
        <v>1003</v>
      </c>
      <c r="DV353" t="s">
        <v>34</v>
      </c>
      <c r="DW353" t="s">
        <v>34</v>
      </c>
      <c r="DX353">
        <v>100</v>
      </c>
      <c r="EE353">
        <v>16510370</v>
      </c>
      <c r="EF353">
        <v>3</v>
      </c>
      <c r="EG353" t="s">
        <v>83</v>
      </c>
      <c r="EH353">
        <v>0</v>
      </c>
      <c r="EI353" t="s">
        <v>6</v>
      </c>
      <c r="EJ353">
        <v>2</v>
      </c>
      <c r="EK353">
        <v>108001</v>
      </c>
      <c r="EL353" t="s">
        <v>84</v>
      </c>
      <c r="EM353" t="s">
        <v>85</v>
      </c>
      <c r="EO353" t="s">
        <v>6</v>
      </c>
      <c r="EQ353">
        <v>131072</v>
      </c>
      <c r="ER353">
        <v>836.21</v>
      </c>
      <c r="ES353">
        <v>62.09</v>
      </c>
      <c r="ET353">
        <v>645.12</v>
      </c>
      <c r="EU353">
        <v>61.45</v>
      </c>
      <c r="EV353">
        <v>129</v>
      </c>
      <c r="EW353">
        <v>13.41</v>
      </c>
      <c r="EX353">
        <v>4.58</v>
      </c>
      <c r="EY353">
        <v>0</v>
      </c>
      <c r="FQ353">
        <v>0</v>
      </c>
      <c r="FR353">
        <f t="shared" si="305"/>
        <v>0</v>
      </c>
      <c r="FS353">
        <v>0</v>
      </c>
      <c r="FX353">
        <v>95</v>
      </c>
      <c r="FY353">
        <v>65</v>
      </c>
      <c r="GA353" t="s">
        <v>6</v>
      </c>
      <c r="GD353">
        <v>0</v>
      </c>
      <c r="GF353">
        <v>641266311</v>
      </c>
      <c r="GG353">
        <v>1</v>
      </c>
      <c r="GH353">
        <v>1</v>
      </c>
      <c r="GI353">
        <v>4</v>
      </c>
      <c r="GJ353">
        <v>0</v>
      </c>
      <c r="GK353">
        <f>ROUND(R353*(R12)/100,2)</f>
        <v>0</v>
      </c>
      <c r="GL353">
        <f t="shared" si="306"/>
        <v>0</v>
      </c>
      <c r="GM353">
        <f t="shared" si="307"/>
        <v>8569.75</v>
      </c>
      <c r="GN353">
        <f t="shared" si="308"/>
        <v>0</v>
      </c>
      <c r="GO353">
        <f t="shared" si="309"/>
        <v>8569.75</v>
      </c>
      <c r="GP353">
        <f t="shared" si="310"/>
        <v>0</v>
      </c>
      <c r="GR353">
        <v>0</v>
      </c>
      <c r="GS353">
        <v>3</v>
      </c>
      <c r="GT353">
        <v>0</v>
      </c>
      <c r="GU353" t="s">
        <v>6</v>
      </c>
      <c r="GV353">
        <f t="shared" si="311"/>
        <v>0</v>
      </c>
      <c r="GW353">
        <v>1</v>
      </c>
      <c r="GX353">
        <f t="shared" si="312"/>
        <v>0</v>
      </c>
      <c r="HA353">
        <v>0</v>
      </c>
      <c r="HB353">
        <v>0</v>
      </c>
      <c r="IK353">
        <v>0</v>
      </c>
    </row>
    <row r="354" spans="1:245" x14ac:dyDescent="0.2">
      <c r="A354">
        <v>18</v>
      </c>
      <c r="B354">
        <v>1</v>
      </c>
      <c r="C354">
        <v>598</v>
      </c>
      <c r="E354" t="s">
        <v>823</v>
      </c>
      <c r="F354" t="s">
        <v>824</v>
      </c>
      <c r="G354" t="s">
        <v>825</v>
      </c>
      <c r="H354" t="s">
        <v>749</v>
      </c>
      <c r="I354">
        <f>I353*J354</f>
        <v>0.1145</v>
      </c>
      <c r="J354">
        <v>0.1</v>
      </c>
      <c r="O354">
        <f t="shared" si="274"/>
        <v>109208.99</v>
      </c>
      <c r="P354">
        <f t="shared" si="275"/>
        <v>109208.99</v>
      </c>
      <c r="Q354">
        <f t="shared" si="276"/>
        <v>0</v>
      </c>
      <c r="R354">
        <f t="shared" si="277"/>
        <v>0</v>
      </c>
      <c r="S354">
        <f t="shared" si="278"/>
        <v>0</v>
      </c>
      <c r="T354">
        <f t="shared" si="279"/>
        <v>0</v>
      </c>
      <c r="U354">
        <f t="shared" si="280"/>
        <v>0</v>
      </c>
      <c r="V354">
        <f t="shared" si="281"/>
        <v>0</v>
      </c>
      <c r="W354">
        <f t="shared" si="282"/>
        <v>0</v>
      </c>
      <c r="X354">
        <f t="shared" si="283"/>
        <v>0</v>
      </c>
      <c r="Y354">
        <f t="shared" si="284"/>
        <v>0</v>
      </c>
      <c r="AA354">
        <v>16742901</v>
      </c>
      <c r="AB354">
        <f t="shared" si="285"/>
        <v>145394.87</v>
      </c>
      <c r="AC354">
        <f t="shared" si="286"/>
        <v>145394.87</v>
      </c>
      <c r="AD354">
        <f t="shared" si="287"/>
        <v>0</v>
      </c>
      <c r="AE354">
        <f t="shared" si="288"/>
        <v>0</v>
      </c>
      <c r="AF354">
        <f t="shared" si="289"/>
        <v>0</v>
      </c>
      <c r="AG354">
        <f t="shared" si="290"/>
        <v>0</v>
      </c>
      <c r="AH354">
        <f t="shared" si="291"/>
        <v>0</v>
      </c>
      <c r="AI354">
        <f t="shared" si="292"/>
        <v>0</v>
      </c>
      <c r="AJ354">
        <f t="shared" si="293"/>
        <v>0</v>
      </c>
      <c r="AK354">
        <v>145394.87</v>
      </c>
      <c r="AL354">
        <v>145394.87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95</v>
      </c>
      <c r="AU354">
        <v>65</v>
      </c>
      <c r="AV354">
        <v>1</v>
      </c>
      <c r="AW354">
        <v>1</v>
      </c>
      <c r="AZ354">
        <v>6.56</v>
      </c>
      <c r="BA354">
        <v>1</v>
      </c>
      <c r="BB354">
        <v>1</v>
      </c>
      <c r="BC354">
        <v>6.56</v>
      </c>
      <c r="BD354" t="s">
        <v>6</v>
      </c>
      <c r="BE354" t="s">
        <v>6</v>
      </c>
      <c r="BF354" t="s">
        <v>6</v>
      </c>
      <c r="BG354" t="s">
        <v>6</v>
      </c>
      <c r="BH354">
        <v>3</v>
      </c>
      <c r="BI354">
        <v>2</v>
      </c>
      <c r="BJ354" t="s">
        <v>826</v>
      </c>
      <c r="BM354">
        <v>108001</v>
      </c>
      <c r="BN354">
        <v>0</v>
      </c>
      <c r="BO354" t="s">
        <v>6</v>
      </c>
      <c r="BP354">
        <v>0</v>
      </c>
      <c r="BQ354">
        <v>3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95</v>
      </c>
      <c r="CA354">
        <v>65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294"/>
        <v>109208.99</v>
      </c>
      <c r="CQ354">
        <f t="shared" si="295"/>
        <v>953790.34719999996</v>
      </c>
      <c r="CR354">
        <f t="shared" si="296"/>
        <v>0</v>
      </c>
      <c r="CS354">
        <f t="shared" si="297"/>
        <v>0</v>
      </c>
      <c r="CT354">
        <f t="shared" si="298"/>
        <v>0</v>
      </c>
      <c r="CU354">
        <f t="shared" si="299"/>
        <v>0</v>
      </c>
      <c r="CV354">
        <f t="shared" si="300"/>
        <v>0</v>
      </c>
      <c r="CW354">
        <f t="shared" si="301"/>
        <v>0</v>
      </c>
      <c r="CX354">
        <f t="shared" si="302"/>
        <v>0</v>
      </c>
      <c r="CY354">
        <f t="shared" si="303"/>
        <v>0</v>
      </c>
      <c r="CZ354">
        <f t="shared" si="304"/>
        <v>0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1013</v>
      </c>
      <c r="DV354" t="s">
        <v>749</v>
      </c>
      <c r="DW354" t="s">
        <v>751</v>
      </c>
      <c r="DX354">
        <v>1</v>
      </c>
      <c r="EE354">
        <v>16510370</v>
      </c>
      <c r="EF354">
        <v>3</v>
      </c>
      <c r="EG354" t="s">
        <v>83</v>
      </c>
      <c r="EH354">
        <v>0</v>
      </c>
      <c r="EI354" t="s">
        <v>6</v>
      </c>
      <c r="EJ354">
        <v>2</v>
      </c>
      <c r="EK354">
        <v>108001</v>
      </c>
      <c r="EL354" t="s">
        <v>84</v>
      </c>
      <c r="EM354" t="s">
        <v>85</v>
      </c>
      <c r="EO354" t="s">
        <v>6</v>
      </c>
      <c r="EQ354">
        <v>0</v>
      </c>
      <c r="ER354">
        <v>145394.87</v>
      </c>
      <c r="ES354">
        <v>145394.87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05"/>
        <v>0</v>
      </c>
      <c r="FS354">
        <v>0</v>
      </c>
      <c r="FX354">
        <v>95</v>
      </c>
      <c r="FY354">
        <v>65</v>
      </c>
      <c r="GA354" t="s">
        <v>6</v>
      </c>
      <c r="GD354">
        <v>0</v>
      </c>
      <c r="GF354">
        <v>-1143639220</v>
      </c>
      <c r="GG354">
        <v>1</v>
      </c>
      <c r="GH354">
        <v>1</v>
      </c>
      <c r="GI354">
        <v>4</v>
      </c>
      <c r="GJ354">
        <v>0</v>
      </c>
      <c r="GK354">
        <f>ROUND(R354*(R12)/100,2)</f>
        <v>0</v>
      </c>
      <c r="GL354">
        <f t="shared" si="306"/>
        <v>0</v>
      </c>
      <c r="GM354">
        <f t="shared" si="307"/>
        <v>109208.99</v>
      </c>
      <c r="GN354">
        <f t="shared" si="308"/>
        <v>0</v>
      </c>
      <c r="GO354">
        <f t="shared" si="309"/>
        <v>109208.99</v>
      </c>
      <c r="GP354">
        <f t="shared" si="310"/>
        <v>0</v>
      </c>
      <c r="GR354">
        <v>0</v>
      </c>
      <c r="GS354">
        <v>3</v>
      </c>
      <c r="GT354">
        <v>0</v>
      </c>
      <c r="GU354" t="s">
        <v>6</v>
      </c>
      <c r="GV354">
        <f t="shared" si="311"/>
        <v>0</v>
      </c>
      <c r="GW354">
        <v>1</v>
      </c>
      <c r="GX354">
        <f t="shared" si="312"/>
        <v>0</v>
      </c>
      <c r="HA354">
        <v>0</v>
      </c>
      <c r="HB354">
        <v>0</v>
      </c>
      <c r="IK354">
        <v>0</v>
      </c>
    </row>
    <row r="356" spans="1:245" x14ac:dyDescent="0.2">
      <c r="A356" s="2">
        <v>51</v>
      </c>
      <c r="B356" s="2">
        <f>B319</f>
        <v>1</v>
      </c>
      <c r="C356" s="2">
        <f>A319</f>
        <v>5</v>
      </c>
      <c r="D356" s="2">
        <f>ROW(A319)</f>
        <v>319</v>
      </c>
      <c r="E356" s="2"/>
      <c r="F356" s="2" t="str">
        <f>IF(F319&lt;&gt;"",F319,"")</f>
        <v>Новый подраздел</v>
      </c>
      <c r="G356" s="2" t="str">
        <f>IF(G319&lt;&gt;"",G319,"")</f>
        <v>2 Монтаж освещения</v>
      </c>
      <c r="H356" s="2">
        <v>0</v>
      </c>
      <c r="I356" s="2"/>
      <c r="J356" s="2"/>
      <c r="K356" s="2"/>
      <c r="L356" s="2"/>
      <c r="M356" s="2"/>
      <c r="N356" s="2"/>
      <c r="O356" s="2">
        <f t="shared" ref="O356:T356" si="313">ROUND(AB356,2)</f>
        <v>428707.13</v>
      </c>
      <c r="P356" s="2">
        <f t="shared" si="313"/>
        <v>405907.1</v>
      </c>
      <c r="Q356" s="2">
        <f t="shared" si="313"/>
        <v>5756.07</v>
      </c>
      <c r="R356" s="2">
        <f t="shared" si="313"/>
        <v>603.07000000000005</v>
      </c>
      <c r="S356" s="2">
        <f t="shared" si="313"/>
        <v>17043.96</v>
      </c>
      <c r="T356" s="2">
        <f t="shared" si="313"/>
        <v>0</v>
      </c>
      <c r="U356" s="2">
        <f>AH356</f>
        <v>267.42156999999997</v>
      </c>
      <c r="V356" s="2">
        <f>AI356</f>
        <v>7.1055800000000007</v>
      </c>
      <c r="W356" s="2">
        <f>ROUND(AJ356,2)</f>
        <v>0</v>
      </c>
      <c r="X356" s="2">
        <f>ROUND(AK356,2)</f>
        <v>16324.16</v>
      </c>
      <c r="Y356" s="2">
        <f>ROUND(AL356,2)</f>
        <v>11319.15</v>
      </c>
      <c r="Z356" s="2"/>
      <c r="AA356" s="2"/>
      <c r="AB356" s="2">
        <f>ROUND(SUMIF(AA323:AA354,"=16742901",O323:O354),2)</f>
        <v>428707.13</v>
      </c>
      <c r="AC356" s="2">
        <f>ROUND(SUMIF(AA323:AA354,"=16742901",P323:P354),2)</f>
        <v>405907.1</v>
      </c>
      <c r="AD356" s="2">
        <f>ROUND(SUMIF(AA323:AA354,"=16742901",Q323:Q354),2)</f>
        <v>5756.07</v>
      </c>
      <c r="AE356" s="2">
        <f>ROUND(SUMIF(AA323:AA354,"=16742901",R323:R354),2)</f>
        <v>603.07000000000005</v>
      </c>
      <c r="AF356" s="2">
        <f>ROUND(SUMIF(AA323:AA354,"=16742901",S323:S354),2)</f>
        <v>17043.96</v>
      </c>
      <c r="AG356" s="2">
        <f>ROUND(SUMIF(AA323:AA354,"=16742901",T323:T354),2)</f>
        <v>0</v>
      </c>
      <c r="AH356" s="2">
        <f>SUMIF(AA323:AA354,"=16742901",U323:U354)</f>
        <v>267.42156999999997</v>
      </c>
      <c r="AI356" s="2">
        <f>SUMIF(AA323:AA354,"=16742901",V323:V354)</f>
        <v>7.1055800000000007</v>
      </c>
      <c r="AJ356" s="2">
        <f>ROUND(SUMIF(AA323:AA354,"=16742901",W323:W354),2)</f>
        <v>0</v>
      </c>
      <c r="AK356" s="2">
        <f>ROUND(SUMIF(AA323:AA354,"=16742901",X323:X354),2)</f>
        <v>16324.16</v>
      </c>
      <c r="AL356" s="2">
        <f>ROUND(SUMIF(AA323:AA354,"=16742901",Y323:Y354),2)</f>
        <v>11319.15</v>
      </c>
      <c r="AM356" s="2"/>
      <c r="AN356" s="2"/>
      <c r="AO356" s="2">
        <f t="shared" ref="AO356:BC356" si="314">ROUND(BX356,2)</f>
        <v>0</v>
      </c>
      <c r="AP356" s="2">
        <f t="shared" si="314"/>
        <v>0</v>
      </c>
      <c r="AQ356" s="2">
        <f t="shared" si="314"/>
        <v>0</v>
      </c>
      <c r="AR356" s="2">
        <f t="shared" si="314"/>
        <v>456350.44</v>
      </c>
      <c r="AS356" s="2">
        <f t="shared" si="314"/>
        <v>112.07</v>
      </c>
      <c r="AT356" s="2">
        <f t="shared" si="314"/>
        <v>456238.37</v>
      </c>
      <c r="AU356" s="2">
        <f t="shared" si="314"/>
        <v>0</v>
      </c>
      <c r="AV356" s="2">
        <f t="shared" si="314"/>
        <v>405907.1</v>
      </c>
      <c r="AW356" s="2">
        <f t="shared" si="314"/>
        <v>405907.1</v>
      </c>
      <c r="AX356" s="2">
        <f t="shared" si="314"/>
        <v>0</v>
      </c>
      <c r="AY356" s="2">
        <f t="shared" si="314"/>
        <v>405907.1</v>
      </c>
      <c r="AZ356" s="2">
        <f t="shared" si="314"/>
        <v>0</v>
      </c>
      <c r="BA356" s="2">
        <f t="shared" si="314"/>
        <v>0</v>
      </c>
      <c r="BB356" s="2">
        <f t="shared" si="314"/>
        <v>0</v>
      </c>
      <c r="BC356" s="2">
        <f t="shared" si="314"/>
        <v>0</v>
      </c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>
        <f>ROUND(SUMIF(AA323:AA354,"=16742901",FQ323:FQ354),2)</f>
        <v>0</v>
      </c>
      <c r="BY356" s="2">
        <f>ROUND(SUMIF(AA323:AA354,"=16742901",FR323:FR354),2)</f>
        <v>0</v>
      </c>
      <c r="BZ356" s="2">
        <f>ROUND(SUMIF(AA323:AA354,"=16742901",GL323:GL354),2)</f>
        <v>0</v>
      </c>
      <c r="CA356" s="2">
        <f>ROUND(SUMIF(AA323:AA354,"=16742901",GM323:GM354),2)</f>
        <v>456350.44</v>
      </c>
      <c r="CB356" s="2">
        <f>ROUND(SUMIF(AA323:AA354,"=16742901",GN323:GN354),2)</f>
        <v>112.07</v>
      </c>
      <c r="CC356" s="2">
        <f>ROUND(SUMIF(AA323:AA354,"=16742901",GO323:GO354),2)</f>
        <v>456238.37</v>
      </c>
      <c r="CD356" s="2">
        <f>ROUND(SUMIF(AA323:AA354,"=16742901",GP323:GP354),2)</f>
        <v>0</v>
      </c>
      <c r="CE356" s="2">
        <f>AC356-BX356</f>
        <v>405907.1</v>
      </c>
      <c r="CF356" s="2">
        <f>AC356-BY356</f>
        <v>405907.1</v>
      </c>
      <c r="CG356" s="2">
        <f>BX356-BZ356</f>
        <v>0</v>
      </c>
      <c r="CH356" s="2">
        <f>AC356-BX356-BY356+BZ356</f>
        <v>405907.1</v>
      </c>
      <c r="CI356" s="2">
        <f>BY356-BZ356</f>
        <v>0</v>
      </c>
      <c r="CJ356" s="2">
        <f>ROUND(SUMIF(AA323:AA354,"=16742901",GX323:GX354),2)</f>
        <v>0</v>
      </c>
      <c r="CK356" s="2">
        <f>ROUND(SUMIF(AA323:AA354,"=16742901",GY323:GY354),2)</f>
        <v>0</v>
      </c>
      <c r="CL356" s="2">
        <f>ROUND(SUMIF(AA323:AA354,"=16742901",GZ323:GZ354),2)</f>
        <v>0</v>
      </c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3"/>
      <c r="EF356" s="3"/>
      <c r="EG356" s="3"/>
      <c r="EH356" s="3"/>
      <c r="EI356" s="3"/>
      <c r="EJ356" s="3"/>
      <c r="EK356" s="3"/>
      <c r="EL356" s="3"/>
      <c r="EM356" s="3"/>
      <c r="EN356" s="3"/>
      <c r="EO356" s="3"/>
      <c r="EP356" s="3"/>
      <c r="EQ356" s="3"/>
      <c r="ER356" s="3"/>
      <c r="ES356" s="3"/>
      <c r="ET356" s="3"/>
      <c r="EU356" s="3"/>
      <c r="EV356" s="3"/>
      <c r="EW356" s="3"/>
      <c r="EX356" s="3"/>
      <c r="EY356" s="3"/>
      <c r="EZ356" s="3"/>
      <c r="FA356" s="3"/>
      <c r="FB356" s="3"/>
      <c r="FC356" s="3"/>
      <c r="FD356" s="3"/>
      <c r="FE356" s="3"/>
      <c r="FF356" s="3"/>
      <c r="FG356" s="3"/>
      <c r="FH356" s="3"/>
      <c r="FI356" s="3"/>
      <c r="FJ356" s="3"/>
      <c r="FK356" s="3"/>
      <c r="FL356" s="3"/>
      <c r="FM356" s="3"/>
      <c r="FN356" s="3"/>
      <c r="FO356" s="3"/>
      <c r="FP356" s="3"/>
      <c r="FQ356" s="3"/>
      <c r="FR356" s="3"/>
      <c r="FS356" s="3"/>
      <c r="FT356" s="3"/>
      <c r="FU356" s="3"/>
      <c r="FV356" s="3"/>
      <c r="FW356" s="3"/>
      <c r="FX356" s="3"/>
      <c r="FY356" s="3"/>
      <c r="FZ356" s="3"/>
      <c r="GA356" s="3"/>
      <c r="GB356" s="3"/>
      <c r="GC356" s="3"/>
      <c r="GD356" s="3"/>
      <c r="GE356" s="3"/>
      <c r="GF356" s="3"/>
      <c r="GG356" s="3"/>
      <c r="GH356" s="3"/>
      <c r="GI356" s="3"/>
      <c r="GJ356" s="3"/>
      <c r="GK356" s="3"/>
      <c r="GL356" s="3"/>
      <c r="GM356" s="3"/>
      <c r="GN356" s="3"/>
      <c r="GO356" s="3"/>
      <c r="GP356" s="3"/>
      <c r="GQ356" s="3"/>
      <c r="GR356" s="3"/>
      <c r="GS356" s="3"/>
      <c r="GT356" s="3"/>
      <c r="GU356" s="3"/>
      <c r="GV356" s="3"/>
      <c r="GW356" s="3"/>
      <c r="GX356" s="3">
        <v>0</v>
      </c>
    </row>
    <row r="358" spans="1:245" x14ac:dyDescent="0.2">
      <c r="A358" s="4">
        <v>50</v>
      </c>
      <c r="B358" s="4">
        <v>0</v>
      </c>
      <c r="C358" s="4">
        <v>0</v>
      </c>
      <c r="D358" s="4">
        <v>1</v>
      </c>
      <c r="E358" s="4">
        <v>201</v>
      </c>
      <c r="F358" s="4">
        <f>ROUND(Source!O356,O358)</f>
        <v>428707.13</v>
      </c>
      <c r="G358" s="4" t="s">
        <v>130</v>
      </c>
      <c r="H358" s="4" t="s">
        <v>131</v>
      </c>
      <c r="I358" s="4"/>
      <c r="J358" s="4"/>
      <c r="K358" s="4">
        <v>201</v>
      </c>
      <c r="L358" s="4">
        <v>1</v>
      </c>
      <c r="M358" s="4">
        <v>3</v>
      </c>
      <c r="N358" s="4" t="s">
        <v>6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45" x14ac:dyDescent="0.2">
      <c r="A359" s="4">
        <v>50</v>
      </c>
      <c r="B359" s="4">
        <v>0</v>
      </c>
      <c r="C359" s="4">
        <v>0</v>
      </c>
      <c r="D359" s="4">
        <v>1</v>
      </c>
      <c r="E359" s="4">
        <v>202</v>
      </c>
      <c r="F359" s="4">
        <f>ROUND(Source!P356,O359)</f>
        <v>405907.1</v>
      </c>
      <c r="G359" s="4" t="s">
        <v>132</v>
      </c>
      <c r="H359" s="4" t="s">
        <v>133</v>
      </c>
      <c r="I359" s="4"/>
      <c r="J359" s="4"/>
      <c r="K359" s="4">
        <v>202</v>
      </c>
      <c r="L359" s="4">
        <v>2</v>
      </c>
      <c r="M359" s="4">
        <v>3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45" x14ac:dyDescent="0.2">
      <c r="A360" s="4">
        <v>50</v>
      </c>
      <c r="B360" s="4">
        <v>0</v>
      </c>
      <c r="C360" s="4">
        <v>0</v>
      </c>
      <c r="D360" s="4">
        <v>1</v>
      </c>
      <c r="E360" s="4">
        <v>222</v>
      </c>
      <c r="F360" s="4">
        <f>ROUND(Source!AO356,O360)</f>
        <v>0</v>
      </c>
      <c r="G360" s="4" t="s">
        <v>134</v>
      </c>
      <c r="H360" s="4" t="s">
        <v>135</v>
      </c>
      <c r="I360" s="4"/>
      <c r="J360" s="4"/>
      <c r="K360" s="4">
        <v>222</v>
      </c>
      <c r="L360" s="4">
        <v>3</v>
      </c>
      <c r="M360" s="4">
        <v>3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45" x14ac:dyDescent="0.2">
      <c r="A361" s="4">
        <v>50</v>
      </c>
      <c r="B361" s="4">
        <v>0</v>
      </c>
      <c r="C361" s="4">
        <v>0</v>
      </c>
      <c r="D361" s="4">
        <v>1</v>
      </c>
      <c r="E361" s="4">
        <v>225</v>
      </c>
      <c r="F361" s="4">
        <f>ROUND(Source!AV356,O361)</f>
        <v>405907.1</v>
      </c>
      <c r="G361" s="4" t="s">
        <v>136</v>
      </c>
      <c r="H361" s="4" t="s">
        <v>137</v>
      </c>
      <c r="I361" s="4"/>
      <c r="J361" s="4"/>
      <c r="K361" s="4">
        <v>225</v>
      </c>
      <c r="L361" s="4">
        <v>4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45" x14ac:dyDescent="0.2">
      <c r="A362" s="4">
        <v>50</v>
      </c>
      <c r="B362" s="4">
        <v>0</v>
      </c>
      <c r="C362" s="4">
        <v>0</v>
      </c>
      <c r="D362" s="4">
        <v>1</v>
      </c>
      <c r="E362" s="4">
        <v>226</v>
      </c>
      <c r="F362" s="4">
        <f>ROUND(Source!AW356,O362)</f>
        <v>405907.1</v>
      </c>
      <c r="G362" s="4" t="s">
        <v>138</v>
      </c>
      <c r="H362" s="4" t="s">
        <v>139</v>
      </c>
      <c r="I362" s="4"/>
      <c r="J362" s="4"/>
      <c r="K362" s="4">
        <v>226</v>
      </c>
      <c r="L362" s="4">
        <v>5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45" x14ac:dyDescent="0.2">
      <c r="A363" s="4">
        <v>50</v>
      </c>
      <c r="B363" s="4">
        <v>0</v>
      </c>
      <c r="C363" s="4">
        <v>0</v>
      </c>
      <c r="D363" s="4">
        <v>1</v>
      </c>
      <c r="E363" s="4">
        <v>227</v>
      </c>
      <c r="F363" s="4">
        <f>ROUND(Source!AX356,O363)</f>
        <v>0</v>
      </c>
      <c r="G363" s="4" t="s">
        <v>140</v>
      </c>
      <c r="H363" s="4" t="s">
        <v>141</v>
      </c>
      <c r="I363" s="4"/>
      <c r="J363" s="4"/>
      <c r="K363" s="4">
        <v>227</v>
      </c>
      <c r="L363" s="4">
        <v>6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45" x14ac:dyDescent="0.2">
      <c r="A364" s="4">
        <v>50</v>
      </c>
      <c r="B364" s="4">
        <v>0</v>
      </c>
      <c r="C364" s="4">
        <v>0</v>
      </c>
      <c r="D364" s="4">
        <v>1</v>
      </c>
      <c r="E364" s="4">
        <v>228</v>
      </c>
      <c r="F364" s="4">
        <f>ROUND(Source!AY356,O364)</f>
        <v>405907.1</v>
      </c>
      <c r="G364" s="4" t="s">
        <v>142</v>
      </c>
      <c r="H364" s="4" t="s">
        <v>143</v>
      </c>
      <c r="I364" s="4"/>
      <c r="J364" s="4"/>
      <c r="K364" s="4">
        <v>228</v>
      </c>
      <c r="L364" s="4">
        <v>7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45" x14ac:dyDescent="0.2">
      <c r="A365" s="4">
        <v>50</v>
      </c>
      <c r="B365" s="4">
        <v>0</v>
      </c>
      <c r="C365" s="4">
        <v>0</v>
      </c>
      <c r="D365" s="4">
        <v>1</v>
      </c>
      <c r="E365" s="4">
        <v>216</v>
      </c>
      <c r="F365" s="4">
        <f>ROUND(Source!AP356,O365)</f>
        <v>0</v>
      </c>
      <c r="G365" s="4" t="s">
        <v>144</v>
      </c>
      <c r="H365" s="4" t="s">
        <v>145</v>
      </c>
      <c r="I365" s="4"/>
      <c r="J365" s="4"/>
      <c r="K365" s="4">
        <v>216</v>
      </c>
      <c r="L365" s="4">
        <v>8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45" x14ac:dyDescent="0.2">
      <c r="A366" s="4">
        <v>50</v>
      </c>
      <c r="B366" s="4">
        <v>0</v>
      </c>
      <c r="C366" s="4">
        <v>0</v>
      </c>
      <c r="D366" s="4">
        <v>1</v>
      </c>
      <c r="E366" s="4">
        <v>223</v>
      </c>
      <c r="F366" s="4">
        <f>ROUND(Source!AQ356,O366)</f>
        <v>0</v>
      </c>
      <c r="G366" s="4" t="s">
        <v>146</v>
      </c>
      <c r="H366" s="4" t="s">
        <v>147</v>
      </c>
      <c r="I366" s="4"/>
      <c r="J366" s="4"/>
      <c r="K366" s="4">
        <v>223</v>
      </c>
      <c r="L366" s="4">
        <v>9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45" x14ac:dyDescent="0.2">
      <c r="A367" s="4">
        <v>50</v>
      </c>
      <c r="B367" s="4">
        <v>0</v>
      </c>
      <c r="C367" s="4">
        <v>0</v>
      </c>
      <c r="D367" s="4">
        <v>1</v>
      </c>
      <c r="E367" s="4">
        <v>229</v>
      </c>
      <c r="F367" s="4">
        <f>ROUND(Source!AZ356,O367)</f>
        <v>0</v>
      </c>
      <c r="G367" s="4" t="s">
        <v>148</v>
      </c>
      <c r="H367" s="4" t="s">
        <v>149</v>
      </c>
      <c r="I367" s="4"/>
      <c r="J367" s="4"/>
      <c r="K367" s="4">
        <v>229</v>
      </c>
      <c r="L367" s="4">
        <v>10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45" x14ac:dyDescent="0.2">
      <c r="A368" s="4">
        <v>50</v>
      </c>
      <c r="B368" s="4">
        <v>0</v>
      </c>
      <c r="C368" s="4">
        <v>0</v>
      </c>
      <c r="D368" s="4">
        <v>1</v>
      </c>
      <c r="E368" s="4">
        <v>203</v>
      </c>
      <c r="F368" s="4">
        <f>ROUND(Source!Q356,O368)</f>
        <v>5756.07</v>
      </c>
      <c r="G368" s="4" t="s">
        <v>150</v>
      </c>
      <c r="H368" s="4" t="s">
        <v>151</v>
      </c>
      <c r="I368" s="4"/>
      <c r="J368" s="4"/>
      <c r="K368" s="4">
        <v>203</v>
      </c>
      <c r="L368" s="4">
        <v>11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3" x14ac:dyDescent="0.2">
      <c r="A369" s="4">
        <v>50</v>
      </c>
      <c r="B369" s="4">
        <v>0</v>
      </c>
      <c r="C369" s="4">
        <v>0</v>
      </c>
      <c r="D369" s="4">
        <v>1</v>
      </c>
      <c r="E369" s="4">
        <v>231</v>
      </c>
      <c r="F369" s="4">
        <f>ROUND(Source!BB356,O369)</f>
        <v>0</v>
      </c>
      <c r="G369" s="4" t="s">
        <v>152</v>
      </c>
      <c r="H369" s="4" t="s">
        <v>153</v>
      </c>
      <c r="I369" s="4"/>
      <c r="J369" s="4"/>
      <c r="K369" s="4">
        <v>231</v>
      </c>
      <c r="L369" s="4">
        <v>12</v>
      </c>
      <c r="M369" s="4">
        <v>3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3" x14ac:dyDescent="0.2">
      <c r="A370" s="4">
        <v>50</v>
      </c>
      <c r="B370" s="4">
        <v>0</v>
      </c>
      <c r="C370" s="4">
        <v>0</v>
      </c>
      <c r="D370" s="4">
        <v>1</v>
      </c>
      <c r="E370" s="4">
        <v>204</v>
      </c>
      <c r="F370" s="4">
        <f>ROUND(Source!R356,O370)</f>
        <v>603.07000000000005</v>
      </c>
      <c r="G370" s="4" t="s">
        <v>154</v>
      </c>
      <c r="H370" s="4" t="s">
        <v>155</v>
      </c>
      <c r="I370" s="4"/>
      <c r="J370" s="4"/>
      <c r="K370" s="4">
        <v>204</v>
      </c>
      <c r="L370" s="4">
        <v>13</v>
      </c>
      <c r="M370" s="4">
        <v>3</v>
      </c>
      <c r="N370" s="4" t="s">
        <v>6</v>
      </c>
      <c r="O370" s="4">
        <v>2</v>
      </c>
      <c r="P370" s="4"/>
      <c r="Q370" s="4"/>
      <c r="R370" s="4"/>
      <c r="S370" s="4"/>
      <c r="T370" s="4"/>
      <c r="U370" s="4"/>
      <c r="V370" s="4"/>
      <c r="W370" s="4"/>
    </row>
    <row r="371" spans="1:23" x14ac:dyDescent="0.2">
      <c r="A371" s="4">
        <v>50</v>
      </c>
      <c r="B371" s="4">
        <v>0</v>
      </c>
      <c r="C371" s="4">
        <v>0</v>
      </c>
      <c r="D371" s="4">
        <v>1</v>
      </c>
      <c r="E371" s="4">
        <v>205</v>
      </c>
      <c r="F371" s="4">
        <f>ROUND(Source!S356,O371)</f>
        <v>17043.96</v>
      </c>
      <c r="G371" s="4" t="s">
        <v>156</v>
      </c>
      <c r="H371" s="4" t="s">
        <v>157</v>
      </c>
      <c r="I371" s="4"/>
      <c r="J371" s="4"/>
      <c r="K371" s="4">
        <v>205</v>
      </c>
      <c r="L371" s="4">
        <v>14</v>
      </c>
      <c r="M371" s="4">
        <v>3</v>
      </c>
      <c r="N371" s="4" t="s">
        <v>6</v>
      </c>
      <c r="O371" s="4">
        <v>2</v>
      </c>
      <c r="P371" s="4"/>
      <c r="Q371" s="4"/>
      <c r="R371" s="4"/>
      <c r="S371" s="4"/>
      <c r="T371" s="4"/>
      <c r="U371" s="4"/>
      <c r="V371" s="4"/>
      <c r="W371" s="4"/>
    </row>
    <row r="372" spans="1:23" x14ac:dyDescent="0.2">
      <c r="A372" s="4">
        <v>50</v>
      </c>
      <c r="B372" s="4">
        <v>0</v>
      </c>
      <c r="C372" s="4">
        <v>0</v>
      </c>
      <c r="D372" s="4">
        <v>1</v>
      </c>
      <c r="E372" s="4">
        <v>232</v>
      </c>
      <c r="F372" s="4">
        <f>ROUND(Source!BC356,O372)</f>
        <v>0</v>
      </c>
      <c r="G372" s="4" t="s">
        <v>158</v>
      </c>
      <c r="H372" s="4" t="s">
        <v>159</v>
      </c>
      <c r="I372" s="4"/>
      <c r="J372" s="4"/>
      <c r="K372" s="4">
        <v>232</v>
      </c>
      <c r="L372" s="4">
        <v>15</v>
      </c>
      <c r="M372" s="4">
        <v>3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3" x14ac:dyDescent="0.2">
      <c r="A373" s="4">
        <v>50</v>
      </c>
      <c r="B373" s="4">
        <v>0</v>
      </c>
      <c r="C373" s="4">
        <v>0</v>
      </c>
      <c r="D373" s="4">
        <v>1</v>
      </c>
      <c r="E373" s="4">
        <v>214</v>
      </c>
      <c r="F373" s="4">
        <f>ROUND(Source!AS356,O373)</f>
        <v>112.07</v>
      </c>
      <c r="G373" s="4" t="s">
        <v>160</v>
      </c>
      <c r="H373" s="4" t="s">
        <v>161</v>
      </c>
      <c r="I373" s="4"/>
      <c r="J373" s="4"/>
      <c r="K373" s="4">
        <v>214</v>
      </c>
      <c r="L373" s="4">
        <v>16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3" x14ac:dyDescent="0.2">
      <c r="A374" s="4">
        <v>50</v>
      </c>
      <c r="B374" s="4">
        <v>0</v>
      </c>
      <c r="C374" s="4">
        <v>0</v>
      </c>
      <c r="D374" s="4">
        <v>1</v>
      </c>
      <c r="E374" s="4">
        <v>215</v>
      </c>
      <c r="F374" s="4">
        <f>ROUND(Source!AT356,O374)</f>
        <v>456238.37</v>
      </c>
      <c r="G374" s="4" t="s">
        <v>162</v>
      </c>
      <c r="H374" s="4" t="s">
        <v>163</v>
      </c>
      <c r="I374" s="4"/>
      <c r="J374" s="4"/>
      <c r="K374" s="4">
        <v>215</v>
      </c>
      <c r="L374" s="4">
        <v>17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3" x14ac:dyDescent="0.2">
      <c r="A375" s="4">
        <v>50</v>
      </c>
      <c r="B375" s="4">
        <v>0</v>
      </c>
      <c r="C375" s="4">
        <v>0</v>
      </c>
      <c r="D375" s="4">
        <v>1</v>
      </c>
      <c r="E375" s="4">
        <v>217</v>
      </c>
      <c r="F375" s="4">
        <f>ROUND(Source!AU356,O375)</f>
        <v>0</v>
      </c>
      <c r="G375" s="4" t="s">
        <v>164</v>
      </c>
      <c r="H375" s="4" t="s">
        <v>165</v>
      </c>
      <c r="I375" s="4"/>
      <c r="J375" s="4"/>
      <c r="K375" s="4">
        <v>217</v>
      </c>
      <c r="L375" s="4">
        <v>18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3" x14ac:dyDescent="0.2">
      <c r="A376" s="4">
        <v>50</v>
      </c>
      <c r="B376" s="4">
        <v>0</v>
      </c>
      <c r="C376" s="4">
        <v>0</v>
      </c>
      <c r="D376" s="4">
        <v>1</v>
      </c>
      <c r="E376" s="4">
        <v>230</v>
      </c>
      <c r="F376" s="4">
        <f>ROUND(Source!BA356,O376)</f>
        <v>0</v>
      </c>
      <c r="G376" s="4" t="s">
        <v>166</v>
      </c>
      <c r="H376" s="4" t="s">
        <v>167</v>
      </c>
      <c r="I376" s="4"/>
      <c r="J376" s="4"/>
      <c r="K376" s="4">
        <v>230</v>
      </c>
      <c r="L376" s="4">
        <v>19</v>
      </c>
      <c r="M376" s="4">
        <v>3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3" x14ac:dyDescent="0.2">
      <c r="A377" s="4">
        <v>50</v>
      </c>
      <c r="B377" s="4">
        <v>0</v>
      </c>
      <c r="C377" s="4">
        <v>0</v>
      </c>
      <c r="D377" s="4">
        <v>1</v>
      </c>
      <c r="E377" s="4">
        <v>206</v>
      </c>
      <c r="F377" s="4">
        <f>ROUND(Source!T356,O377)</f>
        <v>0</v>
      </c>
      <c r="G377" s="4" t="s">
        <v>168</v>
      </c>
      <c r="H377" s="4" t="s">
        <v>169</v>
      </c>
      <c r="I377" s="4"/>
      <c r="J377" s="4"/>
      <c r="K377" s="4">
        <v>206</v>
      </c>
      <c r="L377" s="4">
        <v>20</v>
      </c>
      <c r="M377" s="4">
        <v>3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3" x14ac:dyDescent="0.2">
      <c r="A378" s="4">
        <v>50</v>
      </c>
      <c r="B378" s="4">
        <v>0</v>
      </c>
      <c r="C378" s="4">
        <v>0</v>
      </c>
      <c r="D378" s="4">
        <v>1</v>
      </c>
      <c r="E378" s="4">
        <v>207</v>
      </c>
      <c r="F378" s="4">
        <f>Source!U356</f>
        <v>267.42156999999997</v>
      </c>
      <c r="G378" s="4" t="s">
        <v>170</v>
      </c>
      <c r="H378" s="4" t="s">
        <v>171</v>
      </c>
      <c r="I378" s="4"/>
      <c r="J378" s="4"/>
      <c r="K378" s="4">
        <v>207</v>
      </c>
      <c r="L378" s="4">
        <v>21</v>
      </c>
      <c r="M378" s="4">
        <v>3</v>
      </c>
      <c r="N378" s="4" t="s">
        <v>6</v>
      </c>
      <c r="O378" s="4">
        <v>-1</v>
      </c>
      <c r="P378" s="4"/>
      <c r="Q378" s="4"/>
      <c r="R378" s="4"/>
      <c r="S378" s="4"/>
      <c r="T378" s="4"/>
      <c r="U378" s="4"/>
      <c r="V378" s="4"/>
      <c r="W378" s="4"/>
    </row>
    <row r="379" spans="1:23" x14ac:dyDescent="0.2">
      <c r="A379" s="4">
        <v>50</v>
      </c>
      <c r="B379" s="4">
        <v>0</v>
      </c>
      <c r="C379" s="4">
        <v>0</v>
      </c>
      <c r="D379" s="4">
        <v>1</v>
      </c>
      <c r="E379" s="4">
        <v>208</v>
      </c>
      <c r="F379" s="4">
        <f>Source!V356</f>
        <v>7.1055800000000007</v>
      </c>
      <c r="G379" s="4" t="s">
        <v>172</v>
      </c>
      <c r="H379" s="4" t="s">
        <v>173</v>
      </c>
      <c r="I379" s="4"/>
      <c r="J379" s="4"/>
      <c r="K379" s="4">
        <v>208</v>
      </c>
      <c r="L379" s="4">
        <v>22</v>
      </c>
      <c r="M379" s="4">
        <v>3</v>
      </c>
      <c r="N379" s="4" t="s">
        <v>6</v>
      </c>
      <c r="O379" s="4">
        <v>-1</v>
      </c>
      <c r="P379" s="4"/>
      <c r="Q379" s="4"/>
      <c r="R379" s="4"/>
      <c r="S379" s="4"/>
      <c r="T379" s="4"/>
      <c r="U379" s="4"/>
      <c r="V379" s="4"/>
      <c r="W379" s="4"/>
    </row>
    <row r="380" spans="1:23" x14ac:dyDescent="0.2">
      <c r="A380" s="4">
        <v>50</v>
      </c>
      <c r="B380" s="4">
        <v>0</v>
      </c>
      <c r="C380" s="4">
        <v>0</v>
      </c>
      <c r="D380" s="4">
        <v>1</v>
      </c>
      <c r="E380" s="4">
        <v>209</v>
      </c>
      <c r="F380" s="4">
        <f>ROUND(Source!W356,O380)</f>
        <v>0</v>
      </c>
      <c r="G380" s="4" t="s">
        <v>174</v>
      </c>
      <c r="H380" s="4" t="s">
        <v>175</v>
      </c>
      <c r="I380" s="4"/>
      <c r="J380" s="4"/>
      <c r="K380" s="4">
        <v>209</v>
      </c>
      <c r="L380" s="4">
        <v>23</v>
      </c>
      <c r="M380" s="4">
        <v>3</v>
      </c>
      <c r="N380" s="4" t="s">
        <v>6</v>
      </c>
      <c r="O380" s="4">
        <v>2</v>
      </c>
      <c r="P380" s="4"/>
      <c r="Q380" s="4"/>
      <c r="R380" s="4"/>
      <c r="S380" s="4"/>
      <c r="T380" s="4"/>
      <c r="U380" s="4"/>
      <c r="V380" s="4"/>
      <c r="W380" s="4"/>
    </row>
    <row r="381" spans="1:23" x14ac:dyDescent="0.2">
      <c r="A381" s="4">
        <v>50</v>
      </c>
      <c r="B381" s="4">
        <v>0</v>
      </c>
      <c r="C381" s="4">
        <v>0</v>
      </c>
      <c r="D381" s="4">
        <v>1</v>
      </c>
      <c r="E381" s="4">
        <v>210</v>
      </c>
      <c r="F381" s="4">
        <f>ROUND(Source!X356,O381)</f>
        <v>16324.16</v>
      </c>
      <c r="G381" s="4" t="s">
        <v>176</v>
      </c>
      <c r="H381" s="4" t="s">
        <v>177</v>
      </c>
      <c r="I381" s="4"/>
      <c r="J381" s="4"/>
      <c r="K381" s="4">
        <v>210</v>
      </c>
      <c r="L381" s="4">
        <v>24</v>
      </c>
      <c r="M381" s="4">
        <v>3</v>
      </c>
      <c r="N381" s="4" t="s">
        <v>6</v>
      </c>
      <c r="O381" s="4">
        <v>2</v>
      </c>
      <c r="P381" s="4"/>
      <c r="Q381" s="4"/>
      <c r="R381" s="4"/>
      <c r="S381" s="4"/>
      <c r="T381" s="4"/>
      <c r="U381" s="4"/>
      <c r="V381" s="4"/>
      <c r="W381" s="4"/>
    </row>
    <row r="382" spans="1:23" x14ac:dyDescent="0.2">
      <c r="A382" s="4">
        <v>50</v>
      </c>
      <c r="B382" s="4">
        <v>0</v>
      </c>
      <c r="C382" s="4">
        <v>0</v>
      </c>
      <c r="D382" s="4">
        <v>1</v>
      </c>
      <c r="E382" s="4">
        <v>211</v>
      </c>
      <c r="F382" s="4">
        <f>ROUND(Source!Y356,O382)</f>
        <v>11319.15</v>
      </c>
      <c r="G382" s="4" t="s">
        <v>178</v>
      </c>
      <c r="H382" s="4" t="s">
        <v>179</v>
      </c>
      <c r="I382" s="4"/>
      <c r="J382" s="4"/>
      <c r="K382" s="4">
        <v>211</v>
      </c>
      <c r="L382" s="4">
        <v>25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3" x14ac:dyDescent="0.2">
      <c r="A383" s="4">
        <v>50</v>
      </c>
      <c r="B383" s="4">
        <v>0</v>
      </c>
      <c r="C383" s="4">
        <v>0</v>
      </c>
      <c r="D383" s="4">
        <v>1</v>
      </c>
      <c r="E383" s="4">
        <v>224</v>
      </c>
      <c r="F383" s="4">
        <f>ROUND(Source!AR356,O383)</f>
        <v>456350.44</v>
      </c>
      <c r="G383" s="4" t="s">
        <v>180</v>
      </c>
      <c r="H383" s="4" t="s">
        <v>181</v>
      </c>
      <c r="I383" s="4"/>
      <c r="J383" s="4"/>
      <c r="K383" s="4">
        <v>224</v>
      </c>
      <c r="L383" s="4">
        <v>26</v>
      </c>
      <c r="M383" s="4">
        <v>3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5" spans="1:245" x14ac:dyDescent="0.2">
      <c r="A385" s="1">
        <v>5</v>
      </c>
      <c r="B385" s="1">
        <v>1</v>
      </c>
      <c r="C385" s="1"/>
      <c r="D385" s="1">
        <f>ROW(A431)</f>
        <v>431</v>
      </c>
      <c r="E385" s="1"/>
      <c r="F385" s="1" t="s">
        <v>15</v>
      </c>
      <c r="G385" s="1" t="s">
        <v>827</v>
      </c>
      <c r="H385" s="1" t="s">
        <v>6</v>
      </c>
      <c r="I385" s="1">
        <v>0</v>
      </c>
      <c r="J385" s="1"/>
      <c r="K385" s="1">
        <v>0</v>
      </c>
      <c r="L385" s="1"/>
      <c r="M385" s="1"/>
      <c r="N385" s="1"/>
      <c r="O385" s="1"/>
      <c r="P385" s="1"/>
      <c r="Q385" s="1"/>
      <c r="R385" s="1"/>
      <c r="S385" s="1"/>
      <c r="T385" s="1"/>
      <c r="U385" s="1" t="s">
        <v>6</v>
      </c>
      <c r="V385" s="1">
        <v>0</v>
      </c>
      <c r="W385" s="1"/>
      <c r="X385" s="1"/>
      <c r="Y385" s="1"/>
      <c r="Z385" s="1"/>
      <c r="AA385" s="1"/>
      <c r="AB385" s="1" t="s">
        <v>6</v>
      </c>
      <c r="AC385" s="1" t="s">
        <v>6</v>
      </c>
      <c r="AD385" s="1" t="s">
        <v>6</v>
      </c>
      <c r="AE385" s="1" t="s">
        <v>6</v>
      </c>
      <c r="AF385" s="1" t="s">
        <v>6</v>
      </c>
      <c r="AG385" s="1" t="s">
        <v>6</v>
      </c>
      <c r="AH385" s="1"/>
      <c r="AI385" s="1"/>
      <c r="AJ385" s="1"/>
      <c r="AK385" s="1"/>
      <c r="AL385" s="1"/>
      <c r="AM385" s="1"/>
      <c r="AN385" s="1"/>
      <c r="AO385" s="1"/>
      <c r="AP385" s="1" t="s">
        <v>6</v>
      </c>
      <c r="AQ385" s="1" t="s">
        <v>6</v>
      </c>
      <c r="AR385" s="1" t="s">
        <v>6</v>
      </c>
      <c r="AS385" s="1"/>
      <c r="AT385" s="1"/>
      <c r="AU385" s="1"/>
      <c r="AV385" s="1"/>
      <c r="AW385" s="1"/>
      <c r="AX385" s="1"/>
      <c r="AY385" s="1"/>
      <c r="AZ385" s="1" t="s">
        <v>6</v>
      </c>
      <c r="BA385" s="1"/>
      <c r="BB385" s="1" t="s">
        <v>6</v>
      </c>
      <c r="BC385" s="1" t="s">
        <v>6</v>
      </c>
      <c r="BD385" s="1" t="s">
        <v>6</v>
      </c>
      <c r="BE385" s="1" t="s">
        <v>6</v>
      </c>
      <c r="BF385" s="1" t="s">
        <v>6</v>
      </c>
      <c r="BG385" s="1" t="s">
        <v>6</v>
      </c>
      <c r="BH385" s="1" t="s">
        <v>6</v>
      </c>
      <c r="BI385" s="1" t="s">
        <v>6</v>
      </c>
      <c r="BJ385" s="1" t="s">
        <v>6</v>
      </c>
      <c r="BK385" s="1" t="s">
        <v>6</v>
      </c>
      <c r="BL385" s="1" t="s">
        <v>6</v>
      </c>
      <c r="BM385" s="1" t="s">
        <v>6</v>
      </c>
      <c r="BN385" s="1" t="s">
        <v>6</v>
      </c>
      <c r="BO385" s="1" t="s">
        <v>6</v>
      </c>
      <c r="BP385" s="1" t="s">
        <v>6</v>
      </c>
      <c r="BQ385" s="1"/>
      <c r="BR385" s="1"/>
      <c r="BS385" s="1"/>
      <c r="BT385" s="1"/>
      <c r="BU385" s="1"/>
      <c r="BV385" s="1"/>
      <c r="BW385" s="1"/>
      <c r="BX385" s="1">
        <v>0</v>
      </c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>
        <v>0</v>
      </c>
    </row>
    <row r="387" spans="1:245" x14ac:dyDescent="0.2">
      <c r="A387" s="2">
        <v>52</v>
      </c>
      <c r="B387" s="2">
        <f t="shared" ref="B387:G387" si="315">B431</f>
        <v>1</v>
      </c>
      <c r="C387" s="2">
        <f t="shared" si="315"/>
        <v>5</v>
      </c>
      <c r="D387" s="2">
        <f t="shared" si="315"/>
        <v>385</v>
      </c>
      <c r="E387" s="2">
        <f t="shared" si="315"/>
        <v>0</v>
      </c>
      <c r="F387" s="2" t="str">
        <f t="shared" si="315"/>
        <v>Новый подраздел</v>
      </c>
      <c r="G387" s="2" t="str">
        <f t="shared" si="315"/>
        <v>3 Монтаж силовой части</v>
      </c>
      <c r="H387" s="2"/>
      <c r="I387" s="2"/>
      <c r="J387" s="2"/>
      <c r="K387" s="2"/>
      <c r="L387" s="2"/>
      <c r="M387" s="2"/>
      <c r="N387" s="2"/>
      <c r="O387" s="2">
        <f t="shared" ref="O387:AT387" si="316">O431</f>
        <v>288125.73</v>
      </c>
      <c r="P387" s="2">
        <f t="shared" si="316"/>
        <v>277187.09000000003</v>
      </c>
      <c r="Q387" s="2">
        <f t="shared" si="316"/>
        <v>1307.68</v>
      </c>
      <c r="R387" s="2">
        <f t="shared" si="316"/>
        <v>204.21</v>
      </c>
      <c r="S387" s="2">
        <f t="shared" si="316"/>
        <v>9630.9599999999991</v>
      </c>
      <c r="T387" s="2">
        <f t="shared" si="316"/>
        <v>0</v>
      </c>
      <c r="U387" s="2">
        <f t="shared" si="316"/>
        <v>153.54939999999999</v>
      </c>
      <c r="V387" s="2">
        <f t="shared" si="316"/>
        <v>2.7536000000000005</v>
      </c>
      <c r="W387" s="2">
        <f t="shared" si="316"/>
        <v>0</v>
      </c>
      <c r="X387" s="2">
        <f t="shared" si="316"/>
        <v>9335.57</v>
      </c>
      <c r="Y387" s="2">
        <f t="shared" si="316"/>
        <v>6385.95</v>
      </c>
      <c r="Z387" s="2">
        <f t="shared" si="316"/>
        <v>0</v>
      </c>
      <c r="AA387" s="2">
        <f t="shared" si="316"/>
        <v>0</v>
      </c>
      <c r="AB387" s="2">
        <f t="shared" si="316"/>
        <v>288125.73</v>
      </c>
      <c r="AC387" s="2">
        <f t="shared" si="316"/>
        <v>277187.09000000003</v>
      </c>
      <c r="AD387" s="2">
        <f t="shared" si="316"/>
        <v>1307.68</v>
      </c>
      <c r="AE387" s="2">
        <f t="shared" si="316"/>
        <v>204.21</v>
      </c>
      <c r="AF387" s="2">
        <f t="shared" si="316"/>
        <v>9630.9599999999991</v>
      </c>
      <c r="AG387" s="2">
        <f t="shared" si="316"/>
        <v>0</v>
      </c>
      <c r="AH387" s="2">
        <f t="shared" si="316"/>
        <v>153.54939999999999</v>
      </c>
      <c r="AI387" s="2">
        <f t="shared" si="316"/>
        <v>2.7536000000000005</v>
      </c>
      <c r="AJ387" s="2">
        <f t="shared" si="316"/>
        <v>0</v>
      </c>
      <c r="AK387" s="2">
        <f t="shared" si="316"/>
        <v>9335.57</v>
      </c>
      <c r="AL387" s="2">
        <f t="shared" si="316"/>
        <v>6385.95</v>
      </c>
      <c r="AM387" s="2">
        <f t="shared" si="316"/>
        <v>0</v>
      </c>
      <c r="AN387" s="2">
        <f t="shared" si="316"/>
        <v>0</v>
      </c>
      <c r="AO387" s="2">
        <f t="shared" si="316"/>
        <v>0</v>
      </c>
      <c r="AP387" s="2">
        <f t="shared" si="316"/>
        <v>0</v>
      </c>
      <c r="AQ387" s="2">
        <f t="shared" si="316"/>
        <v>0</v>
      </c>
      <c r="AR387" s="2">
        <f t="shared" si="316"/>
        <v>303847.25</v>
      </c>
      <c r="AS387" s="2">
        <f t="shared" si="316"/>
        <v>105.06</v>
      </c>
      <c r="AT387" s="2">
        <f t="shared" si="316"/>
        <v>303742.19</v>
      </c>
      <c r="AU387" s="2">
        <f t="shared" ref="AU387:BZ387" si="317">AU431</f>
        <v>0</v>
      </c>
      <c r="AV387" s="2">
        <f t="shared" si="317"/>
        <v>277187.09000000003</v>
      </c>
      <c r="AW387" s="2">
        <f t="shared" si="317"/>
        <v>277187.09000000003</v>
      </c>
      <c r="AX387" s="2">
        <f t="shared" si="317"/>
        <v>0</v>
      </c>
      <c r="AY387" s="2">
        <f t="shared" si="317"/>
        <v>277187.09000000003</v>
      </c>
      <c r="AZ387" s="2">
        <f t="shared" si="317"/>
        <v>0</v>
      </c>
      <c r="BA387" s="2">
        <f t="shared" si="317"/>
        <v>0</v>
      </c>
      <c r="BB387" s="2">
        <f t="shared" si="317"/>
        <v>0</v>
      </c>
      <c r="BC387" s="2">
        <f t="shared" si="317"/>
        <v>0</v>
      </c>
      <c r="BD387" s="2">
        <f t="shared" si="317"/>
        <v>0</v>
      </c>
      <c r="BE387" s="2">
        <f t="shared" si="317"/>
        <v>0</v>
      </c>
      <c r="BF387" s="2">
        <f t="shared" si="317"/>
        <v>0</v>
      </c>
      <c r="BG387" s="2">
        <f t="shared" si="317"/>
        <v>0</v>
      </c>
      <c r="BH387" s="2">
        <f t="shared" si="317"/>
        <v>0</v>
      </c>
      <c r="BI387" s="2">
        <f t="shared" si="317"/>
        <v>0</v>
      </c>
      <c r="BJ387" s="2">
        <f t="shared" si="317"/>
        <v>0</v>
      </c>
      <c r="BK387" s="2">
        <f t="shared" si="317"/>
        <v>0</v>
      </c>
      <c r="BL387" s="2">
        <f t="shared" si="317"/>
        <v>0</v>
      </c>
      <c r="BM387" s="2">
        <f t="shared" si="317"/>
        <v>0</v>
      </c>
      <c r="BN387" s="2">
        <f t="shared" si="317"/>
        <v>0</v>
      </c>
      <c r="BO387" s="2">
        <f t="shared" si="317"/>
        <v>0</v>
      </c>
      <c r="BP387" s="2">
        <f t="shared" si="317"/>
        <v>0</v>
      </c>
      <c r="BQ387" s="2">
        <f t="shared" si="317"/>
        <v>0</v>
      </c>
      <c r="BR387" s="2">
        <f t="shared" si="317"/>
        <v>0</v>
      </c>
      <c r="BS387" s="2">
        <f t="shared" si="317"/>
        <v>0</v>
      </c>
      <c r="BT387" s="2">
        <f t="shared" si="317"/>
        <v>0</v>
      </c>
      <c r="BU387" s="2">
        <f t="shared" si="317"/>
        <v>0</v>
      </c>
      <c r="BV387" s="2">
        <f t="shared" si="317"/>
        <v>0</v>
      </c>
      <c r="BW387" s="2">
        <f t="shared" si="317"/>
        <v>0</v>
      </c>
      <c r="BX387" s="2">
        <f t="shared" si="317"/>
        <v>0</v>
      </c>
      <c r="BY387" s="2">
        <f t="shared" si="317"/>
        <v>0</v>
      </c>
      <c r="BZ387" s="2">
        <f t="shared" si="317"/>
        <v>0</v>
      </c>
      <c r="CA387" s="2">
        <f t="shared" ref="CA387:DF387" si="318">CA431</f>
        <v>303847.25</v>
      </c>
      <c r="CB387" s="2">
        <f t="shared" si="318"/>
        <v>105.06</v>
      </c>
      <c r="CC387" s="2">
        <f t="shared" si="318"/>
        <v>303742.19</v>
      </c>
      <c r="CD387" s="2">
        <f t="shared" si="318"/>
        <v>0</v>
      </c>
      <c r="CE387" s="2">
        <f t="shared" si="318"/>
        <v>277187.09000000003</v>
      </c>
      <c r="CF387" s="2">
        <f t="shared" si="318"/>
        <v>277187.09000000003</v>
      </c>
      <c r="CG387" s="2">
        <f t="shared" si="318"/>
        <v>0</v>
      </c>
      <c r="CH387" s="2">
        <f t="shared" si="318"/>
        <v>277187.09000000003</v>
      </c>
      <c r="CI387" s="2">
        <f t="shared" si="318"/>
        <v>0</v>
      </c>
      <c r="CJ387" s="2">
        <f t="shared" si="318"/>
        <v>0</v>
      </c>
      <c r="CK387" s="2">
        <f t="shared" si="318"/>
        <v>0</v>
      </c>
      <c r="CL387" s="2">
        <f t="shared" si="318"/>
        <v>0</v>
      </c>
      <c r="CM387" s="2">
        <f t="shared" si="318"/>
        <v>0</v>
      </c>
      <c r="CN387" s="2">
        <f t="shared" si="318"/>
        <v>0</v>
      </c>
      <c r="CO387" s="2">
        <f t="shared" si="318"/>
        <v>0</v>
      </c>
      <c r="CP387" s="2">
        <f t="shared" si="318"/>
        <v>0</v>
      </c>
      <c r="CQ387" s="2">
        <f t="shared" si="318"/>
        <v>0</v>
      </c>
      <c r="CR387" s="2">
        <f t="shared" si="318"/>
        <v>0</v>
      </c>
      <c r="CS387" s="2">
        <f t="shared" si="318"/>
        <v>0</v>
      </c>
      <c r="CT387" s="2">
        <f t="shared" si="318"/>
        <v>0</v>
      </c>
      <c r="CU387" s="2">
        <f t="shared" si="318"/>
        <v>0</v>
      </c>
      <c r="CV387" s="2">
        <f t="shared" si="318"/>
        <v>0</v>
      </c>
      <c r="CW387" s="2">
        <f t="shared" si="318"/>
        <v>0</v>
      </c>
      <c r="CX387" s="2">
        <f t="shared" si="318"/>
        <v>0</v>
      </c>
      <c r="CY387" s="2">
        <f t="shared" si="318"/>
        <v>0</v>
      </c>
      <c r="CZ387" s="2">
        <f t="shared" si="318"/>
        <v>0</v>
      </c>
      <c r="DA387" s="2">
        <f t="shared" si="318"/>
        <v>0</v>
      </c>
      <c r="DB387" s="2">
        <f t="shared" si="318"/>
        <v>0</v>
      </c>
      <c r="DC387" s="2">
        <f t="shared" si="318"/>
        <v>0</v>
      </c>
      <c r="DD387" s="2">
        <f t="shared" si="318"/>
        <v>0</v>
      </c>
      <c r="DE387" s="2">
        <f t="shared" si="318"/>
        <v>0</v>
      </c>
      <c r="DF387" s="2">
        <f t="shared" si="318"/>
        <v>0</v>
      </c>
      <c r="DG387" s="3">
        <f t="shared" ref="DG387:EL387" si="319">DG431</f>
        <v>0</v>
      </c>
      <c r="DH387" s="3">
        <f t="shared" si="319"/>
        <v>0</v>
      </c>
      <c r="DI387" s="3">
        <f t="shared" si="319"/>
        <v>0</v>
      </c>
      <c r="DJ387" s="3">
        <f t="shared" si="319"/>
        <v>0</v>
      </c>
      <c r="DK387" s="3">
        <f t="shared" si="319"/>
        <v>0</v>
      </c>
      <c r="DL387" s="3">
        <f t="shared" si="319"/>
        <v>0</v>
      </c>
      <c r="DM387" s="3">
        <f t="shared" si="319"/>
        <v>0</v>
      </c>
      <c r="DN387" s="3">
        <f t="shared" si="319"/>
        <v>0</v>
      </c>
      <c r="DO387" s="3">
        <f t="shared" si="319"/>
        <v>0</v>
      </c>
      <c r="DP387" s="3">
        <f t="shared" si="319"/>
        <v>0</v>
      </c>
      <c r="DQ387" s="3">
        <f t="shared" si="319"/>
        <v>0</v>
      </c>
      <c r="DR387" s="3">
        <f t="shared" si="319"/>
        <v>0</v>
      </c>
      <c r="DS387" s="3">
        <f t="shared" si="319"/>
        <v>0</v>
      </c>
      <c r="DT387" s="3">
        <f t="shared" si="319"/>
        <v>0</v>
      </c>
      <c r="DU387" s="3">
        <f t="shared" si="319"/>
        <v>0</v>
      </c>
      <c r="DV387" s="3">
        <f t="shared" si="319"/>
        <v>0</v>
      </c>
      <c r="DW387" s="3">
        <f t="shared" si="319"/>
        <v>0</v>
      </c>
      <c r="DX387" s="3">
        <f t="shared" si="319"/>
        <v>0</v>
      </c>
      <c r="DY387" s="3">
        <f t="shared" si="319"/>
        <v>0</v>
      </c>
      <c r="DZ387" s="3">
        <f t="shared" si="319"/>
        <v>0</v>
      </c>
      <c r="EA387" s="3">
        <f t="shared" si="319"/>
        <v>0</v>
      </c>
      <c r="EB387" s="3">
        <f t="shared" si="319"/>
        <v>0</v>
      </c>
      <c r="EC387" s="3">
        <f t="shared" si="319"/>
        <v>0</v>
      </c>
      <c r="ED387" s="3">
        <f t="shared" si="319"/>
        <v>0</v>
      </c>
      <c r="EE387" s="3">
        <f t="shared" si="319"/>
        <v>0</v>
      </c>
      <c r="EF387" s="3">
        <f t="shared" si="319"/>
        <v>0</v>
      </c>
      <c r="EG387" s="3">
        <f t="shared" si="319"/>
        <v>0</v>
      </c>
      <c r="EH387" s="3">
        <f t="shared" si="319"/>
        <v>0</v>
      </c>
      <c r="EI387" s="3">
        <f t="shared" si="319"/>
        <v>0</v>
      </c>
      <c r="EJ387" s="3">
        <f t="shared" si="319"/>
        <v>0</v>
      </c>
      <c r="EK387" s="3">
        <f t="shared" si="319"/>
        <v>0</v>
      </c>
      <c r="EL387" s="3">
        <f t="shared" si="319"/>
        <v>0</v>
      </c>
      <c r="EM387" s="3">
        <f t="shared" ref="EM387:FR387" si="320">EM431</f>
        <v>0</v>
      </c>
      <c r="EN387" s="3">
        <f t="shared" si="320"/>
        <v>0</v>
      </c>
      <c r="EO387" s="3">
        <f t="shared" si="320"/>
        <v>0</v>
      </c>
      <c r="EP387" s="3">
        <f t="shared" si="320"/>
        <v>0</v>
      </c>
      <c r="EQ387" s="3">
        <f t="shared" si="320"/>
        <v>0</v>
      </c>
      <c r="ER387" s="3">
        <f t="shared" si="320"/>
        <v>0</v>
      </c>
      <c r="ES387" s="3">
        <f t="shared" si="320"/>
        <v>0</v>
      </c>
      <c r="ET387" s="3">
        <f t="shared" si="320"/>
        <v>0</v>
      </c>
      <c r="EU387" s="3">
        <f t="shared" si="320"/>
        <v>0</v>
      </c>
      <c r="EV387" s="3">
        <f t="shared" si="320"/>
        <v>0</v>
      </c>
      <c r="EW387" s="3">
        <f t="shared" si="320"/>
        <v>0</v>
      </c>
      <c r="EX387" s="3">
        <f t="shared" si="320"/>
        <v>0</v>
      </c>
      <c r="EY387" s="3">
        <f t="shared" si="320"/>
        <v>0</v>
      </c>
      <c r="EZ387" s="3">
        <f t="shared" si="320"/>
        <v>0</v>
      </c>
      <c r="FA387" s="3">
        <f t="shared" si="320"/>
        <v>0</v>
      </c>
      <c r="FB387" s="3">
        <f t="shared" si="320"/>
        <v>0</v>
      </c>
      <c r="FC387" s="3">
        <f t="shared" si="320"/>
        <v>0</v>
      </c>
      <c r="FD387" s="3">
        <f t="shared" si="320"/>
        <v>0</v>
      </c>
      <c r="FE387" s="3">
        <f t="shared" si="320"/>
        <v>0</v>
      </c>
      <c r="FF387" s="3">
        <f t="shared" si="320"/>
        <v>0</v>
      </c>
      <c r="FG387" s="3">
        <f t="shared" si="320"/>
        <v>0</v>
      </c>
      <c r="FH387" s="3">
        <f t="shared" si="320"/>
        <v>0</v>
      </c>
      <c r="FI387" s="3">
        <f t="shared" si="320"/>
        <v>0</v>
      </c>
      <c r="FJ387" s="3">
        <f t="shared" si="320"/>
        <v>0</v>
      </c>
      <c r="FK387" s="3">
        <f t="shared" si="320"/>
        <v>0</v>
      </c>
      <c r="FL387" s="3">
        <f t="shared" si="320"/>
        <v>0</v>
      </c>
      <c r="FM387" s="3">
        <f t="shared" si="320"/>
        <v>0</v>
      </c>
      <c r="FN387" s="3">
        <f t="shared" si="320"/>
        <v>0</v>
      </c>
      <c r="FO387" s="3">
        <f t="shared" si="320"/>
        <v>0</v>
      </c>
      <c r="FP387" s="3">
        <f t="shared" si="320"/>
        <v>0</v>
      </c>
      <c r="FQ387" s="3">
        <f t="shared" si="320"/>
        <v>0</v>
      </c>
      <c r="FR387" s="3">
        <f t="shared" si="320"/>
        <v>0</v>
      </c>
      <c r="FS387" s="3">
        <f t="shared" ref="FS387:GX387" si="321">FS431</f>
        <v>0</v>
      </c>
      <c r="FT387" s="3">
        <f t="shared" si="321"/>
        <v>0</v>
      </c>
      <c r="FU387" s="3">
        <f t="shared" si="321"/>
        <v>0</v>
      </c>
      <c r="FV387" s="3">
        <f t="shared" si="321"/>
        <v>0</v>
      </c>
      <c r="FW387" s="3">
        <f t="shared" si="321"/>
        <v>0</v>
      </c>
      <c r="FX387" s="3">
        <f t="shared" si="321"/>
        <v>0</v>
      </c>
      <c r="FY387" s="3">
        <f t="shared" si="321"/>
        <v>0</v>
      </c>
      <c r="FZ387" s="3">
        <f t="shared" si="321"/>
        <v>0</v>
      </c>
      <c r="GA387" s="3">
        <f t="shared" si="321"/>
        <v>0</v>
      </c>
      <c r="GB387" s="3">
        <f t="shared" si="321"/>
        <v>0</v>
      </c>
      <c r="GC387" s="3">
        <f t="shared" si="321"/>
        <v>0</v>
      </c>
      <c r="GD387" s="3">
        <f t="shared" si="321"/>
        <v>0</v>
      </c>
      <c r="GE387" s="3">
        <f t="shared" si="321"/>
        <v>0</v>
      </c>
      <c r="GF387" s="3">
        <f t="shared" si="321"/>
        <v>0</v>
      </c>
      <c r="GG387" s="3">
        <f t="shared" si="321"/>
        <v>0</v>
      </c>
      <c r="GH387" s="3">
        <f t="shared" si="321"/>
        <v>0</v>
      </c>
      <c r="GI387" s="3">
        <f t="shared" si="321"/>
        <v>0</v>
      </c>
      <c r="GJ387" s="3">
        <f t="shared" si="321"/>
        <v>0</v>
      </c>
      <c r="GK387" s="3">
        <f t="shared" si="321"/>
        <v>0</v>
      </c>
      <c r="GL387" s="3">
        <f t="shared" si="321"/>
        <v>0</v>
      </c>
      <c r="GM387" s="3">
        <f t="shared" si="321"/>
        <v>0</v>
      </c>
      <c r="GN387" s="3">
        <f t="shared" si="321"/>
        <v>0</v>
      </c>
      <c r="GO387" s="3">
        <f t="shared" si="321"/>
        <v>0</v>
      </c>
      <c r="GP387" s="3">
        <f t="shared" si="321"/>
        <v>0</v>
      </c>
      <c r="GQ387" s="3">
        <f t="shared" si="321"/>
        <v>0</v>
      </c>
      <c r="GR387" s="3">
        <f t="shared" si="321"/>
        <v>0</v>
      </c>
      <c r="GS387" s="3">
        <f t="shared" si="321"/>
        <v>0</v>
      </c>
      <c r="GT387" s="3">
        <f t="shared" si="321"/>
        <v>0</v>
      </c>
      <c r="GU387" s="3">
        <f t="shared" si="321"/>
        <v>0</v>
      </c>
      <c r="GV387" s="3">
        <f t="shared" si="321"/>
        <v>0</v>
      </c>
      <c r="GW387" s="3">
        <f t="shared" si="321"/>
        <v>0</v>
      </c>
      <c r="GX387" s="3">
        <f t="shared" si="321"/>
        <v>0</v>
      </c>
    </row>
    <row r="389" spans="1:245" x14ac:dyDescent="0.2">
      <c r="A389">
        <v>17</v>
      </c>
      <c r="B389">
        <v>1</v>
      </c>
      <c r="C389">
        <f>ROW(SmtRes!A606)</f>
        <v>606</v>
      </c>
      <c r="D389">
        <f>ROW(EtalonRes!A563)</f>
        <v>563</v>
      </c>
      <c r="E389" t="s">
        <v>828</v>
      </c>
      <c r="F389" t="s">
        <v>829</v>
      </c>
      <c r="G389" t="s">
        <v>830</v>
      </c>
      <c r="H389" t="s">
        <v>34</v>
      </c>
      <c r="I389">
        <f>ROUND(80/100,9)</f>
        <v>0.8</v>
      </c>
      <c r="J389">
        <v>0</v>
      </c>
      <c r="O389">
        <f t="shared" ref="O389:O429" si="322">ROUND(CP389,2)</f>
        <v>1505.76</v>
      </c>
      <c r="P389">
        <f t="shared" ref="P389:P429" si="323">ROUND(CQ389*I389,2)</f>
        <v>489.48</v>
      </c>
      <c r="Q389">
        <f t="shared" ref="Q389:Q429" si="324">ROUND(CR389*I389,2)</f>
        <v>1.63</v>
      </c>
      <c r="R389">
        <f t="shared" ref="R389:R429" si="325">ROUND(CS389*I389,2)</f>
        <v>0.73</v>
      </c>
      <c r="S389">
        <f t="shared" ref="S389:S429" si="326">ROUND(CT389*I389,2)</f>
        <v>1014.65</v>
      </c>
      <c r="T389">
        <f t="shared" ref="T389:T429" si="327">ROUND(CU389*I389,2)</f>
        <v>0</v>
      </c>
      <c r="U389">
        <f t="shared" ref="U389:U429" si="328">CV389*I389</f>
        <v>16.263999999999999</v>
      </c>
      <c r="V389">
        <f t="shared" ref="V389:V429" si="329">CW389*I389</f>
        <v>8.0000000000000002E-3</v>
      </c>
      <c r="W389">
        <f t="shared" ref="W389:W429" si="330">ROUND(CX389*I389,2)</f>
        <v>0</v>
      </c>
      <c r="X389">
        <f t="shared" ref="X389:X429" si="331">ROUND(CY389,2)</f>
        <v>964.61</v>
      </c>
      <c r="Y389">
        <f t="shared" ref="Y389:Y429" si="332">ROUND(CZ389,2)</f>
        <v>660</v>
      </c>
      <c r="AA389">
        <v>16742901</v>
      </c>
      <c r="AB389">
        <f t="shared" ref="AB389:AB429" si="333">ROUND((AC389+AD389+AF389),2)</f>
        <v>286.92</v>
      </c>
      <c r="AC389">
        <f t="shared" ref="AC389:AC429" si="334">ROUND((ES389),2)</f>
        <v>93.27</v>
      </c>
      <c r="AD389">
        <f t="shared" ref="AD389:AD429" si="335">ROUND((((ET389)-(EU389))+AE389),2)</f>
        <v>0.31</v>
      </c>
      <c r="AE389">
        <f t="shared" ref="AE389:AE429" si="336">ROUND((EU389),2)</f>
        <v>0.14000000000000001</v>
      </c>
      <c r="AF389">
        <f t="shared" ref="AF389:AF429" si="337">ROUND((EV389),2)</f>
        <v>193.34</v>
      </c>
      <c r="AG389">
        <f t="shared" ref="AG389:AG429" si="338">ROUND((AP389),2)</f>
        <v>0</v>
      </c>
      <c r="AH389">
        <f t="shared" ref="AH389:AH429" si="339">(EW389)</f>
        <v>20.329999999999998</v>
      </c>
      <c r="AI389">
        <f t="shared" ref="AI389:AI429" si="340">(EX389)</f>
        <v>0.01</v>
      </c>
      <c r="AJ389">
        <f t="shared" ref="AJ389:AJ429" si="341">ROUND((AS389),2)</f>
        <v>0</v>
      </c>
      <c r="AK389">
        <v>286.92</v>
      </c>
      <c r="AL389">
        <v>93.27</v>
      </c>
      <c r="AM389">
        <v>0.31</v>
      </c>
      <c r="AN389">
        <v>0.14000000000000001</v>
      </c>
      <c r="AO389">
        <v>193.34</v>
      </c>
      <c r="AP389">
        <v>0</v>
      </c>
      <c r="AQ389">
        <v>20.329999999999998</v>
      </c>
      <c r="AR389">
        <v>0.01</v>
      </c>
      <c r="AS389">
        <v>0</v>
      </c>
      <c r="AT389">
        <v>95</v>
      </c>
      <c r="AU389">
        <v>65</v>
      </c>
      <c r="AV389">
        <v>1</v>
      </c>
      <c r="AW389">
        <v>1</v>
      </c>
      <c r="AZ389">
        <v>6.56</v>
      </c>
      <c r="BA389">
        <v>6.56</v>
      </c>
      <c r="BB389">
        <v>6.56</v>
      </c>
      <c r="BC389">
        <v>6.56</v>
      </c>
      <c r="BD389" t="s">
        <v>6</v>
      </c>
      <c r="BE389" t="s">
        <v>6</v>
      </c>
      <c r="BF389" t="s">
        <v>6</v>
      </c>
      <c r="BG389" t="s">
        <v>6</v>
      </c>
      <c r="BH389">
        <v>0</v>
      </c>
      <c r="BI389">
        <v>2</v>
      </c>
      <c r="BJ389" t="s">
        <v>831</v>
      </c>
      <c r="BM389">
        <v>108001</v>
      </c>
      <c r="BN389">
        <v>0</v>
      </c>
      <c r="BO389" t="s">
        <v>6</v>
      </c>
      <c r="BP389">
        <v>0</v>
      </c>
      <c r="BQ389">
        <v>3</v>
      </c>
      <c r="BR389">
        <v>0</v>
      </c>
      <c r="BS389">
        <v>6.56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6</v>
      </c>
      <c r="BZ389">
        <v>95</v>
      </c>
      <c r="CA389">
        <v>65</v>
      </c>
      <c r="CF389">
        <v>0</v>
      </c>
      <c r="CG389">
        <v>0</v>
      </c>
      <c r="CM389">
        <v>0</v>
      </c>
      <c r="CN389" t="s">
        <v>6</v>
      </c>
      <c r="CO389">
        <v>0</v>
      </c>
      <c r="CP389">
        <f t="shared" ref="CP389:CP429" si="342">(P389+Q389+S389)</f>
        <v>1505.76</v>
      </c>
      <c r="CQ389">
        <f t="shared" ref="CQ389:CQ429" si="343">AC389*BC389</f>
        <v>611.85119999999995</v>
      </c>
      <c r="CR389">
        <f t="shared" ref="CR389:CR429" si="344">AD389*BB389</f>
        <v>2.0335999999999999</v>
      </c>
      <c r="CS389">
        <f t="shared" ref="CS389:CS429" si="345">AE389*BS389</f>
        <v>0.91839999999999999</v>
      </c>
      <c r="CT389">
        <f t="shared" ref="CT389:CT429" si="346">AF389*BA389</f>
        <v>1268.3103999999998</v>
      </c>
      <c r="CU389">
        <f t="shared" ref="CU389:CU429" si="347">AG389</f>
        <v>0</v>
      </c>
      <c r="CV389">
        <f t="shared" ref="CV389:CV429" si="348">AH389</f>
        <v>20.329999999999998</v>
      </c>
      <c r="CW389">
        <f t="shared" ref="CW389:CW429" si="349">AI389</f>
        <v>0.01</v>
      </c>
      <c r="CX389">
        <f t="shared" ref="CX389:CX429" si="350">AJ389</f>
        <v>0</v>
      </c>
      <c r="CY389">
        <f t="shared" ref="CY389:CY429" si="351">(((S389+R389)*AT389)/100)</f>
        <v>964.6110000000001</v>
      </c>
      <c r="CZ389">
        <f t="shared" ref="CZ389:CZ429" si="352">(((S389+R389)*AU389)/100)</f>
        <v>659.99699999999996</v>
      </c>
      <c r="DC389" t="s">
        <v>6</v>
      </c>
      <c r="DD389" t="s">
        <v>6</v>
      </c>
      <c r="DE389" t="s">
        <v>6</v>
      </c>
      <c r="DF389" t="s">
        <v>6</v>
      </c>
      <c r="DG389" t="s">
        <v>6</v>
      </c>
      <c r="DH389" t="s">
        <v>6</v>
      </c>
      <c r="DI389" t="s">
        <v>6</v>
      </c>
      <c r="DJ389" t="s">
        <v>6</v>
      </c>
      <c r="DK389" t="s">
        <v>6</v>
      </c>
      <c r="DL389" t="s">
        <v>6</v>
      </c>
      <c r="DM389" t="s">
        <v>6</v>
      </c>
      <c r="DN389">
        <v>0</v>
      </c>
      <c r="DO389">
        <v>0</v>
      </c>
      <c r="DP389">
        <v>1</v>
      </c>
      <c r="DQ389">
        <v>1</v>
      </c>
      <c r="DU389">
        <v>1003</v>
      </c>
      <c r="DV389" t="s">
        <v>34</v>
      </c>
      <c r="DW389" t="s">
        <v>34</v>
      </c>
      <c r="DX389">
        <v>100</v>
      </c>
      <c r="EE389">
        <v>16510370</v>
      </c>
      <c r="EF389">
        <v>3</v>
      </c>
      <c r="EG389" t="s">
        <v>83</v>
      </c>
      <c r="EH389">
        <v>0</v>
      </c>
      <c r="EI389" t="s">
        <v>6</v>
      </c>
      <c r="EJ389">
        <v>2</v>
      </c>
      <c r="EK389">
        <v>108001</v>
      </c>
      <c r="EL389" t="s">
        <v>84</v>
      </c>
      <c r="EM389" t="s">
        <v>85</v>
      </c>
      <c r="EO389" t="s">
        <v>6</v>
      </c>
      <c r="EQ389">
        <v>131072</v>
      </c>
      <c r="ER389">
        <v>286.92</v>
      </c>
      <c r="ES389">
        <v>93.27</v>
      </c>
      <c r="ET389">
        <v>0.31</v>
      </c>
      <c r="EU389">
        <v>0.14000000000000001</v>
      </c>
      <c r="EV389">
        <v>193.34</v>
      </c>
      <c r="EW389">
        <v>20.329999999999998</v>
      </c>
      <c r="EX389">
        <v>0.01</v>
      </c>
      <c r="EY389">
        <v>0</v>
      </c>
      <c r="FQ389">
        <v>0</v>
      </c>
      <c r="FR389">
        <f t="shared" ref="FR389:FR429" si="353">ROUND(IF(AND(BH389=3,BI389=3),P389,0),2)</f>
        <v>0</v>
      </c>
      <c r="FS389">
        <v>0</v>
      </c>
      <c r="FX389">
        <v>95</v>
      </c>
      <c r="FY389">
        <v>65</v>
      </c>
      <c r="GA389" t="s">
        <v>6</v>
      </c>
      <c r="GD389">
        <v>0</v>
      </c>
      <c r="GF389">
        <v>816409345</v>
      </c>
      <c r="GG389">
        <v>1</v>
      </c>
      <c r="GH389">
        <v>1</v>
      </c>
      <c r="GI389">
        <v>4</v>
      </c>
      <c r="GJ389">
        <v>0</v>
      </c>
      <c r="GK389">
        <f>ROUND(R389*(R12)/100,2)</f>
        <v>0</v>
      </c>
      <c r="GL389">
        <f t="shared" ref="GL389:GL429" si="354">ROUND(IF(AND(BH389=3,BI389=3,FS389&lt;&gt;0),P389,0),2)</f>
        <v>0</v>
      </c>
      <c r="GM389">
        <f t="shared" ref="GM389:GM429" si="355">ROUND(O389+X389+Y389+GK389,2)+GX389</f>
        <v>3130.37</v>
      </c>
      <c r="GN389">
        <f t="shared" ref="GN389:GN429" si="356">IF(OR(BI389=0,BI389=1),ROUND(O389+X389+Y389+GK389,2),0)</f>
        <v>0</v>
      </c>
      <c r="GO389">
        <f t="shared" ref="GO389:GO429" si="357">IF(BI389=2,ROUND(O389+X389+Y389+GK389,2),0)</f>
        <v>3130.37</v>
      </c>
      <c r="GP389">
        <f t="shared" ref="GP389:GP429" si="358">IF(BI389=4,ROUND(O389+X389+Y389+GK389,2)+GX389,0)</f>
        <v>0</v>
      </c>
      <c r="GR389">
        <v>0</v>
      </c>
      <c r="GS389">
        <v>3</v>
      </c>
      <c r="GT389">
        <v>0</v>
      </c>
      <c r="GU389" t="s">
        <v>6</v>
      </c>
      <c r="GV389">
        <f t="shared" ref="GV389:GV429" si="359">ROUND(GT389,2)</f>
        <v>0</v>
      </c>
      <c r="GW389">
        <v>1</v>
      </c>
      <c r="GX389">
        <f t="shared" ref="GX389:GX429" si="360">ROUND(GV389*GW389*I389,2)</f>
        <v>0</v>
      </c>
      <c r="HA389">
        <v>0</v>
      </c>
      <c r="HB389">
        <v>0</v>
      </c>
      <c r="IK389">
        <v>0</v>
      </c>
    </row>
    <row r="390" spans="1:245" x14ac:dyDescent="0.2">
      <c r="A390">
        <v>18</v>
      </c>
      <c r="B390">
        <v>1</v>
      </c>
      <c r="C390">
        <v>605</v>
      </c>
      <c r="E390" t="s">
        <v>832</v>
      </c>
      <c r="F390" t="s">
        <v>833</v>
      </c>
      <c r="G390" t="s">
        <v>834</v>
      </c>
      <c r="H390" t="s">
        <v>34</v>
      </c>
      <c r="I390">
        <f>I389*J390</f>
        <v>0.8</v>
      </c>
      <c r="J390">
        <v>1</v>
      </c>
      <c r="O390">
        <f t="shared" si="322"/>
        <v>7137.28</v>
      </c>
      <c r="P390">
        <f t="shared" si="323"/>
        <v>7137.28</v>
      </c>
      <c r="Q390">
        <f t="shared" si="324"/>
        <v>0</v>
      </c>
      <c r="R390">
        <f t="shared" si="325"/>
        <v>0</v>
      </c>
      <c r="S390">
        <f t="shared" si="326"/>
        <v>0</v>
      </c>
      <c r="T390">
        <f t="shared" si="327"/>
        <v>0</v>
      </c>
      <c r="U390">
        <f t="shared" si="328"/>
        <v>0</v>
      </c>
      <c r="V390">
        <f t="shared" si="329"/>
        <v>0</v>
      </c>
      <c r="W390">
        <f t="shared" si="330"/>
        <v>0</v>
      </c>
      <c r="X390">
        <f t="shared" si="331"/>
        <v>0</v>
      </c>
      <c r="Y390">
        <f t="shared" si="332"/>
        <v>0</v>
      </c>
      <c r="AA390">
        <v>16742901</v>
      </c>
      <c r="AB390">
        <f t="shared" si="333"/>
        <v>1360</v>
      </c>
      <c r="AC390">
        <f t="shared" si="334"/>
        <v>1360</v>
      </c>
      <c r="AD390">
        <f t="shared" si="335"/>
        <v>0</v>
      </c>
      <c r="AE390">
        <f t="shared" si="336"/>
        <v>0</v>
      </c>
      <c r="AF390">
        <f t="shared" si="337"/>
        <v>0</v>
      </c>
      <c r="AG390">
        <f t="shared" si="338"/>
        <v>0</v>
      </c>
      <c r="AH390">
        <f t="shared" si="339"/>
        <v>0</v>
      </c>
      <c r="AI390">
        <f t="shared" si="340"/>
        <v>0</v>
      </c>
      <c r="AJ390">
        <f t="shared" si="341"/>
        <v>0</v>
      </c>
      <c r="AK390">
        <v>1360</v>
      </c>
      <c r="AL390">
        <v>1360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95</v>
      </c>
      <c r="AU390">
        <v>65</v>
      </c>
      <c r="AV390">
        <v>1</v>
      </c>
      <c r="AW390">
        <v>1</v>
      </c>
      <c r="AZ390">
        <v>6.56</v>
      </c>
      <c r="BA390">
        <v>1</v>
      </c>
      <c r="BB390">
        <v>1</v>
      </c>
      <c r="BC390">
        <v>6.56</v>
      </c>
      <c r="BD390" t="s">
        <v>6</v>
      </c>
      <c r="BE390" t="s">
        <v>6</v>
      </c>
      <c r="BF390" t="s">
        <v>6</v>
      </c>
      <c r="BG390" t="s">
        <v>6</v>
      </c>
      <c r="BH390">
        <v>3</v>
      </c>
      <c r="BI390">
        <v>2</v>
      </c>
      <c r="BJ390" t="s">
        <v>835</v>
      </c>
      <c r="BM390">
        <v>108001</v>
      </c>
      <c r="BN390">
        <v>0</v>
      </c>
      <c r="BO390" t="s">
        <v>6</v>
      </c>
      <c r="BP390">
        <v>0</v>
      </c>
      <c r="BQ390">
        <v>3</v>
      </c>
      <c r="BR390">
        <v>0</v>
      </c>
      <c r="BS390">
        <v>1</v>
      </c>
      <c r="BT390">
        <v>1</v>
      </c>
      <c r="BU390">
        <v>1</v>
      </c>
      <c r="BV390">
        <v>1</v>
      </c>
      <c r="BW390">
        <v>1</v>
      </c>
      <c r="BX390">
        <v>1</v>
      </c>
      <c r="BY390" t="s">
        <v>6</v>
      </c>
      <c r="BZ390">
        <v>95</v>
      </c>
      <c r="CA390">
        <v>65</v>
      </c>
      <c r="CF390">
        <v>0</v>
      </c>
      <c r="CG390">
        <v>0</v>
      </c>
      <c r="CM390">
        <v>0</v>
      </c>
      <c r="CN390" t="s">
        <v>6</v>
      </c>
      <c r="CO390">
        <v>0</v>
      </c>
      <c r="CP390">
        <f t="shared" si="342"/>
        <v>7137.28</v>
      </c>
      <c r="CQ390">
        <f t="shared" si="343"/>
        <v>8921.6</v>
      </c>
      <c r="CR390">
        <f t="shared" si="344"/>
        <v>0</v>
      </c>
      <c r="CS390">
        <f t="shared" si="345"/>
        <v>0</v>
      </c>
      <c r="CT390">
        <f t="shared" si="346"/>
        <v>0</v>
      </c>
      <c r="CU390">
        <f t="shared" si="347"/>
        <v>0</v>
      </c>
      <c r="CV390">
        <f t="shared" si="348"/>
        <v>0</v>
      </c>
      <c r="CW390">
        <f t="shared" si="349"/>
        <v>0</v>
      </c>
      <c r="CX390">
        <f t="shared" si="350"/>
        <v>0</v>
      </c>
      <c r="CY390">
        <f t="shared" si="351"/>
        <v>0</v>
      </c>
      <c r="CZ390">
        <f t="shared" si="352"/>
        <v>0</v>
      </c>
      <c r="DC390" t="s">
        <v>6</v>
      </c>
      <c r="DD390" t="s">
        <v>6</v>
      </c>
      <c r="DE390" t="s">
        <v>6</v>
      </c>
      <c r="DF390" t="s">
        <v>6</v>
      </c>
      <c r="DG390" t="s">
        <v>6</v>
      </c>
      <c r="DH390" t="s">
        <v>6</v>
      </c>
      <c r="DI390" t="s">
        <v>6</v>
      </c>
      <c r="DJ390" t="s">
        <v>6</v>
      </c>
      <c r="DK390" t="s">
        <v>6</v>
      </c>
      <c r="DL390" t="s">
        <v>6</v>
      </c>
      <c r="DM390" t="s">
        <v>6</v>
      </c>
      <c r="DN390">
        <v>0</v>
      </c>
      <c r="DO390">
        <v>0</v>
      </c>
      <c r="DP390">
        <v>1</v>
      </c>
      <c r="DQ390">
        <v>1</v>
      </c>
      <c r="DU390">
        <v>1003</v>
      </c>
      <c r="DV390" t="s">
        <v>34</v>
      </c>
      <c r="DW390" t="s">
        <v>34</v>
      </c>
      <c r="DX390">
        <v>100</v>
      </c>
      <c r="EE390">
        <v>16510370</v>
      </c>
      <c r="EF390">
        <v>3</v>
      </c>
      <c r="EG390" t="s">
        <v>83</v>
      </c>
      <c r="EH390">
        <v>0</v>
      </c>
      <c r="EI390" t="s">
        <v>6</v>
      </c>
      <c r="EJ390">
        <v>2</v>
      </c>
      <c r="EK390">
        <v>108001</v>
      </c>
      <c r="EL390" t="s">
        <v>84</v>
      </c>
      <c r="EM390" t="s">
        <v>85</v>
      </c>
      <c r="EO390" t="s">
        <v>6</v>
      </c>
      <c r="EQ390">
        <v>0</v>
      </c>
      <c r="ER390">
        <v>1360</v>
      </c>
      <c r="ES390">
        <v>1360</v>
      </c>
      <c r="ET390">
        <v>0</v>
      </c>
      <c r="EU390">
        <v>0</v>
      </c>
      <c r="EV390">
        <v>0</v>
      </c>
      <c r="EW390">
        <v>0</v>
      </c>
      <c r="EX390">
        <v>0</v>
      </c>
      <c r="FQ390">
        <v>0</v>
      </c>
      <c r="FR390">
        <f t="shared" si="353"/>
        <v>0</v>
      </c>
      <c r="FS390">
        <v>0</v>
      </c>
      <c r="FX390">
        <v>95</v>
      </c>
      <c r="FY390">
        <v>65</v>
      </c>
      <c r="GA390" t="s">
        <v>6</v>
      </c>
      <c r="GD390">
        <v>0</v>
      </c>
      <c r="GF390">
        <v>-960028865</v>
      </c>
      <c r="GG390">
        <v>1</v>
      </c>
      <c r="GH390">
        <v>1</v>
      </c>
      <c r="GI390">
        <v>4</v>
      </c>
      <c r="GJ390">
        <v>0</v>
      </c>
      <c r="GK390">
        <f>ROUND(R390*(R12)/100,2)</f>
        <v>0</v>
      </c>
      <c r="GL390">
        <f t="shared" si="354"/>
        <v>0</v>
      </c>
      <c r="GM390">
        <f t="shared" si="355"/>
        <v>7137.28</v>
      </c>
      <c r="GN390">
        <f t="shared" si="356"/>
        <v>0</v>
      </c>
      <c r="GO390">
        <f t="shared" si="357"/>
        <v>7137.28</v>
      </c>
      <c r="GP390">
        <f t="shared" si="358"/>
        <v>0</v>
      </c>
      <c r="GR390">
        <v>0</v>
      </c>
      <c r="GS390">
        <v>3</v>
      </c>
      <c r="GT390">
        <v>0</v>
      </c>
      <c r="GU390" t="s">
        <v>6</v>
      </c>
      <c r="GV390">
        <f t="shared" si="359"/>
        <v>0</v>
      </c>
      <c r="GW390">
        <v>1</v>
      </c>
      <c r="GX390">
        <f t="shared" si="360"/>
        <v>0</v>
      </c>
      <c r="HA390">
        <v>0</v>
      </c>
      <c r="HB390">
        <v>0</v>
      </c>
      <c r="IK390">
        <v>0</v>
      </c>
    </row>
    <row r="391" spans="1:245" x14ac:dyDescent="0.2">
      <c r="A391">
        <v>17</v>
      </c>
      <c r="B391">
        <v>1</v>
      </c>
      <c r="C391">
        <f>ROW(SmtRes!A617)</f>
        <v>617</v>
      </c>
      <c r="D391">
        <f>ROW(EtalonRes!A572)</f>
        <v>572</v>
      </c>
      <c r="E391" t="s">
        <v>836</v>
      </c>
      <c r="F391" t="s">
        <v>837</v>
      </c>
      <c r="G391" t="s">
        <v>838</v>
      </c>
      <c r="H391" t="s">
        <v>66</v>
      </c>
      <c r="I391">
        <f>ROUND(57/100,9)</f>
        <v>0.56999999999999995</v>
      </c>
      <c r="J391">
        <v>0</v>
      </c>
      <c r="O391">
        <f t="shared" si="322"/>
        <v>1697.34</v>
      </c>
      <c r="P391">
        <f t="shared" si="323"/>
        <v>397.93</v>
      </c>
      <c r="Q391">
        <f t="shared" si="324"/>
        <v>17.46</v>
      </c>
      <c r="R391">
        <f t="shared" si="325"/>
        <v>2.39</v>
      </c>
      <c r="S391">
        <f t="shared" si="326"/>
        <v>1281.95</v>
      </c>
      <c r="T391">
        <f t="shared" si="327"/>
        <v>0</v>
      </c>
      <c r="U391">
        <f t="shared" si="328"/>
        <v>19.699200000000001</v>
      </c>
      <c r="V391">
        <f t="shared" si="329"/>
        <v>2.8499999999999998E-2</v>
      </c>
      <c r="W391">
        <f t="shared" si="330"/>
        <v>0</v>
      </c>
      <c r="X391">
        <f t="shared" si="331"/>
        <v>1220.1199999999999</v>
      </c>
      <c r="Y391">
        <f t="shared" si="332"/>
        <v>834.82</v>
      </c>
      <c r="AA391">
        <v>16742901</v>
      </c>
      <c r="AB391">
        <f t="shared" si="333"/>
        <v>453.93</v>
      </c>
      <c r="AC391">
        <f t="shared" si="334"/>
        <v>106.42</v>
      </c>
      <c r="AD391">
        <f t="shared" si="335"/>
        <v>4.67</v>
      </c>
      <c r="AE391">
        <f t="shared" si="336"/>
        <v>0.64</v>
      </c>
      <c r="AF391">
        <f t="shared" si="337"/>
        <v>342.84</v>
      </c>
      <c r="AG391">
        <f t="shared" si="338"/>
        <v>0</v>
      </c>
      <c r="AH391">
        <f t="shared" si="339"/>
        <v>34.56</v>
      </c>
      <c r="AI391">
        <f t="shared" si="340"/>
        <v>0.05</v>
      </c>
      <c r="AJ391">
        <f t="shared" si="341"/>
        <v>0</v>
      </c>
      <c r="AK391">
        <v>453.93</v>
      </c>
      <c r="AL391">
        <v>106.42</v>
      </c>
      <c r="AM391">
        <v>4.67</v>
      </c>
      <c r="AN391">
        <v>0.64</v>
      </c>
      <c r="AO391">
        <v>342.84</v>
      </c>
      <c r="AP391">
        <v>0</v>
      </c>
      <c r="AQ391">
        <v>34.56</v>
      </c>
      <c r="AR391">
        <v>0.05</v>
      </c>
      <c r="AS391">
        <v>0</v>
      </c>
      <c r="AT391">
        <v>95</v>
      </c>
      <c r="AU391">
        <v>65</v>
      </c>
      <c r="AV391">
        <v>1</v>
      </c>
      <c r="AW391">
        <v>1</v>
      </c>
      <c r="AZ391">
        <v>6.56</v>
      </c>
      <c r="BA391">
        <v>6.56</v>
      </c>
      <c r="BB391">
        <v>6.56</v>
      </c>
      <c r="BC391">
        <v>6.56</v>
      </c>
      <c r="BD391" t="s">
        <v>6</v>
      </c>
      <c r="BE391" t="s">
        <v>6</v>
      </c>
      <c r="BF391" t="s">
        <v>6</v>
      </c>
      <c r="BG391" t="s">
        <v>6</v>
      </c>
      <c r="BH391">
        <v>0</v>
      </c>
      <c r="BI391">
        <v>2</v>
      </c>
      <c r="BJ391" t="s">
        <v>839</v>
      </c>
      <c r="BM391">
        <v>108001</v>
      </c>
      <c r="BN391">
        <v>0</v>
      </c>
      <c r="BO391" t="s">
        <v>6</v>
      </c>
      <c r="BP391">
        <v>0</v>
      </c>
      <c r="BQ391">
        <v>3</v>
      </c>
      <c r="BR391">
        <v>0</v>
      </c>
      <c r="BS391">
        <v>6.56</v>
      </c>
      <c r="BT391">
        <v>1</v>
      </c>
      <c r="BU391">
        <v>1</v>
      </c>
      <c r="BV391">
        <v>1</v>
      </c>
      <c r="BW391">
        <v>1</v>
      </c>
      <c r="BX391">
        <v>1</v>
      </c>
      <c r="BY391" t="s">
        <v>6</v>
      </c>
      <c r="BZ391">
        <v>95</v>
      </c>
      <c r="CA391">
        <v>65</v>
      </c>
      <c r="CF391">
        <v>0</v>
      </c>
      <c r="CG391">
        <v>0</v>
      </c>
      <c r="CM391">
        <v>0</v>
      </c>
      <c r="CN391" t="s">
        <v>6</v>
      </c>
      <c r="CO391">
        <v>0</v>
      </c>
      <c r="CP391">
        <f t="shared" si="342"/>
        <v>1697.3400000000001</v>
      </c>
      <c r="CQ391">
        <f t="shared" si="343"/>
        <v>698.11519999999996</v>
      </c>
      <c r="CR391">
        <f t="shared" si="344"/>
        <v>30.635199999999998</v>
      </c>
      <c r="CS391">
        <f t="shared" si="345"/>
        <v>4.1983999999999995</v>
      </c>
      <c r="CT391">
        <f t="shared" si="346"/>
        <v>2249.0303999999996</v>
      </c>
      <c r="CU391">
        <f t="shared" si="347"/>
        <v>0</v>
      </c>
      <c r="CV391">
        <f t="shared" si="348"/>
        <v>34.56</v>
      </c>
      <c r="CW391">
        <f t="shared" si="349"/>
        <v>0.05</v>
      </c>
      <c r="CX391">
        <f t="shared" si="350"/>
        <v>0</v>
      </c>
      <c r="CY391">
        <f t="shared" si="351"/>
        <v>1220.1230000000003</v>
      </c>
      <c r="CZ391">
        <f t="shared" si="352"/>
        <v>834.82100000000003</v>
      </c>
      <c r="DC391" t="s">
        <v>6</v>
      </c>
      <c r="DD391" t="s">
        <v>6</v>
      </c>
      <c r="DE391" t="s">
        <v>6</v>
      </c>
      <c r="DF391" t="s">
        <v>6</v>
      </c>
      <c r="DG391" t="s">
        <v>6</v>
      </c>
      <c r="DH391" t="s">
        <v>6</v>
      </c>
      <c r="DI391" t="s">
        <v>6</v>
      </c>
      <c r="DJ391" t="s">
        <v>6</v>
      </c>
      <c r="DK391" t="s">
        <v>6</v>
      </c>
      <c r="DL391" t="s">
        <v>6</v>
      </c>
      <c r="DM391" t="s">
        <v>6</v>
      </c>
      <c r="DN391">
        <v>0</v>
      </c>
      <c r="DO391">
        <v>0</v>
      </c>
      <c r="DP391">
        <v>1</v>
      </c>
      <c r="DQ391">
        <v>1</v>
      </c>
      <c r="DU391">
        <v>1013</v>
      </c>
      <c r="DV391" t="s">
        <v>66</v>
      </c>
      <c r="DW391" t="s">
        <v>66</v>
      </c>
      <c r="DX391">
        <v>1</v>
      </c>
      <c r="EE391">
        <v>16510370</v>
      </c>
      <c r="EF391">
        <v>3</v>
      </c>
      <c r="EG391" t="s">
        <v>83</v>
      </c>
      <c r="EH391">
        <v>0</v>
      </c>
      <c r="EI391" t="s">
        <v>6</v>
      </c>
      <c r="EJ391">
        <v>2</v>
      </c>
      <c r="EK391">
        <v>108001</v>
      </c>
      <c r="EL391" t="s">
        <v>84</v>
      </c>
      <c r="EM391" t="s">
        <v>85</v>
      </c>
      <c r="EO391" t="s">
        <v>6</v>
      </c>
      <c r="EQ391">
        <v>131072</v>
      </c>
      <c r="ER391">
        <v>453.93</v>
      </c>
      <c r="ES391">
        <v>106.42</v>
      </c>
      <c r="ET391">
        <v>4.67</v>
      </c>
      <c r="EU391">
        <v>0.64</v>
      </c>
      <c r="EV391">
        <v>342.84</v>
      </c>
      <c r="EW391">
        <v>34.56</v>
      </c>
      <c r="EX391">
        <v>0.05</v>
      </c>
      <c r="EY391">
        <v>0</v>
      </c>
      <c r="FQ391">
        <v>0</v>
      </c>
      <c r="FR391">
        <f t="shared" si="353"/>
        <v>0</v>
      </c>
      <c r="FS391">
        <v>0</v>
      </c>
      <c r="FX391">
        <v>95</v>
      </c>
      <c r="FY391">
        <v>65</v>
      </c>
      <c r="GA391" t="s">
        <v>6</v>
      </c>
      <c r="GD391">
        <v>0</v>
      </c>
      <c r="GF391">
        <v>1188648583</v>
      </c>
      <c r="GG391">
        <v>1</v>
      </c>
      <c r="GH391">
        <v>1</v>
      </c>
      <c r="GI391">
        <v>4</v>
      </c>
      <c r="GJ391">
        <v>0</v>
      </c>
      <c r="GK391">
        <f>ROUND(R391*(R12)/100,2)</f>
        <v>0</v>
      </c>
      <c r="GL391">
        <f t="shared" si="354"/>
        <v>0</v>
      </c>
      <c r="GM391">
        <f t="shared" si="355"/>
        <v>3752.28</v>
      </c>
      <c r="GN391">
        <f t="shared" si="356"/>
        <v>0</v>
      </c>
      <c r="GO391">
        <f t="shared" si="357"/>
        <v>3752.28</v>
      </c>
      <c r="GP391">
        <f t="shared" si="358"/>
        <v>0</v>
      </c>
      <c r="GR391">
        <v>0</v>
      </c>
      <c r="GS391">
        <v>3</v>
      </c>
      <c r="GT391">
        <v>0</v>
      </c>
      <c r="GU391" t="s">
        <v>6</v>
      </c>
      <c r="GV391">
        <f t="shared" si="359"/>
        <v>0</v>
      </c>
      <c r="GW391">
        <v>1</v>
      </c>
      <c r="GX391">
        <f t="shared" si="360"/>
        <v>0</v>
      </c>
      <c r="HA391">
        <v>0</v>
      </c>
      <c r="HB391">
        <v>0</v>
      </c>
      <c r="IK391">
        <v>0</v>
      </c>
    </row>
    <row r="392" spans="1:245" x14ac:dyDescent="0.2">
      <c r="A392">
        <v>18</v>
      </c>
      <c r="B392">
        <v>1</v>
      </c>
      <c r="C392">
        <v>615</v>
      </c>
      <c r="E392" t="s">
        <v>840</v>
      </c>
      <c r="F392" t="s">
        <v>841</v>
      </c>
      <c r="G392" t="s">
        <v>842</v>
      </c>
      <c r="H392" t="s">
        <v>843</v>
      </c>
      <c r="I392">
        <f>I391*J392</f>
        <v>0.52</v>
      </c>
      <c r="J392">
        <v>0.91228070175438603</v>
      </c>
      <c r="O392">
        <f t="shared" si="322"/>
        <v>1968.26</v>
      </c>
      <c r="P392">
        <f t="shared" si="323"/>
        <v>1968.26</v>
      </c>
      <c r="Q392">
        <f t="shared" si="324"/>
        <v>0</v>
      </c>
      <c r="R392">
        <f t="shared" si="325"/>
        <v>0</v>
      </c>
      <c r="S392">
        <f t="shared" si="326"/>
        <v>0</v>
      </c>
      <c r="T392">
        <f t="shared" si="327"/>
        <v>0</v>
      </c>
      <c r="U392">
        <f t="shared" si="328"/>
        <v>0</v>
      </c>
      <c r="V392">
        <f t="shared" si="329"/>
        <v>0</v>
      </c>
      <c r="W392">
        <f t="shared" si="330"/>
        <v>0</v>
      </c>
      <c r="X392">
        <f t="shared" si="331"/>
        <v>0</v>
      </c>
      <c r="Y392">
        <f t="shared" si="332"/>
        <v>0</v>
      </c>
      <c r="AA392">
        <v>16742901</v>
      </c>
      <c r="AB392">
        <f t="shared" si="333"/>
        <v>577</v>
      </c>
      <c r="AC392">
        <f t="shared" si="334"/>
        <v>577</v>
      </c>
      <c r="AD392">
        <f t="shared" si="335"/>
        <v>0</v>
      </c>
      <c r="AE392">
        <f t="shared" si="336"/>
        <v>0</v>
      </c>
      <c r="AF392">
        <f t="shared" si="337"/>
        <v>0</v>
      </c>
      <c r="AG392">
        <f t="shared" si="338"/>
        <v>0</v>
      </c>
      <c r="AH392">
        <f t="shared" si="339"/>
        <v>0</v>
      </c>
      <c r="AI392">
        <f t="shared" si="340"/>
        <v>0</v>
      </c>
      <c r="AJ392">
        <f t="shared" si="341"/>
        <v>0</v>
      </c>
      <c r="AK392">
        <v>577</v>
      </c>
      <c r="AL392">
        <v>577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95</v>
      </c>
      <c r="AU392">
        <v>65</v>
      </c>
      <c r="AV392">
        <v>1</v>
      </c>
      <c r="AW392">
        <v>1</v>
      </c>
      <c r="AZ392">
        <v>6.56</v>
      </c>
      <c r="BA392">
        <v>1</v>
      </c>
      <c r="BB392">
        <v>1</v>
      </c>
      <c r="BC392">
        <v>6.56</v>
      </c>
      <c r="BD392" t="s">
        <v>6</v>
      </c>
      <c r="BE392" t="s">
        <v>6</v>
      </c>
      <c r="BF392" t="s">
        <v>6</v>
      </c>
      <c r="BG392" t="s">
        <v>6</v>
      </c>
      <c r="BH392">
        <v>3</v>
      </c>
      <c r="BI392">
        <v>2</v>
      </c>
      <c r="BJ392" t="s">
        <v>844</v>
      </c>
      <c r="BM392">
        <v>108001</v>
      </c>
      <c r="BN392">
        <v>0</v>
      </c>
      <c r="BO392" t="s">
        <v>6</v>
      </c>
      <c r="BP392">
        <v>0</v>
      </c>
      <c r="BQ392">
        <v>3</v>
      </c>
      <c r="BR392">
        <v>0</v>
      </c>
      <c r="BS392">
        <v>1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6</v>
      </c>
      <c r="BZ392">
        <v>95</v>
      </c>
      <c r="CA392">
        <v>65</v>
      </c>
      <c r="CF392">
        <v>0</v>
      </c>
      <c r="CG392">
        <v>0</v>
      </c>
      <c r="CM392">
        <v>0</v>
      </c>
      <c r="CN392" t="s">
        <v>6</v>
      </c>
      <c r="CO392">
        <v>0</v>
      </c>
      <c r="CP392">
        <f t="shared" si="342"/>
        <v>1968.26</v>
      </c>
      <c r="CQ392">
        <f t="shared" si="343"/>
        <v>3785.12</v>
      </c>
      <c r="CR392">
        <f t="shared" si="344"/>
        <v>0</v>
      </c>
      <c r="CS392">
        <f t="shared" si="345"/>
        <v>0</v>
      </c>
      <c r="CT392">
        <f t="shared" si="346"/>
        <v>0</v>
      </c>
      <c r="CU392">
        <f t="shared" si="347"/>
        <v>0</v>
      </c>
      <c r="CV392">
        <f t="shared" si="348"/>
        <v>0</v>
      </c>
      <c r="CW392">
        <f t="shared" si="349"/>
        <v>0</v>
      </c>
      <c r="CX392">
        <f t="shared" si="350"/>
        <v>0</v>
      </c>
      <c r="CY392">
        <f t="shared" si="351"/>
        <v>0</v>
      </c>
      <c r="CZ392">
        <f t="shared" si="352"/>
        <v>0</v>
      </c>
      <c r="DC392" t="s">
        <v>6</v>
      </c>
      <c r="DD392" t="s">
        <v>6</v>
      </c>
      <c r="DE392" t="s">
        <v>6</v>
      </c>
      <c r="DF392" t="s">
        <v>6</v>
      </c>
      <c r="DG392" t="s">
        <v>6</v>
      </c>
      <c r="DH392" t="s">
        <v>6</v>
      </c>
      <c r="DI392" t="s">
        <v>6</v>
      </c>
      <c r="DJ392" t="s">
        <v>6</v>
      </c>
      <c r="DK392" t="s">
        <v>6</v>
      </c>
      <c r="DL392" t="s">
        <v>6</v>
      </c>
      <c r="DM392" t="s">
        <v>6</v>
      </c>
      <c r="DN392">
        <v>0</v>
      </c>
      <c r="DO392">
        <v>0</v>
      </c>
      <c r="DP392">
        <v>1</v>
      </c>
      <c r="DQ392">
        <v>1</v>
      </c>
      <c r="DU392">
        <v>1010</v>
      </c>
      <c r="DV392" t="s">
        <v>843</v>
      </c>
      <c r="DW392" t="s">
        <v>843</v>
      </c>
      <c r="DX392">
        <v>100</v>
      </c>
      <c r="EE392">
        <v>16510370</v>
      </c>
      <c r="EF392">
        <v>3</v>
      </c>
      <c r="EG392" t="s">
        <v>83</v>
      </c>
      <c r="EH392">
        <v>0</v>
      </c>
      <c r="EI392" t="s">
        <v>6</v>
      </c>
      <c r="EJ392">
        <v>2</v>
      </c>
      <c r="EK392">
        <v>108001</v>
      </c>
      <c r="EL392" t="s">
        <v>84</v>
      </c>
      <c r="EM392" t="s">
        <v>85</v>
      </c>
      <c r="EO392" t="s">
        <v>6</v>
      </c>
      <c r="EQ392">
        <v>0</v>
      </c>
      <c r="ER392">
        <v>577</v>
      </c>
      <c r="ES392">
        <v>577</v>
      </c>
      <c r="ET392">
        <v>0</v>
      </c>
      <c r="EU392">
        <v>0</v>
      </c>
      <c r="EV392">
        <v>0</v>
      </c>
      <c r="EW392">
        <v>0</v>
      </c>
      <c r="EX392">
        <v>0</v>
      </c>
      <c r="FQ392">
        <v>0</v>
      </c>
      <c r="FR392">
        <f t="shared" si="353"/>
        <v>0</v>
      </c>
      <c r="FS392">
        <v>0</v>
      </c>
      <c r="FX392">
        <v>95</v>
      </c>
      <c r="FY392">
        <v>65</v>
      </c>
      <c r="GA392" t="s">
        <v>6</v>
      </c>
      <c r="GD392">
        <v>0</v>
      </c>
      <c r="GF392">
        <v>833885235</v>
      </c>
      <c r="GG392">
        <v>1</v>
      </c>
      <c r="GH392">
        <v>1</v>
      </c>
      <c r="GI392">
        <v>4</v>
      </c>
      <c r="GJ392">
        <v>0</v>
      </c>
      <c r="GK392">
        <f>ROUND(R392*(R12)/100,2)</f>
        <v>0</v>
      </c>
      <c r="GL392">
        <f t="shared" si="354"/>
        <v>0</v>
      </c>
      <c r="GM392">
        <f t="shared" si="355"/>
        <v>1968.26</v>
      </c>
      <c r="GN392">
        <f t="shared" si="356"/>
        <v>0</v>
      </c>
      <c r="GO392">
        <f t="shared" si="357"/>
        <v>1968.26</v>
      </c>
      <c r="GP392">
        <f t="shared" si="358"/>
        <v>0</v>
      </c>
      <c r="GR392">
        <v>0</v>
      </c>
      <c r="GS392">
        <v>3</v>
      </c>
      <c r="GT392">
        <v>0</v>
      </c>
      <c r="GU392" t="s">
        <v>6</v>
      </c>
      <c r="GV392">
        <f t="shared" si="359"/>
        <v>0</v>
      </c>
      <c r="GW392">
        <v>1</v>
      </c>
      <c r="GX392">
        <f t="shared" si="360"/>
        <v>0</v>
      </c>
      <c r="HA392">
        <v>0</v>
      </c>
      <c r="HB392">
        <v>0</v>
      </c>
      <c r="IK392">
        <v>0</v>
      </c>
    </row>
    <row r="393" spans="1:245" x14ac:dyDescent="0.2">
      <c r="A393">
        <v>18</v>
      </c>
      <c r="B393">
        <v>1</v>
      </c>
      <c r="C393">
        <v>616</v>
      </c>
      <c r="E393" t="s">
        <v>845</v>
      </c>
      <c r="F393" t="s">
        <v>846</v>
      </c>
      <c r="G393" t="s">
        <v>847</v>
      </c>
      <c r="H393" t="s">
        <v>843</v>
      </c>
      <c r="I393">
        <f>I391*J393</f>
        <v>0.05</v>
      </c>
      <c r="J393">
        <v>8.7719298245614044E-2</v>
      </c>
      <c r="O393">
        <f t="shared" si="322"/>
        <v>294.87</v>
      </c>
      <c r="P393">
        <f t="shared" si="323"/>
        <v>294.87</v>
      </c>
      <c r="Q393">
        <f t="shared" si="324"/>
        <v>0</v>
      </c>
      <c r="R393">
        <f t="shared" si="325"/>
        <v>0</v>
      </c>
      <c r="S393">
        <f t="shared" si="326"/>
        <v>0</v>
      </c>
      <c r="T393">
        <f t="shared" si="327"/>
        <v>0</v>
      </c>
      <c r="U393">
        <f t="shared" si="328"/>
        <v>0</v>
      </c>
      <c r="V393">
        <f t="shared" si="329"/>
        <v>0</v>
      </c>
      <c r="W393">
        <f t="shared" si="330"/>
        <v>0</v>
      </c>
      <c r="X393">
        <f t="shared" si="331"/>
        <v>0</v>
      </c>
      <c r="Y393">
        <f t="shared" si="332"/>
        <v>0</v>
      </c>
      <c r="AA393">
        <v>16742901</v>
      </c>
      <c r="AB393">
        <f t="shared" si="333"/>
        <v>899</v>
      </c>
      <c r="AC393">
        <f t="shared" si="334"/>
        <v>899</v>
      </c>
      <c r="AD393">
        <f t="shared" si="335"/>
        <v>0</v>
      </c>
      <c r="AE393">
        <f t="shared" si="336"/>
        <v>0</v>
      </c>
      <c r="AF393">
        <f t="shared" si="337"/>
        <v>0</v>
      </c>
      <c r="AG393">
        <f t="shared" si="338"/>
        <v>0</v>
      </c>
      <c r="AH393">
        <f t="shared" si="339"/>
        <v>0</v>
      </c>
      <c r="AI393">
        <f t="shared" si="340"/>
        <v>0</v>
      </c>
      <c r="AJ393">
        <f t="shared" si="341"/>
        <v>0</v>
      </c>
      <c r="AK393">
        <v>899</v>
      </c>
      <c r="AL393">
        <v>899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95</v>
      </c>
      <c r="AU393">
        <v>65</v>
      </c>
      <c r="AV393">
        <v>1</v>
      </c>
      <c r="AW393">
        <v>1</v>
      </c>
      <c r="AZ393">
        <v>6.56</v>
      </c>
      <c r="BA393">
        <v>1</v>
      </c>
      <c r="BB393">
        <v>1</v>
      </c>
      <c r="BC393">
        <v>6.56</v>
      </c>
      <c r="BD393" t="s">
        <v>6</v>
      </c>
      <c r="BE393" t="s">
        <v>6</v>
      </c>
      <c r="BF393" t="s">
        <v>6</v>
      </c>
      <c r="BG393" t="s">
        <v>6</v>
      </c>
      <c r="BH393">
        <v>3</v>
      </c>
      <c r="BI393">
        <v>2</v>
      </c>
      <c r="BJ393" t="s">
        <v>848</v>
      </c>
      <c r="BM393">
        <v>108001</v>
      </c>
      <c r="BN393">
        <v>0</v>
      </c>
      <c r="BO393" t="s">
        <v>6</v>
      </c>
      <c r="BP393">
        <v>0</v>
      </c>
      <c r="BQ393">
        <v>3</v>
      </c>
      <c r="BR393">
        <v>0</v>
      </c>
      <c r="BS393">
        <v>1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6</v>
      </c>
      <c r="BZ393">
        <v>95</v>
      </c>
      <c r="CA393">
        <v>65</v>
      </c>
      <c r="CF393">
        <v>0</v>
      </c>
      <c r="CG393">
        <v>0</v>
      </c>
      <c r="CM393">
        <v>0</v>
      </c>
      <c r="CN393" t="s">
        <v>6</v>
      </c>
      <c r="CO393">
        <v>0</v>
      </c>
      <c r="CP393">
        <f t="shared" si="342"/>
        <v>294.87</v>
      </c>
      <c r="CQ393">
        <f t="shared" si="343"/>
        <v>5897.44</v>
      </c>
      <c r="CR393">
        <f t="shared" si="344"/>
        <v>0</v>
      </c>
      <c r="CS393">
        <f t="shared" si="345"/>
        <v>0</v>
      </c>
      <c r="CT393">
        <f t="shared" si="346"/>
        <v>0</v>
      </c>
      <c r="CU393">
        <f t="shared" si="347"/>
        <v>0</v>
      </c>
      <c r="CV393">
        <f t="shared" si="348"/>
        <v>0</v>
      </c>
      <c r="CW393">
        <f t="shared" si="349"/>
        <v>0</v>
      </c>
      <c r="CX393">
        <f t="shared" si="350"/>
        <v>0</v>
      </c>
      <c r="CY393">
        <f t="shared" si="351"/>
        <v>0</v>
      </c>
      <c r="CZ393">
        <f t="shared" si="352"/>
        <v>0</v>
      </c>
      <c r="DC393" t="s">
        <v>6</v>
      </c>
      <c r="DD393" t="s">
        <v>6</v>
      </c>
      <c r="DE393" t="s">
        <v>6</v>
      </c>
      <c r="DF393" t="s">
        <v>6</v>
      </c>
      <c r="DG393" t="s">
        <v>6</v>
      </c>
      <c r="DH393" t="s">
        <v>6</v>
      </c>
      <c r="DI393" t="s">
        <v>6</v>
      </c>
      <c r="DJ393" t="s">
        <v>6</v>
      </c>
      <c r="DK393" t="s">
        <v>6</v>
      </c>
      <c r="DL393" t="s">
        <v>6</v>
      </c>
      <c r="DM393" t="s">
        <v>6</v>
      </c>
      <c r="DN393">
        <v>0</v>
      </c>
      <c r="DO393">
        <v>0</v>
      </c>
      <c r="DP393">
        <v>1</v>
      </c>
      <c r="DQ393">
        <v>1</v>
      </c>
      <c r="DU393">
        <v>1010</v>
      </c>
      <c r="DV393" t="s">
        <v>843</v>
      </c>
      <c r="DW393" t="s">
        <v>843</v>
      </c>
      <c r="DX393">
        <v>100</v>
      </c>
      <c r="EE393">
        <v>16510370</v>
      </c>
      <c r="EF393">
        <v>3</v>
      </c>
      <c r="EG393" t="s">
        <v>83</v>
      </c>
      <c r="EH393">
        <v>0</v>
      </c>
      <c r="EI393" t="s">
        <v>6</v>
      </c>
      <c r="EJ393">
        <v>2</v>
      </c>
      <c r="EK393">
        <v>108001</v>
      </c>
      <c r="EL393" t="s">
        <v>84</v>
      </c>
      <c r="EM393" t="s">
        <v>85</v>
      </c>
      <c r="EO393" t="s">
        <v>6</v>
      </c>
      <c r="EQ393">
        <v>0</v>
      </c>
      <c r="ER393">
        <v>899</v>
      </c>
      <c r="ES393">
        <v>899</v>
      </c>
      <c r="ET393">
        <v>0</v>
      </c>
      <c r="EU393">
        <v>0</v>
      </c>
      <c r="EV393">
        <v>0</v>
      </c>
      <c r="EW393">
        <v>0</v>
      </c>
      <c r="EX393">
        <v>0</v>
      </c>
      <c r="FQ393">
        <v>0</v>
      </c>
      <c r="FR393">
        <f t="shared" si="353"/>
        <v>0</v>
      </c>
      <c r="FS393">
        <v>0</v>
      </c>
      <c r="FX393">
        <v>95</v>
      </c>
      <c r="FY393">
        <v>65</v>
      </c>
      <c r="GA393" t="s">
        <v>6</v>
      </c>
      <c r="GD393">
        <v>0</v>
      </c>
      <c r="GF393">
        <v>1906000849</v>
      </c>
      <c r="GG393">
        <v>1</v>
      </c>
      <c r="GH393">
        <v>1</v>
      </c>
      <c r="GI393">
        <v>4</v>
      </c>
      <c r="GJ393">
        <v>0</v>
      </c>
      <c r="GK393">
        <f>ROUND(R393*(R12)/100,2)</f>
        <v>0</v>
      </c>
      <c r="GL393">
        <f t="shared" si="354"/>
        <v>0</v>
      </c>
      <c r="GM393">
        <f t="shared" si="355"/>
        <v>294.87</v>
      </c>
      <c r="GN393">
        <f t="shared" si="356"/>
        <v>0</v>
      </c>
      <c r="GO393">
        <f t="shared" si="357"/>
        <v>294.87</v>
      </c>
      <c r="GP393">
        <f t="shared" si="358"/>
        <v>0</v>
      </c>
      <c r="GR393">
        <v>0</v>
      </c>
      <c r="GS393">
        <v>3</v>
      </c>
      <c r="GT393">
        <v>0</v>
      </c>
      <c r="GU393" t="s">
        <v>6</v>
      </c>
      <c r="GV393">
        <f t="shared" si="359"/>
        <v>0</v>
      </c>
      <c r="GW393">
        <v>1</v>
      </c>
      <c r="GX393">
        <f t="shared" si="360"/>
        <v>0</v>
      </c>
      <c r="HA393">
        <v>0</v>
      </c>
      <c r="HB393">
        <v>0</v>
      </c>
      <c r="IK393">
        <v>0</v>
      </c>
    </row>
    <row r="394" spans="1:245" x14ac:dyDescent="0.2">
      <c r="A394">
        <v>17</v>
      </c>
      <c r="B394">
        <v>1</v>
      </c>
      <c r="C394">
        <f>ROW(SmtRes!A628)</f>
        <v>628</v>
      </c>
      <c r="D394">
        <f>ROW(EtalonRes!A582)</f>
        <v>582</v>
      </c>
      <c r="E394" t="s">
        <v>849</v>
      </c>
      <c r="F394" t="s">
        <v>850</v>
      </c>
      <c r="G394" t="s">
        <v>851</v>
      </c>
      <c r="H394" t="s">
        <v>66</v>
      </c>
      <c r="I394">
        <f>ROUND(2/100,9)</f>
        <v>0.02</v>
      </c>
      <c r="J394">
        <v>0</v>
      </c>
      <c r="O394">
        <f t="shared" si="322"/>
        <v>101.07</v>
      </c>
      <c r="P394">
        <f t="shared" si="323"/>
        <v>16.809999999999999</v>
      </c>
      <c r="Q394">
        <f t="shared" si="324"/>
        <v>5.0199999999999996</v>
      </c>
      <c r="R394">
        <f t="shared" si="325"/>
        <v>0.26</v>
      </c>
      <c r="S394">
        <f t="shared" si="326"/>
        <v>79.239999999999995</v>
      </c>
      <c r="T394">
        <f t="shared" si="327"/>
        <v>0</v>
      </c>
      <c r="U394">
        <f t="shared" si="328"/>
        <v>1.2176</v>
      </c>
      <c r="V394">
        <f t="shared" si="329"/>
        <v>3.2000000000000002E-3</v>
      </c>
      <c r="W394">
        <f t="shared" si="330"/>
        <v>0</v>
      </c>
      <c r="X394">
        <f t="shared" si="331"/>
        <v>75.53</v>
      </c>
      <c r="Y394">
        <f t="shared" si="332"/>
        <v>51.68</v>
      </c>
      <c r="AA394">
        <v>16742901</v>
      </c>
      <c r="AB394">
        <f t="shared" si="333"/>
        <v>770.35</v>
      </c>
      <c r="AC394">
        <f t="shared" si="334"/>
        <v>128.13999999999999</v>
      </c>
      <c r="AD394">
        <f t="shared" si="335"/>
        <v>38.28</v>
      </c>
      <c r="AE394">
        <f t="shared" si="336"/>
        <v>2.0099999999999998</v>
      </c>
      <c r="AF394">
        <f t="shared" si="337"/>
        <v>603.92999999999995</v>
      </c>
      <c r="AG394">
        <f t="shared" si="338"/>
        <v>0</v>
      </c>
      <c r="AH394">
        <f t="shared" si="339"/>
        <v>60.88</v>
      </c>
      <c r="AI394">
        <f t="shared" si="340"/>
        <v>0.16</v>
      </c>
      <c r="AJ394">
        <f t="shared" si="341"/>
        <v>0</v>
      </c>
      <c r="AK394">
        <v>770.35</v>
      </c>
      <c r="AL394">
        <v>128.13999999999999</v>
      </c>
      <c r="AM394">
        <v>38.28</v>
      </c>
      <c r="AN394">
        <v>2.0099999999999998</v>
      </c>
      <c r="AO394">
        <v>603.92999999999995</v>
      </c>
      <c r="AP394">
        <v>0</v>
      </c>
      <c r="AQ394">
        <v>60.88</v>
      </c>
      <c r="AR394">
        <v>0.16</v>
      </c>
      <c r="AS394">
        <v>0</v>
      </c>
      <c r="AT394">
        <v>95</v>
      </c>
      <c r="AU394">
        <v>65</v>
      </c>
      <c r="AV394">
        <v>1</v>
      </c>
      <c r="AW394">
        <v>1</v>
      </c>
      <c r="AZ394">
        <v>6.56</v>
      </c>
      <c r="BA394">
        <v>6.56</v>
      </c>
      <c r="BB394">
        <v>6.56</v>
      </c>
      <c r="BC394">
        <v>6.56</v>
      </c>
      <c r="BD394" t="s">
        <v>6</v>
      </c>
      <c r="BE394" t="s">
        <v>6</v>
      </c>
      <c r="BF394" t="s">
        <v>6</v>
      </c>
      <c r="BG394" t="s">
        <v>6</v>
      </c>
      <c r="BH394">
        <v>0</v>
      </c>
      <c r="BI394">
        <v>2</v>
      </c>
      <c r="BJ394" t="s">
        <v>852</v>
      </c>
      <c r="BM394">
        <v>108001</v>
      </c>
      <c r="BN394">
        <v>0</v>
      </c>
      <c r="BO394" t="s">
        <v>6</v>
      </c>
      <c r="BP394">
        <v>0</v>
      </c>
      <c r="BQ394">
        <v>3</v>
      </c>
      <c r="BR394">
        <v>0</v>
      </c>
      <c r="BS394">
        <v>6.56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6</v>
      </c>
      <c r="BZ394">
        <v>95</v>
      </c>
      <c r="CA394">
        <v>65</v>
      </c>
      <c r="CF394">
        <v>0</v>
      </c>
      <c r="CG394">
        <v>0</v>
      </c>
      <c r="CM394">
        <v>0</v>
      </c>
      <c r="CN394" t="s">
        <v>6</v>
      </c>
      <c r="CO394">
        <v>0</v>
      </c>
      <c r="CP394">
        <f t="shared" si="342"/>
        <v>101.07</v>
      </c>
      <c r="CQ394">
        <f t="shared" si="343"/>
        <v>840.59839999999986</v>
      </c>
      <c r="CR394">
        <f t="shared" si="344"/>
        <v>251.11679999999998</v>
      </c>
      <c r="CS394">
        <f t="shared" si="345"/>
        <v>13.185599999999997</v>
      </c>
      <c r="CT394">
        <f t="shared" si="346"/>
        <v>3961.7807999999995</v>
      </c>
      <c r="CU394">
        <f t="shared" si="347"/>
        <v>0</v>
      </c>
      <c r="CV394">
        <f t="shared" si="348"/>
        <v>60.88</v>
      </c>
      <c r="CW394">
        <f t="shared" si="349"/>
        <v>0.16</v>
      </c>
      <c r="CX394">
        <f t="shared" si="350"/>
        <v>0</v>
      </c>
      <c r="CY394">
        <f t="shared" si="351"/>
        <v>75.525000000000006</v>
      </c>
      <c r="CZ394">
        <f t="shared" si="352"/>
        <v>51.674999999999997</v>
      </c>
      <c r="DC394" t="s">
        <v>6</v>
      </c>
      <c r="DD394" t="s">
        <v>6</v>
      </c>
      <c r="DE394" t="s">
        <v>6</v>
      </c>
      <c r="DF394" t="s">
        <v>6</v>
      </c>
      <c r="DG394" t="s">
        <v>6</v>
      </c>
      <c r="DH394" t="s">
        <v>6</v>
      </c>
      <c r="DI394" t="s">
        <v>6</v>
      </c>
      <c r="DJ394" t="s">
        <v>6</v>
      </c>
      <c r="DK394" t="s">
        <v>6</v>
      </c>
      <c r="DL394" t="s">
        <v>6</v>
      </c>
      <c r="DM394" t="s">
        <v>6</v>
      </c>
      <c r="DN394">
        <v>0</v>
      </c>
      <c r="DO394">
        <v>0</v>
      </c>
      <c r="DP394">
        <v>1</v>
      </c>
      <c r="DQ394">
        <v>1</v>
      </c>
      <c r="DU394">
        <v>1013</v>
      </c>
      <c r="DV394" t="s">
        <v>66</v>
      </c>
      <c r="DW394" t="s">
        <v>66</v>
      </c>
      <c r="DX394">
        <v>1</v>
      </c>
      <c r="EE394">
        <v>16510370</v>
      </c>
      <c r="EF394">
        <v>3</v>
      </c>
      <c r="EG394" t="s">
        <v>83</v>
      </c>
      <c r="EH394">
        <v>0</v>
      </c>
      <c r="EI394" t="s">
        <v>6</v>
      </c>
      <c r="EJ394">
        <v>2</v>
      </c>
      <c r="EK394">
        <v>108001</v>
      </c>
      <c r="EL394" t="s">
        <v>84</v>
      </c>
      <c r="EM394" t="s">
        <v>85</v>
      </c>
      <c r="EO394" t="s">
        <v>6</v>
      </c>
      <c r="EQ394">
        <v>131072</v>
      </c>
      <c r="ER394">
        <v>770.35</v>
      </c>
      <c r="ES394">
        <v>128.13999999999999</v>
      </c>
      <c r="ET394">
        <v>38.28</v>
      </c>
      <c r="EU394">
        <v>2.0099999999999998</v>
      </c>
      <c r="EV394">
        <v>603.92999999999995</v>
      </c>
      <c r="EW394">
        <v>60.88</v>
      </c>
      <c r="EX394">
        <v>0.16</v>
      </c>
      <c r="EY394">
        <v>0</v>
      </c>
      <c r="FQ394">
        <v>0</v>
      </c>
      <c r="FR394">
        <f t="shared" si="353"/>
        <v>0</v>
      </c>
      <c r="FS394">
        <v>0</v>
      </c>
      <c r="FX394">
        <v>95</v>
      </c>
      <c r="FY394">
        <v>65</v>
      </c>
      <c r="GA394" t="s">
        <v>6</v>
      </c>
      <c r="GD394">
        <v>0</v>
      </c>
      <c r="GF394">
        <v>1485613327</v>
      </c>
      <c r="GG394">
        <v>1</v>
      </c>
      <c r="GH394">
        <v>1</v>
      </c>
      <c r="GI394">
        <v>4</v>
      </c>
      <c r="GJ394">
        <v>0</v>
      </c>
      <c r="GK394">
        <f>ROUND(R394*(R12)/100,2)</f>
        <v>0</v>
      </c>
      <c r="GL394">
        <f t="shared" si="354"/>
        <v>0</v>
      </c>
      <c r="GM394">
        <f t="shared" si="355"/>
        <v>228.28</v>
      </c>
      <c r="GN394">
        <f t="shared" si="356"/>
        <v>0</v>
      </c>
      <c r="GO394">
        <f t="shared" si="357"/>
        <v>228.28</v>
      </c>
      <c r="GP394">
        <f t="shared" si="358"/>
        <v>0</v>
      </c>
      <c r="GR394">
        <v>0</v>
      </c>
      <c r="GS394">
        <v>3</v>
      </c>
      <c r="GT394">
        <v>0</v>
      </c>
      <c r="GU394" t="s">
        <v>6</v>
      </c>
      <c r="GV394">
        <f t="shared" si="359"/>
        <v>0</v>
      </c>
      <c r="GW394">
        <v>1</v>
      </c>
      <c r="GX394">
        <f t="shared" si="360"/>
        <v>0</v>
      </c>
      <c r="HA394">
        <v>0</v>
      </c>
      <c r="HB394">
        <v>0</v>
      </c>
      <c r="IK394">
        <v>0</v>
      </c>
    </row>
    <row r="395" spans="1:245" x14ac:dyDescent="0.2">
      <c r="A395">
        <v>18</v>
      </c>
      <c r="B395">
        <v>1</v>
      </c>
      <c r="C395">
        <v>627</v>
      </c>
      <c r="E395" t="s">
        <v>853</v>
      </c>
      <c r="F395" t="s">
        <v>854</v>
      </c>
      <c r="G395" t="s">
        <v>855</v>
      </c>
      <c r="H395" t="s">
        <v>843</v>
      </c>
      <c r="I395">
        <f>I394*J395</f>
        <v>0.02</v>
      </c>
      <c r="J395">
        <v>1</v>
      </c>
      <c r="O395">
        <f t="shared" si="322"/>
        <v>39.770000000000003</v>
      </c>
      <c r="P395">
        <f t="shared" si="323"/>
        <v>39.770000000000003</v>
      </c>
      <c r="Q395">
        <f t="shared" si="324"/>
        <v>0</v>
      </c>
      <c r="R395">
        <f t="shared" si="325"/>
        <v>0</v>
      </c>
      <c r="S395">
        <f t="shared" si="326"/>
        <v>0</v>
      </c>
      <c r="T395">
        <f t="shared" si="327"/>
        <v>0</v>
      </c>
      <c r="U395">
        <f t="shared" si="328"/>
        <v>0</v>
      </c>
      <c r="V395">
        <f t="shared" si="329"/>
        <v>0</v>
      </c>
      <c r="W395">
        <f t="shared" si="330"/>
        <v>0</v>
      </c>
      <c r="X395">
        <f t="shared" si="331"/>
        <v>0</v>
      </c>
      <c r="Y395">
        <f t="shared" si="332"/>
        <v>0</v>
      </c>
      <c r="AA395">
        <v>16742901</v>
      </c>
      <c r="AB395">
        <f t="shared" si="333"/>
        <v>303.13</v>
      </c>
      <c r="AC395">
        <f t="shared" si="334"/>
        <v>303.13</v>
      </c>
      <c r="AD395">
        <f t="shared" si="335"/>
        <v>0</v>
      </c>
      <c r="AE395">
        <f t="shared" si="336"/>
        <v>0</v>
      </c>
      <c r="AF395">
        <f t="shared" si="337"/>
        <v>0</v>
      </c>
      <c r="AG395">
        <f t="shared" si="338"/>
        <v>0</v>
      </c>
      <c r="AH395">
        <f t="shared" si="339"/>
        <v>0</v>
      </c>
      <c r="AI395">
        <f t="shared" si="340"/>
        <v>0</v>
      </c>
      <c r="AJ395">
        <f t="shared" si="341"/>
        <v>0</v>
      </c>
      <c r="AK395">
        <v>303.13</v>
      </c>
      <c r="AL395">
        <v>303.13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95</v>
      </c>
      <c r="AU395">
        <v>65</v>
      </c>
      <c r="AV395">
        <v>1</v>
      </c>
      <c r="AW395">
        <v>1</v>
      </c>
      <c r="AZ395">
        <v>6.56</v>
      </c>
      <c r="BA395">
        <v>1</v>
      </c>
      <c r="BB395">
        <v>1</v>
      </c>
      <c r="BC395">
        <v>6.56</v>
      </c>
      <c r="BD395" t="s">
        <v>6</v>
      </c>
      <c r="BE395" t="s">
        <v>6</v>
      </c>
      <c r="BF395" t="s">
        <v>6</v>
      </c>
      <c r="BG395" t="s">
        <v>6</v>
      </c>
      <c r="BH395">
        <v>3</v>
      </c>
      <c r="BI395">
        <v>2</v>
      </c>
      <c r="BJ395" t="s">
        <v>856</v>
      </c>
      <c r="BM395">
        <v>108001</v>
      </c>
      <c r="BN395">
        <v>0</v>
      </c>
      <c r="BO395" t="s">
        <v>6</v>
      </c>
      <c r="BP395">
        <v>0</v>
      </c>
      <c r="BQ395">
        <v>3</v>
      </c>
      <c r="BR395">
        <v>0</v>
      </c>
      <c r="BS395">
        <v>1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6</v>
      </c>
      <c r="BZ395">
        <v>95</v>
      </c>
      <c r="CA395">
        <v>65</v>
      </c>
      <c r="CF395">
        <v>0</v>
      </c>
      <c r="CG395">
        <v>0</v>
      </c>
      <c r="CM395">
        <v>0</v>
      </c>
      <c r="CN395" t="s">
        <v>6</v>
      </c>
      <c r="CO395">
        <v>0</v>
      </c>
      <c r="CP395">
        <f t="shared" si="342"/>
        <v>39.770000000000003</v>
      </c>
      <c r="CQ395">
        <f t="shared" si="343"/>
        <v>1988.5328</v>
      </c>
      <c r="CR395">
        <f t="shared" si="344"/>
        <v>0</v>
      </c>
      <c r="CS395">
        <f t="shared" si="345"/>
        <v>0</v>
      </c>
      <c r="CT395">
        <f t="shared" si="346"/>
        <v>0</v>
      </c>
      <c r="CU395">
        <f t="shared" si="347"/>
        <v>0</v>
      </c>
      <c r="CV395">
        <f t="shared" si="348"/>
        <v>0</v>
      </c>
      <c r="CW395">
        <f t="shared" si="349"/>
        <v>0</v>
      </c>
      <c r="CX395">
        <f t="shared" si="350"/>
        <v>0</v>
      </c>
      <c r="CY395">
        <f t="shared" si="351"/>
        <v>0</v>
      </c>
      <c r="CZ395">
        <f t="shared" si="352"/>
        <v>0</v>
      </c>
      <c r="DC395" t="s">
        <v>6</v>
      </c>
      <c r="DD395" t="s">
        <v>6</v>
      </c>
      <c r="DE395" t="s">
        <v>6</v>
      </c>
      <c r="DF395" t="s">
        <v>6</v>
      </c>
      <c r="DG395" t="s">
        <v>6</v>
      </c>
      <c r="DH395" t="s">
        <v>6</v>
      </c>
      <c r="DI395" t="s">
        <v>6</v>
      </c>
      <c r="DJ395" t="s">
        <v>6</v>
      </c>
      <c r="DK395" t="s">
        <v>6</v>
      </c>
      <c r="DL395" t="s">
        <v>6</v>
      </c>
      <c r="DM395" t="s">
        <v>6</v>
      </c>
      <c r="DN395">
        <v>0</v>
      </c>
      <c r="DO395">
        <v>0</v>
      </c>
      <c r="DP395">
        <v>1</v>
      </c>
      <c r="DQ395">
        <v>1</v>
      </c>
      <c r="DU395">
        <v>1010</v>
      </c>
      <c r="DV395" t="s">
        <v>843</v>
      </c>
      <c r="DW395" t="s">
        <v>843</v>
      </c>
      <c r="DX395">
        <v>100</v>
      </c>
      <c r="EE395">
        <v>16510370</v>
      </c>
      <c r="EF395">
        <v>3</v>
      </c>
      <c r="EG395" t="s">
        <v>83</v>
      </c>
      <c r="EH395">
        <v>0</v>
      </c>
      <c r="EI395" t="s">
        <v>6</v>
      </c>
      <c r="EJ395">
        <v>2</v>
      </c>
      <c r="EK395">
        <v>108001</v>
      </c>
      <c r="EL395" t="s">
        <v>84</v>
      </c>
      <c r="EM395" t="s">
        <v>85</v>
      </c>
      <c r="EO395" t="s">
        <v>6</v>
      </c>
      <c r="EQ395">
        <v>0</v>
      </c>
      <c r="ER395">
        <v>303.13</v>
      </c>
      <c r="ES395">
        <v>303.13</v>
      </c>
      <c r="ET395">
        <v>0</v>
      </c>
      <c r="EU395">
        <v>0</v>
      </c>
      <c r="EV395">
        <v>0</v>
      </c>
      <c r="EW395">
        <v>0</v>
      </c>
      <c r="EX395">
        <v>0</v>
      </c>
      <c r="FQ395">
        <v>0</v>
      </c>
      <c r="FR395">
        <f t="shared" si="353"/>
        <v>0</v>
      </c>
      <c r="FS395">
        <v>0</v>
      </c>
      <c r="FX395">
        <v>95</v>
      </c>
      <c r="FY395">
        <v>65</v>
      </c>
      <c r="GA395" t="s">
        <v>6</v>
      </c>
      <c r="GD395">
        <v>0</v>
      </c>
      <c r="GF395">
        <v>1844490983</v>
      </c>
      <c r="GG395">
        <v>1</v>
      </c>
      <c r="GH395">
        <v>1</v>
      </c>
      <c r="GI395">
        <v>4</v>
      </c>
      <c r="GJ395">
        <v>0</v>
      </c>
      <c r="GK395">
        <f>ROUND(R395*(R12)/100,2)</f>
        <v>0</v>
      </c>
      <c r="GL395">
        <f t="shared" si="354"/>
        <v>0</v>
      </c>
      <c r="GM395">
        <f t="shared" si="355"/>
        <v>39.770000000000003</v>
      </c>
      <c r="GN395">
        <f t="shared" si="356"/>
        <v>0</v>
      </c>
      <c r="GO395">
        <f t="shared" si="357"/>
        <v>39.770000000000003</v>
      </c>
      <c r="GP395">
        <f t="shared" si="358"/>
        <v>0</v>
      </c>
      <c r="GR395">
        <v>0</v>
      </c>
      <c r="GS395">
        <v>3</v>
      </c>
      <c r="GT395">
        <v>0</v>
      </c>
      <c r="GU395" t="s">
        <v>6</v>
      </c>
      <c r="GV395">
        <f t="shared" si="359"/>
        <v>0</v>
      </c>
      <c r="GW395">
        <v>1</v>
      </c>
      <c r="GX395">
        <f t="shared" si="360"/>
        <v>0</v>
      </c>
      <c r="HA395">
        <v>0</v>
      </c>
      <c r="HB395">
        <v>0</v>
      </c>
      <c r="IK395">
        <v>0</v>
      </c>
    </row>
    <row r="396" spans="1:245" x14ac:dyDescent="0.2">
      <c r="A396">
        <v>17</v>
      </c>
      <c r="B396">
        <v>1</v>
      </c>
      <c r="C396">
        <f>ROW(SmtRes!A637)</f>
        <v>637</v>
      </c>
      <c r="D396">
        <f>ROW(EtalonRes!A590)</f>
        <v>590</v>
      </c>
      <c r="E396" t="s">
        <v>857</v>
      </c>
      <c r="F396" t="s">
        <v>858</v>
      </c>
      <c r="G396" t="s">
        <v>859</v>
      </c>
      <c r="H396" t="s">
        <v>34</v>
      </c>
      <c r="I396">
        <f>ROUND(196/100,9)</f>
        <v>1.96</v>
      </c>
      <c r="J396">
        <v>0</v>
      </c>
      <c r="O396">
        <f t="shared" si="322"/>
        <v>652.14</v>
      </c>
      <c r="P396">
        <f t="shared" si="323"/>
        <v>174.86</v>
      </c>
      <c r="Q396">
        <f t="shared" si="324"/>
        <v>22.89</v>
      </c>
      <c r="R396">
        <f t="shared" si="325"/>
        <v>3.34</v>
      </c>
      <c r="S396">
        <f t="shared" si="326"/>
        <v>454.39</v>
      </c>
      <c r="T396">
        <f t="shared" si="327"/>
        <v>0</v>
      </c>
      <c r="U396">
        <f t="shared" si="328"/>
        <v>7.3695999999999993</v>
      </c>
      <c r="V396">
        <f t="shared" si="329"/>
        <v>3.9199999999999999E-2</v>
      </c>
      <c r="W396">
        <f t="shared" si="330"/>
        <v>0</v>
      </c>
      <c r="X396">
        <f t="shared" si="331"/>
        <v>434.84</v>
      </c>
      <c r="Y396">
        <f t="shared" si="332"/>
        <v>297.52</v>
      </c>
      <c r="AA396">
        <v>16742901</v>
      </c>
      <c r="AB396">
        <f t="shared" si="333"/>
        <v>50.72</v>
      </c>
      <c r="AC396">
        <f t="shared" si="334"/>
        <v>13.6</v>
      </c>
      <c r="AD396">
        <f t="shared" si="335"/>
        <v>1.78</v>
      </c>
      <c r="AE396">
        <f t="shared" si="336"/>
        <v>0.26</v>
      </c>
      <c r="AF396">
        <f t="shared" si="337"/>
        <v>35.340000000000003</v>
      </c>
      <c r="AG396">
        <f t="shared" si="338"/>
        <v>0</v>
      </c>
      <c r="AH396">
        <f t="shared" si="339"/>
        <v>3.76</v>
      </c>
      <c r="AI396">
        <f t="shared" si="340"/>
        <v>0.02</v>
      </c>
      <c r="AJ396">
        <f t="shared" si="341"/>
        <v>0</v>
      </c>
      <c r="AK396">
        <v>50.72</v>
      </c>
      <c r="AL396">
        <v>13.6</v>
      </c>
      <c r="AM396">
        <v>1.78</v>
      </c>
      <c r="AN396">
        <v>0.26</v>
      </c>
      <c r="AO396">
        <v>35.340000000000003</v>
      </c>
      <c r="AP396">
        <v>0</v>
      </c>
      <c r="AQ396">
        <v>3.76</v>
      </c>
      <c r="AR396">
        <v>0.02</v>
      </c>
      <c r="AS396">
        <v>0</v>
      </c>
      <c r="AT396">
        <v>95</v>
      </c>
      <c r="AU396">
        <v>65</v>
      </c>
      <c r="AV396">
        <v>1</v>
      </c>
      <c r="AW396">
        <v>1</v>
      </c>
      <c r="AZ396">
        <v>6.56</v>
      </c>
      <c r="BA396">
        <v>6.56</v>
      </c>
      <c r="BB396">
        <v>6.56</v>
      </c>
      <c r="BC396">
        <v>6.56</v>
      </c>
      <c r="BD396" t="s">
        <v>6</v>
      </c>
      <c r="BE396" t="s">
        <v>6</v>
      </c>
      <c r="BF396" t="s">
        <v>6</v>
      </c>
      <c r="BG396" t="s">
        <v>6</v>
      </c>
      <c r="BH396">
        <v>0</v>
      </c>
      <c r="BI396">
        <v>2</v>
      </c>
      <c r="BJ396" t="s">
        <v>860</v>
      </c>
      <c r="BM396">
        <v>108001</v>
      </c>
      <c r="BN396">
        <v>0</v>
      </c>
      <c r="BO396" t="s">
        <v>6</v>
      </c>
      <c r="BP396">
        <v>0</v>
      </c>
      <c r="BQ396">
        <v>3</v>
      </c>
      <c r="BR396">
        <v>0</v>
      </c>
      <c r="BS396">
        <v>6.56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6</v>
      </c>
      <c r="BZ396">
        <v>95</v>
      </c>
      <c r="CA396">
        <v>65</v>
      </c>
      <c r="CF396">
        <v>0</v>
      </c>
      <c r="CG396">
        <v>0</v>
      </c>
      <c r="CM396">
        <v>0</v>
      </c>
      <c r="CN396" t="s">
        <v>6</v>
      </c>
      <c r="CO396">
        <v>0</v>
      </c>
      <c r="CP396">
        <f t="shared" si="342"/>
        <v>652.14</v>
      </c>
      <c r="CQ396">
        <f t="shared" si="343"/>
        <v>89.215999999999994</v>
      </c>
      <c r="CR396">
        <f t="shared" si="344"/>
        <v>11.6768</v>
      </c>
      <c r="CS396">
        <f t="shared" si="345"/>
        <v>1.7056</v>
      </c>
      <c r="CT396">
        <f t="shared" si="346"/>
        <v>231.8304</v>
      </c>
      <c r="CU396">
        <f t="shared" si="347"/>
        <v>0</v>
      </c>
      <c r="CV396">
        <f t="shared" si="348"/>
        <v>3.76</v>
      </c>
      <c r="CW396">
        <f t="shared" si="349"/>
        <v>0.02</v>
      </c>
      <c r="CX396">
        <f t="shared" si="350"/>
        <v>0</v>
      </c>
      <c r="CY396">
        <f t="shared" si="351"/>
        <v>434.84350000000001</v>
      </c>
      <c r="CZ396">
        <f t="shared" si="352"/>
        <v>297.52449999999999</v>
      </c>
      <c r="DC396" t="s">
        <v>6</v>
      </c>
      <c r="DD396" t="s">
        <v>6</v>
      </c>
      <c r="DE396" t="s">
        <v>6</v>
      </c>
      <c r="DF396" t="s">
        <v>6</v>
      </c>
      <c r="DG396" t="s">
        <v>6</v>
      </c>
      <c r="DH396" t="s">
        <v>6</v>
      </c>
      <c r="DI396" t="s">
        <v>6</v>
      </c>
      <c r="DJ396" t="s">
        <v>6</v>
      </c>
      <c r="DK396" t="s">
        <v>6</v>
      </c>
      <c r="DL396" t="s">
        <v>6</v>
      </c>
      <c r="DM396" t="s">
        <v>6</v>
      </c>
      <c r="DN396">
        <v>0</v>
      </c>
      <c r="DO396">
        <v>0</v>
      </c>
      <c r="DP396">
        <v>1</v>
      </c>
      <c r="DQ396">
        <v>1</v>
      </c>
      <c r="DU396">
        <v>1003</v>
      </c>
      <c r="DV396" t="s">
        <v>34</v>
      </c>
      <c r="DW396" t="s">
        <v>34</v>
      </c>
      <c r="DX396">
        <v>100</v>
      </c>
      <c r="EE396">
        <v>16510370</v>
      </c>
      <c r="EF396">
        <v>3</v>
      </c>
      <c r="EG396" t="s">
        <v>83</v>
      </c>
      <c r="EH396">
        <v>0</v>
      </c>
      <c r="EI396" t="s">
        <v>6</v>
      </c>
      <c r="EJ396">
        <v>2</v>
      </c>
      <c r="EK396">
        <v>108001</v>
      </c>
      <c r="EL396" t="s">
        <v>84</v>
      </c>
      <c r="EM396" t="s">
        <v>85</v>
      </c>
      <c r="EO396" t="s">
        <v>6</v>
      </c>
      <c r="EQ396">
        <v>131072</v>
      </c>
      <c r="ER396">
        <v>50.72</v>
      </c>
      <c r="ES396">
        <v>13.6</v>
      </c>
      <c r="ET396">
        <v>1.78</v>
      </c>
      <c r="EU396">
        <v>0.26</v>
      </c>
      <c r="EV396">
        <v>35.340000000000003</v>
      </c>
      <c r="EW396">
        <v>3.76</v>
      </c>
      <c r="EX396">
        <v>0.02</v>
      </c>
      <c r="EY396">
        <v>0</v>
      </c>
      <c r="FQ396">
        <v>0</v>
      </c>
      <c r="FR396">
        <f t="shared" si="353"/>
        <v>0</v>
      </c>
      <c r="FS396">
        <v>0</v>
      </c>
      <c r="FX396">
        <v>95</v>
      </c>
      <c r="FY396">
        <v>65</v>
      </c>
      <c r="GA396" t="s">
        <v>6</v>
      </c>
      <c r="GD396">
        <v>0</v>
      </c>
      <c r="GF396">
        <v>-349670202</v>
      </c>
      <c r="GG396">
        <v>1</v>
      </c>
      <c r="GH396">
        <v>1</v>
      </c>
      <c r="GI396">
        <v>4</v>
      </c>
      <c r="GJ396">
        <v>0</v>
      </c>
      <c r="GK396">
        <f>ROUND(R396*(R12)/100,2)</f>
        <v>0</v>
      </c>
      <c r="GL396">
        <f t="shared" si="354"/>
        <v>0</v>
      </c>
      <c r="GM396">
        <f t="shared" si="355"/>
        <v>1384.5</v>
      </c>
      <c r="GN396">
        <f t="shared" si="356"/>
        <v>0</v>
      </c>
      <c r="GO396">
        <f t="shared" si="357"/>
        <v>1384.5</v>
      </c>
      <c r="GP396">
        <f t="shared" si="358"/>
        <v>0</v>
      </c>
      <c r="GR396">
        <v>0</v>
      </c>
      <c r="GS396">
        <v>3</v>
      </c>
      <c r="GT396">
        <v>0</v>
      </c>
      <c r="GU396" t="s">
        <v>6</v>
      </c>
      <c r="GV396">
        <f t="shared" si="359"/>
        <v>0</v>
      </c>
      <c r="GW396">
        <v>1</v>
      </c>
      <c r="GX396">
        <f t="shared" si="360"/>
        <v>0</v>
      </c>
      <c r="HA396">
        <v>0</v>
      </c>
      <c r="HB396">
        <v>0</v>
      </c>
      <c r="IK396">
        <v>0</v>
      </c>
    </row>
    <row r="397" spans="1:245" x14ac:dyDescent="0.2">
      <c r="A397">
        <v>18</v>
      </c>
      <c r="B397">
        <v>1</v>
      </c>
      <c r="C397">
        <v>636</v>
      </c>
      <c r="E397" t="s">
        <v>861</v>
      </c>
      <c r="F397" t="s">
        <v>862</v>
      </c>
      <c r="G397" t="s">
        <v>863</v>
      </c>
      <c r="H397" t="s">
        <v>749</v>
      </c>
      <c r="I397">
        <f>I396*J397</f>
        <v>0.19600000000000001</v>
      </c>
      <c r="J397">
        <v>0.1</v>
      </c>
      <c r="O397">
        <f t="shared" si="322"/>
        <v>8897.99</v>
      </c>
      <c r="P397">
        <f t="shared" si="323"/>
        <v>8897.99</v>
      </c>
      <c r="Q397">
        <f t="shared" si="324"/>
        <v>0</v>
      </c>
      <c r="R397">
        <f t="shared" si="325"/>
        <v>0</v>
      </c>
      <c r="S397">
        <f t="shared" si="326"/>
        <v>0</v>
      </c>
      <c r="T397">
        <f t="shared" si="327"/>
        <v>0</v>
      </c>
      <c r="U397">
        <f t="shared" si="328"/>
        <v>0</v>
      </c>
      <c r="V397">
        <f t="shared" si="329"/>
        <v>0</v>
      </c>
      <c r="W397">
        <f t="shared" si="330"/>
        <v>0</v>
      </c>
      <c r="X397">
        <f t="shared" si="331"/>
        <v>0</v>
      </c>
      <c r="Y397">
        <f t="shared" si="332"/>
        <v>0</v>
      </c>
      <c r="AA397">
        <v>16742901</v>
      </c>
      <c r="AB397">
        <f t="shared" si="333"/>
        <v>6920.41</v>
      </c>
      <c r="AC397">
        <f t="shared" si="334"/>
        <v>6920.41</v>
      </c>
      <c r="AD397">
        <f t="shared" si="335"/>
        <v>0</v>
      </c>
      <c r="AE397">
        <f t="shared" si="336"/>
        <v>0</v>
      </c>
      <c r="AF397">
        <f t="shared" si="337"/>
        <v>0</v>
      </c>
      <c r="AG397">
        <f t="shared" si="338"/>
        <v>0</v>
      </c>
      <c r="AH397">
        <f t="shared" si="339"/>
        <v>0</v>
      </c>
      <c r="AI397">
        <f t="shared" si="340"/>
        <v>0</v>
      </c>
      <c r="AJ397">
        <f t="shared" si="341"/>
        <v>0</v>
      </c>
      <c r="AK397">
        <v>6920.41</v>
      </c>
      <c r="AL397">
        <v>6920.41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95</v>
      </c>
      <c r="AU397">
        <v>65</v>
      </c>
      <c r="AV397">
        <v>1</v>
      </c>
      <c r="AW397">
        <v>1</v>
      </c>
      <c r="AZ397">
        <v>6.56</v>
      </c>
      <c r="BA397">
        <v>1</v>
      </c>
      <c r="BB397">
        <v>1</v>
      </c>
      <c r="BC397">
        <v>6.56</v>
      </c>
      <c r="BD397" t="s">
        <v>6</v>
      </c>
      <c r="BE397" t="s">
        <v>6</v>
      </c>
      <c r="BF397" t="s">
        <v>6</v>
      </c>
      <c r="BG397" t="s">
        <v>6</v>
      </c>
      <c r="BH397">
        <v>3</v>
      </c>
      <c r="BI397">
        <v>2</v>
      </c>
      <c r="BJ397" t="s">
        <v>864</v>
      </c>
      <c r="BM397">
        <v>108001</v>
      </c>
      <c r="BN397">
        <v>0</v>
      </c>
      <c r="BO397" t="s">
        <v>6</v>
      </c>
      <c r="BP397">
        <v>0</v>
      </c>
      <c r="BQ397">
        <v>3</v>
      </c>
      <c r="BR397">
        <v>0</v>
      </c>
      <c r="BS397">
        <v>1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6</v>
      </c>
      <c r="BZ397">
        <v>95</v>
      </c>
      <c r="CA397">
        <v>65</v>
      </c>
      <c r="CF397">
        <v>0</v>
      </c>
      <c r="CG397">
        <v>0</v>
      </c>
      <c r="CM397">
        <v>0</v>
      </c>
      <c r="CN397" t="s">
        <v>6</v>
      </c>
      <c r="CO397">
        <v>0</v>
      </c>
      <c r="CP397">
        <f t="shared" si="342"/>
        <v>8897.99</v>
      </c>
      <c r="CQ397">
        <f t="shared" si="343"/>
        <v>45397.889599999995</v>
      </c>
      <c r="CR397">
        <f t="shared" si="344"/>
        <v>0</v>
      </c>
      <c r="CS397">
        <f t="shared" si="345"/>
        <v>0</v>
      </c>
      <c r="CT397">
        <f t="shared" si="346"/>
        <v>0</v>
      </c>
      <c r="CU397">
        <f t="shared" si="347"/>
        <v>0</v>
      </c>
      <c r="CV397">
        <f t="shared" si="348"/>
        <v>0</v>
      </c>
      <c r="CW397">
        <f t="shared" si="349"/>
        <v>0</v>
      </c>
      <c r="CX397">
        <f t="shared" si="350"/>
        <v>0</v>
      </c>
      <c r="CY397">
        <f t="shared" si="351"/>
        <v>0</v>
      </c>
      <c r="CZ397">
        <f t="shared" si="352"/>
        <v>0</v>
      </c>
      <c r="DC397" t="s">
        <v>6</v>
      </c>
      <c r="DD397" t="s">
        <v>6</v>
      </c>
      <c r="DE397" t="s">
        <v>6</v>
      </c>
      <c r="DF397" t="s">
        <v>6</v>
      </c>
      <c r="DG397" t="s">
        <v>6</v>
      </c>
      <c r="DH397" t="s">
        <v>6</v>
      </c>
      <c r="DI397" t="s">
        <v>6</v>
      </c>
      <c r="DJ397" t="s">
        <v>6</v>
      </c>
      <c r="DK397" t="s">
        <v>6</v>
      </c>
      <c r="DL397" t="s">
        <v>6</v>
      </c>
      <c r="DM397" t="s">
        <v>6</v>
      </c>
      <c r="DN397">
        <v>0</v>
      </c>
      <c r="DO397">
        <v>0</v>
      </c>
      <c r="DP397">
        <v>1</v>
      </c>
      <c r="DQ397">
        <v>1</v>
      </c>
      <c r="DU397">
        <v>1013</v>
      </c>
      <c r="DV397" t="s">
        <v>749</v>
      </c>
      <c r="DW397" t="s">
        <v>751</v>
      </c>
      <c r="DX397">
        <v>1</v>
      </c>
      <c r="EE397">
        <v>16510370</v>
      </c>
      <c r="EF397">
        <v>3</v>
      </c>
      <c r="EG397" t="s">
        <v>83</v>
      </c>
      <c r="EH397">
        <v>0</v>
      </c>
      <c r="EI397" t="s">
        <v>6</v>
      </c>
      <c r="EJ397">
        <v>2</v>
      </c>
      <c r="EK397">
        <v>108001</v>
      </c>
      <c r="EL397" t="s">
        <v>84</v>
      </c>
      <c r="EM397" t="s">
        <v>85</v>
      </c>
      <c r="EO397" t="s">
        <v>6</v>
      </c>
      <c r="EQ397">
        <v>0</v>
      </c>
      <c r="ER397">
        <v>6920.41</v>
      </c>
      <c r="ES397">
        <v>6920.41</v>
      </c>
      <c r="ET397">
        <v>0</v>
      </c>
      <c r="EU397">
        <v>0</v>
      </c>
      <c r="EV397">
        <v>0</v>
      </c>
      <c r="EW397">
        <v>0</v>
      </c>
      <c r="EX397">
        <v>0</v>
      </c>
      <c r="FQ397">
        <v>0</v>
      </c>
      <c r="FR397">
        <f t="shared" si="353"/>
        <v>0</v>
      </c>
      <c r="FS397">
        <v>0</v>
      </c>
      <c r="FX397">
        <v>95</v>
      </c>
      <c r="FY397">
        <v>65</v>
      </c>
      <c r="GA397" t="s">
        <v>6</v>
      </c>
      <c r="GD397">
        <v>0</v>
      </c>
      <c r="GF397">
        <v>559331636</v>
      </c>
      <c r="GG397">
        <v>1</v>
      </c>
      <c r="GH397">
        <v>1</v>
      </c>
      <c r="GI397">
        <v>4</v>
      </c>
      <c r="GJ397">
        <v>0</v>
      </c>
      <c r="GK397">
        <f>ROUND(R397*(R12)/100,2)</f>
        <v>0</v>
      </c>
      <c r="GL397">
        <f t="shared" si="354"/>
        <v>0</v>
      </c>
      <c r="GM397">
        <f t="shared" si="355"/>
        <v>8897.99</v>
      </c>
      <c r="GN397">
        <f t="shared" si="356"/>
        <v>0</v>
      </c>
      <c r="GO397">
        <f t="shared" si="357"/>
        <v>8897.99</v>
      </c>
      <c r="GP397">
        <f t="shared" si="358"/>
        <v>0</v>
      </c>
      <c r="GR397">
        <v>0</v>
      </c>
      <c r="GS397">
        <v>3</v>
      </c>
      <c r="GT397">
        <v>0</v>
      </c>
      <c r="GU397" t="s">
        <v>6</v>
      </c>
      <c r="GV397">
        <f t="shared" si="359"/>
        <v>0</v>
      </c>
      <c r="GW397">
        <v>1</v>
      </c>
      <c r="GX397">
        <f t="shared" si="360"/>
        <v>0</v>
      </c>
      <c r="HA397">
        <v>0</v>
      </c>
      <c r="HB397">
        <v>0</v>
      </c>
      <c r="IK397">
        <v>0</v>
      </c>
    </row>
    <row r="398" spans="1:245" x14ac:dyDescent="0.2">
      <c r="A398">
        <v>17</v>
      </c>
      <c r="B398">
        <v>1</v>
      </c>
      <c r="C398">
        <f>ROW(SmtRes!A641)</f>
        <v>641</v>
      </c>
      <c r="D398">
        <f>ROW(EtalonRes!A593)</f>
        <v>593</v>
      </c>
      <c r="E398" t="s">
        <v>865</v>
      </c>
      <c r="F398" t="s">
        <v>734</v>
      </c>
      <c r="G398" t="s">
        <v>735</v>
      </c>
      <c r="H398" t="s">
        <v>34</v>
      </c>
      <c r="I398">
        <f>ROUND(121/100,9)</f>
        <v>1.21</v>
      </c>
      <c r="J398">
        <v>0</v>
      </c>
      <c r="O398">
        <f t="shared" si="322"/>
        <v>1240.8800000000001</v>
      </c>
      <c r="P398">
        <f t="shared" si="323"/>
        <v>133.27000000000001</v>
      </c>
      <c r="Q398">
        <f t="shared" si="324"/>
        <v>0</v>
      </c>
      <c r="R398">
        <f t="shared" si="325"/>
        <v>0</v>
      </c>
      <c r="S398">
        <f t="shared" si="326"/>
        <v>1107.6099999999999</v>
      </c>
      <c r="T398">
        <f t="shared" si="327"/>
        <v>0</v>
      </c>
      <c r="U398">
        <f t="shared" si="328"/>
        <v>18.391999999999999</v>
      </c>
      <c r="V398">
        <f t="shared" si="329"/>
        <v>0</v>
      </c>
      <c r="W398">
        <f t="shared" si="330"/>
        <v>0</v>
      </c>
      <c r="X398">
        <f t="shared" si="331"/>
        <v>1052.23</v>
      </c>
      <c r="Y398">
        <f t="shared" si="332"/>
        <v>719.95</v>
      </c>
      <c r="AA398">
        <v>16742901</v>
      </c>
      <c r="AB398">
        <f t="shared" si="333"/>
        <v>156.33000000000001</v>
      </c>
      <c r="AC398">
        <f t="shared" si="334"/>
        <v>16.79</v>
      </c>
      <c r="AD398">
        <f t="shared" si="335"/>
        <v>0</v>
      </c>
      <c r="AE398">
        <f t="shared" si="336"/>
        <v>0</v>
      </c>
      <c r="AF398">
        <f t="shared" si="337"/>
        <v>139.54</v>
      </c>
      <c r="AG398">
        <f t="shared" si="338"/>
        <v>0</v>
      </c>
      <c r="AH398">
        <f t="shared" si="339"/>
        <v>15.2</v>
      </c>
      <c r="AI398">
        <f t="shared" si="340"/>
        <v>0</v>
      </c>
      <c r="AJ398">
        <f t="shared" si="341"/>
        <v>0</v>
      </c>
      <c r="AK398">
        <v>156.33000000000001</v>
      </c>
      <c r="AL398">
        <v>16.79</v>
      </c>
      <c r="AM398">
        <v>0</v>
      </c>
      <c r="AN398">
        <v>0</v>
      </c>
      <c r="AO398">
        <v>139.54</v>
      </c>
      <c r="AP398">
        <v>0</v>
      </c>
      <c r="AQ398">
        <v>15.2</v>
      </c>
      <c r="AR398">
        <v>0</v>
      </c>
      <c r="AS398">
        <v>0</v>
      </c>
      <c r="AT398">
        <v>95</v>
      </c>
      <c r="AU398">
        <v>65</v>
      </c>
      <c r="AV398">
        <v>1</v>
      </c>
      <c r="AW398">
        <v>1</v>
      </c>
      <c r="AZ398">
        <v>6.56</v>
      </c>
      <c r="BA398">
        <v>6.56</v>
      </c>
      <c r="BB398">
        <v>6.56</v>
      </c>
      <c r="BC398">
        <v>6.56</v>
      </c>
      <c r="BD398" t="s">
        <v>6</v>
      </c>
      <c r="BE398" t="s">
        <v>6</v>
      </c>
      <c r="BF398" t="s">
        <v>6</v>
      </c>
      <c r="BG398" t="s">
        <v>6</v>
      </c>
      <c r="BH398">
        <v>0</v>
      </c>
      <c r="BI398">
        <v>2</v>
      </c>
      <c r="BJ398" t="s">
        <v>736</v>
      </c>
      <c r="BM398">
        <v>108001</v>
      </c>
      <c r="BN398">
        <v>0</v>
      </c>
      <c r="BO398" t="s">
        <v>6</v>
      </c>
      <c r="BP398">
        <v>0</v>
      </c>
      <c r="BQ398">
        <v>3</v>
      </c>
      <c r="BR398">
        <v>0</v>
      </c>
      <c r="BS398">
        <v>6.56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6</v>
      </c>
      <c r="BZ398">
        <v>95</v>
      </c>
      <c r="CA398">
        <v>65</v>
      </c>
      <c r="CF398">
        <v>0</v>
      </c>
      <c r="CG398">
        <v>0</v>
      </c>
      <c r="CM398">
        <v>0</v>
      </c>
      <c r="CN398" t="s">
        <v>6</v>
      </c>
      <c r="CO398">
        <v>0</v>
      </c>
      <c r="CP398">
        <f t="shared" si="342"/>
        <v>1240.8799999999999</v>
      </c>
      <c r="CQ398">
        <f t="shared" si="343"/>
        <v>110.14239999999998</v>
      </c>
      <c r="CR398">
        <f t="shared" si="344"/>
        <v>0</v>
      </c>
      <c r="CS398">
        <f t="shared" si="345"/>
        <v>0</v>
      </c>
      <c r="CT398">
        <f t="shared" si="346"/>
        <v>915.38239999999985</v>
      </c>
      <c r="CU398">
        <f t="shared" si="347"/>
        <v>0</v>
      </c>
      <c r="CV398">
        <f t="shared" si="348"/>
        <v>15.2</v>
      </c>
      <c r="CW398">
        <f t="shared" si="349"/>
        <v>0</v>
      </c>
      <c r="CX398">
        <f t="shared" si="350"/>
        <v>0</v>
      </c>
      <c r="CY398">
        <f t="shared" si="351"/>
        <v>1052.2294999999999</v>
      </c>
      <c r="CZ398">
        <f t="shared" si="352"/>
        <v>719.9464999999999</v>
      </c>
      <c r="DC398" t="s">
        <v>6</v>
      </c>
      <c r="DD398" t="s">
        <v>6</v>
      </c>
      <c r="DE398" t="s">
        <v>6</v>
      </c>
      <c r="DF398" t="s">
        <v>6</v>
      </c>
      <c r="DG398" t="s">
        <v>6</v>
      </c>
      <c r="DH398" t="s">
        <v>6</v>
      </c>
      <c r="DI398" t="s">
        <v>6</v>
      </c>
      <c r="DJ398" t="s">
        <v>6</v>
      </c>
      <c r="DK398" t="s">
        <v>6</v>
      </c>
      <c r="DL398" t="s">
        <v>6</v>
      </c>
      <c r="DM398" t="s">
        <v>6</v>
      </c>
      <c r="DN398">
        <v>0</v>
      </c>
      <c r="DO398">
        <v>0</v>
      </c>
      <c r="DP398">
        <v>1</v>
      </c>
      <c r="DQ398">
        <v>1</v>
      </c>
      <c r="DU398">
        <v>1003</v>
      </c>
      <c r="DV398" t="s">
        <v>34</v>
      </c>
      <c r="DW398" t="s">
        <v>34</v>
      </c>
      <c r="DX398">
        <v>100</v>
      </c>
      <c r="EE398">
        <v>16510370</v>
      </c>
      <c r="EF398">
        <v>3</v>
      </c>
      <c r="EG398" t="s">
        <v>83</v>
      </c>
      <c r="EH398">
        <v>0</v>
      </c>
      <c r="EI398" t="s">
        <v>6</v>
      </c>
      <c r="EJ398">
        <v>2</v>
      </c>
      <c r="EK398">
        <v>108001</v>
      </c>
      <c r="EL398" t="s">
        <v>84</v>
      </c>
      <c r="EM398" t="s">
        <v>85</v>
      </c>
      <c r="EO398" t="s">
        <v>6</v>
      </c>
      <c r="EQ398">
        <v>131072</v>
      </c>
      <c r="ER398">
        <v>156.33000000000001</v>
      </c>
      <c r="ES398">
        <v>16.79</v>
      </c>
      <c r="ET398">
        <v>0</v>
      </c>
      <c r="EU398">
        <v>0</v>
      </c>
      <c r="EV398">
        <v>139.54</v>
      </c>
      <c r="EW398">
        <v>15.2</v>
      </c>
      <c r="EX398">
        <v>0</v>
      </c>
      <c r="EY398">
        <v>0</v>
      </c>
      <c r="FQ398">
        <v>0</v>
      </c>
      <c r="FR398">
        <f t="shared" si="353"/>
        <v>0</v>
      </c>
      <c r="FS398">
        <v>0</v>
      </c>
      <c r="FX398">
        <v>95</v>
      </c>
      <c r="FY398">
        <v>65</v>
      </c>
      <c r="GA398" t="s">
        <v>6</v>
      </c>
      <c r="GD398">
        <v>0</v>
      </c>
      <c r="GF398">
        <v>-596386547</v>
      </c>
      <c r="GG398">
        <v>1</v>
      </c>
      <c r="GH398">
        <v>1</v>
      </c>
      <c r="GI398">
        <v>4</v>
      </c>
      <c r="GJ398">
        <v>0</v>
      </c>
      <c r="GK398">
        <f>ROUND(R398*(R12)/100,2)</f>
        <v>0</v>
      </c>
      <c r="GL398">
        <f t="shared" si="354"/>
        <v>0</v>
      </c>
      <c r="GM398">
        <f t="shared" si="355"/>
        <v>3013.06</v>
      </c>
      <c r="GN398">
        <f t="shared" si="356"/>
        <v>0</v>
      </c>
      <c r="GO398">
        <f t="shared" si="357"/>
        <v>3013.06</v>
      </c>
      <c r="GP398">
        <f t="shared" si="358"/>
        <v>0</v>
      </c>
      <c r="GR398">
        <v>0</v>
      </c>
      <c r="GS398">
        <v>3</v>
      </c>
      <c r="GT398">
        <v>0</v>
      </c>
      <c r="GU398" t="s">
        <v>6</v>
      </c>
      <c r="GV398">
        <f t="shared" si="359"/>
        <v>0</v>
      </c>
      <c r="GW398">
        <v>1</v>
      </c>
      <c r="GX398">
        <f t="shared" si="360"/>
        <v>0</v>
      </c>
      <c r="HA398">
        <v>0</v>
      </c>
      <c r="HB398">
        <v>0</v>
      </c>
      <c r="IK398">
        <v>0</v>
      </c>
    </row>
    <row r="399" spans="1:245" x14ac:dyDescent="0.2">
      <c r="A399">
        <v>18</v>
      </c>
      <c r="B399">
        <v>1</v>
      </c>
      <c r="C399">
        <v>640</v>
      </c>
      <c r="E399" t="s">
        <v>866</v>
      </c>
      <c r="F399" t="s">
        <v>738</v>
      </c>
      <c r="G399" t="s">
        <v>739</v>
      </c>
      <c r="H399" t="s">
        <v>740</v>
      </c>
      <c r="I399">
        <f>I398*J399</f>
        <v>12.1</v>
      </c>
      <c r="J399">
        <v>10</v>
      </c>
      <c r="O399">
        <f t="shared" si="322"/>
        <v>1278.75</v>
      </c>
      <c r="P399">
        <f t="shared" si="323"/>
        <v>1278.75</v>
      </c>
      <c r="Q399">
        <f t="shared" si="324"/>
        <v>0</v>
      </c>
      <c r="R399">
        <f t="shared" si="325"/>
        <v>0</v>
      </c>
      <c r="S399">
        <f t="shared" si="326"/>
        <v>0</v>
      </c>
      <c r="T399">
        <f t="shared" si="327"/>
        <v>0</v>
      </c>
      <c r="U399">
        <f t="shared" si="328"/>
        <v>0</v>
      </c>
      <c r="V399">
        <f t="shared" si="329"/>
        <v>0</v>
      </c>
      <c r="W399">
        <f t="shared" si="330"/>
        <v>0</v>
      </c>
      <c r="X399">
        <f t="shared" si="331"/>
        <v>0</v>
      </c>
      <c r="Y399">
        <f t="shared" si="332"/>
        <v>0</v>
      </c>
      <c r="AA399">
        <v>16742901</v>
      </c>
      <c r="AB399">
        <f t="shared" si="333"/>
        <v>16.11</v>
      </c>
      <c r="AC399">
        <f t="shared" si="334"/>
        <v>16.11</v>
      </c>
      <c r="AD399">
        <f t="shared" si="335"/>
        <v>0</v>
      </c>
      <c r="AE399">
        <f t="shared" si="336"/>
        <v>0</v>
      </c>
      <c r="AF399">
        <f t="shared" si="337"/>
        <v>0</v>
      </c>
      <c r="AG399">
        <f t="shared" si="338"/>
        <v>0</v>
      </c>
      <c r="AH399">
        <f t="shared" si="339"/>
        <v>0</v>
      </c>
      <c r="AI399">
        <f t="shared" si="340"/>
        <v>0</v>
      </c>
      <c r="AJ399">
        <f t="shared" si="341"/>
        <v>0</v>
      </c>
      <c r="AK399">
        <v>16.11</v>
      </c>
      <c r="AL399">
        <v>16.11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95</v>
      </c>
      <c r="AU399">
        <v>65</v>
      </c>
      <c r="AV399">
        <v>1</v>
      </c>
      <c r="AW399">
        <v>1</v>
      </c>
      <c r="AZ399">
        <v>6.56</v>
      </c>
      <c r="BA399">
        <v>1</v>
      </c>
      <c r="BB399">
        <v>1</v>
      </c>
      <c r="BC399">
        <v>6.56</v>
      </c>
      <c r="BD399" t="s">
        <v>6</v>
      </c>
      <c r="BE399" t="s">
        <v>6</v>
      </c>
      <c r="BF399" t="s">
        <v>6</v>
      </c>
      <c r="BG399" t="s">
        <v>6</v>
      </c>
      <c r="BH399">
        <v>3</v>
      </c>
      <c r="BI399">
        <v>2</v>
      </c>
      <c r="BJ399" t="s">
        <v>741</v>
      </c>
      <c r="BM399">
        <v>108001</v>
      </c>
      <c r="BN399">
        <v>0</v>
      </c>
      <c r="BO399" t="s">
        <v>6</v>
      </c>
      <c r="BP399">
        <v>0</v>
      </c>
      <c r="BQ399">
        <v>3</v>
      </c>
      <c r="BR399">
        <v>0</v>
      </c>
      <c r="BS399">
        <v>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6</v>
      </c>
      <c r="BZ399">
        <v>95</v>
      </c>
      <c r="CA399">
        <v>65</v>
      </c>
      <c r="CF399">
        <v>0</v>
      </c>
      <c r="CG399">
        <v>0</v>
      </c>
      <c r="CM399">
        <v>0</v>
      </c>
      <c r="CN399" t="s">
        <v>6</v>
      </c>
      <c r="CO399">
        <v>0</v>
      </c>
      <c r="CP399">
        <f t="shared" si="342"/>
        <v>1278.75</v>
      </c>
      <c r="CQ399">
        <f t="shared" si="343"/>
        <v>105.68159999999999</v>
      </c>
      <c r="CR399">
        <f t="shared" si="344"/>
        <v>0</v>
      </c>
      <c r="CS399">
        <f t="shared" si="345"/>
        <v>0</v>
      </c>
      <c r="CT399">
        <f t="shared" si="346"/>
        <v>0</v>
      </c>
      <c r="CU399">
        <f t="shared" si="347"/>
        <v>0</v>
      </c>
      <c r="CV399">
        <f t="shared" si="348"/>
        <v>0</v>
      </c>
      <c r="CW399">
        <f t="shared" si="349"/>
        <v>0</v>
      </c>
      <c r="CX399">
        <f t="shared" si="350"/>
        <v>0</v>
      </c>
      <c r="CY399">
        <f t="shared" si="351"/>
        <v>0</v>
      </c>
      <c r="CZ399">
        <f t="shared" si="352"/>
        <v>0</v>
      </c>
      <c r="DC399" t="s">
        <v>6</v>
      </c>
      <c r="DD399" t="s">
        <v>6</v>
      </c>
      <c r="DE399" t="s">
        <v>6</v>
      </c>
      <c r="DF399" t="s">
        <v>6</v>
      </c>
      <c r="DG399" t="s">
        <v>6</v>
      </c>
      <c r="DH399" t="s">
        <v>6</v>
      </c>
      <c r="DI399" t="s">
        <v>6</v>
      </c>
      <c r="DJ399" t="s">
        <v>6</v>
      </c>
      <c r="DK399" t="s">
        <v>6</v>
      </c>
      <c r="DL399" t="s">
        <v>6</v>
      </c>
      <c r="DM399" t="s">
        <v>6</v>
      </c>
      <c r="DN399">
        <v>0</v>
      </c>
      <c r="DO399">
        <v>0</v>
      </c>
      <c r="DP399">
        <v>1</v>
      </c>
      <c r="DQ399">
        <v>1</v>
      </c>
      <c r="DU399">
        <v>1003</v>
      </c>
      <c r="DV399" t="s">
        <v>740</v>
      </c>
      <c r="DW399" t="s">
        <v>740</v>
      </c>
      <c r="DX399">
        <v>10</v>
      </c>
      <c r="EE399">
        <v>16510370</v>
      </c>
      <c r="EF399">
        <v>3</v>
      </c>
      <c r="EG399" t="s">
        <v>83</v>
      </c>
      <c r="EH399">
        <v>0</v>
      </c>
      <c r="EI399" t="s">
        <v>6</v>
      </c>
      <c r="EJ399">
        <v>2</v>
      </c>
      <c r="EK399">
        <v>108001</v>
      </c>
      <c r="EL399" t="s">
        <v>84</v>
      </c>
      <c r="EM399" t="s">
        <v>85</v>
      </c>
      <c r="EO399" t="s">
        <v>6</v>
      </c>
      <c r="EQ399">
        <v>0</v>
      </c>
      <c r="ER399">
        <v>16.11</v>
      </c>
      <c r="ES399">
        <v>16.11</v>
      </c>
      <c r="ET399">
        <v>0</v>
      </c>
      <c r="EU399">
        <v>0</v>
      </c>
      <c r="EV399">
        <v>0</v>
      </c>
      <c r="EW399">
        <v>0</v>
      </c>
      <c r="EX399">
        <v>0</v>
      </c>
      <c r="FQ399">
        <v>0</v>
      </c>
      <c r="FR399">
        <f t="shared" si="353"/>
        <v>0</v>
      </c>
      <c r="FS399">
        <v>0</v>
      </c>
      <c r="FX399">
        <v>95</v>
      </c>
      <c r="FY399">
        <v>65</v>
      </c>
      <c r="GA399" t="s">
        <v>6</v>
      </c>
      <c r="GD399">
        <v>0</v>
      </c>
      <c r="GF399">
        <v>-819900352</v>
      </c>
      <c r="GG399">
        <v>1</v>
      </c>
      <c r="GH399">
        <v>1</v>
      </c>
      <c r="GI399">
        <v>4</v>
      </c>
      <c r="GJ399">
        <v>0</v>
      </c>
      <c r="GK399">
        <f>ROUND(R399*(R12)/100,2)</f>
        <v>0</v>
      </c>
      <c r="GL399">
        <f t="shared" si="354"/>
        <v>0</v>
      </c>
      <c r="GM399">
        <f t="shared" si="355"/>
        <v>1278.75</v>
      </c>
      <c r="GN399">
        <f t="shared" si="356"/>
        <v>0</v>
      </c>
      <c r="GO399">
        <f t="shared" si="357"/>
        <v>1278.75</v>
      </c>
      <c r="GP399">
        <f t="shared" si="358"/>
        <v>0</v>
      </c>
      <c r="GR399">
        <v>0</v>
      </c>
      <c r="GS399">
        <v>3</v>
      </c>
      <c r="GT399">
        <v>0</v>
      </c>
      <c r="GU399" t="s">
        <v>6</v>
      </c>
      <c r="GV399">
        <f t="shared" si="359"/>
        <v>0</v>
      </c>
      <c r="GW399">
        <v>1</v>
      </c>
      <c r="GX399">
        <f t="shared" si="360"/>
        <v>0</v>
      </c>
      <c r="HA399">
        <v>0</v>
      </c>
      <c r="HB399">
        <v>0</v>
      </c>
      <c r="IK399">
        <v>0</v>
      </c>
    </row>
    <row r="400" spans="1:245" x14ac:dyDescent="0.2">
      <c r="A400">
        <v>17</v>
      </c>
      <c r="B400">
        <v>1</v>
      </c>
      <c r="C400">
        <f>ROW(SmtRes!A652)</f>
        <v>652</v>
      </c>
      <c r="D400">
        <f>ROW(EtalonRes!A603)</f>
        <v>603</v>
      </c>
      <c r="E400" t="s">
        <v>867</v>
      </c>
      <c r="F400" t="s">
        <v>868</v>
      </c>
      <c r="G400" t="s">
        <v>869</v>
      </c>
      <c r="H400" t="s">
        <v>34</v>
      </c>
      <c r="I400">
        <f>ROUND(132/100,9)</f>
        <v>1.32</v>
      </c>
      <c r="J400">
        <v>0</v>
      </c>
      <c r="O400">
        <f t="shared" si="322"/>
        <v>754.65</v>
      </c>
      <c r="P400">
        <f t="shared" si="323"/>
        <v>196.48</v>
      </c>
      <c r="Q400">
        <f t="shared" si="324"/>
        <v>46.15</v>
      </c>
      <c r="R400">
        <f t="shared" si="325"/>
        <v>6.58</v>
      </c>
      <c r="S400">
        <f t="shared" si="326"/>
        <v>512.02</v>
      </c>
      <c r="T400">
        <f t="shared" si="327"/>
        <v>0</v>
      </c>
      <c r="U400">
        <f t="shared" si="328"/>
        <v>8.3028000000000013</v>
      </c>
      <c r="V400">
        <f t="shared" si="329"/>
        <v>7.9200000000000007E-2</v>
      </c>
      <c r="W400">
        <f t="shared" si="330"/>
        <v>0</v>
      </c>
      <c r="X400">
        <f t="shared" si="331"/>
        <v>492.67</v>
      </c>
      <c r="Y400">
        <f t="shared" si="332"/>
        <v>337.09</v>
      </c>
      <c r="AA400">
        <v>16742901</v>
      </c>
      <c r="AB400">
        <f t="shared" si="333"/>
        <v>87.15</v>
      </c>
      <c r="AC400">
        <f t="shared" si="334"/>
        <v>22.69</v>
      </c>
      <c r="AD400">
        <f t="shared" si="335"/>
        <v>5.33</v>
      </c>
      <c r="AE400">
        <f t="shared" si="336"/>
        <v>0.76</v>
      </c>
      <c r="AF400">
        <f t="shared" si="337"/>
        <v>59.13</v>
      </c>
      <c r="AG400">
        <f t="shared" si="338"/>
        <v>0</v>
      </c>
      <c r="AH400">
        <f t="shared" si="339"/>
        <v>6.29</v>
      </c>
      <c r="AI400">
        <f t="shared" si="340"/>
        <v>0.06</v>
      </c>
      <c r="AJ400">
        <f t="shared" si="341"/>
        <v>0</v>
      </c>
      <c r="AK400">
        <v>87.15</v>
      </c>
      <c r="AL400">
        <v>22.69</v>
      </c>
      <c r="AM400">
        <v>5.33</v>
      </c>
      <c r="AN400">
        <v>0.76</v>
      </c>
      <c r="AO400">
        <v>59.13</v>
      </c>
      <c r="AP400">
        <v>0</v>
      </c>
      <c r="AQ400">
        <v>6.29</v>
      </c>
      <c r="AR400">
        <v>0.06</v>
      </c>
      <c r="AS400">
        <v>0</v>
      </c>
      <c r="AT400">
        <v>95</v>
      </c>
      <c r="AU400">
        <v>65</v>
      </c>
      <c r="AV400">
        <v>1</v>
      </c>
      <c r="AW400">
        <v>1</v>
      </c>
      <c r="AZ400">
        <v>6.56</v>
      </c>
      <c r="BA400">
        <v>6.56</v>
      </c>
      <c r="BB400">
        <v>6.56</v>
      </c>
      <c r="BC400">
        <v>6.56</v>
      </c>
      <c r="BD400" t="s">
        <v>6</v>
      </c>
      <c r="BE400" t="s">
        <v>6</v>
      </c>
      <c r="BF400" t="s">
        <v>6</v>
      </c>
      <c r="BG400" t="s">
        <v>6</v>
      </c>
      <c r="BH400">
        <v>0</v>
      </c>
      <c r="BI400">
        <v>2</v>
      </c>
      <c r="BJ400" t="s">
        <v>870</v>
      </c>
      <c r="BM400">
        <v>108001</v>
      </c>
      <c r="BN400">
        <v>0</v>
      </c>
      <c r="BO400" t="s">
        <v>6</v>
      </c>
      <c r="BP400">
        <v>0</v>
      </c>
      <c r="BQ400">
        <v>3</v>
      </c>
      <c r="BR400">
        <v>0</v>
      </c>
      <c r="BS400">
        <v>6.56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6</v>
      </c>
      <c r="BZ400">
        <v>95</v>
      </c>
      <c r="CA400">
        <v>65</v>
      </c>
      <c r="CF400">
        <v>0</v>
      </c>
      <c r="CG400">
        <v>0</v>
      </c>
      <c r="CM400">
        <v>0</v>
      </c>
      <c r="CN400" t="s">
        <v>6</v>
      </c>
      <c r="CO400">
        <v>0</v>
      </c>
      <c r="CP400">
        <f t="shared" si="342"/>
        <v>754.65</v>
      </c>
      <c r="CQ400">
        <f t="shared" si="343"/>
        <v>148.84639999999999</v>
      </c>
      <c r="CR400">
        <f t="shared" si="344"/>
        <v>34.964799999999997</v>
      </c>
      <c r="CS400">
        <f t="shared" si="345"/>
        <v>4.9855999999999998</v>
      </c>
      <c r="CT400">
        <f t="shared" si="346"/>
        <v>387.89279999999997</v>
      </c>
      <c r="CU400">
        <f t="shared" si="347"/>
        <v>0</v>
      </c>
      <c r="CV400">
        <f t="shared" si="348"/>
        <v>6.29</v>
      </c>
      <c r="CW400">
        <f t="shared" si="349"/>
        <v>0.06</v>
      </c>
      <c r="CX400">
        <f t="shared" si="350"/>
        <v>0</v>
      </c>
      <c r="CY400">
        <f t="shared" si="351"/>
        <v>492.67</v>
      </c>
      <c r="CZ400">
        <f t="shared" si="352"/>
        <v>337.09</v>
      </c>
      <c r="DC400" t="s">
        <v>6</v>
      </c>
      <c r="DD400" t="s">
        <v>6</v>
      </c>
      <c r="DE400" t="s">
        <v>6</v>
      </c>
      <c r="DF400" t="s">
        <v>6</v>
      </c>
      <c r="DG400" t="s">
        <v>6</v>
      </c>
      <c r="DH400" t="s">
        <v>6</v>
      </c>
      <c r="DI400" t="s">
        <v>6</v>
      </c>
      <c r="DJ400" t="s">
        <v>6</v>
      </c>
      <c r="DK400" t="s">
        <v>6</v>
      </c>
      <c r="DL400" t="s">
        <v>6</v>
      </c>
      <c r="DM400" t="s">
        <v>6</v>
      </c>
      <c r="DN400">
        <v>0</v>
      </c>
      <c r="DO400">
        <v>0</v>
      </c>
      <c r="DP400">
        <v>1</v>
      </c>
      <c r="DQ400">
        <v>1</v>
      </c>
      <c r="DU400">
        <v>1003</v>
      </c>
      <c r="DV400" t="s">
        <v>34</v>
      </c>
      <c r="DW400" t="s">
        <v>34</v>
      </c>
      <c r="DX400">
        <v>100</v>
      </c>
      <c r="EE400">
        <v>16510370</v>
      </c>
      <c r="EF400">
        <v>3</v>
      </c>
      <c r="EG400" t="s">
        <v>83</v>
      </c>
      <c r="EH400">
        <v>0</v>
      </c>
      <c r="EI400" t="s">
        <v>6</v>
      </c>
      <c r="EJ400">
        <v>2</v>
      </c>
      <c r="EK400">
        <v>108001</v>
      </c>
      <c r="EL400" t="s">
        <v>84</v>
      </c>
      <c r="EM400" t="s">
        <v>85</v>
      </c>
      <c r="EO400" t="s">
        <v>6</v>
      </c>
      <c r="EQ400">
        <v>131072</v>
      </c>
      <c r="ER400">
        <v>87.15</v>
      </c>
      <c r="ES400">
        <v>22.69</v>
      </c>
      <c r="ET400">
        <v>5.33</v>
      </c>
      <c r="EU400">
        <v>0.76</v>
      </c>
      <c r="EV400">
        <v>59.13</v>
      </c>
      <c r="EW400">
        <v>6.29</v>
      </c>
      <c r="EX400">
        <v>0.06</v>
      </c>
      <c r="EY400">
        <v>0</v>
      </c>
      <c r="FQ400">
        <v>0</v>
      </c>
      <c r="FR400">
        <f t="shared" si="353"/>
        <v>0</v>
      </c>
      <c r="FS400">
        <v>0</v>
      </c>
      <c r="FX400">
        <v>95</v>
      </c>
      <c r="FY400">
        <v>65</v>
      </c>
      <c r="GA400" t="s">
        <v>6</v>
      </c>
      <c r="GD400">
        <v>0</v>
      </c>
      <c r="GF400">
        <v>1667817228</v>
      </c>
      <c r="GG400">
        <v>1</v>
      </c>
      <c r="GH400">
        <v>1</v>
      </c>
      <c r="GI400">
        <v>4</v>
      </c>
      <c r="GJ400">
        <v>0</v>
      </c>
      <c r="GK400">
        <f>ROUND(R400*(R12)/100,2)</f>
        <v>0</v>
      </c>
      <c r="GL400">
        <f t="shared" si="354"/>
        <v>0</v>
      </c>
      <c r="GM400">
        <f t="shared" si="355"/>
        <v>1584.41</v>
      </c>
      <c r="GN400">
        <f t="shared" si="356"/>
        <v>0</v>
      </c>
      <c r="GO400">
        <f t="shared" si="357"/>
        <v>1584.41</v>
      </c>
      <c r="GP400">
        <f t="shared" si="358"/>
        <v>0</v>
      </c>
      <c r="GR400">
        <v>0</v>
      </c>
      <c r="GS400">
        <v>3</v>
      </c>
      <c r="GT400">
        <v>0</v>
      </c>
      <c r="GU400" t="s">
        <v>6</v>
      </c>
      <c r="GV400">
        <f t="shared" si="359"/>
        <v>0</v>
      </c>
      <c r="GW400">
        <v>1</v>
      </c>
      <c r="GX400">
        <f t="shared" si="360"/>
        <v>0</v>
      </c>
      <c r="HA400">
        <v>0</v>
      </c>
      <c r="HB400">
        <v>0</v>
      </c>
      <c r="IK400">
        <v>0</v>
      </c>
    </row>
    <row r="401" spans="1:245" x14ac:dyDescent="0.2">
      <c r="A401">
        <v>18</v>
      </c>
      <c r="B401">
        <v>1</v>
      </c>
      <c r="C401">
        <v>651</v>
      </c>
      <c r="E401" t="s">
        <v>871</v>
      </c>
      <c r="F401" t="s">
        <v>862</v>
      </c>
      <c r="G401" t="s">
        <v>863</v>
      </c>
      <c r="H401" t="s">
        <v>749</v>
      </c>
      <c r="I401">
        <f>I400*J401</f>
        <v>0.13200000000000001</v>
      </c>
      <c r="J401">
        <v>0.1</v>
      </c>
      <c r="O401">
        <f t="shared" si="322"/>
        <v>5992.52</v>
      </c>
      <c r="P401">
        <f t="shared" si="323"/>
        <v>5992.52</v>
      </c>
      <c r="Q401">
        <f t="shared" si="324"/>
        <v>0</v>
      </c>
      <c r="R401">
        <f t="shared" si="325"/>
        <v>0</v>
      </c>
      <c r="S401">
        <f t="shared" si="326"/>
        <v>0</v>
      </c>
      <c r="T401">
        <f t="shared" si="327"/>
        <v>0</v>
      </c>
      <c r="U401">
        <f t="shared" si="328"/>
        <v>0</v>
      </c>
      <c r="V401">
        <f t="shared" si="329"/>
        <v>0</v>
      </c>
      <c r="W401">
        <f t="shared" si="330"/>
        <v>0</v>
      </c>
      <c r="X401">
        <f t="shared" si="331"/>
        <v>0</v>
      </c>
      <c r="Y401">
        <f t="shared" si="332"/>
        <v>0</v>
      </c>
      <c r="AA401">
        <v>16742901</v>
      </c>
      <c r="AB401">
        <f t="shared" si="333"/>
        <v>6920.41</v>
      </c>
      <c r="AC401">
        <f t="shared" si="334"/>
        <v>6920.41</v>
      </c>
      <c r="AD401">
        <f t="shared" si="335"/>
        <v>0</v>
      </c>
      <c r="AE401">
        <f t="shared" si="336"/>
        <v>0</v>
      </c>
      <c r="AF401">
        <f t="shared" si="337"/>
        <v>0</v>
      </c>
      <c r="AG401">
        <f t="shared" si="338"/>
        <v>0</v>
      </c>
      <c r="AH401">
        <f t="shared" si="339"/>
        <v>0</v>
      </c>
      <c r="AI401">
        <f t="shared" si="340"/>
        <v>0</v>
      </c>
      <c r="AJ401">
        <f t="shared" si="341"/>
        <v>0</v>
      </c>
      <c r="AK401">
        <v>6920.41</v>
      </c>
      <c r="AL401">
        <v>6920.41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95</v>
      </c>
      <c r="AU401">
        <v>65</v>
      </c>
      <c r="AV401">
        <v>1</v>
      </c>
      <c r="AW401">
        <v>1</v>
      </c>
      <c r="AZ401">
        <v>6.56</v>
      </c>
      <c r="BA401">
        <v>1</v>
      </c>
      <c r="BB401">
        <v>1</v>
      </c>
      <c r="BC401">
        <v>6.56</v>
      </c>
      <c r="BD401" t="s">
        <v>6</v>
      </c>
      <c r="BE401" t="s">
        <v>6</v>
      </c>
      <c r="BF401" t="s">
        <v>6</v>
      </c>
      <c r="BG401" t="s">
        <v>6</v>
      </c>
      <c r="BH401">
        <v>3</v>
      </c>
      <c r="BI401">
        <v>2</v>
      </c>
      <c r="BJ401" t="s">
        <v>864</v>
      </c>
      <c r="BM401">
        <v>108001</v>
      </c>
      <c r="BN401">
        <v>0</v>
      </c>
      <c r="BO401" t="s">
        <v>6</v>
      </c>
      <c r="BP401">
        <v>0</v>
      </c>
      <c r="BQ401">
        <v>3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6</v>
      </c>
      <c r="BZ401">
        <v>95</v>
      </c>
      <c r="CA401">
        <v>65</v>
      </c>
      <c r="CF401">
        <v>0</v>
      </c>
      <c r="CG401">
        <v>0</v>
      </c>
      <c r="CM401">
        <v>0</v>
      </c>
      <c r="CN401" t="s">
        <v>6</v>
      </c>
      <c r="CO401">
        <v>0</v>
      </c>
      <c r="CP401">
        <f t="shared" si="342"/>
        <v>5992.52</v>
      </c>
      <c r="CQ401">
        <f t="shared" si="343"/>
        <v>45397.889599999995</v>
      </c>
      <c r="CR401">
        <f t="shared" si="344"/>
        <v>0</v>
      </c>
      <c r="CS401">
        <f t="shared" si="345"/>
        <v>0</v>
      </c>
      <c r="CT401">
        <f t="shared" si="346"/>
        <v>0</v>
      </c>
      <c r="CU401">
        <f t="shared" si="347"/>
        <v>0</v>
      </c>
      <c r="CV401">
        <f t="shared" si="348"/>
        <v>0</v>
      </c>
      <c r="CW401">
        <f t="shared" si="349"/>
        <v>0</v>
      </c>
      <c r="CX401">
        <f t="shared" si="350"/>
        <v>0</v>
      </c>
      <c r="CY401">
        <f t="shared" si="351"/>
        <v>0</v>
      </c>
      <c r="CZ401">
        <f t="shared" si="352"/>
        <v>0</v>
      </c>
      <c r="DC401" t="s">
        <v>6</v>
      </c>
      <c r="DD401" t="s">
        <v>6</v>
      </c>
      <c r="DE401" t="s">
        <v>6</v>
      </c>
      <c r="DF401" t="s">
        <v>6</v>
      </c>
      <c r="DG401" t="s">
        <v>6</v>
      </c>
      <c r="DH401" t="s">
        <v>6</v>
      </c>
      <c r="DI401" t="s">
        <v>6</v>
      </c>
      <c r="DJ401" t="s">
        <v>6</v>
      </c>
      <c r="DK401" t="s">
        <v>6</v>
      </c>
      <c r="DL401" t="s">
        <v>6</v>
      </c>
      <c r="DM401" t="s">
        <v>6</v>
      </c>
      <c r="DN401">
        <v>0</v>
      </c>
      <c r="DO401">
        <v>0</v>
      </c>
      <c r="DP401">
        <v>1</v>
      </c>
      <c r="DQ401">
        <v>1</v>
      </c>
      <c r="DU401">
        <v>1013</v>
      </c>
      <c r="DV401" t="s">
        <v>749</v>
      </c>
      <c r="DW401" t="s">
        <v>751</v>
      </c>
      <c r="DX401">
        <v>1</v>
      </c>
      <c r="EE401">
        <v>16510370</v>
      </c>
      <c r="EF401">
        <v>3</v>
      </c>
      <c r="EG401" t="s">
        <v>83</v>
      </c>
      <c r="EH401">
        <v>0</v>
      </c>
      <c r="EI401" t="s">
        <v>6</v>
      </c>
      <c r="EJ401">
        <v>2</v>
      </c>
      <c r="EK401">
        <v>108001</v>
      </c>
      <c r="EL401" t="s">
        <v>84</v>
      </c>
      <c r="EM401" t="s">
        <v>85</v>
      </c>
      <c r="EO401" t="s">
        <v>6</v>
      </c>
      <c r="EQ401">
        <v>0</v>
      </c>
      <c r="ER401">
        <v>6920.41</v>
      </c>
      <c r="ES401">
        <v>6920.41</v>
      </c>
      <c r="ET401">
        <v>0</v>
      </c>
      <c r="EU401">
        <v>0</v>
      </c>
      <c r="EV401">
        <v>0</v>
      </c>
      <c r="EW401">
        <v>0</v>
      </c>
      <c r="EX401">
        <v>0</v>
      </c>
      <c r="FQ401">
        <v>0</v>
      </c>
      <c r="FR401">
        <f t="shared" si="353"/>
        <v>0</v>
      </c>
      <c r="FS401">
        <v>0</v>
      </c>
      <c r="FX401">
        <v>95</v>
      </c>
      <c r="FY401">
        <v>65</v>
      </c>
      <c r="GA401" t="s">
        <v>6</v>
      </c>
      <c r="GD401">
        <v>0</v>
      </c>
      <c r="GF401">
        <v>559331636</v>
      </c>
      <c r="GG401">
        <v>1</v>
      </c>
      <c r="GH401">
        <v>1</v>
      </c>
      <c r="GI401">
        <v>4</v>
      </c>
      <c r="GJ401">
        <v>0</v>
      </c>
      <c r="GK401">
        <f>ROUND(R401*(R12)/100,2)</f>
        <v>0</v>
      </c>
      <c r="GL401">
        <f t="shared" si="354"/>
        <v>0</v>
      </c>
      <c r="GM401">
        <f t="shared" si="355"/>
        <v>5992.52</v>
      </c>
      <c r="GN401">
        <f t="shared" si="356"/>
        <v>0</v>
      </c>
      <c r="GO401">
        <f t="shared" si="357"/>
        <v>5992.52</v>
      </c>
      <c r="GP401">
        <f t="shared" si="358"/>
        <v>0</v>
      </c>
      <c r="GR401">
        <v>0</v>
      </c>
      <c r="GS401">
        <v>3</v>
      </c>
      <c r="GT401">
        <v>0</v>
      </c>
      <c r="GU401" t="s">
        <v>6</v>
      </c>
      <c r="GV401">
        <f t="shared" si="359"/>
        <v>0</v>
      </c>
      <c r="GW401">
        <v>1</v>
      </c>
      <c r="GX401">
        <f t="shared" si="360"/>
        <v>0</v>
      </c>
      <c r="HA401">
        <v>0</v>
      </c>
      <c r="HB401">
        <v>0</v>
      </c>
      <c r="IK401">
        <v>0</v>
      </c>
    </row>
    <row r="402" spans="1:245" x14ac:dyDescent="0.2">
      <c r="A402">
        <v>17</v>
      </c>
      <c r="B402">
        <v>1</v>
      </c>
      <c r="C402">
        <f>ROW(SmtRes!A665)</f>
        <v>665</v>
      </c>
      <c r="D402">
        <f>ROW(EtalonRes!A615)</f>
        <v>615</v>
      </c>
      <c r="E402" t="s">
        <v>872</v>
      </c>
      <c r="F402" t="s">
        <v>812</v>
      </c>
      <c r="G402" t="s">
        <v>813</v>
      </c>
      <c r="H402" t="s">
        <v>34</v>
      </c>
      <c r="I402">
        <f>ROUND(68/100,9)</f>
        <v>0.68</v>
      </c>
      <c r="J402">
        <v>0</v>
      </c>
      <c r="O402">
        <f t="shared" si="322"/>
        <v>2599.13</v>
      </c>
      <c r="P402">
        <f t="shared" si="323"/>
        <v>1817.91</v>
      </c>
      <c r="Q402">
        <f t="shared" si="324"/>
        <v>422.3</v>
      </c>
      <c r="R402">
        <f t="shared" si="325"/>
        <v>104.07</v>
      </c>
      <c r="S402">
        <f t="shared" si="326"/>
        <v>358.92</v>
      </c>
      <c r="T402">
        <f t="shared" si="327"/>
        <v>0</v>
      </c>
      <c r="U402">
        <f t="shared" si="328"/>
        <v>5.8208000000000011</v>
      </c>
      <c r="V402">
        <f t="shared" si="329"/>
        <v>1.5436000000000001</v>
      </c>
      <c r="W402">
        <f t="shared" si="330"/>
        <v>0</v>
      </c>
      <c r="X402">
        <f t="shared" si="331"/>
        <v>439.84</v>
      </c>
      <c r="Y402">
        <f t="shared" si="332"/>
        <v>300.94</v>
      </c>
      <c r="AA402">
        <v>16742901</v>
      </c>
      <c r="AB402">
        <f t="shared" si="333"/>
        <v>582.66</v>
      </c>
      <c r="AC402">
        <f t="shared" si="334"/>
        <v>407.53</v>
      </c>
      <c r="AD402">
        <f t="shared" si="335"/>
        <v>94.67</v>
      </c>
      <c r="AE402">
        <f t="shared" si="336"/>
        <v>23.33</v>
      </c>
      <c r="AF402">
        <f t="shared" si="337"/>
        <v>80.459999999999994</v>
      </c>
      <c r="AG402">
        <f t="shared" si="338"/>
        <v>0</v>
      </c>
      <c r="AH402">
        <f t="shared" si="339"/>
        <v>8.56</v>
      </c>
      <c r="AI402">
        <f t="shared" si="340"/>
        <v>2.27</v>
      </c>
      <c r="AJ402">
        <f t="shared" si="341"/>
        <v>0</v>
      </c>
      <c r="AK402">
        <v>582.66</v>
      </c>
      <c r="AL402">
        <v>407.53</v>
      </c>
      <c r="AM402">
        <v>94.67</v>
      </c>
      <c r="AN402">
        <v>23.33</v>
      </c>
      <c r="AO402">
        <v>80.459999999999994</v>
      </c>
      <c r="AP402">
        <v>0</v>
      </c>
      <c r="AQ402">
        <v>8.56</v>
      </c>
      <c r="AR402">
        <v>2.27</v>
      </c>
      <c r="AS402">
        <v>0</v>
      </c>
      <c r="AT402">
        <v>95</v>
      </c>
      <c r="AU402">
        <v>65</v>
      </c>
      <c r="AV402">
        <v>1</v>
      </c>
      <c r="AW402">
        <v>1</v>
      </c>
      <c r="AZ402">
        <v>6.56</v>
      </c>
      <c r="BA402">
        <v>6.56</v>
      </c>
      <c r="BB402">
        <v>6.56</v>
      </c>
      <c r="BC402">
        <v>6.56</v>
      </c>
      <c r="BD402" t="s">
        <v>6</v>
      </c>
      <c r="BE402" t="s">
        <v>6</v>
      </c>
      <c r="BF402" t="s">
        <v>6</v>
      </c>
      <c r="BG402" t="s">
        <v>6</v>
      </c>
      <c r="BH402">
        <v>0</v>
      </c>
      <c r="BI402">
        <v>2</v>
      </c>
      <c r="BJ402" t="s">
        <v>814</v>
      </c>
      <c r="BM402">
        <v>108001</v>
      </c>
      <c r="BN402">
        <v>0</v>
      </c>
      <c r="BO402" t="s">
        <v>6</v>
      </c>
      <c r="BP402">
        <v>0</v>
      </c>
      <c r="BQ402">
        <v>3</v>
      </c>
      <c r="BR402">
        <v>0</v>
      </c>
      <c r="BS402">
        <v>6.56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6</v>
      </c>
      <c r="BZ402">
        <v>95</v>
      </c>
      <c r="CA402">
        <v>65</v>
      </c>
      <c r="CF402">
        <v>0</v>
      </c>
      <c r="CG402">
        <v>0</v>
      </c>
      <c r="CM402">
        <v>0</v>
      </c>
      <c r="CN402" t="s">
        <v>6</v>
      </c>
      <c r="CO402">
        <v>0</v>
      </c>
      <c r="CP402">
        <f t="shared" si="342"/>
        <v>2599.13</v>
      </c>
      <c r="CQ402">
        <f t="shared" si="343"/>
        <v>2673.3967999999995</v>
      </c>
      <c r="CR402">
        <f t="shared" si="344"/>
        <v>621.03519999999992</v>
      </c>
      <c r="CS402">
        <f t="shared" si="345"/>
        <v>153.04479999999998</v>
      </c>
      <c r="CT402">
        <f t="shared" si="346"/>
        <v>527.81759999999997</v>
      </c>
      <c r="CU402">
        <f t="shared" si="347"/>
        <v>0</v>
      </c>
      <c r="CV402">
        <f t="shared" si="348"/>
        <v>8.56</v>
      </c>
      <c r="CW402">
        <f t="shared" si="349"/>
        <v>2.27</v>
      </c>
      <c r="CX402">
        <f t="shared" si="350"/>
        <v>0</v>
      </c>
      <c r="CY402">
        <f t="shared" si="351"/>
        <v>439.84050000000002</v>
      </c>
      <c r="CZ402">
        <f t="shared" si="352"/>
        <v>300.94350000000003</v>
      </c>
      <c r="DC402" t="s">
        <v>6</v>
      </c>
      <c r="DD402" t="s">
        <v>6</v>
      </c>
      <c r="DE402" t="s">
        <v>6</v>
      </c>
      <c r="DF402" t="s">
        <v>6</v>
      </c>
      <c r="DG402" t="s">
        <v>6</v>
      </c>
      <c r="DH402" t="s">
        <v>6</v>
      </c>
      <c r="DI402" t="s">
        <v>6</v>
      </c>
      <c r="DJ402" t="s">
        <v>6</v>
      </c>
      <c r="DK402" t="s">
        <v>6</v>
      </c>
      <c r="DL402" t="s">
        <v>6</v>
      </c>
      <c r="DM402" t="s">
        <v>6</v>
      </c>
      <c r="DN402">
        <v>0</v>
      </c>
      <c r="DO402">
        <v>0</v>
      </c>
      <c r="DP402">
        <v>1</v>
      </c>
      <c r="DQ402">
        <v>1</v>
      </c>
      <c r="DU402">
        <v>1003</v>
      </c>
      <c r="DV402" t="s">
        <v>34</v>
      </c>
      <c r="DW402" t="s">
        <v>34</v>
      </c>
      <c r="DX402">
        <v>100</v>
      </c>
      <c r="EE402">
        <v>16510370</v>
      </c>
      <c r="EF402">
        <v>3</v>
      </c>
      <c r="EG402" t="s">
        <v>83</v>
      </c>
      <c r="EH402">
        <v>0</v>
      </c>
      <c r="EI402" t="s">
        <v>6</v>
      </c>
      <c r="EJ402">
        <v>2</v>
      </c>
      <c r="EK402">
        <v>108001</v>
      </c>
      <c r="EL402" t="s">
        <v>84</v>
      </c>
      <c r="EM402" t="s">
        <v>85</v>
      </c>
      <c r="EO402" t="s">
        <v>6</v>
      </c>
      <c r="EQ402">
        <v>131072</v>
      </c>
      <c r="ER402">
        <v>582.66</v>
      </c>
      <c r="ES402">
        <v>407.53</v>
      </c>
      <c r="ET402">
        <v>94.67</v>
      </c>
      <c r="EU402">
        <v>23.33</v>
      </c>
      <c r="EV402">
        <v>80.459999999999994</v>
      </c>
      <c r="EW402">
        <v>8.56</v>
      </c>
      <c r="EX402">
        <v>2.27</v>
      </c>
      <c r="EY402">
        <v>0</v>
      </c>
      <c r="FQ402">
        <v>0</v>
      </c>
      <c r="FR402">
        <f t="shared" si="353"/>
        <v>0</v>
      </c>
      <c r="FS402">
        <v>0</v>
      </c>
      <c r="FX402">
        <v>95</v>
      </c>
      <c r="FY402">
        <v>65</v>
      </c>
      <c r="GA402" t="s">
        <v>6</v>
      </c>
      <c r="GD402">
        <v>0</v>
      </c>
      <c r="GF402">
        <v>-1279751464</v>
      </c>
      <c r="GG402">
        <v>1</v>
      </c>
      <c r="GH402">
        <v>1</v>
      </c>
      <c r="GI402">
        <v>4</v>
      </c>
      <c r="GJ402">
        <v>0</v>
      </c>
      <c r="GK402">
        <f>ROUND(R402*(R12)/100,2)</f>
        <v>0</v>
      </c>
      <c r="GL402">
        <f t="shared" si="354"/>
        <v>0</v>
      </c>
      <c r="GM402">
        <f t="shared" si="355"/>
        <v>3339.91</v>
      </c>
      <c r="GN402">
        <f t="shared" si="356"/>
        <v>0</v>
      </c>
      <c r="GO402">
        <f t="shared" si="357"/>
        <v>3339.91</v>
      </c>
      <c r="GP402">
        <f t="shared" si="358"/>
        <v>0</v>
      </c>
      <c r="GR402">
        <v>0</v>
      </c>
      <c r="GS402">
        <v>3</v>
      </c>
      <c r="GT402">
        <v>0</v>
      </c>
      <c r="GU402" t="s">
        <v>6</v>
      </c>
      <c r="GV402">
        <f t="shared" si="359"/>
        <v>0</v>
      </c>
      <c r="GW402">
        <v>1</v>
      </c>
      <c r="GX402">
        <f t="shared" si="360"/>
        <v>0</v>
      </c>
      <c r="HA402">
        <v>0</v>
      </c>
      <c r="HB402">
        <v>0</v>
      </c>
      <c r="IK402">
        <v>0</v>
      </c>
    </row>
    <row r="403" spans="1:245" x14ac:dyDescent="0.2">
      <c r="A403">
        <v>18</v>
      </c>
      <c r="B403">
        <v>1</v>
      </c>
      <c r="C403">
        <v>663</v>
      </c>
      <c r="E403" t="s">
        <v>873</v>
      </c>
      <c r="F403" t="s">
        <v>816</v>
      </c>
      <c r="G403" t="s">
        <v>817</v>
      </c>
      <c r="H403" t="s">
        <v>73</v>
      </c>
      <c r="I403">
        <f>I402*J403</f>
        <v>27</v>
      </c>
      <c r="J403">
        <v>39.705882352941174</v>
      </c>
      <c r="O403">
        <f t="shared" si="322"/>
        <v>11052.29</v>
      </c>
      <c r="P403">
        <f t="shared" si="323"/>
        <v>11052.29</v>
      </c>
      <c r="Q403">
        <f t="shared" si="324"/>
        <v>0</v>
      </c>
      <c r="R403">
        <f t="shared" si="325"/>
        <v>0</v>
      </c>
      <c r="S403">
        <f t="shared" si="326"/>
        <v>0</v>
      </c>
      <c r="T403">
        <f t="shared" si="327"/>
        <v>0</v>
      </c>
      <c r="U403">
        <f t="shared" si="328"/>
        <v>0</v>
      </c>
      <c r="V403">
        <f t="shared" si="329"/>
        <v>0</v>
      </c>
      <c r="W403">
        <f t="shared" si="330"/>
        <v>0</v>
      </c>
      <c r="X403">
        <f t="shared" si="331"/>
        <v>0</v>
      </c>
      <c r="Y403">
        <f t="shared" si="332"/>
        <v>0</v>
      </c>
      <c r="AA403">
        <v>16742901</v>
      </c>
      <c r="AB403">
        <f t="shared" si="333"/>
        <v>62.4</v>
      </c>
      <c r="AC403">
        <f t="shared" si="334"/>
        <v>62.4</v>
      </c>
      <c r="AD403">
        <f t="shared" si="335"/>
        <v>0</v>
      </c>
      <c r="AE403">
        <f t="shared" si="336"/>
        <v>0</v>
      </c>
      <c r="AF403">
        <f t="shared" si="337"/>
        <v>0</v>
      </c>
      <c r="AG403">
        <f t="shared" si="338"/>
        <v>0</v>
      </c>
      <c r="AH403">
        <f t="shared" si="339"/>
        <v>0</v>
      </c>
      <c r="AI403">
        <f t="shared" si="340"/>
        <v>0</v>
      </c>
      <c r="AJ403">
        <f t="shared" si="341"/>
        <v>0</v>
      </c>
      <c r="AK403">
        <v>62.4</v>
      </c>
      <c r="AL403">
        <v>62.4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95</v>
      </c>
      <c r="AU403">
        <v>65</v>
      </c>
      <c r="AV403">
        <v>1</v>
      </c>
      <c r="AW403">
        <v>1</v>
      </c>
      <c r="AZ403">
        <v>6.56</v>
      </c>
      <c r="BA403">
        <v>1</v>
      </c>
      <c r="BB403">
        <v>1</v>
      </c>
      <c r="BC403">
        <v>6.56</v>
      </c>
      <c r="BD403" t="s">
        <v>6</v>
      </c>
      <c r="BE403" t="s">
        <v>6</v>
      </c>
      <c r="BF403" t="s">
        <v>6</v>
      </c>
      <c r="BG403" t="s">
        <v>6</v>
      </c>
      <c r="BH403">
        <v>3</v>
      </c>
      <c r="BI403">
        <v>2</v>
      </c>
      <c r="BJ403" t="s">
        <v>818</v>
      </c>
      <c r="BM403">
        <v>108001</v>
      </c>
      <c r="BN403">
        <v>0</v>
      </c>
      <c r="BO403" t="s">
        <v>6</v>
      </c>
      <c r="BP403">
        <v>0</v>
      </c>
      <c r="BQ403">
        <v>3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6</v>
      </c>
      <c r="BZ403">
        <v>95</v>
      </c>
      <c r="CA403">
        <v>65</v>
      </c>
      <c r="CF403">
        <v>0</v>
      </c>
      <c r="CG403">
        <v>0</v>
      </c>
      <c r="CM403">
        <v>0</v>
      </c>
      <c r="CN403" t="s">
        <v>6</v>
      </c>
      <c r="CO403">
        <v>0</v>
      </c>
      <c r="CP403">
        <f t="shared" si="342"/>
        <v>11052.29</v>
      </c>
      <c r="CQ403">
        <f t="shared" si="343"/>
        <v>409.34399999999999</v>
      </c>
      <c r="CR403">
        <f t="shared" si="344"/>
        <v>0</v>
      </c>
      <c r="CS403">
        <f t="shared" si="345"/>
        <v>0</v>
      </c>
      <c r="CT403">
        <f t="shared" si="346"/>
        <v>0</v>
      </c>
      <c r="CU403">
        <f t="shared" si="347"/>
        <v>0</v>
      </c>
      <c r="CV403">
        <f t="shared" si="348"/>
        <v>0</v>
      </c>
      <c r="CW403">
        <f t="shared" si="349"/>
        <v>0</v>
      </c>
      <c r="CX403">
        <f t="shared" si="350"/>
        <v>0</v>
      </c>
      <c r="CY403">
        <f t="shared" si="351"/>
        <v>0</v>
      </c>
      <c r="CZ403">
        <f t="shared" si="352"/>
        <v>0</v>
      </c>
      <c r="DC403" t="s">
        <v>6</v>
      </c>
      <c r="DD403" t="s">
        <v>6</v>
      </c>
      <c r="DE403" t="s">
        <v>6</v>
      </c>
      <c r="DF403" t="s">
        <v>6</v>
      </c>
      <c r="DG403" t="s">
        <v>6</v>
      </c>
      <c r="DH403" t="s">
        <v>6</v>
      </c>
      <c r="DI403" t="s">
        <v>6</v>
      </c>
      <c r="DJ403" t="s">
        <v>6</v>
      </c>
      <c r="DK403" t="s">
        <v>6</v>
      </c>
      <c r="DL403" t="s">
        <v>6</v>
      </c>
      <c r="DM403" t="s">
        <v>6</v>
      </c>
      <c r="DN403">
        <v>0</v>
      </c>
      <c r="DO403">
        <v>0</v>
      </c>
      <c r="DP403">
        <v>1</v>
      </c>
      <c r="DQ403">
        <v>1</v>
      </c>
      <c r="DU403">
        <v>1010</v>
      </c>
      <c r="DV403" t="s">
        <v>73</v>
      </c>
      <c r="DW403" t="s">
        <v>73</v>
      </c>
      <c r="DX403">
        <v>1</v>
      </c>
      <c r="EE403">
        <v>16510370</v>
      </c>
      <c r="EF403">
        <v>3</v>
      </c>
      <c r="EG403" t="s">
        <v>83</v>
      </c>
      <c r="EH403">
        <v>0</v>
      </c>
      <c r="EI403" t="s">
        <v>6</v>
      </c>
      <c r="EJ403">
        <v>2</v>
      </c>
      <c r="EK403">
        <v>108001</v>
      </c>
      <c r="EL403" t="s">
        <v>84</v>
      </c>
      <c r="EM403" t="s">
        <v>85</v>
      </c>
      <c r="EO403" t="s">
        <v>6</v>
      </c>
      <c r="EQ403">
        <v>0</v>
      </c>
      <c r="ER403">
        <v>62.4</v>
      </c>
      <c r="ES403">
        <v>62.4</v>
      </c>
      <c r="ET403">
        <v>0</v>
      </c>
      <c r="EU403">
        <v>0</v>
      </c>
      <c r="EV403">
        <v>0</v>
      </c>
      <c r="EW403">
        <v>0</v>
      </c>
      <c r="EX403">
        <v>0</v>
      </c>
      <c r="FQ403">
        <v>0</v>
      </c>
      <c r="FR403">
        <f t="shared" si="353"/>
        <v>0</v>
      </c>
      <c r="FS403">
        <v>0</v>
      </c>
      <c r="FX403">
        <v>95</v>
      </c>
      <c r="FY403">
        <v>65</v>
      </c>
      <c r="GA403" t="s">
        <v>6</v>
      </c>
      <c r="GD403">
        <v>0</v>
      </c>
      <c r="GF403">
        <v>1131365880</v>
      </c>
      <c r="GG403">
        <v>1</v>
      </c>
      <c r="GH403">
        <v>1</v>
      </c>
      <c r="GI403">
        <v>4</v>
      </c>
      <c r="GJ403">
        <v>0</v>
      </c>
      <c r="GK403">
        <f>ROUND(R403*(R12)/100,2)</f>
        <v>0</v>
      </c>
      <c r="GL403">
        <f t="shared" si="354"/>
        <v>0</v>
      </c>
      <c r="GM403">
        <f t="shared" si="355"/>
        <v>11052.29</v>
      </c>
      <c r="GN403">
        <f t="shared" si="356"/>
        <v>0</v>
      </c>
      <c r="GO403">
        <f t="shared" si="357"/>
        <v>11052.29</v>
      </c>
      <c r="GP403">
        <f t="shared" si="358"/>
        <v>0</v>
      </c>
      <c r="GR403">
        <v>0</v>
      </c>
      <c r="GS403">
        <v>3</v>
      </c>
      <c r="GT403">
        <v>0</v>
      </c>
      <c r="GU403" t="s">
        <v>6</v>
      </c>
      <c r="GV403">
        <f t="shared" si="359"/>
        <v>0</v>
      </c>
      <c r="GW403">
        <v>1</v>
      </c>
      <c r="GX403">
        <f t="shared" si="360"/>
        <v>0</v>
      </c>
      <c r="HA403">
        <v>0</v>
      </c>
      <c r="HB403">
        <v>0</v>
      </c>
      <c r="IK403">
        <v>0</v>
      </c>
    </row>
    <row r="404" spans="1:245" x14ac:dyDescent="0.2">
      <c r="A404">
        <v>17</v>
      </c>
      <c r="B404">
        <v>1</v>
      </c>
      <c r="C404">
        <f>ROW(SmtRes!A675)</f>
        <v>675</v>
      </c>
      <c r="D404">
        <f>ROW(EtalonRes!A623)</f>
        <v>623</v>
      </c>
      <c r="E404" t="s">
        <v>874</v>
      </c>
      <c r="F404" t="s">
        <v>875</v>
      </c>
      <c r="G404" t="s">
        <v>876</v>
      </c>
      <c r="H404" t="s">
        <v>34</v>
      </c>
      <c r="I404">
        <f>ROUND(170/100,9)</f>
        <v>1.7</v>
      </c>
      <c r="J404">
        <v>0</v>
      </c>
      <c r="O404">
        <f t="shared" si="322"/>
        <v>403.59</v>
      </c>
      <c r="P404">
        <f t="shared" si="323"/>
        <v>148.1</v>
      </c>
      <c r="Q404">
        <f t="shared" si="324"/>
        <v>39.590000000000003</v>
      </c>
      <c r="R404">
        <f t="shared" si="325"/>
        <v>5.58</v>
      </c>
      <c r="S404">
        <f t="shared" si="326"/>
        <v>215.9</v>
      </c>
      <c r="T404">
        <f t="shared" si="327"/>
        <v>0</v>
      </c>
      <c r="U404">
        <f t="shared" si="328"/>
        <v>3.5019999999999998</v>
      </c>
      <c r="V404">
        <f t="shared" si="329"/>
        <v>6.8000000000000005E-2</v>
      </c>
      <c r="W404">
        <f t="shared" si="330"/>
        <v>0</v>
      </c>
      <c r="X404">
        <f t="shared" si="331"/>
        <v>210.41</v>
      </c>
      <c r="Y404">
        <f t="shared" si="332"/>
        <v>143.96</v>
      </c>
      <c r="AA404">
        <v>16742901</v>
      </c>
      <c r="AB404">
        <f t="shared" si="333"/>
        <v>36.19</v>
      </c>
      <c r="AC404">
        <f t="shared" si="334"/>
        <v>13.28</v>
      </c>
      <c r="AD404">
        <f t="shared" si="335"/>
        <v>3.55</v>
      </c>
      <c r="AE404">
        <f t="shared" si="336"/>
        <v>0.5</v>
      </c>
      <c r="AF404">
        <f t="shared" si="337"/>
        <v>19.36</v>
      </c>
      <c r="AG404">
        <f t="shared" si="338"/>
        <v>0</v>
      </c>
      <c r="AH404">
        <f t="shared" si="339"/>
        <v>2.06</v>
      </c>
      <c r="AI404">
        <f t="shared" si="340"/>
        <v>0.04</v>
      </c>
      <c r="AJ404">
        <f t="shared" si="341"/>
        <v>0</v>
      </c>
      <c r="AK404">
        <v>36.19</v>
      </c>
      <c r="AL404">
        <v>13.28</v>
      </c>
      <c r="AM404">
        <v>3.55</v>
      </c>
      <c r="AN404">
        <v>0.5</v>
      </c>
      <c r="AO404">
        <v>19.36</v>
      </c>
      <c r="AP404">
        <v>0</v>
      </c>
      <c r="AQ404">
        <v>2.06</v>
      </c>
      <c r="AR404">
        <v>0.04</v>
      </c>
      <c r="AS404">
        <v>0</v>
      </c>
      <c r="AT404">
        <v>95</v>
      </c>
      <c r="AU404">
        <v>65</v>
      </c>
      <c r="AV404">
        <v>1</v>
      </c>
      <c r="AW404">
        <v>1</v>
      </c>
      <c r="AZ404">
        <v>6.56</v>
      </c>
      <c r="BA404">
        <v>6.56</v>
      </c>
      <c r="BB404">
        <v>6.56</v>
      </c>
      <c r="BC404">
        <v>6.56</v>
      </c>
      <c r="BD404" t="s">
        <v>6</v>
      </c>
      <c r="BE404" t="s">
        <v>6</v>
      </c>
      <c r="BF404" t="s">
        <v>6</v>
      </c>
      <c r="BG404" t="s">
        <v>6</v>
      </c>
      <c r="BH404">
        <v>0</v>
      </c>
      <c r="BI404">
        <v>2</v>
      </c>
      <c r="BJ404" t="s">
        <v>877</v>
      </c>
      <c r="BM404">
        <v>108001</v>
      </c>
      <c r="BN404">
        <v>0</v>
      </c>
      <c r="BO404" t="s">
        <v>6</v>
      </c>
      <c r="BP404">
        <v>0</v>
      </c>
      <c r="BQ404">
        <v>3</v>
      </c>
      <c r="BR404">
        <v>0</v>
      </c>
      <c r="BS404">
        <v>6.56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6</v>
      </c>
      <c r="BZ404">
        <v>95</v>
      </c>
      <c r="CA404">
        <v>65</v>
      </c>
      <c r="CF404">
        <v>0</v>
      </c>
      <c r="CG404">
        <v>0</v>
      </c>
      <c r="CM404">
        <v>0</v>
      </c>
      <c r="CN404" t="s">
        <v>6</v>
      </c>
      <c r="CO404">
        <v>0</v>
      </c>
      <c r="CP404">
        <f t="shared" si="342"/>
        <v>403.59000000000003</v>
      </c>
      <c r="CQ404">
        <f t="shared" si="343"/>
        <v>87.116799999999984</v>
      </c>
      <c r="CR404">
        <f t="shared" si="344"/>
        <v>23.287999999999997</v>
      </c>
      <c r="CS404">
        <f t="shared" si="345"/>
        <v>3.28</v>
      </c>
      <c r="CT404">
        <f t="shared" si="346"/>
        <v>127.00159999999998</v>
      </c>
      <c r="CU404">
        <f t="shared" si="347"/>
        <v>0</v>
      </c>
      <c r="CV404">
        <f t="shared" si="348"/>
        <v>2.06</v>
      </c>
      <c r="CW404">
        <f t="shared" si="349"/>
        <v>0.04</v>
      </c>
      <c r="CX404">
        <f t="shared" si="350"/>
        <v>0</v>
      </c>
      <c r="CY404">
        <f t="shared" si="351"/>
        <v>210.40600000000003</v>
      </c>
      <c r="CZ404">
        <f t="shared" si="352"/>
        <v>143.96200000000002</v>
      </c>
      <c r="DC404" t="s">
        <v>6</v>
      </c>
      <c r="DD404" t="s">
        <v>6</v>
      </c>
      <c r="DE404" t="s">
        <v>6</v>
      </c>
      <c r="DF404" t="s">
        <v>6</v>
      </c>
      <c r="DG404" t="s">
        <v>6</v>
      </c>
      <c r="DH404" t="s">
        <v>6</v>
      </c>
      <c r="DI404" t="s">
        <v>6</v>
      </c>
      <c r="DJ404" t="s">
        <v>6</v>
      </c>
      <c r="DK404" t="s">
        <v>6</v>
      </c>
      <c r="DL404" t="s">
        <v>6</v>
      </c>
      <c r="DM404" t="s">
        <v>6</v>
      </c>
      <c r="DN404">
        <v>0</v>
      </c>
      <c r="DO404">
        <v>0</v>
      </c>
      <c r="DP404">
        <v>1</v>
      </c>
      <c r="DQ404">
        <v>1</v>
      </c>
      <c r="DU404">
        <v>1003</v>
      </c>
      <c r="DV404" t="s">
        <v>34</v>
      </c>
      <c r="DW404" t="s">
        <v>34</v>
      </c>
      <c r="DX404">
        <v>100</v>
      </c>
      <c r="EE404">
        <v>16510370</v>
      </c>
      <c r="EF404">
        <v>3</v>
      </c>
      <c r="EG404" t="s">
        <v>83</v>
      </c>
      <c r="EH404">
        <v>0</v>
      </c>
      <c r="EI404" t="s">
        <v>6</v>
      </c>
      <c r="EJ404">
        <v>2</v>
      </c>
      <c r="EK404">
        <v>108001</v>
      </c>
      <c r="EL404" t="s">
        <v>84</v>
      </c>
      <c r="EM404" t="s">
        <v>85</v>
      </c>
      <c r="EO404" t="s">
        <v>6</v>
      </c>
      <c r="EQ404">
        <v>131072</v>
      </c>
      <c r="ER404">
        <v>36.19</v>
      </c>
      <c r="ES404">
        <v>13.28</v>
      </c>
      <c r="ET404">
        <v>3.55</v>
      </c>
      <c r="EU404">
        <v>0.5</v>
      </c>
      <c r="EV404">
        <v>19.36</v>
      </c>
      <c r="EW404">
        <v>2.06</v>
      </c>
      <c r="EX404">
        <v>0.04</v>
      </c>
      <c r="EY404">
        <v>0</v>
      </c>
      <c r="FQ404">
        <v>0</v>
      </c>
      <c r="FR404">
        <f t="shared" si="353"/>
        <v>0</v>
      </c>
      <c r="FS404">
        <v>0</v>
      </c>
      <c r="FX404">
        <v>95</v>
      </c>
      <c r="FY404">
        <v>65</v>
      </c>
      <c r="GA404" t="s">
        <v>6</v>
      </c>
      <c r="GD404">
        <v>0</v>
      </c>
      <c r="GF404">
        <v>2140511492</v>
      </c>
      <c r="GG404">
        <v>1</v>
      </c>
      <c r="GH404">
        <v>1</v>
      </c>
      <c r="GI404">
        <v>4</v>
      </c>
      <c r="GJ404">
        <v>0</v>
      </c>
      <c r="GK404">
        <f>ROUND(R404*(R12)/100,2)</f>
        <v>0</v>
      </c>
      <c r="GL404">
        <f t="shared" si="354"/>
        <v>0</v>
      </c>
      <c r="GM404">
        <f t="shared" si="355"/>
        <v>757.96</v>
      </c>
      <c r="GN404">
        <f t="shared" si="356"/>
        <v>0</v>
      </c>
      <c r="GO404">
        <f t="shared" si="357"/>
        <v>757.96</v>
      </c>
      <c r="GP404">
        <f t="shared" si="358"/>
        <v>0</v>
      </c>
      <c r="GR404">
        <v>0</v>
      </c>
      <c r="GS404">
        <v>3</v>
      </c>
      <c r="GT404">
        <v>0</v>
      </c>
      <c r="GU404" t="s">
        <v>6</v>
      </c>
      <c r="GV404">
        <f t="shared" si="359"/>
        <v>0</v>
      </c>
      <c r="GW404">
        <v>1</v>
      </c>
      <c r="GX404">
        <f t="shared" si="360"/>
        <v>0</v>
      </c>
      <c r="HA404">
        <v>0</v>
      </c>
      <c r="HB404">
        <v>0</v>
      </c>
      <c r="IK404">
        <v>0</v>
      </c>
    </row>
    <row r="405" spans="1:245" x14ac:dyDescent="0.2">
      <c r="A405">
        <v>18</v>
      </c>
      <c r="B405">
        <v>1</v>
      </c>
      <c r="C405">
        <v>673</v>
      </c>
      <c r="E405" t="s">
        <v>878</v>
      </c>
      <c r="F405" t="s">
        <v>879</v>
      </c>
      <c r="G405" t="s">
        <v>880</v>
      </c>
      <c r="H405" t="s">
        <v>749</v>
      </c>
      <c r="I405">
        <f>I404*J405</f>
        <v>5.2999999999999999E-2</v>
      </c>
      <c r="J405">
        <v>3.1176470588235295E-2</v>
      </c>
      <c r="O405">
        <f t="shared" si="322"/>
        <v>3579.83</v>
      </c>
      <c r="P405">
        <f t="shared" si="323"/>
        <v>3579.83</v>
      </c>
      <c r="Q405">
        <f t="shared" si="324"/>
        <v>0</v>
      </c>
      <c r="R405">
        <f t="shared" si="325"/>
        <v>0</v>
      </c>
      <c r="S405">
        <f t="shared" si="326"/>
        <v>0</v>
      </c>
      <c r="T405">
        <f t="shared" si="327"/>
        <v>0</v>
      </c>
      <c r="U405">
        <f t="shared" si="328"/>
        <v>0</v>
      </c>
      <c r="V405">
        <f t="shared" si="329"/>
        <v>0</v>
      </c>
      <c r="W405">
        <f t="shared" si="330"/>
        <v>0</v>
      </c>
      <c r="X405">
        <f t="shared" si="331"/>
        <v>0</v>
      </c>
      <c r="Y405">
        <f t="shared" si="332"/>
        <v>0</v>
      </c>
      <c r="AA405">
        <v>16742901</v>
      </c>
      <c r="AB405">
        <f t="shared" si="333"/>
        <v>10296.33</v>
      </c>
      <c r="AC405">
        <f t="shared" si="334"/>
        <v>10296.33</v>
      </c>
      <c r="AD405">
        <f t="shared" si="335"/>
        <v>0</v>
      </c>
      <c r="AE405">
        <f t="shared" si="336"/>
        <v>0</v>
      </c>
      <c r="AF405">
        <f t="shared" si="337"/>
        <v>0</v>
      </c>
      <c r="AG405">
        <f t="shared" si="338"/>
        <v>0</v>
      </c>
      <c r="AH405">
        <f t="shared" si="339"/>
        <v>0</v>
      </c>
      <c r="AI405">
        <f t="shared" si="340"/>
        <v>0</v>
      </c>
      <c r="AJ405">
        <f t="shared" si="341"/>
        <v>0</v>
      </c>
      <c r="AK405">
        <v>10296.33</v>
      </c>
      <c r="AL405">
        <v>10296.33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95</v>
      </c>
      <c r="AU405">
        <v>65</v>
      </c>
      <c r="AV405">
        <v>1</v>
      </c>
      <c r="AW405">
        <v>1</v>
      </c>
      <c r="AZ405">
        <v>6.56</v>
      </c>
      <c r="BA405">
        <v>1</v>
      </c>
      <c r="BB405">
        <v>1</v>
      </c>
      <c r="BC405">
        <v>6.56</v>
      </c>
      <c r="BD405" t="s">
        <v>6</v>
      </c>
      <c r="BE405" t="s">
        <v>6</v>
      </c>
      <c r="BF405" t="s">
        <v>6</v>
      </c>
      <c r="BG405" t="s">
        <v>6</v>
      </c>
      <c r="BH405">
        <v>3</v>
      </c>
      <c r="BI405">
        <v>2</v>
      </c>
      <c r="BJ405" t="s">
        <v>881</v>
      </c>
      <c r="BM405">
        <v>108001</v>
      </c>
      <c r="BN405">
        <v>0</v>
      </c>
      <c r="BO405" t="s">
        <v>6</v>
      </c>
      <c r="BP405">
        <v>0</v>
      </c>
      <c r="BQ405">
        <v>3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6</v>
      </c>
      <c r="BZ405">
        <v>95</v>
      </c>
      <c r="CA405">
        <v>65</v>
      </c>
      <c r="CF405">
        <v>0</v>
      </c>
      <c r="CG405">
        <v>0</v>
      </c>
      <c r="CM405">
        <v>0</v>
      </c>
      <c r="CN405" t="s">
        <v>6</v>
      </c>
      <c r="CO405">
        <v>0</v>
      </c>
      <c r="CP405">
        <f t="shared" si="342"/>
        <v>3579.83</v>
      </c>
      <c r="CQ405">
        <f t="shared" si="343"/>
        <v>67543.924799999993</v>
      </c>
      <c r="CR405">
        <f t="shared" si="344"/>
        <v>0</v>
      </c>
      <c r="CS405">
        <f t="shared" si="345"/>
        <v>0</v>
      </c>
      <c r="CT405">
        <f t="shared" si="346"/>
        <v>0</v>
      </c>
      <c r="CU405">
        <f t="shared" si="347"/>
        <v>0</v>
      </c>
      <c r="CV405">
        <f t="shared" si="348"/>
        <v>0</v>
      </c>
      <c r="CW405">
        <f t="shared" si="349"/>
        <v>0</v>
      </c>
      <c r="CX405">
        <f t="shared" si="350"/>
        <v>0</v>
      </c>
      <c r="CY405">
        <f t="shared" si="351"/>
        <v>0</v>
      </c>
      <c r="CZ405">
        <f t="shared" si="352"/>
        <v>0</v>
      </c>
      <c r="DC405" t="s">
        <v>6</v>
      </c>
      <c r="DD405" t="s">
        <v>6</v>
      </c>
      <c r="DE405" t="s">
        <v>6</v>
      </c>
      <c r="DF405" t="s">
        <v>6</v>
      </c>
      <c r="DG405" t="s">
        <v>6</v>
      </c>
      <c r="DH405" t="s">
        <v>6</v>
      </c>
      <c r="DI405" t="s">
        <v>6</v>
      </c>
      <c r="DJ405" t="s">
        <v>6</v>
      </c>
      <c r="DK405" t="s">
        <v>6</v>
      </c>
      <c r="DL405" t="s">
        <v>6</v>
      </c>
      <c r="DM405" t="s">
        <v>6</v>
      </c>
      <c r="DN405">
        <v>0</v>
      </c>
      <c r="DO405">
        <v>0</v>
      </c>
      <c r="DP405">
        <v>1</v>
      </c>
      <c r="DQ405">
        <v>1</v>
      </c>
      <c r="DU405">
        <v>1013</v>
      </c>
      <c r="DV405" t="s">
        <v>749</v>
      </c>
      <c r="DW405" t="s">
        <v>751</v>
      </c>
      <c r="DX405">
        <v>1</v>
      </c>
      <c r="EE405">
        <v>16510370</v>
      </c>
      <c r="EF405">
        <v>3</v>
      </c>
      <c r="EG405" t="s">
        <v>83</v>
      </c>
      <c r="EH405">
        <v>0</v>
      </c>
      <c r="EI405" t="s">
        <v>6</v>
      </c>
      <c r="EJ405">
        <v>2</v>
      </c>
      <c r="EK405">
        <v>108001</v>
      </c>
      <c r="EL405" t="s">
        <v>84</v>
      </c>
      <c r="EM405" t="s">
        <v>85</v>
      </c>
      <c r="EO405" t="s">
        <v>6</v>
      </c>
      <c r="EQ405">
        <v>0</v>
      </c>
      <c r="ER405">
        <v>10296.33</v>
      </c>
      <c r="ES405">
        <v>10296.33</v>
      </c>
      <c r="ET405">
        <v>0</v>
      </c>
      <c r="EU405">
        <v>0</v>
      </c>
      <c r="EV405">
        <v>0</v>
      </c>
      <c r="EW405">
        <v>0</v>
      </c>
      <c r="EX405">
        <v>0</v>
      </c>
      <c r="FQ405">
        <v>0</v>
      </c>
      <c r="FR405">
        <f t="shared" si="353"/>
        <v>0</v>
      </c>
      <c r="FS405">
        <v>0</v>
      </c>
      <c r="FX405">
        <v>95</v>
      </c>
      <c r="FY405">
        <v>65</v>
      </c>
      <c r="GA405" t="s">
        <v>6</v>
      </c>
      <c r="GD405">
        <v>0</v>
      </c>
      <c r="GF405">
        <v>1020096475</v>
      </c>
      <c r="GG405">
        <v>1</v>
      </c>
      <c r="GH405">
        <v>1</v>
      </c>
      <c r="GI405">
        <v>4</v>
      </c>
      <c r="GJ405">
        <v>0</v>
      </c>
      <c r="GK405">
        <f>ROUND(R405*(R12)/100,2)</f>
        <v>0</v>
      </c>
      <c r="GL405">
        <f t="shared" si="354"/>
        <v>0</v>
      </c>
      <c r="GM405">
        <f t="shared" si="355"/>
        <v>3579.83</v>
      </c>
      <c r="GN405">
        <f t="shared" si="356"/>
        <v>0</v>
      </c>
      <c r="GO405">
        <f t="shared" si="357"/>
        <v>3579.83</v>
      </c>
      <c r="GP405">
        <f t="shared" si="358"/>
        <v>0</v>
      </c>
      <c r="GR405">
        <v>0</v>
      </c>
      <c r="GS405">
        <v>3</v>
      </c>
      <c r="GT405">
        <v>0</v>
      </c>
      <c r="GU405" t="s">
        <v>6</v>
      </c>
      <c r="GV405">
        <f t="shared" si="359"/>
        <v>0</v>
      </c>
      <c r="GW405">
        <v>1</v>
      </c>
      <c r="GX405">
        <f t="shared" si="360"/>
        <v>0</v>
      </c>
      <c r="HA405">
        <v>0</v>
      </c>
      <c r="HB405">
        <v>0</v>
      </c>
      <c r="IK405">
        <v>0</v>
      </c>
    </row>
    <row r="406" spans="1:245" x14ac:dyDescent="0.2">
      <c r="A406">
        <v>18</v>
      </c>
      <c r="B406">
        <v>1</v>
      </c>
      <c r="C406">
        <v>674</v>
      </c>
      <c r="E406" t="s">
        <v>882</v>
      </c>
      <c r="F406" t="s">
        <v>883</v>
      </c>
      <c r="G406" t="s">
        <v>884</v>
      </c>
      <c r="H406" t="s">
        <v>749</v>
      </c>
      <c r="I406">
        <f>I404*J406</f>
        <v>0.11700000000000001</v>
      </c>
      <c r="J406">
        <v>6.8823529411764714E-2</v>
      </c>
      <c r="O406">
        <f t="shared" si="322"/>
        <v>13852.09</v>
      </c>
      <c r="P406">
        <f t="shared" si="323"/>
        <v>13852.09</v>
      </c>
      <c r="Q406">
        <f t="shared" si="324"/>
        <v>0</v>
      </c>
      <c r="R406">
        <f t="shared" si="325"/>
        <v>0</v>
      </c>
      <c r="S406">
        <f t="shared" si="326"/>
        <v>0</v>
      </c>
      <c r="T406">
        <f t="shared" si="327"/>
        <v>0</v>
      </c>
      <c r="U406">
        <f t="shared" si="328"/>
        <v>0</v>
      </c>
      <c r="V406">
        <f t="shared" si="329"/>
        <v>0</v>
      </c>
      <c r="W406">
        <f t="shared" si="330"/>
        <v>0</v>
      </c>
      <c r="X406">
        <f t="shared" si="331"/>
        <v>0</v>
      </c>
      <c r="Y406">
        <f t="shared" si="332"/>
        <v>0</v>
      </c>
      <c r="AA406">
        <v>16742901</v>
      </c>
      <c r="AB406">
        <f t="shared" si="333"/>
        <v>18047.849999999999</v>
      </c>
      <c r="AC406">
        <f t="shared" si="334"/>
        <v>18047.849999999999</v>
      </c>
      <c r="AD406">
        <f t="shared" si="335"/>
        <v>0</v>
      </c>
      <c r="AE406">
        <f t="shared" si="336"/>
        <v>0</v>
      </c>
      <c r="AF406">
        <f t="shared" si="337"/>
        <v>0</v>
      </c>
      <c r="AG406">
        <f t="shared" si="338"/>
        <v>0</v>
      </c>
      <c r="AH406">
        <f t="shared" si="339"/>
        <v>0</v>
      </c>
      <c r="AI406">
        <f t="shared" si="340"/>
        <v>0</v>
      </c>
      <c r="AJ406">
        <f t="shared" si="341"/>
        <v>0</v>
      </c>
      <c r="AK406">
        <v>18047.849999999999</v>
      </c>
      <c r="AL406">
        <v>18047.849999999999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95</v>
      </c>
      <c r="AU406">
        <v>65</v>
      </c>
      <c r="AV406">
        <v>1</v>
      </c>
      <c r="AW406">
        <v>1</v>
      </c>
      <c r="AZ406">
        <v>6.56</v>
      </c>
      <c r="BA406">
        <v>1</v>
      </c>
      <c r="BB406">
        <v>1</v>
      </c>
      <c r="BC406">
        <v>6.56</v>
      </c>
      <c r="BD406" t="s">
        <v>6</v>
      </c>
      <c r="BE406" t="s">
        <v>6</v>
      </c>
      <c r="BF406" t="s">
        <v>6</v>
      </c>
      <c r="BG406" t="s">
        <v>6</v>
      </c>
      <c r="BH406">
        <v>3</v>
      </c>
      <c r="BI406">
        <v>2</v>
      </c>
      <c r="BJ406" t="s">
        <v>885</v>
      </c>
      <c r="BM406">
        <v>108001</v>
      </c>
      <c r="BN406">
        <v>0</v>
      </c>
      <c r="BO406" t="s">
        <v>6</v>
      </c>
      <c r="BP406">
        <v>0</v>
      </c>
      <c r="BQ406">
        <v>3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6</v>
      </c>
      <c r="BZ406">
        <v>95</v>
      </c>
      <c r="CA406">
        <v>65</v>
      </c>
      <c r="CF406">
        <v>0</v>
      </c>
      <c r="CG406">
        <v>0</v>
      </c>
      <c r="CM406">
        <v>0</v>
      </c>
      <c r="CN406" t="s">
        <v>6</v>
      </c>
      <c r="CO406">
        <v>0</v>
      </c>
      <c r="CP406">
        <f t="shared" si="342"/>
        <v>13852.09</v>
      </c>
      <c r="CQ406">
        <f t="shared" si="343"/>
        <v>118393.89599999998</v>
      </c>
      <c r="CR406">
        <f t="shared" si="344"/>
        <v>0</v>
      </c>
      <c r="CS406">
        <f t="shared" si="345"/>
        <v>0</v>
      </c>
      <c r="CT406">
        <f t="shared" si="346"/>
        <v>0</v>
      </c>
      <c r="CU406">
        <f t="shared" si="347"/>
        <v>0</v>
      </c>
      <c r="CV406">
        <f t="shared" si="348"/>
        <v>0</v>
      </c>
      <c r="CW406">
        <f t="shared" si="349"/>
        <v>0</v>
      </c>
      <c r="CX406">
        <f t="shared" si="350"/>
        <v>0</v>
      </c>
      <c r="CY406">
        <f t="shared" si="351"/>
        <v>0</v>
      </c>
      <c r="CZ406">
        <f t="shared" si="352"/>
        <v>0</v>
      </c>
      <c r="DC406" t="s">
        <v>6</v>
      </c>
      <c r="DD406" t="s">
        <v>6</v>
      </c>
      <c r="DE406" t="s">
        <v>6</v>
      </c>
      <c r="DF406" t="s">
        <v>6</v>
      </c>
      <c r="DG406" t="s">
        <v>6</v>
      </c>
      <c r="DH406" t="s">
        <v>6</v>
      </c>
      <c r="DI406" t="s">
        <v>6</v>
      </c>
      <c r="DJ406" t="s">
        <v>6</v>
      </c>
      <c r="DK406" t="s">
        <v>6</v>
      </c>
      <c r="DL406" t="s">
        <v>6</v>
      </c>
      <c r="DM406" t="s">
        <v>6</v>
      </c>
      <c r="DN406">
        <v>0</v>
      </c>
      <c r="DO406">
        <v>0</v>
      </c>
      <c r="DP406">
        <v>1</v>
      </c>
      <c r="DQ406">
        <v>1</v>
      </c>
      <c r="DU406">
        <v>1013</v>
      </c>
      <c r="DV406" t="s">
        <v>749</v>
      </c>
      <c r="DW406" t="s">
        <v>751</v>
      </c>
      <c r="DX406">
        <v>1</v>
      </c>
      <c r="EE406">
        <v>16510370</v>
      </c>
      <c r="EF406">
        <v>3</v>
      </c>
      <c r="EG406" t="s">
        <v>83</v>
      </c>
      <c r="EH406">
        <v>0</v>
      </c>
      <c r="EI406" t="s">
        <v>6</v>
      </c>
      <c r="EJ406">
        <v>2</v>
      </c>
      <c r="EK406">
        <v>108001</v>
      </c>
      <c r="EL406" t="s">
        <v>84</v>
      </c>
      <c r="EM406" t="s">
        <v>85</v>
      </c>
      <c r="EO406" t="s">
        <v>6</v>
      </c>
      <c r="EQ406">
        <v>0</v>
      </c>
      <c r="ER406">
        <v>18047.849999999999</v>
      </c>
      <c r="ES406">
        <v>18047.849999999999</v>
      </c>
      <c r="ET406">
        <v>0</v>
      </c>
      <c r="EU406">
        <v>0</v>
      </c>
      <c r="EV406">
        <v>0</v>
      </c>
      <c r="EW406">
        <v>0</v>
      </c>
      <c r="EX406">
        <v>0</v>
      </c>
      <c r="FQ406">
        <v>0</v>
      </c>
      <c r="FR406">
        <f t="shared" si="353"/>
        <v>0</v>
      </c>
      <c r="FS406">
        <v>0</v>
      </c>
      <c r="FX406">
        <v>95</v>
      </c>
      <c r="FY406">
        <v>65</v>
      </c>
      <c r="GA406" t="s">
        <v>6</v>
      </c>
      <c r="GD406">
        <v>0</v>
      </c>
      <c r="GF406">
        <v>-1909897882</v>
      </c>
      <c r="GG406">
        <v>1</v>
      </c>
      <c r="GH406">
        <v>1</v>
      </c>
      <c r="GI406">
        <v>4</v>
      </c>
      <c r="GJ406">
        <v>0</v>
      </c>
      <c r="GK406">
        <f>ROUND(R406*(R12)/100,2)</f>
        <v>0</v>
      </c>
      <c r="GL406">
        <f t="shared" si="354"/>
        <v>0</v>
      </c>
      <c r="GM406">
        <f t="shared" si="355"/>
        <v>13852.09</v>
      </c>
      <c r="GN406">
        <f t="shared" si="356"/>
        <v>0</v>
      </c>
      <c r="GO406">
        <f t="shared" si="357"/>
        <v>13852.09</v>
      </c>
      <c r="GP406">
        <f t="shared" si="358"/>
        <v>0</v>
      </c>
      <c r="GR406">
        <v>0</v>
      </c>
      <c r="GS406">
        <v>3</v>
      </c>
      <c r="GT406">
        <v>0</v>
      </c>
      <c r="GU406" t="s">
        <v>6</v>
      </c>
      <c r="GV406">
        <f t="shared" si="359"/>
        <v>0</v>
      </c>
      <c r="GW406">
        <v>1</v>
      </c>
      <c r="GX406">
        <f t="shared" si="360"/>
        <v>0</v>
      </c>
      <c r="HA406">
        <v>0</v>
      </c>
      <c r="HB406">
        <v>0</v>
      </c>
      <c r="IK406">
        <v>0</v>
      </c>
    </row>
    <row r="407" spans="1:245" x14ac:dyDescent="0.2">
      <c r="A407">
        <v>17</v>
      </c>
      <c r="B407">
        <v>1</v>
      </c>
      <c r="C407">
        <f>ROW(SmtRes!A684)</f>
        <v>684</v>
      </c>
      <c r="D407">
        <f>ROW(EtalonRes!A631)</f>
        <v>631</v>
      </c>
      <c r="E407" t="s">
        <v>886</v>
      </c>
      <c r="F407" t="s">
        <v>887</v>
      </c>
      <c r="G407" t="s">
        <v>888</v>
      </c>
      <c r="H407" t="s">
        <v>34</v>
      </c>
      <c r="I407">
        <f>ROUND(39/100,9)</f>
        <v>0.39</v>
      </c>
      <c r="J407">
        <v>0</v>
      </c>
      <c r="O407">
        <f t="shared" si="322"/>
        <v>219.76</v>
      </c>
      <c r="P407">
        <f t="shared" si="323"/>
        <v>39.549999999999997</v>
      </c>
      <c r="Q407">
        <f t="shared" si="324"/>
        <v>81.84</v>
      </c>
      <c r="R407">
        <f t="shared" si="325"/>
        <v>11.56</v>
      </c>
      <c r="S407">
        <f t="shared" si="326"/>
        <v>98.37</v>
      </c>
      <c r="T407">
        <f t="shared" si="327"/>
        <v>0</v>
      </c>
      <c r="U407">
        <f t="shared" si="328"/>
        <v>1.5951</v>
      </c>
      <c r="V407">
        <f t="shared" si="329"/>
        <v>0.1404</v>
      </c>
      <c r="W407">
        <f t="shared" si="330"/>
        <v>0</v>
      </c>
      <c r="X407">
        <f t="shared" si="331"/>
        <v>104.43</v>
      </c>
      <c r="Y407">
        <f t="shared" si="332"/>
        <v>71.45</v>
      </c>
      <c r="AA407">
        <v>16742901</v>
      </c>
      <c r="AB407">
        <f t="shared" si="333"/>
        <v>85.9</v>
      </c>
      <c r="AC407">
        <f t="shared" si="334"/>
        <v>15.46</v>
      </c>
      <c r="AD407">
        <f t="shared" si="335"/>
        <v>31.99</v>
      </c>
      <c r="AE407">
        <f t="shared" si="336"/>
        <v>4.5199999999999996</v>
      </c>
      <c r="AF407">
        <f t="shared" si="337"/>
        <v>38.450000000000003</v>
      </c>
      <c r="AG407">
        <f t="shared" si="338"/>
        <v>0</v>
      </c>
      <c r="AH407">
        <f t="shared" si="339"/>
        <v>4.09</v>
      </c>
      <c r="AI407">
        <f t="shared" si="340"/>
        <v>0.36</v>
      </c>
      <c r="AJ407">
        <f t="shared" si="341"/>
        <v>0</v>
      </c>
      <c r="AK407">
        <v>85.9</v>
      </c>
      <c r="AL407">
        <v>15.46</v>
      </c>
      <c r="AM407">
        <v>31.99</v>
      </c>
      <c r="AN407">
        <v>4.5199999999999996</v>
      </c>
      <c r="AO407">
        <v>38.450000000000003</v>
      </c>
      <c r="AP407">
        <v>0</v>
      </c>
      <c r="AQ407">
        <v>4.09</v>
      </c>
      <c r="AR407">
        <v>0.36</v>
      </c>
      <c r="AS407">
        <v>0</v>
      </c>
      <c r="AT407">
        <v>95</v>
      </c>
      <c r="AU407">
        <v>65</v>
      </c>
      <c r="AV407">
        <v>1</v>
      </c>
      <c r="AW407">
        <v>1</v>
      </c>
      <c r="AZ407">
        <v>6.56</v>
      </c>
      <c r="BA407">
        <v>6.56</v>
      </c>
      <c r="BB407">
        <v>6.56</v>
      </c>
      <c r="BC407">
        <v>6.56</v>
      </c>
      <c r="BD407" t="s">
        <v>6</v>
      </c>
      <c r="BE407" t="s">
        <v>6</v>
      </c>
      <c r="BF407" t="s">
        <v>6</v>
      </c>
      <c r="BG407" t="s">
        <v>6</v>
      </c>
      <c r="BH407">
        <v>0</v>
      </c>
      <c r="BI407">
        <v>2</v>
      </c>
      <c r="BJ407" t="s">
        <v>889</v>
      </c>
      <c r="BM407">
        <v>108001</v>
      </c>
      <c r="BN407">
        <v>0</v>
      </c>
      <c r="BO407" t="s">
        <v>6</v>
      </c>
      <c r="BP407">
        <v>0</v>
      </c>
      <c r="BQ407">
        <v>3</v>
      </c>
      <c r="BR407">
        <v>0</v>
      </c>
      <c r="BS407">
        <v>6.56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6</v>
      </c>
      <c r="BZ407">
        <v>95</v>
      </c>
      <c r="CA407">
        <v>65</v>
      </c>
      <c r="CF407">
        <v>0</v>
      </c>
      <c r="CG407">
        <v>0</v>
      </c>
      <c r="CM407">
        <v>0</v>
      </c>
      <c r="CN407" t="s">
        <v>6</v>
      </c>
      <c r="CO407">
        <v>0</v>
      </c>
      <c r="CP407">
        <f t="shared" si="342"/>
        <v>219.76</v>
      </c>
      <c r="CQ407">
        <f t="shared" si="343"/>
        <v>101.41759999999999</v>
      </c>
      <c r="CR407">
        <f t="shared" si="344"/>
        <v>209.85439999999997</v>
      </c>
      <c r="CS407">
        <f t="shared" si="345"/>
        <v>29.651199999999996</v>
      </c>
      <c r="CT407">
        <f t="shared" si="346"/>
        <v>252.232</v>
      </c>
      <c r="CU407">
        <f t="shared" si="347"/>
        <v>0</v>
      </c>
      <c r="CV407">
        <f t="shared" si="348"/>
        <v>4.09</v>
      </c>
      <c r="CW407">
        <f t="shared" si="349"/>
        <v>0.36</v>
      </c>
      <c r="CX407">
        <f t="shared" si="350"/>
        <v>0</v>
      </c>
      <c r="CY407">
        <f t="shared" si="351"/>
        <v>104.43350000000001</v>
      </c>
      <c r="CZ407">
        <f t="shared" si="352"/>
        <v>71.45450000000001</v>
      </c>
      <c r="DC407" t="s">
        <v>6</v>
      </c>
      <c r="DD407" t="s">
        <v>6</v>
      </c>
      <c r="DE407" t="s">
        <v>6</v>
      </c>
      <c r="DF407" t="s">
        <v>6</v>
      </c>
      <c r="DG407" t="s">
        <v>6</v>
      </c>
      <c r="DH407" t="s">
        <v>6</v>
      </c>
      <c r="DI407" t="s">
        <v>6</v>
      </c>
      <c r="DJ407" t="s">
        <v>6</v>
      </c>
      <c r="DK407" t="s">
        <v>6</v>
      </c>
      <c r="DL407" t="s">
        <v>6</v>
      </c>
      <c r="DM407" t="s">
        <v>6</v>
      </c>
      <c r="DN407">
        <v>0</v>
      </c>
      <c r="DO407">
        <v>0</v>
      </c>
      <c r="DP407">
        <v>1</v>
      </c>
      <c r="DQ407">
        <v>1</v>
      </c>
      <c r="DU407">
        <v>1003</v>
      </c>
      <c r="DV407" t="s">
        <v>34</v>
      </c>
      <c r="DW407" t="s">
        <v>34</v>
      </c>
      <c r="DX407">
        <v>100</v>
      </c>
      <c r="EE407">
        <v>16510370</v>
      </c>
      <c r="EF407">
        <v>3</v>
      </c>
      <c r="EG407" t="s">
        <v>83</v>
      </c>
      <c r="EH407">
        <v>0</v>
      </c>
      <c r="EI407" t="s">
        <v>6</v>
      </c>
      <c r="EJ407">
        <v>2</v>
      </c>
      <c r="EK407">
        <v>108001</v>
      </c>
      <c r="EL407" t="s">
        <v>84</v>
      </c>
      <c r="EM407" t="s">
        <v>85</v>
      </c>
      <c r="EO407" t="s">
        <v>6</v>
      </c>
      <c r="EQ407">
        <v>131072</v>
      </c>
      <c r="ER407">
        <v>85.9</v>
      </c>
      <c r="ES407">
        <v>15.46</v>
      </c>
      <c r="ET407">
        <v>31.99</v>
      </c>
      <c r="EU407">
        <v>4.5199999999999996</v>
      </c>
      <c r="EV407">
        <v>38.450000000000003</v>
      </c>
      <c r="EW407">
        <v>4.09</v>
      </c>
      <c r="EX407">
        <v>0.36</v>
      </c>
      <c r="EY407">
        <v>0</v>
      </c>
      <c r="FQ407">
        <v>0</v>
      </c>
      <c r="FR407">
        <f t="shared" si="353"/>
        <v>0</v>
      </c>
      <c r="FS407">
        <v>0</v>
      </c>
      <c r="FX407">
        <v>95</v>
      </c>
      <c r="FY407">
        <v>65</v>
      </c>
      <c r="GA407" t="s">
        <v>6</v>
      </c>
      <c r="GD407">
        <v>0</v>
      </c>
      <c r="GF407">
        <v>-1283758672</v>
      </c>
      <c r="GG407">
        <v>1</v>
      </c>
      <c r="GH407">
        <v>1</v>
      </c>
      <c r="GI407">
        <v>4</v>
      </c>
      <c r="GJ407">
        <v>0</v>
      </c>
      <c r="GK407">
        <f>ROUND(R407*(R12)/100,2)</f>
        <v>0</v>
      </c>
      <c r="GL407">
        <f t="shared" si="354"/>
        <v>0</v>
      </c>
      <c r="GM407">
        <f t="shared" si="355"/>
        <v>395.64</v>
      </c>
      <c r="GN407">
        <f t="shared" si="356"/>
        <v>0</v>
      </c>
      <c r="GO407">
        <f t="shared" si="357"/>
        <v>395.64</v>
      </c>
      <c r="GP407">
        <f t="shared" si="358"/>
        <v>0</v>
      </c>
      <c r="GR407">
        <v>0</v>
      </c>
      <c r="GS407">
        <v>3</v>
      </c>
      <c r="GT407">
        <v>0</v>
      </c>
      <c r="GU407" t="s">
        <v>6</v>
      </c>
      <c r="GV407">
        <f t="shared" si="359"/>
        <v>0</v>
      </c>
      <c r="GW407">
        <v>1</v>
      </c>
      <c r="GX407">
        <f t="shared" si="360"/>
        <v>0</v>
      </c>
      <c r="HA407">
        <v>0</v>
      </c>
      <c r="HB407">
        <v>0</v>
      </c>
      <c r="IK407">
        <v>0</v>
      </c>
    </row>
    <row r="408" spans="1:245" x14ac:dyDescent="0.2">
      <c r="A408">
        <v>18</v>
      </c>
      <c r="B408">
        <v>1</v>
      </c>
      <c r="C408">
        <v>683</v>
      </c>
      <c r="E408" t="s">
        <v>890</v>
      </c>
      <c r="F408" t="s">
        <v>891</v>
      </c>
      <c r="G408" t="s">
        <v>892</v>
      </c>
      <c r="H408" t="s">
        <v>749</v>
      </c>
      <c r="I408">
        <f>I407*J408</f>
        <v>3.9E-2</v>
      </c>
      <c r="J408">
        <v>9.9999999999999992E-2</v>
      </c>
      <c r="O408">
        <f t="shared" si="322"/>
        <v>17732.13</v>
      </c>
      <c r="P408">
        <f t="shared" si="323"/>
        <v>17732.13</v>
      </c>
      <c r="Q408">
        <f t="shared" si="324"/>
        <v>0</v>
      </c>
      <c r="R408">
        <f t="shared" si="325"/>
        <v>0</v>
      </c>
      <c r="S408">
        <f t="shared" si="326"/>
        <v>0</v>
      </c>
      <c r="T408">
        <f t="shared" si="327"/>
        <v>0</v>
      </c>
      <c r="U408">
        <f t="shared" si="328"/>
        <v>0</v>
      </c>
      <c r="V408">
        <f t="shared" si="329"/>
        <v>0</v>
      </c>
      <c r="W408">
        <f t="shared" si="330"/>
        <v>0</v>
      </c>
      <c r="X408">
        <f t="shared" si="331"/>
        <v>0</v>
      </c>
      <c r="Y408">
        <f t="shared" si="332"/>
        <v>0</v>
      </c>
      <c r="AA408">
        <v>16742901</v>
      </c>
      <c r="AB408">
        <f t="shared" si="333"/>
        <v>69309.47</v>
      </c>
      <c r="AC408">
        <f t="shared" si="334"/>
        <v>69309.47</v>
      </c>
      <c r="AD408">
        <f t="shared" si="335"/>
        <v>0</v>
      </c>
      <c r="AE408">
        <f t="shared" si="336"/>
        <v>0</v>
      </c>
      <c r="AF408">
        <f t="shared" si="337"/>
        <v>0</v>
      </c>
      <c r="AG408">
        <f t="shared" si="338"/>
        <v>0</v>
      </c>
      <c r="AH408">
        <f t="shared" si="339"/>
        <v>0</v>
      </c>
      <c r="AI408">
        <f t="shared" si="340"/>
        <v>0</v>
      </c>
      <c r="AJ408">
        <f t="shared" si="341"/>
        <v>0</v>
      </c>
      <c r="AK408">
        <v>69309.47</v>
      </c>
      <c r="AL408">
        <v>69309.47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95</v>
      </c>
      <c r="AU408">
        <v>65</v>
      </c>
      <c r="AV408">
        <v>1</v>
      </c>
      <c r="AW408">
        <v>1</v>
      </c>
      <c r="AZ408">
        <v>6.56</v>
      </c>
      <c r="BA408">
        <v>1</v>
      </c>
      <c r="BB408">
        <v>1</v>
      </c>
      <c r="BC408">
        <v>6.56</v>
      </c>
      <c r="BD408" t="s">
        <v>6</v>
      </c>
      <c r="BE408" t="s">
        <v>6</v>
      </c>
      <c r="BF408" t="s">
        <v>6</v>
      </c>
      <c r="BG408" t="s">
        <v>6</v>
      </c>
      <c r="BH408">
        <v>3</v>
      </c>
      <c r="BI408">
        <v>2</v>
      </c>
      <c r="BJ408" t="s">
        <v>893</v>
      </c>
      <c r="BM408">
        <v>108001</v>
      </c>
      <c r="BN408">
        <v>0</v>
      </c>
      <c r="BO408" t="s">
        <v>6</v>
      </c>
      <c r="BP408">
        <v>0</v>
      </c>
      <c r="BQ408">
        <v>3</v>
      </c>
      <c r="BR408">
        <v>0</v>
      </c>
      <c r="BS408">
        <v>1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6</v>
      </c>
      <c r="BZ408">
        <v>95</v>
      </c>
      <c r="CA408">
        <v>65</v>
      </c>
      <c r="CF408">
        <v>0</v>
      </c>
      <c r="CG408">
        <v>0</v>
      </c>
      <c r="CM408">
        <v>0</v>
      </c>
      <c r="CN408" t="s">
        <v>6</v>
      </c>
      <c r="CO408">
        <v>0</v>
      </c>
      <c r="CP408">
        <f t="shared" si="342"/>
        <v>17732.13</v>
      </c>
      <c r="CQ408">
        <f t="shared" si="343"/>
        <v>454670.12319999997</v>
      </c>
      <c r="CR408">
        <f t="shared" si="344"/>
        <v>0</v>
      </c>
      <c r="CS408">
        <f t="shared" si="345"/>
        <v>0</v>
      </c>
      <c r="CT408">
        <f t="shared" si="346"/>
        <v>0</v>
      </c>
      <c r="CU408">
        <f t="shared" si="347"/>
        <v>0</v>
      </c>
      <c r="CV408">
        <f t="shared" si="348"/>
        <v>0</v>
      </c>
      <c r="CW408">
        <f t="shared" si="349"/>
        <v>0</v>
      </c>
      <c r="CX408">
        <f t="shared" si="350"/>
        <v>0</v>
      </c>
      <c r="CY408">
        <f t="shared" si="351"/>
        <v>0</v>
      </c>
      <c r="CZ408">
        <f t="shared" si="352"/>
        <v>0</v>
      </c>
      <c r="DC408" t="s">
        <v>6</v>
      </c>
      <c r="DD408" t="s">
        <v>6</v>
      </c>
      <c r="DE408" t="s">
        <v>6</v>
      </c>
      <c r="DF408" t="s">
        <v>6</v>
      </c>
      <c r="DG408" t="s">
        <v>6</v>
      </c>
      <c r="DH408" t="s">
        <v>6</v>
      </c>
      <c r="DI408" t="s">
        <v>6</v>
      </c>
      <c r="DJ408" t="s">
        <v>6</v>
      </c>
      <c r="DK408" t="s">
        <v>6</v>
      </c>
      <c r="DL408" t="s">
        <v>6</v>
      </c>
      <c r="DM408" t="s">
        <v>6</v>
      </c>
      <c r="DN408">
        <v>0</v>
      </c>
      <c r="DO408">
        <v>0</v>
      </c>
      <c r="DP408">
        <v>1</v>
      </c>
      <c r="DQ408">
        <v>1</v>
      </c>
      <c r="DU408">
        <v>1013</v>
      </c>
      <c r="DV408" t="s">
        <v>749</v>
      </c>
      <c r="DW408" t="s">
        <v>751</v>
      </c>
      <c r="DX408">
        <v>1</v>
      </c>
      <c r="EE408">
        <v>16510370</v>
      </c>
      <c r="EF408">
        <v>3</v>
      </c>
      <c r="EG408" t="s">
        <v>83</v>
      </c>
      <c r="EH408">
        <v>0</v>
      </c>
      <c r="EI408" t="s">
        <v>6</v>
      </c>
      <c r="EJ408">
        <v>2</v>
      </c>
      <c r="EK408">
        <v>108001</v>
      </c>
      <c r="EL408" t="s">
        <v>84</v>
      </c>
      <c r="EM408" t="s">
        <v>85</v>
      </c>
      <c r="EO408" t="s">
        <v>6</v>
      </c>
      <c r="EQ408">
        <v>0</v>
      </c>
      <c r="ER408">
        <v>69309.47</v>
      </c>
      <c r="ES408">
        <v>69309.47</v>
      </c>
      <c r="ET408">
        <v>0</v>
      </c>
      <c r="EU408">
        <v>0</v>
      </c>
      <c r="EV408">
        <v>0</v>
      </c>
      <c r="EW408">
        <v>0</v>
      </c>
      <c r="EX408">
        <v>0</v>
      </c>
      <c r="FQ408">
        <v>0</v>
      </c>
      <c r="FR408">
        <f t="shared" si="353"/>
        <v>0</v>
      </c>
      <c r="FS408">
        <v>0</v>
      </c>
      <c r="FX408">
        <v>95</v>
      </c>
      <c r="FY408">
        <v>65</v>
      </c>
      <c r="GA408" t="s">
        <v>6</v>
      </c>
      <c r="GD408">
        <v>0</v>
      </c>
      <c r="GF408">
        <v>-210408592</v>
      </c>
      <c r="GG408">
        <v>1</v>
      </c>
      <c r="GH408">
        <v>1</v>
      </c>
      <c r="GI408">
        <v>4</v>
      </c>
      <c r="GJ408">
        <v>0</v>
      </c>
      <c r="GK408">
        <f>ROUND(R408*(R12)/100,2)</f>
        <v>0</v>
      </c>
      <c r="GL408">
        <f t="shared" si="354"/>
        <v>0</v>
      </c>
      <c r="GM408">
        <f t="shared" si="355"/>
        <v>17732.13</v>
      </c>
      <c r="GN408">
        <f t="shared" si="356"/>
        <v>0</v>
      </c>
      <c r="GO408">
        <f t="shared" si="357"/>
        <v>17732.13</v>
      </c>
      <c r="GP408">
        <f t="shared" si="358"/>
        <v>0</v>
      </c>
      <c r="GR408">
        <v>0</v>
      </c>
      <c r="GS408">
        <v>3</v>
      </c>
      <c r="GT408">
        <v>0</v>
      </c>
      <c r="GU408" t="s">
        <v>6</v>
      </c>
      <c r="GV408">
        <f t="shared" si="359"/>
        <v>0</v>
      </c>
      <c r="GW408">
        <v>1</v>
      </c>
      <c r="GX408">
        <f t="shared" si="360"/>
        <v>0</v>
      </c>
      <c r="HA408">
        <v>0</v>
      </c>
      <c r="HB408">
        <v>0</v>
      </c>
      <c r="IK408">
        <v>0</v>
      </c>
    </row>
    <row r="409" spans="1:245" x14ac:dyDescent="0.2">
      <c r="A409">
        <v>17</v>
      </c>
      <c r="B409">
        <v>1</v>
      </c>
      <c r="C409">
        <f>ROW(SmtRes!A693)</f>
        <v>693</v>
      </c>
      <c r="D409">
        <f>ROW(EtalonRes!A639)</f>
        <v>639</v>
      </c>
      <c r="E409" t="s">
        <v>894</v>
      </c>
      <c r="F409" t="s">
        <v>895</v>
      </c>
      <c r="G409" t="s">
        <v>896</v>
      </c>
      <c r="H409" t="s">
        <v>34</v>
      </c>
      <c r="I409">
        <f>ROUND(68/100,9)</f>
        <v>0.68</v>
      </c>
      <c r="J409">
        <v>0</v>
      </c>
      <c r="O409">
        <f t="shared" si="322"/>
        <v>544.98</v>
      </c>
      <c r="P409">
        <f t="shared" si="323"/>
        <v>102.38</v>
      </c>
      <c r="Q409">
        <f t="shared" si="324"/>
        <v>206.09</v>
      </c>
      <c r="R409">
        <f t="shared" si="325"/>
        <v>29.13</v>
      </c>
      <c r="S409">
        <f t="shared" si="326"/>
        <v>236.51</v>
      </c>
      <c r="T409">
        <f t="shared" si="327"/>
        <v>0</v>
      </c>
      <c r="U409">
        <f t="shared" si="328"/>
        <v>3.8351999999999999</v>
      </c>
      <c r="V409">
        <f t="shared" si="329"/>
        <v>0.35360000000000003</v>
      </c>
      <c r="W409">
        <f t="shared" si="330"/>
        <v>0</v>
      </c>
      <c r="X409">
        <f t="shared" si="331"/>
        <v>252.36</v>
      </c>
      <c r="Y409">
        <f t="shared" si="332"/>
        <v>172.67</v>
      </c>
      <c r="AA409">
        <v>16742901</v>
      </c>
      <c r="AB409">
        <f t="shared" si="333"/>
        <v>122.17</v>
      </c>
      <c r="AC409">
        <f t="shared" si="334"/>
        <v>22.95</v>
      </c>
      <c r="AD409">
        <f t="shared" si="335"/>
        <v>46.2</v>
      </c>
      <c r="AE409">
        <f t="shared" si="336"/>
        <v>6.53</v>
      </c>
      <c r="AF409">
        <f t="shared" si="337"/>
        <v>53.02</v>
      </c>
      <c r="AG409">
        <f t="shared" si="338"/>
        <v>0</v>
      </c>
      <c r="AH409">
        <f t="shared" si="339"/>
        <v>5.64</v>
      </c>
      <c r="AI409">
        <f t="shared" si="340"/>
        <v>0.52</v>
      </c>
      <c r="AJ409">
        <f t="shared" si="341"/>
        <v>0</v>
      </c>
      <c r="AK409">
        <v>122.17</v>
      </c>
      <c r="AL409">
        <v>22.95</v>
      </c>
      <c r="AM409">
        <v>46.2</v>
      </c>
      <c r="AN409">
        <v>6.53</v>
      </c>
      <c r="AO409">
        <v>53.02</v>
      </c>
      <c r="AP409">
        <v>0</v>
      </c>
      <c r="AQ409">
        <v>5.64</v>
      </c>
      <c r="AR409">
        <v>0.52</v>
      </c>
      <c r="AS409">
        <v>0</v>
      </c>
      <c r="AT409">
        <v>95</v>
      </c>
      <c r="AU409">
        <v>65</v>
      </c>
      <c r="AV409">
        <v>1</v>
      </c>
      <c r="AW409">
        <v>1</v>
      </c>
      <c r="AZ409">
        <v>6.56</v>
      </c>
      <c r="BA409">
        <v>6.56</v>
      </c>
      <c r="BB409">
        <v>6.56</v>
      </c>
      <c r="BC409">
        <v>6.56</v>
      </c>
      <c r="BD409" t="s">
        <v>6</v>
      </c>
      <c r="BE409" t="s">
        <v>6</v>
      </c>
      <c r="BF409" t="s">
        <v>6</v>
      </c>
      <c r="BG409" t="s">
        <v>6</v>
      </c>
      <c r="BH409">
        <v>0</v>
      </c>
      <c r="BI409">
        <v>2</v>
      </c>
      <c r="BJ409" t="s">
        <v>897</v>
      </c>
      <c r="BM409">
        <v>108001</v>
      </c>
      <c r="BN409">
        <v>0</v>
      </c>
      <c r="BO409" t="s">
        <v>6</v>
      </c>
      <c r="BP409">
        <v>0</v>
      </c>
      <c r="BQ409">
        <v>3</v>
      </c>
      <c r="BR409">
        <v>0</v>
      </c>
      <c r="BS409">
        <v>6.56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6</v>
      </c>
      <c r="BZ409">
        <v>95</v>
      </c>
      <c r="CA409">
        <v>65</v>
      </c>
      <c r="CF409">
        <v>0</v>
      </c>
      <c r="CG409">
        <v>0</v>
      </c>
      <c r="CM409">
        <v>0</v>
      </c>
      <c r="CN409" t="s">
        <v>6</v>
      </c>
      <c r="CO409">
        <v>0</v>
      </c>
      <c r="CP409">
        <f t="shared" si="342"/>
        <v>544.98</v>
      </c>
      <c r="CQ409">
        <f t="shared" si="343"/>
        <v>150.55199999999999</v>
      </c>
      <c r="CR409">
        <f t="shared" si="344"/>
        <v>303.072</v>
      </c>
      <c r="CS409">
        <f t="shared" si="345"/>
        <v>42.836799999999997</v>
      </c>
      <c r="CT409">
        <f t="shared" si="346"/>
        <v>347.81119999999999</v>
      </c>
      <c r="CU409">
        <f t="shared" si="347"/>
        <v>0</v>
      </c>
      <c r="CV409">
        <f t="shared" si="348"/>
        <v>5.64</v>
      </c>
      <c r="CW409">
        <f t="shared" si="349"/>
        <v>0.52</v>
      </c>
      <c r="CX409">
        <f t="shared" si="350"/>
        <v>0</v>
      </c>
      <c r="CY409">
        <f t="shared" si="351"/>
        <v>252.358</v>
      </c>
      <c r="CZ409">
        <f t="shared" si="352"/>
        <v>172.666</v>
      </c>
      <c r="DC409" t="s">
        <v>6</v>
      </c>
      <c r="DD409" t="s">
        <v>6</v>
      </c>
      <c r="DE409" t="s">
        <v>6</v>
      </c>
      <c r="DF409" t="s">
        <v>6</v>
      </c>
      <c r="DG409" t="s">
        <v>6</v>
      </c>
      <c r="DH409" t="s">
        <v>6</v>
      </c>
      <c r="DI409" t="s">
        <v>6</v>
      </c>
      <c r="DJ409" t="s">
        <v>6</v>
      </c>
      <c r="DK409" t="s">
        <v>6</v>
      </c>
      <c r="DL409" t="s">
        <v>6</v>
      </c>
      <c r="DM409" t="s">
        <v>6</v>
      </c>
      <c r="DN409">
        <v>0</v>
      </c>
      <c r="DO409">
        <v>0</v>
      </c>
      <c r="DP409">
        <v>1</v>
      </c>
      <c r="DQ409">
        <v>1</v>
      </c>
      <c r="DU409">
        <v>1003</v>
      </c>
      <c r="DV409" t="s">
        <v>34</v>
      </c>
      <c r="DW409" t="s">
        <v>34</v>
      </c>
      <c r="DX409">
        <v>100</v>
      </c>
      <c r="EE409">
        <v>16510370</v>
      </c>
      <c r="EF409">
        <v>3</v>
      </c>
      <c r="EG409" t="s">
        <v>83</v>
      </c>
      <c r="EH409">
        <v>0</v>
      </c>
      <c r="EI409" t="s">
        <v>6</v>
      </c>
      <c r="EJ409">
        <v>2</v>
      </c>
      <c r="EK409">
        <v>108001</v>
      </c>
      <c r="EL409" t="s">
        <v>84</v>
      </c>
      <c r="EM409" t="s">
        <v>85</v>
      </c>
      <c r="EO409" t="s">
        <v>6</v>
      </c>
      <c r="EQ409">
        <v>131072</v>
      </c>
      <c r="ER409">
        <v>122.17</v>
      </c>
      <c r="ES409">
        <v>22.95</v>
      </c>
      <c r="ET409">
        <v>46.2</v>
      </c>
      <c r="EU409">
        <v>6.53</v>
      </c>
      <c r="EV409">
        <v>53.02</v>
      </c>
      <c r="EW409">
        <v>5.64</v>
      </c>
      <c r="EX409">
        <v>0.52</v>
      </c>
      <c r="EY409">
        <v>0</v>
      </c>
      <c r="FQ409">
        <v>0</v>
      </c>
      <c r="FR409">
        <f t="shared" si="353"/>
        <v>0</v>
      </c>
      <c r="FS409">
        <v>0</v>
      </c>
      <c r="FX409">
        <v>95</v>
      </c>
      <c r="FY409">
        <v>65</v>
      </c>
      <c r="GA409" t="s">
        <v>6</v>
      </c>
      <c r="GD409">
        <v>0</v>
      </c>
      <c r="GF409">
        <v>-134276738</v>
      </c>
      <c r="GG409">
        <v>1</v>
      </c>
      <c r="GH409">
        <v>1</v>
      </c>
      <c r="GI409">
        <v>4</v>
      </c>
      <c r="GJ409">
        <v>0</v>
      </c>
      <c r="GK409">
        <f>ROUND(R409*(R12)/100,2)</f>
        <v>0</v>
      </c>
      <c r="GL409">
        <f t="shared" si="354"/>
        <v>0</v>
      </c>
      <c r="GM409">
        <f t="shared" si="355"/>
        <v>970.01</v>
      </c>
      <c r="GN409">
        <f t="shared" si="356"/>
        <v>0</v>
      </c>
      <c r="GO409">
        <f t="shared" si="357"/>
        <v>970.01</v>
      </c>
      <c r="GP409">
        <f t="shared" si="358"/>
        <v>0</v>
      </c>
      <c r="GR409">
        <v>0</v>
      </c>
      <c r="GS409">
        <v>3</v>
      </c>
      <c r="GT409">
        <v>0</v>
      </c>
      <c r="GU409" t="s">
        <v>6</v>
      </c>
      <c r="GV409">
        <f t="shared" si="359"/>
        <v>0</v>
      </c>
      <c r="GW409">
        <v>1</v>
      </c>
      <c r="GX409">
        <f t="shared" si="360"/>
        <v>0</v>
      </c>
      <c r="HA409">
        <v>0</v>
      </c>
      <c r="HB409">
        <v>0</v>
      </c>
      <c r="IK409">
        <v>0</v>
      </c>
    </row>
    <row r="410" spans="1:245" x14ac:dyDescent="0.2">
      <c r="A410">
        <v>18</v>
      </c>
      <c r="B410">
        <v>1</v>
      </c>
      <c r="C410">
        <v>692</v>
      </c>
      <c r="E410" t="s">
        <v>898</v>
      </c>
      <c r="F410" t="s">
        <v>899</v>
      </c>
      <c r="G410" t="s">
        <v>900</v>
      </c>
      <c r="H410" t="s">
        <v>749</v>
      </c>
      <c r="I410">
        <f>I409*J410</f>
        <v>6.8000000000000005E-2</v>
      </c>
      <c r="J410">
        <v>0.1</v>
      </c>
      <c r="O410">
        <f t="shared" si="322"/>
        <v>120972.74</v>
      </c>
      <c r="P410">
        <f t="shared" si="323"/>
        <v>120972.74</v>
      </c>
      <c r="Q410">
        <f t="shared" si="324"/>
        <v>0</v>
      </c>
      <c r="R410">
        <f t="shared" si="325"/>
        <v>0</v>
      </c>
      <c r="S410">
        <f t="shared" si="326"/>
        <v>0</v>
      </c>
      <c r="T410">
        <f t="shared" si="327"/>
        <v>0</v>
      </c>
      <c r="U410">
        <f t="shared" si="328"/>
        <v>0</v>
      </c>
      <c r="V410">
        <f t="shared" si="329"/>
        <v>0</v>
      </c>
      <c r="W410">
        <f t="shared" si="330"/>
        <v>0</v>
      </c>
      <c r="X410">
        <f t="shared" si="331"/>
        <v>0</v>
      </c>
      <c r="Y410">
        <f t="shared" si="332"/>
        <v>0</v>
      </c>
      <c r="AA410">
        <v>16742901</v>
      </c>
      <c r="AB410">
        <f t="shared" si="333"/>
        <v>271190.69</v>
      </c>
      <c r="AC410">
        <f t="shared" si="334"/>
        <v>271190.69</v>
      </c>
      <c r="AD410">
        <f t="shared" si="335"/>
        <v>0</v>
      </c>
      <c r="AE410">
        <f t="shared" si="336"/>
        <v>0</v>
      </c>
      <c r="AF410">
        <f t="shared" si="337"/>
        <v>0</v>
      </c>
      <c r="AG410">
        <f t="shared" si="338"/>
        <v>0</v>
      </c>
      <c r="AH410">
        <f t="shared" si="339"/>
        <v>0</v>
      </c>
      <c r="AI410">
        <f t="shared" si="340"/>
        <v>0</v>
      </c>
      <c r="AJ410">
        <f t="shared" si="341"/>
        <v>0</v>
      </c>
      <c r="AK410">
        <v>271190.69</v>
      </c>
      <c r="AL410">
        <v>271190.69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95</v>
      </c>
      <c r="AU410">
        <v>65</v>
      </c>
      <c r="AV410">
        <v>1</v>
      </c>
      <c r="AW410">
        <v>1</v>
      </c>
      <c r="AZ410">
        <v>6.56</v>
      </c>
      <c r="BA410">
        <v>1</v>
      </c>
      <c r="BB410">
        <v>1</v>
      </c>
      <c r="BC410">
        <v>6.56</v>
      </c>
      <c r="BD410" t="s">
        <v>6</v>
      </c>
      <c r="BE410" t="s">
        <v>6</v>
      </c>
      <c r="BF410" t="s">
        <v>6</v>
      </c>
      <c r="BG410" t="s">
        <v>6</v>
      </c>
      <c r="BH410">
        <v>3</v>
      </c>
      <c r="BI410">
        <v>2</v>
      </c>
      <c r="BJ410" t="s">
        <v>901</v>
      </c>
      <c r="BM410">
        <v>108001</v>
      </c>
      <c r="BN410">
        <v>0</v>
      </c>
      <c r="BO410" t="s">
        <v>6</v>
      </c>
      <c r="BP410">
        <v>0</v>
      </c>
      <c r="BQ410">
        <v>3</v>
      </c>
      <c r="BR410">
        <v>0</v>
      </c>
      <c r="BS410">
        <v>1</v>
      </c>
      <c r="BT410">
        <v>1</v>
      </c>
      <c r="BU410">
        <v>1</v>
      </c>
      <c r="BV410">
        <v>1</v>
      </c>
      <c r="BW410">
        <v>1</v>
      </c>
      <c r="BX410">
        <v>1</v>
      </c>
      <c r="BY410" t="s">
        <v>6</v>
      </c>
      <c r="BZ410">
        <v>95</v>
      </c>
      <c r="CA410">
        <v>65</v>
      </c>
      <c r="CF410">
        <v>0</v>
      </c>
      <c r="CG410">
        <v>0</v>
      </c>
      <c r="CM410">
        <v>0</v>
      </c>
      <c r="CN410" t="s">
        <v>6</v>
      </c>
      <c r="CO410">
        <v>0</v>
      </c>
      <c r="CP410">
        <f t="shared" si="342"/>
        <v>120972.74</v>
      </c>
      <c r="CQ410">
        <f t="shared" si="343"/>
        <v>1779010.9264</v>
      </c>
      <c r="CR410">
        <f t="shared" si="344"/>
        <v>0</v>
      </c>
      <c r="CS410">
        <f t="shared" si="345"/>
        <v>0</v>
      </c>
      <c r="CT410">
        <f t="shared" si="346"/>
        <v>0</v>
      </c>
      <c r="CU410">
        <f t="shared" si="347"/>
        <v>0</v>
      </c>
      <c r="CV410">
        <f t="shared" si="348"/>
        <v>0</v>
      </c>
      <c r="CW410">
        <f t="shared" si="349"/>
        <v>0</v>
      </c>
      <c r="CX410">
        <f t="shared" si="350"/>
        <v>0</v>
      </c>
      <c r="CY410">
        <f t="shared" si="351"/>
        <v>0</v>
      </c>
      <c r="CZ410">
        <f t="shared" si="352"/>
        <v>0</v>
      </c>
      <c r="DC410" t="s">
        <v>6</v>
      </c>
      <c r="DD410" t="s">
        <v>6</v>
      </c>
      <c r="DE410" t="s">
        <v>6</v>
      </c>
      <c r="DF410" t="s">
        <v>6</v>
      </c>
      <c r="DG410" t="s">
        <v>6</v>
      </c>
      <c r="DH410" t="s">
        <v>6</v>
      </c>
      <c r="DI410" t="s">
        <v>6</v>
      </c>
      <c r="DJ410" t="s">
        <v>6</v>
      </c>
      <c r="DK410" t="s">
        <v>6</v>
      </c>
      <c r="DL410" t="s">
        <v>6</v>
      </c>
      <c r="DM410" t="s">
        <v>6</v>
      </c>
      <c r="DN410">
        <v>0</v>
      </c>
      <c r="DO410">
        <v>0</v>
      </c>
      <c r="DP410">
        <v>1</v>
      </c>
      <c r="DQ410">
        <v>1</v>
      </c>
      <c r="DU410">
        <v>1013</v>
      </c>
      <c r="DV410" t="s">
        <v>749</v>
      </c>
      <c r="DW410" t="s">
        <v>751</v>
      </c>
      <c r="DX410">
        <v>1</v>
      </c>
      <c r="EE410">
        <v>16510370</v>
      </c>
      <c r="EF410">
        <v>3</v>
      </c>
      <c r="EG410" t="s">
        <v>83</v>
      </c>
      <c r="EH410">
        <v>0</v>
      </c>
      <c r="EI410" t="s">
        <v>6</v>
      </c>
      <c r="EJ410">
        <v>2</v>
      </c>
      <c r="EK410">
        <v>108001</v>
      </c>
      <c r="EL410" t="s">
        <v>84</v>
      </c>
      <c r="EM410" t="s">
        <v>85</v>
      </c>
      <c r="EO410" t="s">
        <v>6</v>
      </c>
      <c r="EQ410">
        <v>0</v>
      </c>
      <c r="ER410">
        <v>271190.69</v>
      </c>
      <c r="ES410">
        <v>271190.69</v>
      </c>
      <c r="ET410">
        <v>0</v>
      </c>
      <c r="EU410">
        <v>0</v>
      </c>
      <c r="EV410">
        <v>0</v>
      </c>
      <c r="EW410">
        <v>0</v>
      </c>
      <c r="EX410">
        <v>0</v>
      </c>
      <c r="FQ410">
        <v>0</v>
      </c>
      <c r="FR410">
        <f t="shared" si="353"/>
        <v>0</v>
      </c>
      <c r="FS410">
        <v>0</v>
      </c>
      <c r="FX410">
        <v>95</v>
      </c>
      <c r="FY410">
        <v>65</v>
      </c>
      <c r="GA410" t="s">
        <v>6</v>
      </c>
      <c r="GD410">
        <v>0</v>
      </c>
      <c r="GF410">
        <v>-2046187651</v>
      </c>
      <c r="GG410">
        <v>1</v>
      </c>
      <c r="GH410">
        <v>1</v>
      </c>
      <c r="GI410">
        <v>4</v>
      </c>
      <c r="GJ410">
        <v>0</v>
      </c>
      <c r="GK410">
        <f>ROUND(R410*(R12)/100,2)</f>
        <v>0</v>
      </c>
      <c r="GL410">
        <f t="shared" si="354"/>
        <v>0</v>
      </c>
      <c r="GM410">
        <f t="shared" si="355"/>
        <v>120972.74</v>
      </c>
      <c r="GN410">
        <f t="shared" si="356"/>
        <v>0</v>
      </c>
      <c r="GO410">
        <f t="shared" si="357"/>
        <v>120972.74</v>
      </c>
      <c r="GP410">
        <f t="shared" si="358"/>
        <v>0</v>
      </c>
      <c r="GR410">
        <v>0</v>
      </c>
      <c r="GS410">
        <v>3</v>
      </c>
      <c r="GT410">
        <v>0</v>
      </c>
      <c r="GU410" t="s">
        <v>6</v>
      </c>
      <c r="GV410">
        <f t="shared" si="359"/>
        <v>0</v>
      </c>
      <c r="GW410">
        <v>1</v>
      </c>
      <c r="GX410">
        <f t="shared" si="360"/>
        <v>0</v>
      </c>
      <c r="HA410">
        <v>0</v>
      </c>
      <c r="HB410">
        <v>0</v>
      </c>
      <c r="IK410">
        <v>0</v>
      </c>
    </row>
    <row r="411" spans="1:245" x14ac:dyDescent="0.2">
      <c r="A411">
        <v>17</v>
      </c>
      <c r="B411">
        <v>1</v>
      </c>
      <c r="C411">
        <f>ROW(SmtRes!A706)</f>
        <v>706</v>
      </c>
      <c r="D411">
        <f>ROW(EtalonRes!A651)</f>
        <v>651</v>
      </c>
      <c r="E411" t="s">
        <v>902</v>
      </c>
      <c r="F411" t="s">
        <v>903</v>
      </c>
      <c r="G411" t="s">
        <v>904</v>
      </c>
      <c r="H411" t="s">
        <v>56</v>
      </c>
      <c r="I411">
        <v>4</v>
      </c>
      <c r="J411">
        <v>0</v>
      </c>
      <c r="O411">
        <f t="shared" si="322"/>
        <v>1842.58</v>
      </c>
      <c r="P411">
        <f t="shared" si="323"/>
        <v>1129.3699999999999</v>
      </c>
      <c r="Q411">
        <f t="shared" si="324"/>
        <v>46.71</v>
      </c>
      <c r="R411">
        <f t="shared" si="325"/>
        <v>6.82</v>
      </c>
      <c r="S411">
        <f t="shared" si="326"/>
        <v>666.5</v>
      </c>
      <c r="T411">
        <f t="shared" si="327"/>
        <v>0</v>
      </c>
      <c r="U411">
        <f t="shared" si="328"/>
        <v>10.24</v>
      </c>
      <c r="V411">
        <f t="shared" si="329"/>
        <v>0.08</v>
      </c>
      <c r="W411">
        <f t="shared" si="330"/>
        <v>0</v>
      </c>
      <c r="X411">
        <f t="shared" si="331"/>
        <v>639.65</v>
      </c>
      <c r="Y411">
        <f t="shared" si="332"/>
        <v>437.66</v>
      </c>
      <c r="AA411">
        <v>16742901</v>
      </c>
      <c r="AB411">
        <f t="shared" si="333"/>
        <v>70.22</v>
      </c>
      <c r="AC411">
        <f t="shared" si="334"/>
        <v>43.04</v>
      </c>
      <c r="AD411">
        <f t="shared" si="335"/>
        <v>1.78</v>
      </c>
      <c r="AE411">
        <f t="shared" si="336"/>
        <v>0.26</v>
      </c>
      <c r="AF411">
        <f t="shared" si="337"/>
        <v>25.4</v>
      </c>
      <c r="AG411">
        <f t="shared" si="338"/>
        <v>0</v>
      </c>
      <c r="AH411">
        <f t="shared" si="339"/>
        <v>2.56</v>
      </c>
      <c r="AI411">
        <f t="shared" si="340"/>
        <v>0.02</v>
      </c>
      <c r="AJ411">
        <f t="shared" si="341"/>
        <v>0</v>
      </c>
      <c r="AK411">
        <v>70.22</v>
      </c>
      <c r="AL411">
        <v>43.04</v>
      </c>
      <c r="AM411">
        <v>1.78</v>
      </c>
      <c r="AN411">
        <v>0.26</v>
      </c>
      <c r="AO411">
        <v>25.4</v>
      </c>
      <c r="AP411">
        <v>0</v>
      </c>
      <c r="AQ411">
        <v>2.56</v>
      </c>
      <c r="AR411">
        <v>0.02</v>
      </c>
      <c r="AS411">
        <v>0</v>
      </c>
      <c r="AT411">
        <v>95</v>
      </c>
      <c r="AU411">
        <v>65</v>
      </c>
      <c r="AV411">
        <v>1</v>
      </c>
      <c r="AW411">
        <v>1</v>
      </c>
      <c r="AZ411">
        <v>6.56</v>
      </c>
      <c r="BA411">
        <v>6.56</v>
      </c>
      <c r="BB411">
        <v>6.56</v>
      </c>
      <c r="BC411">
        <v>6.56</v>
      </c>
      <c r="BD411" t="s">
        <v>6</v>
      </c>
      <c r="BE411" t="s">
        <v>6</v>
      </c>
      <c r="BF411" t="s">
        <v>6</v>
      </c>
      <c r="BG411" t="s">
        <v>6</v>
      </c>
      <c r="BH411">
        <v>0</v>
      </c>
      <c r="BI411">
        <v>2</v>
      </c>
      <c r="BJ411" t="s">
        <v>905</v>
      </c>
      <c r="BM411">
        <v>108001</v>
      </c>
      <c r="BN411">
        <v>0</v>
      </c>
      <c r="BO411" t="s">
        <v>6</v>
      </c>
      <c r="BP411">
        <v>0</v>
      </c>
      <c r="BQ411">
        <v>3</v>
      </c>
      <c r="BR411">
        <v>0</v>
      </c>
      <c r="BS411">
        <v>6.56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6</v>
      </c>
      <c r="BZ411">
        <v>95</v>
      </c>
      <c r="CA411">
        <v>65</v>
      </c>
      <c r="CF411">
        <v>0</v>
      </c>
      <c r="CG411">
        <v>0</v>
      </c>
      <c r="CM411">
        <v>0</v>
      </c>
      <c r="CN411" t="s">
        <v>6</v>
      </c>
      <c r="CO411">
        <v>0</v>
      </c>
      <c r="CP411">
        <f t="shared" si="342"/>
        <v>1842.58</v>
      </c>
      <c r="CQ411">
        <f t="shared" si="343"/>
        <v>282.3424</v>
      </c>
      <c r="CR411">
        <f t="shared" si="344"/>
        <v>11.6768</v>
      </c>
      <c r="CS411">
        <f t="shared" si="345"/>
        <v>1.7056</v>
      </c>
      <c r="CT411">
        <f t="shared" si="346"/>
        <v>166.62399999999997</v>
      </c>
      <c r="CU411">
        <f t="shared" si="347"/>
        <v>0</v>
      </c>
      <c r="CV411">
        <f t="shared" si="348"/>
        <v>2.56</v>
      </c>
      <c r="CW411">
        <f t="shared" si="349"/>
        <v>0.02</v>
      </c>
      <c r="CX411">
        <f t="shared" si="350"/>
        <v>0</v>
      </c>
      <c r="CY411">
        <f t="shared" si="351"/>
        <v>639.654</v>
      </c>
      <c r="CZ411">
        <f t="shared" si="352"/>
        <v>437.65800000000002</v>
      </c>
      <c r="DC411" t="s">
        <v>6</v>
      </c>
      <c r="DD411" t="s">
        <v>6</v>
      </c>
      <c r="DE411" t="s">
        <v>6</v>
      </c>
      <c r="DF411" t="s">
        <v>6</v>
      </c>
      <c r="DG411" t="s">
        <v>6</v>
      </c>
      <c r="DH411" t="s">
        <v>6</v>
      </c>
      <c r="DI411" t="s">
        <v>6</v>
      </c>
      <c r="DJ411" t="s">
        <v>6</v>
      </c>
      <c r="DK411" t="s">
        <v>6</v>
      </c>
      <c r="DL411" t="s">
        <v>6</v>
      </c>
      <c r="DM411" t="s">
        <v>6</v>
      </c>
      <c r="DN411">
        <v>0</v>
      </c>
      <c r="DO411">
        <v>0</v>
      </c>
      <c r="DP411">
        <v>1</v>
      </c>
      <c r="DQ411">
        <v>1</v>
      </c>
      <c r="DU411">
        <v>1013</v>
      </c>
      <c r="DV411" t="s">
        <v>56</v>
      </c>
      <c r="DW411" t="s">
        <v>56</v>
      </c>
      <c r="DX411">
        <v>1</v>
      </c>
      <c r="EE411">
        <v>16510370</v>
      </c>
      <c r="EF411">
        <v>3</v>
      </c>
      <c r="EG411" t="s">
        <v>83</v>
      </c>
      <c r="EH411">
        <v>0</v>
      </c>
      <c r="EI411" t="s">
        <v>6</v>
      </c>
      <c r="EJ411">
        <v>2</v>
      </c>
      <c r="EK411">
        <v>108001</v>
      </c>
      <c r="EL411" t="s">
        <v>84</v>
      </c>
      <c r="EM411" t="s">
        <v>85</v>
      </c>
      <c r="EO411" t="s">
        <v>6</v>
      </c>
      <c r="EQ411">
        <v>131072</v>
      </c>
      <c r="ER411">
        <v>70.22</v>
      </c>
      <c r="ES411">
        <v>43.04</v>
      </c>
      <c r="ET411">
        <v>1.78</v>
      </c>
      <c r="EU411">
        <v>0.26</v>
      </c>
      <c r="EV411">
        <v>25.4</v>
      </c>
      <c r="EW411">
        <v>2.56</v>
      </c>
      <c r="EX411">
        <v>0.02</v>
      </c>
      <c r="EY411">
        <v>0</v>
      </c>
      <c r="FQ411">
        <v>0</v>
      </c>
      <c r="FR411">
        <f t="shared" si="353"/>
        <v>0</v>
      </c>
      <c r="FS411">
        <v>0</v>
      </c>
      <c r="FX411">
        <v>95</v>
      </c>
      <c r="FY411">
        <v>65</v>
      </c>
      <c r="GA411" t="s">
        <v>6</v>
      </c>
      <c r="GD411">
        <v>0</v>
      </c>
      <c r="GF411">
        <v>2132149761</v>
      </c>
      <c r="GG411">
        <v>1</v>
      </c>
      <c r="GH411">
        <v>1</v>
      </c>
      <c r="GI411">
        <v>4</v>
      </c>
      <c r="GJ411">
        <v>0</v>
      </c>
      <c r="GK411">
        <f>ROUND(R411*(R12)/100,2)</f>
        <v>0</v>
      </c>
      <c r="GL411">
        <f t="shared" si="354"/>
        <v>0</v>
      </c>
      <c r="GM411">
        <f t="shared" si="355"/>
        <v>2919.89</v>
      </c>
      <c r="GN411">
        <f t="shared" si="356"/>
        <v>0</v>
      </c>
      <c r="GO411">
        <f t="shared" si="357"/>
        <v>2919.89</v>
      </c>
      <c r="GP411">
        <f t="shared" si="358"/>
        <v>0</v>
      </c>
      <c r="GR411">
        <v>0</v>
      </c>
      <c r="GS411">
        <v>3</v>
      </c>
      <c r="GT411">
        <v>0</v>
      </c>
      <c r="GU411" t="s">
        <v>6</v>
      </c>
      <c r="GV411">
        <f t="shared" si="359"/>
        <v>0</v>
      </c>
      <c r="GW411">
        <v>1</v>
      </c>
      <c r="GX411">
        <f t="shared" si="360"/>
        <v>0</v>
      </c>
      <c r="HA411">
        <v>0</v>
      </c>
      <c r="HB411">
        <v>0</v>
      </c>
      <c r="IK411">
        <v>0</v>
      </c>
    </row>
    <row r="412" spans="1:245" x14ac:dyDescent="0.2">
      <c r="A412">
        <v>18</v>
      </c>
      <c r="B412">
        <v>1</v>
      </c>
      <c r="C412">
        <v>704</v>
      </c>
      <c r="E412" t="s">
        <v>906</v>
      </c>
      <c r="F412" t="s">
        <v>907</v>
      </c>
      <c r="G412" t="s">
        <v>908</v>
      </c>
      <c r="H412" t="s">
        <v>73</v>
      </c>
      <c r="I412">
        <f>I411*J412</f>
        <v>4</v>
      </c>
      <c r="J412">
        <v>1</v>
      </c>
      <c r="O412">
        <f t="shared" si="322"/>
        <v>5590.43</v>
      </c>
      <c r="P412">
        <f t="shared" si="323"/>
        <v>5590.43</v>
      </c>
      <c r="Q412">
        <f t="shared" si="324"/>
        <v>0</v>
      </c>
      <c r="R412">
        <f t="shared" si="325"/>
        <v>0</v>
      </c>
      <c r="S412">
        <f t="shared" si="326"/>
        <v>0</v>
      </c>
      <c r="T412">
        <f t="shared" si="327"/>
        <v>0</v>
      </c>
      <c r="U412">
        <f t="shared" si="328"/>
        <v>0</v>
      </c>
      <c r="V412">
        <f t="shared" si="329"/>
        <v>0</v>
      </c>
      <c r="W412">
        <f t="shared" si="330"/>
        <v>0</v>
      </c>
      <c r="X412">
        <f t="shared" si="331"/>
        <v>0</v>
      </c>
      <c r="Y412">
        <f t="shared" si="332"/>
        <v>0</v>
      </c>
      <c r="AA412">
        <v>16742901</v>
      </c>
      <c r="AB412">
        <f t="shared" si="333"/>
        <v>213.05</v>
      </c>
      <c r="AC412">
        <f t="shared" si="334"/>
        <v>213.05</v>
      </c>
      <c r="AD412">
        <f t="shared" si="335"/>
        <v>0</v>
      </c>
      <c r="AE412">
        <f t="shared" si="336"/>
        <v>0</v>
      </c>
      <c r="AF412">
        <f t="shared" si="337"/>
        <v>0</v>
      </c>
      <c r="AG412">
        <f t="shared" si="338"/>
        <v>0</v>
      </c>
      <c r="AH412">
        <f t="shared" si="339"/>
        <v>0</v>
      </c>
      <c r="AI412">
        <f t="shared" si="340"/>
        <v>0</v>
      </c>
      <c r="AJ412">
        <f t="shared" si="341"/>
        <v>0</v>
      </c>
      <c r="AK412">
        <v>213.05</v>
      </c>
      <c r="AL412">
        <v>213.05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95</v>
      </c>
      <c r="AU412">
        <v>65</v>
      </c>
      <c r="AV412">
        <v>1</v>
      </c>
      <c r="AW412">
        <v>1</v>
      </c>
      <c r="AZ412">
        <v>6.56</v>
      </c>
      <c r="BA412">
        <v>1</v>
      </c>
      <c r="BB412">
        <v>1</v>
      </c>
      <c r="BC412">
        <v>6.56</v>
      </c>
      <c r="BD412" t="s">
        <v>6</v>
      </c>
      <c r="BE412" t="s">
        <v>6</v>
      </c>
      <c r="BF412" t="s">
        <v>6</v>
      </c>
      <c r="BG412" t="s">
        <v>6</v>
      </c>
      <c r="BH412">
        <v>3</v>
      </c>
      <c r="BI412">
        <v>2</v>
      </c>
      <c r="BJ412" t="s">
        <v>909</v>
      </c>
      <c r="BM412">
        <v>108001</v>
      </c>
      <c r="BN412">
        <v>0</v>
      </c>
      <c r="BO412" t="s">
        <v>6</v>
      </c>
      <c r="BP412">
        <v>0</v>
      </c>
      <c r="BQ412">
        <v>3</v>
      </c>
      <c r="BR412">
        <v>0</v>
      </c>
      <c r="BS412">
        <v>1</v>
      </c>
      <c r="BT412">
        <v>1</v>
      </c>
      <c r="BU412">
        <v>1</v>
      </c>
      <c r="BV412">
        <v>1</v>
      </c>
      <c r="BW412">
        <v>1</v>
      </c>
      <c r="BX412">
        <v>1</v>
      </c>
      <c r="BY412" t="s">
        <v>6</v>
      </c>
      <c r="BZ412">
        <v>95</v>
      </c>
      <c r="CA412">
        <v>65</v>
      </c>
      <c r="CF412">
        <v>0</v>
      </c>
      <c r="CG412">
        <v>0</v>
      </c>
      <c r="CM412">
        <v>0</v>
      </c>
      <c r="CN412" t="s">
        <v>6</v>
      </c>
      <c r="CO412">
        <v>0</v>
      </c>
      <c r="CP412">
        <f t="shared" si="342"/>
        <v>5590.43</v>
      </c>
      <c r="CQ412">
        <f t="shared" si="343"/>
        <v>1397.6079999999999</v>
      </c>
      <c r="CR412">
        <f t="shared" si="344"/>
        <v>0</v>
      </c>
      <c r="CS412">
        <f t="shared" si="345"/>
        <v>0</v>
      </c>
      <c r="CT412">
        <f t="shared" si="346"/>
        <v>0</v>
      </c>
      <c r="CU412">
        <f t="shared" si="347"/>
        <v>0</v>
      </c>
      <c r="CV412">
        <f t="shared" si="348"/>
        <v>0</v>
      </c>
      <c r="CW412">
        <f t="shared" si="349"/>
        <v>0</v>
      </c>
      <c r="CX412">
        <f t="shared" si="350"/>
        <v>0</v>
      </c>
      <c r="CY412">
        <f t="shared" si="351"/>
        <v>0</v>
      </c>
      <c r="CZ412">
        <f t="shared" si="352"/>
        <v>0</v>
      </c>
      <c r="DC412" t="s">
        <v>6</v>
      </c>
      <c r="DD412" t="s">
        <v>6</v>
      </c>
      <c r="DE412" t="s">
        <v>6</v>
      </c>
      <c r="DF412" t="s">
        <v>6</v>
      </c>
      <c r="DG412" t="s">
        <v>6</v>
      </c>
      <c r="DH412" t="s">
        <v>6</v>
      </c>
      <c r="DI412" t="s">
        <v>6</v>
      </c>
      <c r="DJ412" t="s">
        <v>6</v>
      </c>
      <c r="DK412" t="s">
        <v>6</v>
      </c>
      <c r="DL412" t="s">
        <v>6</v>
      </c>
      <c r="DM412" t="s">
        <v>6</v>
      </c>
      <c r="DN412">
        <v>0</v>
      </c>
      <c r="DO412">
        <v>0</v>
      </c>
      <c r="DP412">
        <v>1</v>
      </c>
      <c r="DQ412">
        <v>1</v>
      </c>
      <c r="DU412">
        <v>1010</v>
      </c>
      <c r="DV412" t="s">
        <v>73</v>
      </c>
      <c r="DW412" t="s">
        <v>73</v>
      </c>
      <c r="DX412">
        <v>1</v>
      </c>
      <c r="EE412">
        <v>16510370</v>
      </c>
      <c r="EF412">
        <v>3</v>
      </c>
      <c r="EG412" t="s">
        <v>83</v>
      </c>
      <c r="EH412">
        <v>0</v>
      </c>
      <c r="EI412" t="s">
        <v>6</v>
      </c>
      <c r="EJ412">
        <v>2</v>
      </c>
      <c r="EK412">
        <v>108001</v>
      </c>
      <c r="EL412" t="s">
        <v>84</v>
      </c>
      <c r="EM412" t="s">
        <v>85</v>
      </c>
      <c r="EO412" t="s">
        <v>6</v>
      </c>
      <c r="EQ412">
        <v>0</v>
      </c>
      <c r="ER412">
        <v>213.05</v>
      </c>
      <c r="ES412">
        <v>213.05</v>
      </c>
      <c r="ET412">
        <v>0</v>
      </c>
      <c r="EU412">
        <v>0</v>
      </c>
      <c r="EV412">
        <v>0</v>
      </c>
      <c r="EW412">
        <v>0</v>
      </c>
      <c r="EX412">
        <v>0</v>
      </c>
      <c r="FQ412">
        <v>0</v>
      </c>
      <c r="FR412">
        <f t="shared" si="353"/>
        <v>0</v>
      </c>
      <c r="FS412">
        <v>0</v>
      </c>
      <c r="FX412">
        <v>95</v>
      </c>
      <c r="FY412">
        <v>65</v>
      </c>
      <c r="GA412" t="s">
        <v>6</v>
      </c>
      <c r="GD412">
        <v>0</v>
      </c>
      <c r="GF412">
        <v>-1797323191</v>
      </c>
      <c r="GG412">
        <v>1</v>
      </c>
      <c r="GH412">
        <v>1</v>
      </c>
      <c r="GI412">
        <v>4</v>
      </c>
      <c r="GJ412">
        <v>0</v>
      </c>
      <c r="GK412">
        <f>ROUND(R412*(R12)/100,2)</f>
        <v>0</v>
      </c>
      <c r="GL412">
        <f t="shared" si="354"/>
        <v>0</v>
      </c>
      <c r="GM412">
        <f t="shared" si="355"/>
        <v>5590.43</v>
      </c>
      <c r="GN412">
        <f t="shared" si="356"/>
        <v>0</v>
      </c>
      <c r="GO412">
        <f t="shared" si="357"/>
        <v>5590.43</v>
      </c>
      <c r="GP412">
        <f t="shared" si="358"/>
        <v>0</v>
      </c>
      <c r="GR412">
        <v>0</v>
      </c>
      <c r="GS412">
        <v>3</v>
      </c>
      <c r="GT412">
        <v>0</v>
      </c>
      <c r="GU412" t="s">
        <v>6</v>
      </c>
      <c r="GV412">
        <f t="shared" si="359"/>
        <v>0</v>
      </c>
      <c r="GW412">
        <v>1</v>
      </c>
      <c r="GX412">
        <f t="shared" si="360"/>
        <v>0</v>
      </c>
      <c r="HA412">
        <v>0</v>
      </c>
      <c r="HB412">
        <v>0</v>
      </c>
      <c r="IK412">
        <v>0</v>
      </c>
    </row>
    <row r="413" spans="1:245" x14ac:dyDescent="0.2">
      <c r="A413">
        <v>17</v>
      </c>
      <c r="B413">
        <v>1</v>
      </c>
      <c r="C413">
        <f>ROW(SmtRes!A715)</f>
        <v>715</v>
      </c>
      <c r="D413">
        <f>ROW(EtalonRes!A659)</f>
        <v>659</v>
      </c>
      <c r="E413" t="s">
        <v>910</v>
      </c>
      <c r="F413" t="s">
        <v>698</v>
      </c>
      <c r="G413" t="s">
        <v>786</v>
      </c>
      <c r="H413" t="s">
        <v>56</v>
      </c>
      <c r="I413">
        <v>2</v>
      </c>
      <c r="J413">
        <v>0</v>
      </c>
      <c r="O413">
        <f t="shared" si="322"/>
        <v>438.46</v>
      </c>
      <c r="P413">
        <f t="shared" si="323"/>
        <v>81.34</v>
      </c>
      <c r="Q413">
        <f t="shared" si="324"/>
        <v>233.14</v>
      </c>
      <c r="R413">
        <f t="shared" si="325"/>
        <v>32.93</v>
      </c>
      <c r="S413">
        <f t="shared" si="326"/>
        <v>123.98</v>
      </c>
      <c r="T413">
        <f t="shared" si="327"/>
        <v>0</v>
      </c>
      <c r="U413">
        <f t="shared" si="328"/>
        <v>1.8</v>
      </c>
      <c r="V413">
        <f t="shared" si="329"/>
        <v>0.4</v>
      </c>
      <c r="W413">
        <f t="shared" si="330"/>
        <v>0</v>
      </c>
      <c r="X413">
        <f t="shared" si="331"/>
        <v>149.06</v>
      </c>
      <c r="Y413">
        <f t="shared" si="332"/>
        <v>101.99</v>
      </c>
      <c r="AA413">
        <v>16742901</v>
      </c>
      <c r="AB413">
        <f t="shared" si="333"/>
        <v>33.42</v>
      </c>
      <c r="AC413">
        <f t="shared" si="334"/>
        <v>6.2</v>
      </c>
      <c r="AD413">
        <f t="shared" si="335"/>
        <v>17.77</v>
      </c>
      <c r="AE413">
        <f t="shared" si="336"/>
        <v>2.5099999999999998</v>
      </c>
      <c r="AF413">
        <f t="shared" si="337"/>
        <v>9.4499999999999993</v>
      </c>
      <c r="AG413">
        <f t="shared" si="338"/>
        <v>0</v>
      </c>
      <c r="AH413">
        <f t="shared" si="339"/>
        <v>0.9</v>
      </c>
      <c r="AI413">
        <f t="shared" si="340"/>
        <v>0.2</v>
      </c>
      <c r="AJ413">
        <f t="shared" si="341"/>
        <v>0</v>
      </c>
      <c r="AK413">
        <v>33.42</v>
      </c>
      <c r="AL413">
        <v>6.2</v>
      </c>
      <c r="AM413">
        <v>17.77</v>
      </c>
      <c r="AN413">
        <v>2.5099999999999998</v>
      </c>
      <c r="AO413">
        <v>9.4499999999999993</v>
      </c>
      <c r="AP413">
        <v>0</v>
      </c>
      <c r="AQ413">
        <v>0.9</v>
      </c>
      <c r="AR413">
        <v>0.2</v>
      </c>
      <c r="AS413">
        <v>0</v>
      </c>
      <c r="AT413">
        <v>95</v>
      </c>
      <c r="AU413">
        <v>65</v>
      </c>
      <c r="AV413">
        <v>1</v>
      </c>
      <c r="AW413">
        <v>1</v>
      </c>
      <c r="AZ413">
        <v>6.56</v>
      </c>
      <c r="BA413">
        <v>6.56</v>
      </c>
      <c r="BB413">
        <v>6.56</v>
      </c>
      <c r="BC413">
        <v>6.56</v>
      </c>
      <c r="BD413" t="s">
        <v>6</v>
      </c>
      <c r="BE413" t="s">
        <v>6</v>
      </c>
      <c r="BF413" t="s">
        <v>6</v>
      </c>
      <c r="BG413" t="s">
        <v>6</v>
      </c>
      <c r="BH413">
        <v>0</v>
      </c>
      <c r="BI413">
        <v>2</v>
      </c>
      <c r="BJ413" t="s">
        <v>700</v>
      </c>
      <c r="BM413">
        <v>108001</v>
      </c>
      <c r="BN413">
        <v>0</v>
      </c>
      <c r="BO413" t="s">
        <v>6</v>
      </c>
      <c r="BP413">
        <v>0</v>
      </c>
      <c r="BQ413">
        <v>3</v>
      </c>
      <c r="BR413">
        <v>0</v>
      </c>
      <c r="BS413">
        <v>6.56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6</v>
      </c>
      <c r="BZ413">
        <v>95</v>
      </c>
      <c r="CA413">
        <v>65</v>
      </c>
      <c r="CF413">
        <v>0</v>
      </c>
      <c r="CG413">
        <v>0</v>
      </c>
      <c r="CM413">
        <v>0</v>
      </c>
      <c r="CN413" t="s">
        <v>6</v>
      </c>
      <c r="CO413">
        <v>0</v>
      </c>
      <c r="CP413">
        <f t="shared" si="342"/>
        <v>438.46000000000004</v>
      </c>
      <c r="CQ413">
        <f t="shared" si="343"/>
        <v>40.671999999999997</v>
      </c>
      <c r="CR413">
        <f t="shared" si="344"/>
        <v>116.57119999999999</v>
      </c>
      <c r="CS413">
        <f t="shared" si="345"/>
        <v>16.465599999999998</v>
      </c>
      <c r="CT413">
        <f t="shared" si="346"/>
        <v>61.99199999999999</v>
      </c>
      <c r="CU413">
        <f t="shared" si="347"/>
        <v>0</v>
      </c>
      <c r="CV413">
        <f t="shared" si="348"/>
        <v>0.9</v>
      </c>
      <c r="CW413">
        <f t="shared" si="349"/>
        <v>0.2</v>
      </c>
      <c r="CX413">
        <f t="shared" si="350"/>
        <v>0</v>
      </c>
      <c r="CY413">
        <f t="shared" si="351"/>
        <v>149.06449999999998</v>
      </c>
      <c r="CZ413">
        <f t="shared" si="352"/>
        <v>101.9915</v>
      </c>
      <c r="DC413" t="s">
        <v>6</v>
      </c>
      <c r="DD413" t="s">
        <v>6</v>
      </c>
      <c r="DE413" t="s">
        <v>6</v>
      </c>
      <c r="DF413" t="s">
        <v>6</v>
      </c>
      <c r="DG413" t="s">
        <v>6</v>
      </c>
      <c r="DH413" t="s">
        <v>6</v>
      </c>
      <c r="DI413" t="s">
        <v>6</v>
      </c>
      <c r="DJ413" t="s">
        <v>6</v>
      </c>
      <c r="DK413" t="s">
        <v>6</v>
      </c>
      <c r="DL413" t="s">
        <v>6</v>
      </c>
      <c r="DM413" t="s">
        <v>6</v>
      </c>
      <c r="DN413">
        <v>0</v>
      </c>
      <c r="DO413">
        <v>0</v>
      </c>
      <c r="DP413">
        <v>1</v>
      </c>
      <c r="DQ413">
        <v>1</v>
      </c>
      <c r="DU413">
        <v>1013</v>
      </c>
      <c r="DV413" t="s">
        <v>56</v>
      </c>
      <c r="DW413" t="s">
        <v>56</v>
      </c>
      <c r="DX413">
        <v>1</v>
      </c>
      <c r="EE413">
        <v>16510370</v>
      </c>
      <c r="EF413">
        <v>3</v>
      </c>
      <c r="EG413" t="s">
        <v>83</v>
      </c>
      <c r="EH413">
        <v>0</v>
      </c>
      <c r="EI413" t="s">
        <v>6</v>
      </c>
      <c r="EJ413">
        <v>2</v>
      </c>
      <c r="EK413">
        <v>108001</v>
      </c>
      <c r="EL413" t="s">
        <v>84</v>
      </c>
      <c r="EM413" t="s">
        <v>85</v>
      </c>
      <c r="EO413" t="s">
        <v>6</v>
      </c>
      <c r="EQ413">
        <v>131072</v>
      </c>
      <c r="ER413">
        <v>33.42</v>
      </c>
      <c r="ES413">
        <v>6.2</v>
      </c>
      <c r="ET413">
        <v>17.77</v>
      </c>
      <c r="EU413">
        <v>2.5099999999999998</v>
      </c>
      <c r="EV413">
        <v>9.4499999999999993</v>
      </c>
      <c r="EW413">
        <v>0.9</v>
      </c>
      <c r="EX413">
        <v>0.2</v>
      </c>
      <c r="EY413">
        <v>0</v>
      </c>
      <c r="FQ413">
        <v>0</v>
      </c>
      <c r="FR413">
        <f t="shared" si="353"/>
        <v>0</v>
      </c>
      <c r="FS413">
        <v>0</v>
      </c>
      <c r="FX413">
        <v>95</v>
      </c>
      <c r="FY413">
        <v>65</v>
      </c>
      <c r="GA413" t="s">
        <v>6</v>
      </c>
      <c r="GD413">
        <v>0</v>
      </c>
      <c r="GF413">
        <v>-64978218</v>
      </c>
      <c r="GG413">
        <v>1</v>
      </c>
      <c r="GH413">
        <v>1</v>
      </c>
      <c r="GI413">
        <v>4</v>
      </c>
      <c r="GJ413">
        <v>0</v>
      </c>
      <c r="GK413">
        <f>ROUND(R413*(R12)/100,2)</f>
        <v>0</v>
      </c>
      <c r="GL413">
        <f t="shared" si="354"/>
        <v>0</v>
      </c>
      <c r="GM413">
        <f t="shared" si="355"/>
        <v>689.51</v>
      </c>
      <c r="GN413">
        <f t="shared" si="356"/>
        <v>0</v>
      </c>
      <c r="GO413">
        <f t="shared" si="357"/>
        <v>689.51</v>
      </c>
      <c r="GP413">
        <f t="shared" si="358"/>
        <v>0</v>
      </c>
      <c r="GR413">
        <v>0</v>
      </c>
      <c r="GS413">
        <v>3</v>
      </c>
      <c r="GT413">
        <v>0</v>
      </c>
      <c r="GU413" t="s">
        <v>6</v>
      </c>
      <c r="GV413">
        <f t="shared" si="359"/>
        <v>0</v>
      </c>
      <c r="GW413">
        <v>1</v>
      </c>
      <c r="GX413">
        <f t="shared" si="360"/>
        <v>0</v>
      </c>
      <c r="HA413">
        <v>0</v>
      </c>
      <c r="HB413">
        <v>0</v>
      </c>
      <c r="IK413">
        <v>0</v>
      </c>
    </row>
    <row r="414" spans="1:245" x14ac:dyDescent="0.2">
      <c r="A414">
        <v>18</v>
      </c>
      <c r="B414">
        <v>1</v>
      </c>
      <c r="C414">
        <v>714</v>
      </c>
      <c r="E414" t="s">
        <v>911</v>
      </c>
      <c r="F414" t="s">
        <v>788</v>
      </c>
      <c r="G414" t="s">
        <v>789</v>
      </c>
      <c r="H414" t="s">
        <v>73</v>
      </c>
      <c r="I414">
        <f>I413*J414</f>
        <v>2</v>
      </c>
      <c r="J414">
        <v>1</v>
      </c>
      <c r="O414">
        <f t="shared" si="322"/>
        <v>19611.38</v>
      </c>
      <c r="P414">
        <f t="shared" si="323"/>
        <v>19611.38</v>
      </c>
      <c r="Q414">
        <f t="shared" si="324"/>
        <v>0</v>
      </c>
      <c r="R414">
        <f t="shared" si="325"/>
        <v>0</v>
      </c>
      <c r="S414">
        <f t="shared" si="326"/>
        <v>0</v>
      </c>
      <c r="T414">
        <f t="shared" si="327"/>
        <v>0</v>
      </c>
      <c r="U414">
        <f t="shared" si="328"/>
        <v>0</v>
      </c>
      <c r="V414">
        <f t="shared" si="329"/>
        <v>0</v>
      </c>
      <c r="W414">
        <f t="shared" si="330"/>
        <v>0</v>
      </c>
      <c r="X414">
        <f t="shared" si="331"/>
        <v>0</v>
      </c>
      <c r="Y414">
        <f t="shared" si="332"/>
        <v>0</v>
      </c>
      <c r="AA414">
        <v>16742901</v>
      </c>
      <c r="AB414">
        <f t="shared" si="333"/>
        <v>1494.77</v>
      </c>
      <c r="AC414">
        <f t="shared" si="334"/>
        <v>1494.77</v>
      </c>
      <c r="AD414">
        <f t="shared" si="335"/>
        <v>0</v>
      </c>
      <c r="AE414">
        <f t="shared" si="336"/>
        <v>0</v>
      </c>
      <c r="AF414">
        <f t="shared" si="337"/>
        <v>0</v>
      </c>
      <c r="AG414">
        <f t="shared" si="338"/>
        <v>0</v>
      </c>
      <c r="AH414">
        <f t="shared" si="339"/>
        <v>0</v>
      </c>
      <c r="AI414">
        <f t="shared" si="340"/>
        <v>0</v>
      </c>
      <c r="AJ414">
        <f t="shared" si="341"/>
        <v>0</v>
      </c>
      <c r="AK414">
        <v>1494.77</v>
      </c>
      <c r="AL414">
        <v>1494.77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95</v>
      </c>
      <c r="AU414">
        <v>65</v>
      </c>
      <c r="AV414">
        <v>1</v>
      </c>
      <c r="AW414">
        <v>1</v>
      </c>
      <c r="AZ414">
        <v>6.56</v>
      </c>
      <c r="BA414">
        <v>1</v>
      </c>
      <c r="BB414">
        <v>1</v>
      </c>
      <c r="BC414">
        <v>6.56</v>
      </c>
      <c r="BD414" t="s">
        <v>6</v>
      </c>
      <c r="BE414" t="s">
        <v>6</v>
      </c>
      <c r="BF414" t="s">
        <v>6</v>
      </c>
      <c r="BG414" t="s">
        <v>6</v>
      </c>
      <c r="BH414">
        <v>3</v>
      </c>
      <c r="BI414">
        <v>2</v>
      </c>
      <c r="BJ414" t="s">
        <v>790</v>
      </c>
      <c r="BM414">
        <v>108001</v>
      </c>
      <c r="BN414">
        <v>0</v>
      </c>
      <c r="BO414" t="s">
        <v>6</v>
      </c>
      <c r="BP414">
        <v>0</v>
      </c>
      <c r="BQ414">
        <v>3</v>
      </c>
      <c r="BR414">
        <v>0</v>
      </c>
      <c r="BS414">
        <v>1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6</v>
      </c>
      <c r="BZ414">
        <v>95</v>
      </c>
      <c r="CA414">
        <v>65</v>
      </c>
      <c r="CF414">
        <v>0</v>
      </c>
      <c r="CG414">
        <v>0</v>
      </c>
      <c r="CM414">
        <v>0</v>
      </c>
      <c r="CN414" t="s">
        <v>6</v>
      </c>
      <c r="CO414">
        <v>0</v>
      </c>
      <c r="CP414">
        <f t="shared" si="342"/>
        <v>19611.38</v>
      </c>
      <c r="CQ414">
        <f t="shared" si="343"/>
        <v>9805.6911999999993</v>
      </c>
      <c r="CR414">
        <f t="shared" si="344"/>
        <v>0</v>
      </c>
      <c r="CS414">
        <f t="shared" si="345"/>
        <v>0</v>
      </c>
      <c r="CT414">
        <f t="shared" si="346"/>
        <v>0</v>
      </c>
      <c r="CU414">
        <f t="shared" si="347"/>
        <v>0</v>
      </c>
      <c r="CV414">
        <f t="shared" si="348"/>
        <v>0</v>
      </c>
      <c r="CW414">
        <f t="shared" si="349"/>
        <v>0</v>
      </c>
      <c r="CX414">
        <f t="shared" si="350"/>
        <v>0</v>
      </c>
      <c r="CY414">
        <f t="shared" si="351"/>
        <v>0</v>
      </c>
      <c r="CZ414">
        <f t="shared" si="352"/>
        <v>0</v>
      </c>
      <c r="DC414" t="s">
        <v>6</v>
      </c>
      <c r="DD414" t="s">
        <v>6</v>
      </c>
      <c r="DE414" t="s">
        <v>6</v>
      </c>
      <c r="DF414" t="s">
        <v>6</v>
      </c>
      <c r="DG414" t="s">
        <v>6</v>
      </c>
      <c r="DH414" t="s">
        <v>6</v>
      </c>
      <c r="DI414" t="s">
        <v>6</v>
      </c>
      <c r="DJ414" t="s">
        <v>6</v>
      </c>
      <c r="DK414" t="s">
        <v>6</v>
      </c>
      <c r="DL414" t="s">
        <v>6</v>
      </c>
      <c r="DM414" t="s">
        <v>6</v>
      </c>
      <c r="DN414">
        <v>0</v>
      </c>
      <c r="DO414">
        <v>0</v>
      </c>
      <c r="DP414">
        <v>1</v>
      </c>
      <c r="DQ414">
        <v>1</v>
      </c>
      <c r="DU414">
        <v>1010</v>
      </c>
      <c r="DV414" t="s">
        <v>73</v>
      </c>
      <c r="DW414" t="s">
        <v>73</v>
      </c>
      <c r="DX414">
        <v>1</v>
      </c>
      <c r="EE414">
        <v>16510370</v>
      </c>
      <c r="EF414">
        <v>3</v>
      </c>
      <c r="EG414" t="s">
        <v>83</v>
      </c>
      <c r="EH414">
        <v>0</v>
      </c>
      <c r="EI414" t="s">
        <v>6</v>
      </c>
      <c r="EJ414">
        <v>2</v>
      </c>
      <c r="EK414">
        <v>108001</v>
      </c>
      <c r="EL414" t="s">
        <v>84</v>
      </c>
      <c r="EM414" t="s">
        <v>85</v>
      </c>
      <c r="EO414" t="s">
        <v>6</v>
      </c>
      <c r="EQ414">
        <v>0</v>
      </c>
      <c r="ER414">
        <v>1494.77</v>
      </c>
      <c r="ES414">
        <v>1494.77</v>
      </c>
      <c r="ET414">
        <v>0</v>
      </c>
      <c r="EU414">
        <v>0</v>
      </c>
      <c r="EV414">
        <v>0</v>
      </c>
      <c r="EW414">
        <v>0</v>
      </c>
      <c r="EX414">
        <v>0</v>
      </c>
      <c r="FQ414">
        <v>0</v>
      </c>
      <c r="FR414">
        <f t="shared" si="353"/>
        <v>0</v>
      </c>
      <c r="FS414">
        <v>0</v>
      </c>
      <c r="FX414">
        <v>95</v>
      </c>
      <c r="FY414">
        <v>65</v>
      </c>
      <c r="GA414" t="s">
        <v>6</v>
      </c>
      <c r="GD414">
        <v>0</v>
      </c>
      <c r="GF414">
        <v>487973268</v>
      </c>
      <c r="GG414">
        <v>1</v>
      </c>
      <c r="GH414">
        <v>1</v>
      </c>
      <c r="GI414">
        <v>4</v>
      </c>
      <c r="GJ414">
        <v>0</v>
      </c>
      <c r="GK414">
        <f>ROUND(R414*(R12)/100,2)</f>
        <v>0</v>
      </c>
      <c r="GL414">
        <f t="shared" si="354"/>
        <v>0</v>
      </c>
      <c r="GM414">
        <f t="shared" si="355"/>
        <v>19611.38</v>
      </c>
      <c r="GN414">
        <f t="shared" si="356"/>
        <v>0</v>
      </c>
      <c r="GO414">
        <f t="shared" si="357"/>
        <v>19611.38</v>
      </c>
      <c r="GP414">
        <f t="shared" si="358"/>
        <v>0</v>
      </c>
      <c r="GR414">
        <v>0</v>
      </c>
      <c r="GS414">
        <v>3</v>
      </c>
      <c r="GT414">
        <v>0</v>
      </c>
      <c r="GU414" t="s">
        <v>6</v>
      </c>
      <c r="GV414">
        <f t="shared" si="359"/>
        <v>0</v>
      </c>
      <c r="GW414">
        <v>1</v>
      </c>
      <c r="GX414">
        <f t="shared" si="360"/>
        <v>0</v>
      </c>
      <c r="HA414">
        <v>0</v>
      </c>
      <c r="HB414">
        <v>0</v>
      </c>
      <c r="IK414">
        <v>0</v>
      </c>
    </row>
    <row r="415" spans="1:245" x14ac:dyDescent="0.2">
      <c r="A415">
        <v>17</v>
      </c>
      <c r="B415">
        <v>1</v>
      </c>
      <c r="C415">
        <f>ROW(SmtRes!A734)</f>
        <v>734</v>
      </c>
      <c r="D415">
        <f>ROW(EtalonRes!A673)</f>
        <v>673</v>
      </c>
      <c r="E415" t="s">
        <v>913</v>
      </c>
      <c r="F415" t="s">
        <v>914</v>
      </c>
      <c r="G415" t="s">
        <v>915</v>
      </c>
      <c r="H415" t="s">
        <v>56</v>
      </c>
      <c r="I415">
        <v>26</v>
      </c>
      <c r="J415">
        <v>0</v>
      </c>
      <c r="O415">
        <f t="shared" si="322"/>
        <v>6136.75</v>
      </c>
      <c r="P415">
        <f t="shared" si="323"/>
        <v>3426.55</v>
      </c>
      <c r="Q415">
        <f t="shared" si="324"/>
        <v>179.09</v>
      </c>
      <c r="R415">
        <f t="shared" si="325"/>
        <v>0</v>
      </c>
      <c r="S415">
        <f t="shared" si="326"/>
        <v>2531.11</v>
      </c>
      <c r="T415">
        <f t="shared" si="327"/>
        <v>0</v>
      </c>
      <c r="U415">
        <f t="shared" si="328"/>
        <v>40.56</v>
      </c>
      <c r="V415">
        <f t="shared" si="329"/>
        <v>0</v>
      </c>
      <c r="W415">
        <f t="shared" si="330"/>
        <v>0</v>
      </c>
      <c r="X415">
        <f t="shared" si="331"/>
        <v>2404.5500000000002</v>
      </c>
      <c r="Y415">
        <f t="shared" si="332"/>
        <v>1645.22</v>
      </c>
      <c r="AA415">
        <v>16742901</v>
      </c>
      <c r="AB415">
        <f t="shared" si="333"/>
        <v>35.979999999999997</v>
      </c>
      <c r="AC415">
        <f t="shared" si="334"/>
        <v>20.09</v>
      </c>
      <c r="AD415">
        <f t="shared" si="335"/>
        <v>1.05</v>
      </c>
      <c r="AE415">
        <f t="shared" si="336"/>
        <v>0</v>
      </c>
      <c r="AF415">
        <f t="shared" si="337"/>
        <v>14.84</v>
      </c>
      <c r="AG415">
        <f t="shared" si="338"/>
        <v>0</v>
      </c>
      <c r="AH415">
        <f t="shared" si="339"/>
        <v>1.56</v>
      </c>
      <c r="AI415">
        <f t="shared" si="340"/>
        <v>0</v>
      </c>
      <c r="AJ415">
        <f t="shared" si="341"/>
        <v>0</v>
      </c>
      <c r="AK415">
        <v>35.979999999999997</v>
      </c>
      <c r="AL415">
        <v>20.09</v>
      </c>
      <c r="AM415">
        <v>1.05</v>
      </c>
      <c r="AN415">
        <v>0</v>
      </c>
      <c r="AO415">
        <v>14.84</v>
      </c>
      <c r="AP415">
        <v>0</v>
      </c>
      <c r="AQ415">
        <v>1.56</v>
      </c>
      <c r="AR415">
        <v>0</v>
      </c>
      <c r="AS415">
        <v>0</v>
      </c>
      <c r="AT415">
        <v>95</v>
      </c>
      <c r="AU415">
        <v>65</v>
      </c>
      <c r="AV415">
        <v>1</v>
      </c>
      <c r="AW415">
        <v>1</v>
      </c>
      <c r="AZ415">
        <v>6.56</v>
      </c>
      <c r="BA415">
        <v>6.56</v>
      </c>
      <c r="BB415">
        <v>6.56</v>
      </c>
      <c r="BC415">
        <v>6.56</v>
      </c>
      <c r="BD415" t="s">
        <v>6</v>
      </c>
      <c r="BE415" t="s">
        <v>6</v>
      </c>
      <c r="BF415" t="s">
        <v>6</v>
      </c>
      <c r="BG415" t="s">
        <v>6</v>
      </c>
      <c r="BH415">
        <v>0</v>
      </c>
      <c r="BI415">
        <v>2</v>
      </c>
      <c r="BJ415" t="s">
        <v>916</v>
      </c>
      <c r="BM415">
        <v>108001</v>
      </c>
      <c r="BN415">
        <v>0</v>
      </c>
      <c r="BO415" t="s">
        <v>6</v>
      </c>
      <c r="BP415">
        <v>0</v>
      </c>
      <c r="BQ415">
        <v>3</v>
      </c>
      <c r="BR415">
        <v>0</v>
      </c>
      <c r="BS415">
        <v>6.56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6</v>
      </c>
      <c r="BZ415">
        <v>95</v>
      </c>
      <c r="CA415">
        <v>65</v>
      </c>
      <c r="CF415">
        <v>0</v>
      </c>
      <c r="CG415">
        <v>0</v>
      </c>
      <c r="CM415">
        <v>0</v>
      </c>
      <c r="CN415" t="s">
        <v>6</v>
      </c>
      <c r="CO415">
        <v>0</v>
      </c>
      <c r="CP415">
        <f t="shared" si="342"/>
        <v>6136.75</v>
      </c>
      <c r="CQ415">
        <f t="shared" si="343"/>
        <v>131.79040000000001</v>
      </c>
      <c r="CR415">
        <f t="shared" si="344"/>
        <v>6.8879999999999999</v>
      </c>
      <c r="CS415">
        <f t="shared" si="345"/>
        <v>0</v>
      </c>
      <c r="CT415">
        <f t="shared" si="346"/>
        <v>97.350399999999993</v>
      </c>
      <c r="CU415">
        <f t="shared" si="347"/>
        <v>0</v>
      </c>
      <c r="CV415">
        <f t="shared" si="348"/>
        <v>1.56</v>
      </c>
      <c r="CW415">
        <f t="shared" si="349"/>
        <v>0</v>
      </c>
      <c r="CX415">
        <f t="shared" si="350"/>
        <v>0</v>
      </c>
      <c r="CY415">
        <f t="shared" si="351"/>
        <v>2404.5545000000002</v>
      </c>
      <c r="CZ415">
        <f t="shared" si="352"/>
        <v>1645.2214999999999</v>
      </c>
      <c r="DC415" t="s">
        <v>6</v>
      </c>
      <c r="DD415" t="s">
        <v>6</v>
      </c>
      <c r="DE415" t="s">
        <v>6</v>
      </c>
      <c r="DF415" t="s">
        <v>6</v>
      </c>
      <c r="DG415" t="s">
        <v>6</v>
      </c>
      <c r="DH415" t="s">
        <v>6</v>
      </c>
      <c r="DI415" t="s">
        <v>6</v>
      </c>
      <c r="DJ415" t="s">
        <v>6</v>
      </c>
      <c r="DK415" t="s">
        <v>6</v>
      </c>
      <c r="DL415" t="s">
        <v>6</v>
      </c>
      <c r="DM415" t="s">
        <v>6</v>
      </c>
      <c r="DN415">
        <v>0</v>
      </c>
      <c r="DO415">
        <v>0</v>
      </c>
      <c r="DP415">
        <v>1</v>
      </c>
      <c r="DQ415">
        <v>1</v>
      </c>
      <c r="DU415">
        <v>1013</v>
      </c>
      <c r="DV415" t="s">
        <v>56</v>
      </c>
      <c r="DW415" t="s">
        <v>56</v>
      </c>
      <c r="DX415">
        <v>1</v>
      </c>
      <c r="EE415">
        <v>16510370</v>
      </c>
      <c r="EF415">
        <v>3</v>
      </c>
      <c r="EG415" t="s">
        <v>83</v>
      </c>
      <c r="EH415">
        <v>0</v>
      </c>
      <c r="EI415" t="s">
        <v>6</v>
      </c>
      <c r="EJ415">
        <v>2</v>
      </c>
      <c r="EK415">
        <v>108001</v>
      </c>
      <c r="EL415" t="s">
        <v>84</v>
      </c>
      <c r="EM415" t="s">
        <v>85</v>
      </c>
      <c r="EO415" t="s">
        <v>6</v>
      </c>
      <c r="EQ415">
        <v>131072</v>
      </c>
      <c r="ER415">
        <v>35.979999999999997</v>
      </c>
      <c r="ES415">
        <v>20.09</v>
      </c>
      <c r="ET415">
        <v>1.05</v>
      </c>
      <c r="EU415">
        <v>0</v>
      </c>
      <c r="EV415">
        <v>14.84</v>
      </c>
      <c r="EW415">
        <v>1.56</v>
      </c>
      <c r="EX415">
        <v>0</v>
      </c>
      <c r="EY415">
        <v>0</v>
      </c>
      <c r="FQ415">
        <v>0</v>
      </c>
      <c r="FR415">
        <f t="shared" si="353"/>
        <v>0</v>
      </c>
      <c r="FS415">
        <v>0</v>
      </c>
      <c r="FX415">
        <v>95</v>
      </c>
      <c r="FY415">
        <v>65</v>
      </c>
      <c r="GA415" t="s">
        <v>6</v>
      </c>
      <c r="GD415">
        <v>0</v>
      </c>
      <c r="GF415">
        <v>942868882</v>
      </c>
      <c r="GG415">
        <v>1</v>
      </c>
      <c r="GH415">
        <v>1</v>
      </c>
      <c r="GI415">
        <v>4</v>
      </c>
      <c r="GJ415">
        <v>0</v>
      </c>
      <c r="GK415">
        <f>ROUND(R415*(R12)/100,2)</f>
        <v>0</v>
      </c>
      <c r="GL415">
        <f t="shared" si="354"/>
        <v>0</v>
      </c>
      <c r="GM415">
        <f t="shared" si="355"/>
        <v>10186.52</v>
      </c>
      <c r="GN415">
        <f t="shared" si="356"/>
        <v>0</v>
      </c>
      <c r="GO415">
        <f t="shared" si="357"/>
        <v>10186.52</v>
      </c>
      <c r="GP415">
        <f t="shared" si="358"/>
        <v>0</v>
      </c>
      <c r="GR415">
        <v>0</v>
      </c>
      <c r="GS415">
        <v>3</v>
      </c>
      <c r="GT415">
        <v>0</v>
      </c>
      <c r="GU415" t="s">
        <v>6</v>
      </c>
      <c r="GV415">
        <f t="shared" si="359"/>
        <v>0</v>
      </c>
      <c r="GW415">
        <v>1</v>
      </c>
      <c r="GX415">
        <f t="shared" si="360"/>
        <v>0</v>
      </c>
      <c r="HA415">
        <v>0</v>
      </c>
      <c r="HB415">
        <v>0</v>
      </c>
      <c r="IK415">
        <v>0</v>
      </c>
    </row>
    <row r="416" spans="1:245" x14ac:dyDescent="0.2">
      <c r="A416">
        <v>18</v>
      </c>
      <c r="B416">
        <v>1</v>
      </c>
      <c r="C416">
        <v>729</v>
      </c>
      <c r="E416" t="s">
        <v>917</v>
      </c>
      <c r="F416" t="s">
        <v>918</v>
      </c>
      <c r="G416" t="s">
        <v>919</v>
      </c>
      <c r="H416" t="s">
        <v>73</v>
      </c>
      <c r="I416">
        <f>I415*J416</f>
        <v>2</v>
      </c>
      <c r="J416">
        <v>7.6923076923076927E-2</v>
      </c>
      <c r="O416">
        <f t="shared" si="322"/>
        <v>3236.57</v>
      </c>
      <c r="P416">
        <f t="shared" si="323"/>
        <v>3236.57</v>
      </c>
      <c r="Q416">
        <f t="shared" si="324"/>
        <v>0</v>
      </c>
      <c r="R416">
        <f t="shared" si="325"/>
        <v>0</v>
      </c>
      <c r="S416">
        <f t="shared" si="326"/>
        <v>0</v>
      </c>
      <c r="T416">
        <f t="shared" si="327"/>
        <v>0</v>
      </c>
      <c r="U416">
        <f t="shared" si="328"/>
        <v>0</v>
      </c>
      <c r="V416">
        <f t="shared" si="329"/>
        <v>0</v>
      </c>
      <c r="W416">
        <f t="shared" si="330"/>
        <v>0</v>
      </c>
      <c r="X416">
        <f t="shared" si="331"/>
        <v>0</v>
      </c>
      <c r="Y416">
        <f t="shared" si="332"/>
        <v>0</v>
      </c>
      <c r="AA416">
        <v>16742901</v>
      </c>
      <c r="AB416">
        <f t="shared" si="333"/>
        <v>246.69</v>
      </c>
      <c r="AC416">
        <f t="shared" si="334"/>
        <v>246.69</v>
      </c>
      <c r="AD416">
        <f t="shared" si="335"/>
        <v>0</v>
      </c>
      <c r="AE416">
        <f t="shared" si="336"/>
        <v>0</v>
      </c>
      <c r="AF416">
        <f t="shared" si="337"/>
        <v>0</v>
      </c>
      <c r="AG416">
        <f t="shared" si="338"/>
        <v>0</v>
      </c>
      <c r="AH416">
        <f t="shared" si="339"/>
        <v>0</v>
      </c>
      <c r="AI416">
        <f t="shared" si="340"/>
        <v>0</v>
      </c>
      <c r="AJ416">
        <f t="shared" si="341"/>
        <v>0</v>
      </c>
      <c r="AK416">
        <v>246.69</v>
      </c>
      <c r="AL416">
        <v>246.69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95</v>
      </c>
      <c r="AU416">
        <v>65</v>
      </c>
      <c r="AV416">
        <v>1</v>
      </c>
      <c r="AW416">
        <v>1</v>
      </c>
      <c r="AZ416">
        <v>6.56</v>
      </c>
      <c r="BA416">
        <v>1</v>
      </c>
      <c r="BB416">
        <v>1</v>
      </c>
      <c r="BC416">
        <v>6.56</v>
      </c>
      <c r="BD416" t="s">
        <v>6</v>
      </c>
      <c r="BE416" t="s">
        <v>6</v>
      </c>
      <c r="BF416" t="s">
        <v>6</v>
      </c>
      <c r="BG416" t="s">
        <v>6</v>
      </c>
      <c r="BH416">
        <v>3</v>
      </c>
      <c r="BI416">
        <v>2</v>
      </c>
      <c r="BJ416" t="s">
        <v>920</v>
      </c>
      <c r="BM416">
        <v>108001</v>
      </c>
      <c r="BN416">
        <v>0</v>
      </c>
      <c r="BO416" t="s">
        <v>6</v>
      </c>
      <c r="BP416">
        <v>0</v>
      </c>
      <c r="BQ416">
        <v>3</v>
      </c>
      <c r="BR416">
        <v>0</v>
      </c>
      <c r="BS416">
        <v>1</v>
      </c>
      <c r="BT416">
        <v>1</v>
      </c>
      <c r="BU416">
        <v>1</v>
      </c>
      <c r="BV416">
        <v>1</v>
      </c>
      <c r="BW416">
        <v>1</v>
      </c>
      <c r="BX416">
        <v>1</v>
      </c>
      <c r="BY416" t="s">
        <v>6</v>
      </c>
      <c r="BZ416">
        <v>95</v>
      </c>
      <c r="CA416">
        <v>65</v>
      </c>
      <c r="CF416">
        <v>0</v>
      </c>
      <c r="CG416">
        <v>0</v>
      </c>
      <c r="CM416">
        <v>0</v>
      </c>
      <c r="CN416" t="s">
        <v>6</v>
      </c>
      <c r="CO416">
        <v>0</v>
      </c>
      <c r="CP416">
        <f t="shared" si="342"/>
        <v>3236.57</v>
      </c>
      <c r="CQ416">
        <f t="shared" si="343"/>
        <v>1618.2864</v>
      </c>
      <c r="CR416">
        <f t="shared" si="344"/>
        <v>0</v>
      </c>
      <c r="CS416">
        <f t="shared" si="345"/>
        <v>0</v>
      </c>
      <c r="CT416">
        <f t="shared" si="346"/>
        <v>0</v>
      </c>
      <c r="CU416">
        <f t="shared" si="347"/>
        <v>0</v>
      </c>
      <c r="CV416">
        <f t="shared" si="348"/>
        <v>0</v>
      </c>
      <c r="CW416">
        <f t="shared" si="349"/>
        <v>0</v>
      </c>
      <c r="CX416">
        <f t="shared" si="350"/>
        <v>0</v>
      </c>
      <c r="CY416">
        <f t="shared" si="351"/>
        <v>0</v>
      </c>
      <c r="CZ416">
        <f t="shared" si="352"/>
        <v>0</v>
      </c>
      <c r="DC416" t="s">
        <v>6</v>
      </c>
      <c r="DD416" t="s">
        <v>6</v>
      </c>
      <c r="DE416" t="s">
        <v>6</v>
      </c>
      <c r="DF416" t="s">
        <v>6</v>
      </c>
      <c r="DG416" t="s">
        <v>6</v>
      </c>
      <c r="DH416" t="s">
        <v>6</v>
      </c>
      <c r="DI416" t="s">
        <v>6</v>
      </c>
      <c r="DJ416" t="s">
        <v>6</v>
      </c>
      <c r="DK416" t="s">
        <v>6</v>
      </c>
      <c r="DL416" t="s">
        <v>6</v>
      </c>
      <c r="DM416" t="s">
        <v>6</v>
      </c>
      <c r="DN416">
        <v>0</v>
      </c>
      <c r="DO416">
        <v>0</v>
      </c>
      <c r="DP416">
        <v>1</v>
      </c>
      <c r="DQ416">
        <v>1</v>
      </c>
      <c r="DU416">
        <v>1010</v>
      </c>
      <c r="DV416" t="s">
        <v>73</v>
      </c>
      <c r="DW416" t="s">
        <v>73</v>
      </c>
      <c r="DX416">
        <v>1</v>
      </c>
      <c r="EE416">
        <v>16510370</v>
      </c>
      <c r="EF416">
        <v>3</v>
      </c>
      <c r="EG416" t="s">
        <v>83</v>
      </c>
      <c r="EH416">
        <v>0</v>
      </c>
      <c r="EI416" t="s">
        <v>6</v>
      </c>
      <c r="EJ416">
        <v>2</v>
      </c>
      <c r="EK416">
        <v>108001</v>
      </c>
      <c r="EL416" t="s">
        <v>84</v>
      </c>
      <c r="EM416" t="s">
        <v>85</v>
      </c>
      <c r="EO416" t="s">
        <v>6</v>
      </c>
      <c r="EQ416">
        <v>0</v>
      </c>
      <c r="ER416">
        <v>246.69</v>
      </c>
      <c r="ES416">
        <v>246.69</v>
      </c>
      <c r="ET416">
        <v>0</v>
      </c>
      <c r="EU416">
        <v>0</v>
      </c>
      <c r="EV416">
        <v>0</v>
      </c>
      <c r="EW416">
        <v>0</v>
      </c>
      <c r="EX416">
        <v>0</v>
      </c>
      <c r="FQ416">
        <v>0</v>
      </c>
      <c r="FR416">
        <f t="shared" si="353"/>
        <v>0</v>
      </c>
      <c r="FS416">
        <v>0</v>
      </c>
      <c r="FX416">
        <v>95</v>
      </c>
      <c r="FY416">
        <v>65</v>
      </c>
      <c r="GA416" t="s">
        <v>6</v>
      </c>
      <c r="GD416">
        <v>0</v>
      </c>
      <c r="GF416">
        <v>1936732059</v>
      </c>
      <c r="GG416">
        <v>1</v>
      </c>
      <c r="GH416">
        <v>1</v>
      </c>
      <c r="GI416">
        <v>4</v>
      </c>
      <c r="GJ416">
        <v>0</v>
      </c>
      <c r="GK416">
        <f>ROUND(R416*(R12)/100,2)</f>
        <v>0</v>
      </c>
      <c r="GL416">
        <f t="shared" si="354"/>
        <v>0</v>
      </c>
      <c r="GM416">
        <f t="shared" si="355"/>
        <v>3236.57</v>
      </c>
      <c r="GN416">
        <f t="shared" si="356"/>
        <v>0</v>
      </c>
      <c r="GO416">
        <f t="shared" si="357"/>
        <v>3236.57</v>
      </c>
      <c r="GP416">
        <f t="shared" si="358"/>
        <v>0</v>
      </c>
      <c r="GR416">
        <v>0</v>
      </c>
      <c r="GS416">
        <v>3</v>
      </c>
      <c r="GT416">
        <v>0</v>
      </c>
      <c r="GU416" t="s">
        <v>6</v>
      </c>
      <c r="GV416">
        <f t="shared" si="359"/>
        <v>0</v>
      </c>
      <c r="GW416">
        <v>1</v>
      </c>
      <c r="GX416">
        <f t="shared" si="360"/>
        <v>0</v>
      </c>
      <c r="HA416">
        <v>0</v>
      </c>
      <c r="HB416">
        <v>0</v>
      </c>
      <c r="IK416">
        <v>0</v>
      </c>
    </row>
    <row r="417" spans="1:245" x14ac:dyDescent="0.2">
      <c r="A417">
        <v>18</v>
      </c>
      <c r="B417">
        <v>1</v>
      </c>
      <c r="C417">
        <v>730</v>
      </c>
      <c r="E417" t="s">
        <v>921</v>
      </c>
      <c r="F417" t="s">
        <v>922</v>
      </c>
      <c r="G417" t="s">
        <v>923</v>
      </c>
      <c r="H417" t="s">
        <v>73</v>
      </c>
      <c r="I417">
        <f>I415*J417</f>
        <v>3</v>
      </c>
      <c r="J417">
        <v>0.11538461538461539</v>
      </c>
      <c r="O417">
        <f t="shared" si="322"/>
        <v>1449.04</v>
      </c>
      <c r="P417">
        <f t="shared" si="323"/>
        <v>1449.04</v>
      </c>
      <c r="Q417">
        <f t="shared" si="324"/>
        <v>0</v>
      </c>
      <c r="R417">
        <f t="shared" si="325"/>
        <v>0</v>
      </c>
      <c r="S417">
        <f t="shared" si="326"/>
        <v>0</v>
      </c>
      <c r="T417">
        <f t="shared" si="327"/>
        <v>0</v>
      </c>
      <c r="U417">
        <f t="shared" si="328"/>
        <v>0</v>
      </c>
      <c r="V417">
        <f t="shared" si="329"/>
        <v>0</v>
      </c>
      <c r="W417">
        <f t="shared" si="330"/>
        <v>0</v>
      </c>
      <c r="X417">
        <f t="shared" si="331"/>
        <v>0</v>
      </c>
      <c r="Y417">
        <f t="shared" si="332"/>
        <v>0</v>
      </c>
      <c r="AA417">
        <v>16742901</v>
      </c>
      <c r="AB417">
        <f t="shared" si="333"/>
        <v>73.63</v>
      </c>
      <c r="AC417">
        <f t="shared" si="334"/>
        <v>73.63</v>
      </c>
      <c r="AD417">
        <f t="shared" si="335"/>
        <v>0</v>
      </c>
      <c r="AE417">
        <f t="shared" si="336"/>
        <v>0</v>
      </c>
      <c r="AF417">
        <f t="shared" si="337"/>
        <v>0</v>
      </c>
      <c r="AG417">
        <f t="shared" si="338"/>
        <v>0</v>
      </c>
      <c r="AH417">
        <f t="shared" si="339"/>
        <v>0</v>
      </c>
      <c r="AI417">
        <f t="shared" si="340"/>
        <v>0</v>
      </c>
      <c r="AJ417">
        <f t="shared" si="341"/>
        <v>0</v>
      </c>
      <c r="AK417">
        <v>73.63</v>
      </c>
      <c r="AL417">
        <v>73.63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95</v>
      </c>
      <c r="AU417">
        <v>65</v>
      </c>
      <c r="AV417">
        <v>1</v>
      </c>
      <c r="AW417">
        <v>1</v>
      </c>
      <c r="AZ417">
        <v>6.56</v>
      </c>
      <c r="BA417">
        <v>1</v>
      </c>
      <c r="BB417">
        <v>1</v>
      </c>
      <c r="BC417">
        <v>6.56</v>
      </c>
      <c r="BD417" t="s">
        <v>6</v>
      </c>
      <c r="BE417" t="s">
        <v>6</v>
      </c>
      <c r="BF417" t="s">
        <v>6</v>
      </c>
      <c r="BG417" t="s">
        <v>6</v>
      </c>
      <c r="BH417">
        <v>3</v>
      </c>
      <c r="BI417">
        <v>2</v>
      </c>
      <c r="BJ417" t="s">
        <v>924</v>
      </c>
      <c r="BM417">
        <v>108001</v>
      </c>
      <c r="BN417">
        <v>0</v>
      </c>
      <c r="BO417" t="s">
        <v>6</v>
      </c>
      <c r="BP417">
        <v>0</v>
      </c>
      <c r="BQ417">
        <v>3</v>
      </c>
      <c r="BR417">
        <v>0</v>
      </c>
      <c r="BS417">
        <v>1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6</v>
      </c>
      <c r="BZ417">
        <v>95</v>
      </c>
      <c r="CA417">
        <v>65</v>
      </c>
      <c r="CF417">
        <v>0</v>
      </c>
      <c r="CG417">
        <v>0</v>
      </c>
      <c r="CM417">
        <v>0</v>
      </c>
      <c r="CN417" t="s">
        <v>6</v>
      </c>
      <c r="CO417">
        <v>0</v>
      </c>
      <c r="CP417">
        <f t="shared" si="342"/>
        <v>1449.04</v>
      </c>
      <c r="CQ417">
        <f t="shared" si="343"/>
        <v>483.01279999999991</v>
      </c>
      <c r="CR417">
        <f t="shared" si="344"/>
        <v>0</v>
      </c>
      <c r="CS417">
        <f t="shared" si="345"/>
        <v>0</v>
      </c>
      <c r="CT417">
        <f t="shared" si="346"/>
        <v>0</v>
      </c>
      <c r="CU417">
        <f t="shared" si="347"/>
        <v>0</v>
      </c>
      <c r="CV417">
        <f t="shared" si="348"/>
        <v>0</v>
      </c>
      <c r="CW417">
        <f t="shared" si="349"/>
        <v>0</v>
      </c>
      <c r="CX417">
        <f t="shared" si="350"/>
        <v>0</v>
      </c>
      <c r="CY417">
        <f t="shared" si="351"/>
        <v>0</v>
      </c>
      <c r="CZ417">
        <f t="shared" si="352"/>
        <v>0</v>
      </c>
      <c r="DC417" t="s">
        <v>6</v>
      </c>
      <c r="DD417" t="s">
        <v>6</v>
      </c>
      <c r="DE417" t="s">
        <v>6</v>
      </c>
      <c r="DF417" t="s">
        <v>6</v>
      </c>
      <c r="DG417" t="s">
        <v>6</v>
      </c>
      <c r="DH417" t="s">
        <v>6</v>
      </c>
      <c r="DI417" t="s">
        <v>6</v>
      </c>
      <c r="DJ417" t="s">
        <v>6</v>
      </c>
      <c r="DK417" t="s">
        <v>6</v>
      </c>
      <c r="DL417" t="s">
        <v>6</v>
      </c>
      <c r="DM417" t="s">
        <v>6</v>
      </c>
      <c r="DN417">
        <v>0</v>
      </c>
      <c r="DO417">
        <v>0</v>
      </c>
      <c r="DP417">
        <v>1</v>
      </c>
      <c r="DQ417">
        <v>1</v>
      </c>
      <c r="DU417">
        <v>1010</v>
      </c>
      <c r="DV417" t="s">
        <v>73</v>
      </c>
      <c r="DW417" t="s">
        <v>73</v>
      </c>
      <c r="DX417">
        <v>1</v>
      </c>
      <c r="EE417">
        <v>16510370</v>
      </c>
      <c r="EF417">
        <v>3</v>
      </c>
      <c r="EG417" t="s">
        <v>83</v>
      </c>
      <c r="EH417">
        <v>0</v>
      </c>
      <c r="EI417" t="s">
        <v>6</v>
      </c>
      <c r="EJ417">
        <v>2</v>
      </c>
      <c r="EK417">
        <v>108001</v>
      </c>
      <c r="EL417" t="s">
        <v>84</v>
      </c>
      <c r="EM417" t="s">
        <v>85</v>
      </c>
      <c r="EO417" t="s">
        <v>6</v>
      </c>
      <c r="EQ417">
        <v>0</v>
      </c>
      <c r="ER417">
        <v>73.63</v>
      </c>
      <c r="ES417">
        <v>73.63</v>
      </c>
      <c r="ET417">
        <v>0</v>
      </c>
      <c r="EU417">
        <v>0</v>
      </c>
      <c r="EV417">
        <v>0</v>
      </c>
      <c r="EW417">
        <v>0</v>
      </c>
      <c r="EX417">
        <v>0</v>
      </c>
      <c r="FQ417">
        <v>0</v>
      </c>
      <c r="FR417">
        <f t="shared" si="353"/>
        <v>0</v>
      </c>
      <c r="FS417">
        <v>0</v>
      </c>
      <c r="FX417">
        <v>95</v>
      </c>
      <c r="FY417">
        <v>65</v>
      </c>
      <c r="GA417" t="s">
        <v>6</v>
      </c>
      <c r="GD417">
        <v>0</v>
      </c>
      <c r="GF417">
        <v>471885044</v>
      </c>
      <c r="GG417">
        <v>1</v>
      </c>
      <c r="GH417">
        <v>1</v>
      </c>
      <c r="GI417">
        <v>4</v>
      </c>
      <c r="GJ417">
        <v>0</v>
      </c>
      <c r="GK417">
        <f>ROUND(R417*(R12)/100,2)</f>
        <v>0</v>
      </c>
      <c r="GL417">
        <f t="shared" si="354"/>
        <v>0</v>
      </c>
      <c r="GM417">
        <f t="shared" si="355"/>
        <v>1449.04</v>
      </c>
      <c r="GN417">
        <f t="shared" si="356"/>
        <v>0</v>
      </c>
      <c r="GO417">
        <f t="shared" si="357"/>
        <v>1449.04</v>
      </c>
      <c r="GP417">
        <f t="shared" si="358"/>
        <v>0</v>
      </c>
      <c r="GR417">
        <v>0</v>
      </c>
      <c r="GS417">
        <v>3</v>
      </c>
      <c r="GT417">
        <v>0</v>
      </c>
      <c r="GU417" t="s">
        <v>6</v>
      </c>
      <c r="GV417">
        <f t="shared" si="359"/>
        <v>0</v>
      </c>
      <c r="GW417">
        <v>1</v>
      </c>
      <c r="GX417">
        <f t="shared" si="360"/>
        <v>0</v>
      </c>
      <c r="HA417">
        <v>0</v>
      </c>
      <c r="HB417">
        <v>0</v>
      </c>
      <c r="IK417">
        <v>0</v>
      </c>
    </row>
    <row r="418" spans="1:245" x14ac:dyDescent="0.2">
      <c r="A418">
        <v>18</v>
      </c>
      <c r="B418">
        <v>1</v>
      </c>
      <c r="C418">
        <v>731</v>
      </c>
      <c r="E418" t="s">
        <v>925</v>
      </c>
      <c r="F418" t="s">
        <v>926</v>
      </c>
      <c r="G418" t="s">
        <v>927</v>
      </c>
      <c r="H418" t="s">
        <v>73</v>
      </c>
      <c r="I418">
        <f>I415*J418</f>
        <v>14.999999999999998</v>
      </c>
      <c r="J418">
        <v>0.57692307692307687</v>
      </c>
      <c r="O418">
        <f t="shared" si="322"/>
        <v>6541.63</v>
      </c>
      <c r="P418">
        <f t="shared" si="323"/>
        <v>6541.63</v>
      </c>
      <c r="Q418">
        <f t="shared" si="324"/>
        <v>0</v>
      </c>
      <c r="R418">
        <f t="shared" si="325"/>
        <v>0</v>
      </c>
      <c r="S418">
        <f t="shared" si="326"/>
        <v>0</v>
      </c>
      <c r="T418">
        <f t="shared" si="327"/>
        <v>0</v>
      </c>
      <c r="U418">
        <f t="shared" si="328"/>
        <v>0</v>
      </c>
      <c r="V418">
        <f t="shared" si="329"/>
        <v>0</v>
      </c>
      <c r="W418">
        <f t="shared" si="330"/>
        <v>0</v>
      </c>
      <c r="X418">
        <f t="shared" si="331"/>
        <v>0</v>
      </c>
      <c r="Y418">
        <f t="shared" si="332"/>
        <v>0</v>
      </c>
      <c r="AA418">
        <v>16742901</v>
      </c>
      <c r="AB418">
        <f t="shared" si="333"/>
        <v>66.48</v>
      </c>
      <c r="AC418">
        <f t="shared" si="334"/>
        <v>66.48</v>
      </c>
      <c r="AD418">
        <f t="shared" si="335"/>
        <v>0</v>
      </c>
      <c r="AE418">
        <f t="shared" si="336"/>
        <v>0</v>
      </c>
      <c r="AF418">
        <f t="shared" si="337"/>
        <v>0</v>
      </c>
      <c r="AG418">
        <f t="shared" si="338"/>
        <v>0</v>
      </c>
      <c r="AH418">
        <f t="shared" si="339"/>
        <v>0</v>
      </c>
      <c r="AI418">
        <f t="shared" si="340"/>
        <v>0</v>
      </c>
      <c r="AJ418">
        <f t="shared" si="341"/>
        <v>0</v>
      </c>
      <c r="AK418">
        <v>66.48</v>
      </c>
      <c r="AL418">
        <v>66.48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95</v>
      </c>
      <c r="AU418">
        <v>65</v>
      </c>
      <c r="AV418">
        <v>1</v>
      </c>
      <c r="AW418">
        <v>1</v>
      </c>
      <c r="AZ418">
        <v>6.56</v>
      </c>
      <c r="BA418">
        <v>1</v>
      </c>
      <c r="BB418">
        <v>1</v>
      </c>
      <c r="BC418">
        <v>6.56</v>
      </c>
      <c r="BD418" t="s">
        <v>6</v>
      </c>
      <c r="BE418" t="s">
        <v>6</v>
      </c>
      <c r="BF418" t="s">
        <v>6</v>
      </c>
      <c r="BG418" t="s">
        <v>6</v>
      </c>
      <c r="BH418">
        <v>3</v>
      </c>
      <c r="BI418">
        <v>2</v>
      </c>
      <c r="BJ418" t="s">
        <v>928</v>
      </c>
      <c r="BM418">
        <v>108001</v>
      </c>
      <c r="BN418">
        <v>0</v>
      </c>
      <c r="BO418" t="s">
        <v>6</v>
      </c>
      <c r="BP418">
        <v>0</v>
      </c>
      <c r="BQ418">
        <v>3</v>
      </c>
      <c r="BR418">
        <v>0</v>
      </c>
      <c r="BS418">
        <v>1</v>
      </c>
      <c r="BT418">
        <v>1</v>
      </c>
      <c r="BU418">
        <v>1</v>
      </c>
      <c r="BV418">
        <v>1</v>
      </c>
      <c r="BW418">
        <v>1</v>
      </c>
      <c r="BX418">
        <v>1</v>
      </c>
      <c r="BY418" t="s">
        <v>6</v>
      </c>
      <c r="BZ418">
        <v>95</v>
      </c>
      <c r="CA418">
        <v>65</v>
      </c>
      <c r="CF418">
        <v>0</v>
      </c>
      <c r="CG418">
        <v>0</v>
      </c>
      <c r="CM418">
        <v>0</v>
      </c>
      <c r="CN418" t="s">
        <v>6</v>
      </c>
      <c r="CO418">
        <v>0</v>
      </c>
      <c r="CP418">
        <f t="shared" si="342"/>
        <v>6541.63</v>
      </c>
      <c r="CQ418">
        <f t="shared" si="343"/>
        <v>436.10879999999997</v>
      </c>
      <c r="CR418">
        <f t="shared" si="344"/>
        <v>0</v>
      </c>
      <c r="CS418">
        <f t="shared" si="345"/>
        <v>0</v>
      </c>
      <c r="CT418">
        <f t="shared" si="346"/>
        <v>0</v>
      </c>
      <c r="CU418">
        <f t="shared" si="347"/>
        <v>0</v>
      </c>
      <c r="CV418">
        <f t="shared" si="348"/>
        <v>0</v>
      </c>
      <c r="CW418">
        <f t="shared" si="349"/>
        <v>0</v>
      </c>
      <c r="CX418">
        <f t="shared" si="350"/>
        <v>0</v>
      </c>
      <c r="CY418">
        <f t="shared" si="351"/>
        <v>0</v>
      </c>
      <c r="CZ418">
        <f t="shared" si="352"/>
        <v>0</v>
      </c>
      <c r="DC418" t="s">
        <v>6</v>
      </c>
      <c r="DD418" t="s">
        <v>6</v>
      </c>
      <c r="DE418" t="s">
        <v>6</v>
      </c>
      <c r="DF418" t="s">
        <v>6</v>
      </c>
      <c r="DG418" t="s">
        <v>6</v>
      </c>
      <c r="DH418" t="s">
        <v>6</v>
      </c>
      <c r="DI418" t="s">
        <v>6</v>
      </c>
      <c r="DJ418" t="s">
        <v>6</v>
      </c>
      <c r="DK418" t="s">
        <v>6</v>
      </c>
      <c r="DL418" t="s">
        <v>6</v>
      </c>
      <c r="DM418" t="s">
        <v>6</v>
      </c>
      <c r="DN418">
        <v>0</v>
      </c>
      <c r="DO418">
        <v>0</v>
      </c>
      <c r="DP418">
        <v>1</v>
      </c>
      <c r="DQ418">
        <v>1</v>
      </c>
      <c r="DU418">
        <v>1010</v>
      </c>
      <c r="DV418" t="s">
        <v>73</v>
      </c>
      <c r="DW418" t="s">
        <v>73</v>
      </c>
      <c r="DX418">
        <v>1</v>
      </c>
      <c r="EE418">
        <v>16510370</v>
      </c>
      <c r="EF418">
        <v>3</v>
      </c>
      <c r="EG418" t="s">
        <v>83</v>
      </c>
      <c r="EH418">
        <v>0</v>
      </c>
      <c r="EI418" t="s">
        <v>6</v>
      </c>
      <c r="EJ418">
        <v>2</v>
      </c>
      <c r="EK418">
        <v>108001</v>
      </c>
      <c r="EL418" t="s">
        <v>84</v>
      </c>
      <c r="EM418" t="s">
        <v>85</v>
      </c>
      <c r="EO418" t="s">
        <v>6</v>
      </c>
      <c r="EQ418">
        <v>0</v>
      </c>
      <c r="ER418">
        <v>66.48</v>
      </c>
      <c r="ES418">
        <v>66.48</v>
      </c>
      <c r="ET418">
        <v>0</v>
      </c>
      <c r="EU418">
        <v>0</v>
      </c>
      <c r="EV418">
        <v>0</v>
      </c>
      <c r="EW418">
        <v>0</v>
      </c>
      <c r="EX418">
        <v>0</v>
      </c>
      <c r="FQ418">
        <v>0</v>
      </c>
      <c r="FR418">
        <f t="shared" si="353"/>
        <v>0</v>
      </c>
      <c r="FS418">
        <v>0</v>
      </c>
      <c r="FX418">
        <v>95</v>
      </c>
      <c r="FY418">
        <v>65</v>
      </c>
      <c r="GA418" t="s">
        <v>6</v>
      </c>
      <c r="GD418">
        <v>0</v>
      </c>
      <c r="GF418">
        <v>1644612973</v>
      </c>
      <c r="GG418">
        <v>1</v>
      </c>
      <c r="GH418">
        <v>1</v>
      </c>
      <c r="GI418">
        <v>4</v>
      </c>
      <c r="GJ418">
        <v>0</v>
      </c>
      <c r="GK418">
        <f>ROUND(R418*(R12)/100,2)</f>
        <v>0</v>
      </c>
      <c r="GL418">
        <f t="shared" si="354"/>
        <v>0</v>
      </c>
      <c r="GM418">
        <f t="shared" si="355"/>
        <v>6541.63</v>
      </c>
      <c r="GN418">
        <f t="shared" si="356"/>
        <v>0</v>
      </c>
      <c r="GO418">
        <f t="shared" si="357"/>
        <v>6541.63</v>
      </c>
      <c r="GP418">
        <f t="shared" si="358"/>
        <v>0</v>
      </c>
      <c r="GR418">
        <v>0</v>
      </c>
      <c r="GS418">
        <v>3</v>
      </c>
      <c r="GT418">
        <v>0</v>
      </c>
      <c r="GU418" t="s">
        <v>6</v>
      </c>
      <c r="GV418">
        <f t="shared" si="359"/>
        <v>0</v>
      </c>
      <c r="GW418">
        <v>1</v>
      </c>
      <c r="GX418">
        <f t="shared" si="360"/>
        <v>0</v>
      </c>
      <c r="HA418">
        <v>0</v>
      </c>
      <c r="HB418">
        <v>0</v>
      </c>
      <c r="IK418">
        <v>0</v>
      </c>
    </row>
    <row r="419" spans="1:245" x14ac:dyDescent="0.2">
      <c r="A419">
        <v>18</v>
      </c>
      <c r="B419">
        <v>1</v>
      </c>
      <c r="C419">
        <v>732</v>
      </c>
      <c r="E419" t="s">
        <v>929</v>
      </c>
      <c r="F419" t="s">
        <v>930</v>
      </c>
      <c r="G419" t="s">
        <v>931</v>
      </c>
      <c r="H419" t="s">
        <v>73</v>
      </c>
      <c r="I419">
        <f>I415*J419</f>
        <v>3</v>
      </c>
      <c r="J419">
        <v>0.11538461538461539</v>
      </c>
      <c r="O419">
        <f t="shared" si="322"/>
        <v>4551.9799999999996</v>
      </c>
      <c r="P419">
        <f t="shared" si="323"/>
        <v>4551.9799999999996</v>
      </c>
      <c r="Q419">
        <f t="shared" si="324"/>
        <v>0</v>
      </c>
      <c r="R419">
        <f t="shared" si="325"/>
        <v>0</v>
      </c>
      <c r="S419">
        <f t="shared" si="326"/>
        <v>0</v>
      </c>
      <c r="T419">
        <f t="shared" si="327"/>
        <v>0</v>
      </c>
      <c r="U419">
        <f t="shared" si="328"/>
        <v>0</v>
      </c>
      <c r="V419">
        <f t="shared" si="329"/>
        <v>0</v>
      </c>
      <c r="W419">
        <f t="shared" si="330"/>
        <v>0</v>
      </c>
      <c r="X419">
        <f t="shared" si="331"/>
        <v>0</v>
      </c>
      <c r="Y419">
        <f t="shared" si="332"/>
        <v>0</v>
      </c>
      <c r="AA419">
        <v>16742901</v>
      </c>
      <c r="AB419">
        <f t="shared" si="333"/>
        <v>231.3</v>
      </c>
      <c r="AC419">
        <f t="shared" si="334"/>
        <v>231.3</v>
      </c>
      <c r="AD419">
        <f t="shared" si="335"/>
        <v>0</v>
      </c>
      <c r="AE419">
        <f t="shared" si="336"/>
        <v>0</v>
      </c>
      <c r="AF419">
        <f t="shared" si="337"/>
        <v>0</v>
      </c>
      <c r="AG419">
        <f t="shared" si="338"/>
        <v>0</v>
      </c>
      <c r="AH419">
        <f t="shared" si="339"/>
        <v>0</v>
      </c>
      <c r="AI419">
        <f t="shared" si="340"/>
        <v>0</v>
      </c>
      <c r="AJ419">
        <f t="shared" si="341"/>
        <v>0</v>
      </c>
      <c r="AK419">
        <v>231.3</v>
      </c>
      <c r="AL419">
        <v>231.3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95</v>
      </c>
      <c r="AU419">
        <v>65</v>
      </c>
      <c r="AV419">
        <v>1</v>
      </c>
      <c r="AW419">
        <v>1</v>
      </c>
      <c r="AZ419">
        <v>6.56</v>
      </c>
      <c r="BA419">
        <v>1</v>
      </c>
      <c r="BB419">
        <v>1</v>
      </c>
      <c r="BC419">
        <v>6.56</v>
      </c>
      <c r="BD419" t="s">
        <v>6</v>
      </c>
      <c r="BE419" t="s">
        <v>6</v>
      </c>
      <c r="BF419" t="s">
        <v>6</v>
      </c>
      <c r="BG419" t="s">
        <v>6</v>
      </c>
      <c r="BH419">
        <v>3</v>
      </c>
      <c r="BI419">
        <v>2</v>
      </c>
      <c r="BJ419" t="s">
        <v>932</v>
      </c>
      <c r="BM419">
        <v>108001</v>
      </c>
      <c r="BN419">
        <v>0</v>
      </c>
      <c r="BO419" t="s">
        <v>6</v>
      </c>
      <c r="BP419">
        <v>0</v>
      </c>
      <c r="BQ419">
        <v>3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6</v>
      </c>
      <c r="BZ419">
        <v>95</v>
      </c>
      <c r="CA419">
        <v>65</v>
      </c>
      <c r="CF419">
        <v>0</v>
      </c>
      <c r="CG419">
        <v>0</v>
      </c>
      <c r="CM419">
        <v>0</v>
      </c>
      <c r="CN419" t="s">
        <v>6</v>
      </c>
      <c r="CO419">
        <v>0</v>
      </c>
      <c r="CP419">
        <f t="shared" si="342"/>
        <v>4551.9799999999996</v>
      </c>
      <c r="CQ419">
        <f t="shared" si="343"/>
        <v>1517.328</v>
      </c>
      <c r="CR419">
        <f t="shared" si="344"/>
        <v>0</v>
      </c>
      <c r="CS419">
        <f t="shared" si="345"/>
        <v>0</v>
      </c>
      <c r="CT419">
        <f t="shared" si="346"/>
        <v>0</v>
      </c>
      <c r="CU419">
        <f t="shared" si="347"/>
        <v>0</v>
      </c>
      <c r="CV419">
        <f t="shared" si="348"/>
        <v>0</v>
      </c>
      <c r="CW419">
        <f t="shared" si="349"/>
        <v>0</v>
      </c>
      <c r="CX419">
        <f t="shared" si="350"/>
        <v>0</v>
      </c>
      <c r="CY419">
        <f t="shared" si="351"/>
        <v>0</v>
      </c>
      <c r="CZ419">
        <f t="shared" si="352"/>
        <v>0</v>
      </c>
      <c r="DC419" t="s">
        <v>6</v>
      </c>
      <c r="DD419" t="s">
        <v>6</v>
      </c>
      <c r="DE419" t="s">
        <v>6</v>
      </c>
      <c r="DF419" t="s">
        <v>6</v>
      </c>
      <c r="DG419" t="s">
        <v>6</v>
      </c>
      <c r="DH419" t="s">
        <v>6</v>
      </c>
      <c r="DI419" t="s">
        <v>6</v>
      </c>
      <c r="DJ419" t="s">
        <v>6</v>
      </c>
      <c r="DK419" t="s">
        <v>6</v>
      </c>
      <c r="DL419" t="s">
        <v>6</v>
      </c>
      <c r="DM419" t="s">
        <v>6</v>
      </c>
      <c r="DN419">
        <v>0</v>
      </c>
      <c r="DO419">
        <v>0</v>
      </c>
      <c r="DP419">
        <v>1</v>
      </c>
      <c r="DQ419">
        <v>1</v>
      </c>
      <c r="DU419">
        <v>1010</v>
      </c>
      <c r="DV419" t="s">
        <v>73</v>
      </c>
      <c r="DW419" t="s">
        <v>73</v>
      </c>
      <c r="DX419">
        <v>1</v>
      </c>
      <c r="EE419">
        <v>16510370</v>
      </c>
      <c r="EF419">
        <v>3</v>
      </c>
      <c r="EG419" t="s">
        <v>83</v>
      </c>
      <c r="EH419">
        <v>0</v>
      </c>
      <c r="EI419" t="s">
        <v>6</v>
      </c>
      <c r="EJ419">
        <v>2</v>
      </c>
      <c r="EK419">
        <v>108001</v>
      </c>
      <c r="EL419" t="s">
        <v>84</v>
      </c>
      <c r="EM419" t="s">
        <v>85</v>
      </c>
      <c r="EO419" t="s">
        <v>6</v>
      </c>
      <c r="EQ419">
        <v>0</v>
      </c>
      <c r="ER419">
        <v>231.3</v>
      </c>
      <c r="ES419">
        <v>231.3</v>
      </c>
      <c r="ET419">
        <v>0</v>
      </c>
      <c r="EU419">
        <v>0</v>
      </c>
      <c r="EV419">
        <v>0</v>
      </c>
      <c r="EW419">
        <v>0</v>
      </c>
      <c r="EX419">
        <v>0</v>
      </c>
      <c r="FQ419">
        <v>0</v>
      </c>
      <c r="FR419">
        <f t="shared" si="353"/>
        <v>0</v>
      </c>
      <c r="FS419">
        <v>0</v>
      </c>
      <c r="FX419">
        <v>95</v>
      </c>
      <c r="FY419">
        <v>65</v>
      </c>
      <c r="GA419" t="s">
        <v>6</v>
      </c>
      <c r="GD419">
        <v>0</v>
      </c>
      <c r="GF419">
        <v>1666631692</v>
      </c>
      <c r="GG419">
        <v>1</v>
      </c>
      <c r="GH419">
        <v>1</v>
      </c>
      <c r="GI419">
        <v>4</v>
      </c>
      <c r="GJ419">
        <v>0</v>
      </c>
      <c r="GK419">
        <f>ROUND(R419*(R12)/100,2)</f>
        <v>0</v>
      </c>
      <c r="GL419">
        <f t="shared" si="354"/>
        <v>0</v>
      </c>
      <c r="GM419">
        <f t="shared" si="355"/>
        <v>4551.9799999999996</v>
      </c>
      <c r="GN419">
        <f t="shared" si="356"/>
        <v>0</v>
      </c>
      <c r="GO419">
        <f t="shared" si="357"/>
        <v>4551.9799999999996</v>
      </c>
      <c r="GP419">
        <f t="shared" si="358"/>
        <v>0</v>
      </c>
      <c r="GR419">
        <v>0</v>
      </c>
      <c r="GS419">
        <v>3</v>
      </c>
      <c r="GT419">
        <v>0</v>
      </c>
      <c r="GU419" t="s">
        <v>6</v>
      </c>
      <c r="GV419">
        <f t="shared" si="359"/>
        <v>0</v>
      </c>
      <c r="GW419">
        <v>1</v>
      </c>
      <c r="GX419">
        <f t="shared" si="360"/>
        <v>0</v>
      </c>
      <c r="HA419">
        <v>0</v>
      </c>
      <c r="HB419">
        <v>0</v>
      </c>
      <c r="IK419">
        <v>0</v>
      </c>
    </row>
    <row r="420" spans="1:245" x14ac:dyDescent="0.2">
      <c r="A420">
        <v>18</v>
      </c>
      <c r="B420">
        <v>1</v>
      </c>
      <c r="C420">
        <v>733</v>
      </c>
      <c r="E420" t="s">
        <v>933</v>
      </c>
      <c r="F420" t="s">
        <v>934</v>
      </c>
      <c r="G420" t="s">
        <v>935</v>
      </c>
      <c r="H420" t="s">
        <v>73</v>
      </c>
      <c r="I420">
        <f>I415*J420</f>
        <v>3</v>
      </c>
      <c r="J420">
        <v>0.11538461538461539</v>
      </c>
      <c r="O420">
        <f t="shared" si="322"/>
        <v>5946.51</v>
      </c>
      <c r="P420">
        <f t="shared" si="323"/>
        <v>5946.51</v>
      </c>
      <c r="Q420">
        <f t="shared" si="324"/>
        <v>0</v>
      </c>
      <c r="R420">
        <f t="shared" si="325"/>
        <v>0</v>
      </c>
      <c r="S420">
        <f t="shared" si="326"/>
        <v>0</v>
      </c>
      <c r="T420">
        <f t="shared" si="327"/>
        <v>0</v>
      </c>
      <c r="U420">
        <f t="shared" si="328"/>
        <v>0</v>
      </c>
      <c r="V420">
        <f t="shared" si="329"/>
        <v>0</v>
      </c>
      <c r="W420">
        <f t="shared" si="330"/>
        <v>0</v>
      </c>
      <c r="X420">
        <f t="shared" si="331"/>
        <v>0</v>
      </c>
      <c r="Y420">
        <f t="shared" si="332"/>
        <v>0</v>
      </c>
      <c r="AA420">
        <v>16742901</v>
      </c>
      <c r="AB420">
        <f t="shared" si="333"/>
        <v>302.16000000000003</v>
      </c>
      <c r="AC420">
        <f t="shared" si="334"/>
        <v>302.16000000000003</v>
      </c>
      <c r="AD420">
        <f t="shared" si="335"/>
        <v>0</v>
      </c>
      <c r="AE420">
        <f t="shared" si="336"/>
        <v>0</v>
      </c>
      <c r="AF420">
        <f t="shared" si="337"/>
        <v>0</v>
      </c>
      <c r="AG420">
        <f t="shared" si="338"/>
        <v>0</v>
      </c>
      <c r="AH420">
        <f t="shared" si="339"/>
        <v>0</v>
      </c>
      <c r="AI420">
        <f t="shared" si="340"/>
        <v>0</v>
      </c>
      <c r="AJ420">
        <f t="shared" si="341"/>
        <v>0</v>
      </c>
      <c r="AK420">
        <v>302.16000000000003</v>
      </c>
      <c r="AL420">
        <v>302.16000000000003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95</v>
      </c>
      <c r="AU420">
        <v>65</v>
      </c>
      <c r="AV420">
        <v>1</v>
      </c>
      <c r="AW420">
        <v>1</v>
      </c>
      <c r="AZ420">
        <v>6.56</v>
      </c>
      <c r="BA420">
        <v>1</v>
      </c>
      <c r="BB420">
        <v>1</v>
      </c>
      <c r="BC420">
        <v>6.56</v>
      </c>
      <c r="BD420" t="s">
        <v>6</v>
      </c>
      <c r="BE420" t="s">
        <v>6</v>
      </c>
      <c r="BF420" t="s">
        <v>6</v>
      </c>
      <c r="BG420" t="s">
        <v>6</v>
      </c>
      <c r="BH420">
        <v>3</v>
      </c>
      <c r="BI420">
        <v>2</v>
      </c>
      <c r="BJ420" t="s">
        <v>936</v>
      </c>
      <c r="BM420">
        <v>108001</v>
      </c>
      <c r="BN420">
        <v>0</v>
      </c>
      <c r="BO420" t="s">
        <v>6</v>
      </c>
      <c r="BP420">
        <v>0</v>
      </c>
      <c r="BQ420">
        <v>3</v>
      </c>
      <c r="BR420">
        <v>0</v>
      </c>
      <c r="BS420">
        <v>1</v>
      </c>
      <c r="BT420">
        <v>1</v>
      </c>
      <c r="BU420">
        <v>1</v>
      </c>
      <c r="BV420">
        <v>1</v>
      </c>
      <c r="BW420">
        <v>1</v>
      </c>
      <c r="BX420">
        <v>1</v>
      </c>
      <c r="BY420" t="s">
        <v>6</v>
      </c>
      <c r="BZ420">
        <v>95</v>
      </c>
      <c r="CA420">
        <v>65</v>
      </c>
      <c r="CF420">
        <v>0</v>
      </c>
      <c r="CG420">
        <v>0</v>
      </c>
      <c r="CM420">
        <v>0</v>
      </c>
      <c r="CN420" t="s">
        <v>6</v>
      </c>
      <c r="CO420">
        <v>0</v>
      </c>
      <c r="CP420">
        <f t="shared" si="342"/>
        <v>5946.51</v>
      </c>
      <c r="CQ420">
        <f t="shared" si="343"/>
        <v>1982.1695999999999</v>
      </c>
      <c r="CR420">
        <f t="shared" si="344"/>
        <v>0</v>
      </c>
      <c r="CS420">
        <f t="shared" si="345"/>
        <v>0</v>
      </c>
      <c r="CT420">
        <f t="shared" si="346"/>
        <v>0</v>
      </c>
      <c r="CU420">
        <f t="shared" si="347"/>
        <v>0</v>
      </c>
      <c r="CV420">
        <f t="shared" si="348"/>
        <v>0</v>
      </c>
      <c r="CW420">
        <f t="shared" si="349"/>
        <v>0</v>
      </c>
      <c r="CX420">
        <f t="shared" si="350"/>
        <v>0</v>
      </c>
      <c r="CY420">
        <f t="shared" si="351"/>
        <v>0</v>
      </c>
      <c r="CZ420">
        <f t="shared" si="352"/>
        <v>0</v>
      </c>
      <c r="DC420" t="s">
        <v>6</v>
      </c>
      <c r="DD420" t="s">
        <v>6</v>
      </c>
      <c r="DE420" t="s">
        <v>6</v>
      </c>
      <c r="DF420" t="s">
        <v>6</v>
      </c>
      <c r="DG420" t="s">
        <v>6</v>
      </c>
      <c r="DH420" t="s">
        <v>6</v>
      </c>
      <c r="DI420" t="s">
        <v>6</v>
      </c>
      <c r="DJ420" t="s">
        <v>6</v>
      </c>
      <c r="DK420" t="s">
        <v>6</v>
      </c>
      <c r="DL420" t="s">
        <v>6</v>
      </c>
      <c r="DM420" t="s">
        <v>6</v>
      </c>
      <c r="DN420">
        <v>0</v>
      </c>
      <c r="DO420">
        <v>0</v>
      </c>
      <c r="DP420">
        <v>1</v>
      </c>
      <c r="DQ420">
        <v>1</v>
      </c>
      <c r="DU420">
        <v>1010</v>
      </c>
      <c r="DV420" t="s">
        <v>73</v>
      </c>
      <c r="DW420" t="s">
        <v>73</v>
      </c>
      <c r="DX420">
        <v>1</v>
      </c>
      <c r="EE420">
        <v>16510370</v>
      </c>
      <c r="EF420">
        <v>3</v>
      </c>
      <c r="EG420" t="s">
        <v>83</v>
      </c>
      <c r="EH420">
        <v>0</v>
      </c>
      <c r="EI420" t="s">
        <v>6</v>
      </c>
      <c r="EJ420">
        <v>2</v>
      </c>
      <c r="EK420">
        <v>108001</v>
      </c>
      <c r="EL420" t="s">
        <v>84</v>
      </c>
      <c r="EM420" t="s">
        <v>85</v>
      </c>
      <c r="EO420" t="s">
        <v>6</v>
      </c>
      <c r="EQ420">
        <v>0</v>
      </c>
      <c r="ER420">
        <v>302.16000000000003</v>
      </c>
      <c r="ES420">
        <v>302.16000000000003</v>
      </c>
      <c r="ET420">
        <v>0</v>
      </c>
      <c r="EU420">
        <v>0</v>
      </c>
      <c r="EV420">
        <v>0</v>
      </c>
      <c r="EW420">
        <v>0</v>
      </c>
      <c r="EX420">
        <v>0</v>
      </c>
      <c r="FQ420">
        <v>0</v>
      </c>
      <c r="FR420">
        <f t="shared" si="353"/>
        <v>0</v>
      </c>
      <c r="FS420">
        <v>0</v>
      </c>
      <c r="FX420">
        <v>95</v>
      </c>
      <c r="FY420">
        <v>65</v>
      </c>
      <c r="GA420" t="s">
        <v>6</v>
      </c>
      <c r="GD420">
        <v>0</v>
      </c>
      <c r="GF420">
        <v>1331874742</v>
      </c>
      <c r="GG420">
        <v>1</v>
      </c>
      <c r="GH420">
        <v>1</v>
      </c>
      <c r="GI420">
        <v>4</v>
      </c>
      <c r="GJ420">
        <v>0</v>
      </c>
      <c r="GK420">
        <f>ROUND(R420*(R12)/100,2)</f>
        <v>0</v>
      </c>
      <c r="GL420">
        <f t="shared" si="354"/>
        <v>0</v>
      </c>
      <c r="GM420">
        <f t="shared" si="355"/>
        <v>5946.51</v>
      </c>
      <c r="GN420">
        <f t="shared" si="356"/>
        <v>0</v>
      </c>
      <c r="GO420">
        <f t="shared" si="357"/>
        <v>5946.51</v>
      </c>
      <c r="GP420">
        <f t="shared" si="358"/>
        <v>0</v>
      </c>
      <c r="GR420">
        <v>0</v>
      </c>
      <c r="GS420">
        <v>3</v>
      </c>
      <c r="GT420">
        <v>0</v>
      </c>
      <c r="GU420" t="s">
        <v>6</v>
      </c>
      <c r="GV420">
        <f t="shared" si="359"/>
        <v>0</v>
      </c>
      <c r="GW420">
        <v>1</v>
      </c>
      <c r="GX420">
        <f t="shared" si="360"/>
        <v>0</v>
      </c>
      <c r="HA420">
        <v>0</v>
      </c>
      <c r="HB420">
        <v>0</v>
      </c>
      <c r="IK420">
        <v>0</v>
      </c>
    </row>
    <row r="421" spans="1:245" x14ac:dyDescent="0.2">
      <c r="A421">
        <v>17</v>
      </c>
      <c r="B421">
        <v>1</v>
      </c>
      <c r="C421">
        <f>ROW(SmtRes!A740)</f>
        <v>740</v>
      </c>
      <c r="D421">
        <f>ROW(EtalonRes!A676)</f>
        <v>676</v>
      </c>
      <c r="E421" t="s">
        <v>937</v>
      </c>
      <c r="F421" t="s">
        <v>800</v>
      </c>
      <c r="G421" t="s">
        <v>801</v>
      </c>
      <c r="H421" t="s">
        <v>56</v>
      </c>
      <c r="I421">
        <v>6</v>
      </c>
      <c r="J421">
        <v>0</v>
      </c>
      <c r="O421">
        <f t="shared" si="322"/>
        <v>453.03</v>
      </c>
      <c r="P421">
        <f t="shared" si="323"/>
        <v>15.74</v>
      </c>
      <c r="Q421">
        <f t="shared" si="324"/>
        <v>0</v>
      </c>
      <c r="R421">
        <f t="shared" si="325"/>
        <v>0</v>
      </c>
      <c r="S421">
        <f t="shared" si="326"/>
        <v>437.29</v>
      </c>
      <c r="T421">
        <f t="shared" si="327"/>
        <v>0</v>
      </c>
      <c r="U421">
        <f t="shared" si="328"/>
        <v>6.7200000000000006</v>
      </c>
      <c r="V421">
        <f t="shared" si="329"/>
        <v>0</v>
      </c>
      <c r="W421">
        <f t="shared" si="330"/>
        <v>0</v>
      </c>
      <c r="X421">
        <f t="shared" si="331"/>
        <v>415.43</v>
      </c>
      <c r="Y421">
        <f t="shared" si="332"/>
        <v>284.24</v>
      </c>
      <c r="AA421">
        <v>16742901</v>
      </c>
      <c r="AB421">
        <f t="shared" si="333"/>
        <v>11.51</v>
      </c>
      <c r="AC421">
        <f t="shared" si="334"/>
        <v>0.4</v>
      </c>
      <c r="AD421">
        <f t="shared" si="335"/>
        <v>0</v>
      </c>
      <c r="AE421">
        <f t="shared" si="336"/>
        <v>0</v>
      </c>
      <c r="AF421">
        <f t="shared" si="337"/>
        <v>11.11</v>
      </c>
      <c r="AG421">
        <f t="shared" si="338"/>
        <v>0</v>
      </c>
      <c r="AH421">
        <f t="shared" si="339"/>
        <v>1.1200000000000001</v>
      </c>
      <c r="AI421">
        <f t="shared" si="340"/>
        <v>0</v>
      </c>
      <c r="AJ421">
        <f t="shared" si="341"/>
        <v>0</v>
      </c>
      <c r="AK421">
        <v>11.51</v>
      </c>
      <c r="AL421">
        <v>0.4</v>
      </c>
      <c r="AM421">
        <v>0</v>
      </c>
      <c r="AN421">
        <v>0</v>
      </c>
      <c r="AO421">
        <v>11.11</v>
      </c>
      <c r="AP421">
        <v>0</v>
      </c>
      <c r="AQ421">
        <v>1.1200000000000001</v>
      </c>
      <c r="AR421">
        <v>0</v>
      </c>
      <c r="AS421">
        <v>0</v>
      </c>
      <c r="AT421">
        <v>95</v>
      </c>
      <c r="AU421">
        <v>65</v>
      </c>
      <c r="AV421">
        <v>1</v>
      </c>
      <c r="AW421">
        <v>1</v>
      </c>
      <c r="AZ421">
        <v>6.56</v>
      </c>
      <c r="BA421">
        <v>6.56</v>
      </c>
      <c r="BB421">
        <v>6.56</v>
      </c>
      <c r="BC421">
        <v>6.56</v>
      </c>
      <c r="BD421" t="s">
        <v>6</v>
      </c>
      <c r="BE421" t="s">
        <v>6</v>
      </c>
      <c r="BF421" t="s">
        <v>6</v>
      </c>
      <c r="BG421" t="s">
        <v>6</v>
      </c>
      <c r="BH421">
        <v>0</v>
      </c>
      <c r="BI421">
        <v>2</v>
      </c>
      <c r="BJ421" t="s">
        <v>802</v>
      </c>
      <c r="BM421">
        <v>108001</v>
      </c>
      <c r="BN421">
        <v>0</v>
      </c>
      <c r="BO421" t="s">
        <v>6</v>
      </c>
      <c r="BP421">
        <v>0</v>
      </c>
      <c r="BQ421">
        <v>3</v>
      </c>
      <c r="BR421">
        <v>0</v>
      </c>
      <c r="BS421">
        <v>6.56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6</v>
      </c>
      <c r="BZ421">
        <v>95</v>
      </c>
      <c r="CA421">
        <v>65</v>
      </c>
      <c r="CF421">
        <v>0</v>
      </c>
      <c r="CG421">
        <v>0</v>
      </c>
      <c r="CM421">
        <v>0</v>
      </c>
      <c r="CN421" t="s">
        <v>6</v>
      </c>
      <c r="CO421">
        <v>0</v>
      </c>
      <c r="CP421">
        <f t="shared" si="342"/>
        <v>453.03000000000003</v>
      </c>
      <c r="CQ421">
        <f t="shared" si="343"/>
        <v>2.6240000000000001</v>
      </c>
      <c r="CR421">
        <f t="shared" si="344"/>
        <v>0</v>
      </c>
      <c r="CS421">
        <f t="shared" si="345"/>
        <v>0</v>
      </c>
      <c r="CT421">
        <f t="shared" si="346"/>
        <v>72.881599999999992</v>
      </c>
      <c r="CU421">
        <f t="shared" si="347"/>
        <v>0</v>
      </c>
      <c r="CV421">
        <f t="shared" si="348"/>
        <v>1.1200000000000001</v>
      </c>
      <c r="CW421">
        <f t="shared" si="349"/>
        <v>0</v>
      </c>
      <c r="CX421">
        <f t="shared" si="350"/>
        <v>0</v>
      </c>
      <c r="CY421">
        <f t="shared" si="351"/>
        <v>415.42550000000006</v>
      </c>
      <c r="CZ421">
        <f t="shared" si="352"/>
        <v>284.23850000000004</v>
      </c>
      <c r="DC421" t="s">
        <v>6</v>
      </c>
      <c r="DD421" t="s">
        <v>6</v>
      </c>
      <c r="DE421" t="s">
        <v>6</v>
      </c>
      <c r="DF421" t="s">
        <v>6</v>
      </c>
      <c r="DG421" t="s">
        <v>6</v>
      </c>
      <c r="DH421" t="s">
        <v>6</v>
      </c>
      <c r="DI421" t="s">
        <v>6</v>
      </c>
      <c r="DJ421" t="s">
        <v>6</v>
      </c>
      <c r="DK421" t="s">
        <v>6</v>
      </c>
      <c r="DL421" t="s">
        <v>6</v>
      </c>
      <c r="DM421" t="s">
        <v>6</v>
      </c>
      <c r="DN421">
        <v>0</v>
      </c>
      <c r="DO421">
        <v>0</v>
      </c>
      <c r="DP421">
        <v>1</v>
      </c>
      <c r="DQ421">
        <v>1</v>
      </c>
      <c r="DU421">
        <v>1013</v>
      </c>
      <c r="DV421" t="s">
        <v>56</v>
      </c>
      <c r="DW421" t="s">
        <v>56</v>
      </c>
      <c r="DX421">
        <v>1</v>
      </c>
      <c r="EE421">
        <v>16510370</v>
      </c>
      <c r="EF421">
        <v>3</v>
      </c>
      <c r="EG421" t="s">
        <v>83</v>
      </c>
      <c r="EH421">
        <v>0</v>
      </c>
      <c r="EI421" t="s">
        <v>6</v>
      </c>
      <c r="EJ421">
        <v>2</v>
      </c>
      <c r="EK421">
        <v>108001</v>
      </c>
      <c r="EL421" t="s">
        <v>84</v>
      </c>
      <c r="EM421" t="s">
        <v>85</v>
      </c>
      <c r="EO421" t="s">
        <v>6</v>
      </c>
      <c r="EQ421">
        <v>131072</v>
      </c>
      <c r="ER421">
        <v>11.51</v>
      </c>
      <c r="ES421">
        <v>0.4</v>
      </c>
      <c r="ET421">
        <v>0</v>
      </c>
      <c r="EU421">
        <v>0</v>
      </c>
      <c r="EV421">
        <v>11.11</v>
      </c>
      <c r="EW421">
        <v>1.1200000000000001</v>
      </c>
      <c r="EX421">
        <v>0</v>
      </c>
      <c r="EY421">
        <v>0</v>
      </c>
      <c r="FQ421">
        <v>0</v>
      </c>
      <c r="FR421">
        <f t="shared" si="353"/>
        <v>0</v>
      </c>
      <c r="FS421">
        <v>0</v>
      </c>
      <c r="FX421">
        <v>95</v>
      </c>
      <c r="FY421">
        <v>65</v>
      </c>
      <c r="GA421" t="s">
        <v>6</v>
      </c>
      <c r="GD421">
        <v>0</v>
      </c>
      <c r="GF421">
        <v>234181014</v>
      </c>
      <c r="GG421">
        <v>1</v>
      </c>
      <c r="GH421">
        <v>1</v>
      </c>
      <c r="GI421">
        <v>4</v>
      </c>
      <c r="GJ421">
        <v>0</v>
      </c>
      <c r="GK421">
        <f>ROUND(R421*(R12)/100,2)</f>
        <v>0</v>
      </c>
      <c r="GL421">
        <f t="shared" si="354"/>
        <v>0</v>
      </c>
      <c r="GM421">
        <f t="shared" si="355"/>
        <v>1152.7</v>
      </c>
      <c r="GN421">
        <f t="shared" si="356"/>
        <v>0</v>
      </c>
      <c r="GO421">
        <f t="shared" si="357"/>
        <v>1152.7</v>
      </c>
      <c r="GP421">
        <f t="shared" si="358"/>
        <v>0</v>
      </c>
      <c r="GR421">
        <v>0</v>
      </c>
      <c r="GS421">
        <v>3</v>
      </c>
      <c r="GT421">
        <v>0</v>
      </c>
      <c r="GU421" t="s">
        <v>6</v>
      </c>
      <c r="GV421">
        <f t="shared" si="359"/>
        <v>0</v>
      </c>
      <c r="GW421">
        <v>1</v>
      </c>
      <c r="GX421">
        <f t="shared" si="360"/>
        <v>0</v>
      </c>
      <c r="HA421">
        <v>0</v>
      </c>
      <c r="HB421">
        <v>0</v>
      </c>
      <c r="IK421">
        <v>0</v>
      </c>
    </row>
    <row r="422" spans="1:245" x14ac:dyDescent="0.2">
      <c r="A422">
        <v>18</v>
      </c>
      <c r="B422">
        <v>1</v>
      </c>
      <c r="C422">
        <v>737</v>
      </c>
      <c r="E422" t="s">
        <v>938</v>
      </c>
      <c r="F422" t="s">
        <v>939</v>
      </c>
      <c r="G422" t="s">
        <v>940</v>
      </c>
      <c r="H422" t="s">
        <v>73</v>
      </c>
      <c r="I422">
        <f>I421*J422</f>
        <v>2</v>
      </c>
      <c r="J422">
        <v>0.33333333333333331</v>
      </c>
      <c r="O422">
        <f t="shared" si="322"/>
        <v>4559.07</v>
      </c>
      <c r="P422">
        <f t="shared" si="323"/>
        <v>4559.07</v>
      </c>
      <c r="Q422">
        <f t="shared" si="324"/>
        <v>0</v>
      </c>
      <c r="R422">
        <f t="shared" si="325"/>
        <v>0</v>
      </c>
      <c r="S422">
        <f t="shared" si="326"/>
        <v>0</v>
      </c>
      <c r="T422">
        <f t="shared" si="327"/>
        <v>0</v>
      </c>
      <c r="U422">
        <f t="shared" si="328"/>
        <v>0</v>
      </c>
      <c r="V422">
        <f t="shared" si="329"/>
        <v>0</v>
      </c>
      <c r="W422">
        <f t="shared" si="330"/>
        <v>0</v>
      </c>
      <c r="X422">
        <f t="shared" si="331"/>
        <v>0</v>
      </c>
      <c r="Y422">
        <f t="shared" si="332"/>
        <v>0</v>
      </c>
      <c r="AA422">
        <v>16742901</v>
      </c>
      <c r="AB422">
        <f t="shared" si="333"/>
        <v>347.49</v>
      </c>
      <c r="AC422">
        <f t="shared" si="334"/>
        <v>347.49</v>
      </c>
      <c r="AD422">
        <f t="shared" si="335"/>
        <v>0</v>
      </c>
      <c r="AE422">
        <f t="shared" si="336"/>
        <v>0</v>
      </c>
      <c r="AF422">
        <f t="shared" si="337"/>
        <v>0</v>
      </c>
      <c r="AG422">
        <f t="shared" si="338"/>
        <v>0</v>
      </c>
      <c r="AH422">
        <f t="shared" si="339"/>
        <v>0</v>
      </c>
      <c r="AI422">
        <f t="shared" si="340"/>
        <v>0</v>
      </c>
      <c r="AJ422">
        <f t="shared" si="341"/>
        <v>0</v>
      </c>
      <c r="AK422">
        <v>347.49</v>
      </c>
      <c r="AL422">
        <v>347.49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95</v>
      </c>
      <c r="AU422">
        <v>65</v>
      </c>
      <c r="AV422">
        <v>1</v>
      </c>
      <c r="AW422">
        <v>1</v>
      </c>
      <c r="AZ422">
        <v>6.56</v>
      </c>
      <c r="BA422">
        <v>1</v>
      </c>
      <c r="BB422">
        <v>1</v>
      </c>
      <c r="BC422">
        <v>6.56</v>
      </c>
      <c r="BD422" t="s">
        <v>6</v>
      </c>
      <c r="BE422" t="s">
        <v>6</v>
      </c>
      <c r="BF422" t="s">
        <v>6</v>
      </c>
      <c r="BG422" t="s">
        <v>6</v>
      </c>
      <c r="BH422">
        <v>3</v>
      </c>
      <c r="BI422">
        <v>2</v>
      </c>
      <c r="BJ422" t="s">
        <v>941</v>
      </c>
      <c r="BM422">
        <v>108001</v>
      </c>
      <c r="BN422">
        <v>0</v>
      </c>
      <c r="BO422" t="s">
        <v>6</v>
      </c>
      <c r="BP422">
        <v>0</v>
      </c>
      <c r="BQ422">
        <v>3</v>
      </c>
      <c r="BR422">
        <v>0</v>
      </c>
      <c r="BS422">
        <v>1</v>
      </c>
      <c r="BT422">
        <v>1</v>
      </c>
      <c r="BU422">
        <v>1</v>
      </c>
      <c r="BV422">
        <v>1</v>
      </c>
      <c r="BW422">
        <v>1</v>
      </c>
      <c r="BX422">
        <v>1</v>
      </c>
      <c r="BY422" t="s">
        <v>6</v>
      </c>
      <c r="BZ422">
        <v>95</v>
      </c>
      <c r="CA422">
        <v>65</v>
      </c>
      <c r="CF422">
        <v>0</v>
      </c>
      <c r="CG422">
        <v>0</v>
      </c>
      <c r="CM422">
        <v>0</v>
      </c>
      <c r="CN422" t="s">
        <v>6</v>
      </c>
      <c r="CO422">
        <v>0</v>
      </c>
      <c r="CP422">
        <f t="shared" si="342"/>
        <v>4559.07</v>
      </c>
      <c r="CQ422">
        <f t="shared" si="343"/>
        <v>2279.5344</v>
      </c>
      <c r="CR422">
        <f t="shared" si="344"/>
        <v>0</v>
      </c>
      <c r="CS422">
        <f t="shared" si="345"/>
        <v>0</v>
      </c>
      <c r="CT422">
        <f t="shared" si="346"/>
        <v>0</v>
      </c>
      <c r="CU422">
        <f t="shared" si="347"/>
        <v>0</v>
      </c>
      <c r="CV422">
        <f t="shared" si="348"/>
        <v>0</v>
      </c>
      <c r="CW422">
        <f t="shared" si="349"/>
        <v>0</v>
      </c>
      <c r="CX422">
        <f t="shared" si="350"/>
        <v>0</v>
      </c>
      <c r="CY422">
        <f t="shared" si="351"/>
        <v>0</v>
      </c>
      <c r="CZ422">
        <f t="shared" si="352"/>
        <v>0</v>
      </c>
      <c r="DC422" t="s">
        <v>6</v>
      </c>
      <c r="DD422" t="s">
        <v>6</v>
      </c>
      <c r="DE422" t="s">
        <v>6</v>
      </c>
      <c r="DF422" t="s">
        <v>6</v>
      </c>
      <c r="DG422" t="s">
        <v>6</v>
      </c>
      <c r="DH422" t="s">
        <v>6</v>
      </c>
      <c r="DI422" t="s">
        <v>6</v>
      </c>
      <c r="DJ422" t="s">
        <v>6</v>
      </c>
      <c r="DK422" t="s">
        <v>6</v>
      </c>
      <c r="DL422" t="s">
        <v>6</v>
      </c>
      <c r="DM422" t="s">
        <v>6</v>
      </c>
      <c r="DN422">
        <v>0</v>
      </c>
      <c r="DO422">
        <v>0</v>
      </c>
      <c r="DP422">
        <v>1</v>
      </c>
      <c r="DQ422">
        <v>1</v>
      </c>
      <c r="DU422">
        <v>1010</v>
      </c>
      <c r="DV422" t="s">
        <v>73</v>
      </c>
      <c r="DW422" t="s">
        <v>73</v>
      </c>
      <c r="DX422">
        <v>1</v>
      </c>
      <c r="EE422">
        <v>16510370</v>
      </c>
      <c r="EF422">
        <v>3</v>
      </c>
      <c r="EG422" t="s">
        <v>83</v>
      </c>
      <c r="EH422">
        <v>0</v>
      </c>
      <c r="EI422" t="s">
        <v>6</v>
      </c>
      <c r="EJ422">
        <v>2</v>
      </c>
      <c r="EK422">
        <v>108001</v>
      </c>
      <c r="EL422" t="s">
        <v>84</v>
      </c>
      <c r="EM422" t="s">
        <v>85</v>
      </c>
      <c r="EO422" t="s">
        <v>6</v>
      </c>
      <c r="EQ422">
        <v>0</v>
      </c>
      <c r="ER422">
        <v>347.49</v>
      </c>
      <c r="ES422">
        <v>347.49</v>
      </c>
      <c r="ET422">
        <v>0</v>
      </c>
      <c r="EU422">
        <v>0</v>
      </c>
      <c r="EV422">
        <v>0</v>
      </c>
      <c r="EW422">
        <v>0</v>
      </c>
      <c r="EX422">
        <v>0</v>
      </c>
      <c r="FQ422">
        <v>0</v>
      </c>
      <c r="FR422">
        <f t="shared" si="353"/>
        <v>0</v>
      </c>
      <c r="FS422">
        <v>0</v>
      </c>
      <c r="FX422">
        <v>95</v>
      </c>
      <c r="FY422">
        <v>65</v>
      </c>
      <c r="GA422" t="s">
        <v>6</v>
      </c>
      <c r="GD422">
        <v>0</v>
      </c>
      <c r="GF422">
        <v>180669716</v>
      </c>
      <c r="GG422">
        <v>1</v>
      </c>
      <c r="GH422">
        <v>1</v>
      </c>
      <c r="GI422">
        <v>4</v>
      </c>
      <c r="GJ422">
        <v>0</v>
      </c>
      <c r="GK422">
        <f>ROUND(R422*(R12)/100,2)</f>
        <v>0</v>
      </c>
      <c r="GL422">
        <f t="shared" si="354"/>
        <v>0</v>
      </c>
      <c r="GM422">
        <f t="shared" si="355"/>
        <v>4559.07</v>
      </c>
      <c r="GN422">
        <f t="shared" si="356"/>
        <v>0</v>
      </c>
      <c r="GO422">
        <f t="shared" si="357"/>
        <v>4559.07</v>
      </c>
      <c r="GP422">
        <f t="shared" si="358"/>
        <v>0</v>
      </c>
      <c r="GR422">
        <v>0</v>
      </c>
      <c r="GS422">
        <v>3</v>
      </c>
      <c r="GT422">
        <v>0</v>
      </c>
      <c r="GU422" t="s">
        <v>6</v>
      </c>
      <c r="GV422">
        <f t="shared" si="359"/>
        <v>0</v>
      </c>
      <c r="GW422">
        <v>1</v>
      </c>
      <c r="GX422">
        <f t="shared" si="360"/>
        <v>0</v>
      </c>
      <c r="HA422">
        <v>0</v>
      </c>
      <c r="HB422">
        <v>0</v>
      </c>
      <c r="IK422">
        <v>0</v>
      </c>
    </row>
    <row r="423" spans="1:245" x14ac:dyDescent="0.2">
      <c r="A423">
        <v>18</v>
      </c>
      <c r="B423">
        <v>1</v>
      </c>
      <c r="C423">
        <v>739</v>
      </c>
      <c r="E423" t="s">
        <v>942</v>
      </c>
      <c r="F423" t="s">
        <v>943</v>
      </c>
      <c r="G423" t="s">
        <v>944</v>
      </c>
      <c r="H423" t="s">
        <v>73</v>
      </c>
      <c r="I423">
        <f>I421*J423</f>
        <v>2</v>
      </c>
      <c r="J423">
        <v>0.33333333333333331</v>
      </c>
      <c r="O423">
        <f t="shared" si="322"/>
        <v>9562.51</v>
      </c>
      <c r="P423">
        <f t="shared" si="323"/>
        <v>9562.51</v>
      </c>
      <c r="Q423">
        <f t="shared" si="324"/>
        <v>0</v>
      </c>
      <c r="R423">
        <f t="shared" si="325"/>
        <v>0</v>
      </c>
      <c r="S423">
        <f t="shared" si="326"/>
        <v>0</v>
      </c>
      <c r="T423">
        <f t="shared" si="327"/>
        <v>0</v>
      </c>
      <c r="U423">
        <f t="shared" si="328"/>
        <v>0</v>
      </c>
      <c r="V423">
        <f t="shared" si="329"/>
        <v>0</v>
      </c>
      <c r="W423">
        <f t="shared" si="330"/>
        <v>0</v>
      </c>
      <c r="X423">
        <f t="shared" si="331"/>
        <v>0</v>
      </c>
      <c r="Y423">
        <f t="shared" si="332"/>
        <v>0</v>
      </c>
      <c r="AA423">
        <v>16742901</v>
      </c>
      <c r="AB423">
        <f t="shared" si="333"/>
        <v>728.85</v>
      </c>
      <c r="AC423">
        <f t="shared" si="334"/>
        <v>728.85</v>
      </c>
      <c r="AD423">
        <f t="shared" si="335"/>
        <v>0</v>
      </c>
      <c r="AE423">
        <f t="shared" si="336"/>
        <v>0</v>
      </c>
      <c r="AF423">
        <f t="shared" si="337"/>
        <v>0</v>
      </c>
      <c r="AG423">
        <f t="shared" si="338"/>
        <v>0</v>
      </c>
      <c r="AH423">
        <f t="shared" si="339"/>
        <v>0</v>
      </c>
      <c r="AI423">
        <f t="shared" si="340"/>
        <v>0</v>
      </c>
      <c r="AJ423">
        <f t="shared" si="341"/>
        <v>0</v>
      </c>
      <c r="AK423">
        <v>728.85</v>
      </c>
      <c r="AL423">
        <v>728.85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95</v>
      </c>
      <c r="AU423">
        <v>65</v>
      </c>
      <c r="AV423">
        <v>1</v>
      </c>
      <c r="AW423">
        <v>1</v>
      </c>
      <c r="AZ423">
        <v>6.56</v>
      </c>
      <c r="BA423">
        <v>1</v>
      </c>
      <c r="BB423">
        <v>1</v>
      </c>
      <c r="BC423">
        <v>6.56</v>
      </c>
      <c r="BD423" t="s">
        <v>6</v>
      </c>
      <c r="BE423" t="s">
        <v>6</v>
      </c>
      <c r="BF423" t="s">
        <v>6</v>
      </c>
      <c r="BG423" t="s">
        <v>6</v>
      </c>
      <c r="BH423">
        <v>3</v>
      </c>
      <c r="BI423">
        <v>2</v>
      </c>
      <c r="BJ423" t="s">
        <v>945</v>
      </c>
      <c r="BM423">
        <v>108001</v>
      </c>
      <c r="BN423">
        <v>0</v>
      </c>
      <c r="BO423" t="s">
        <v>6</v>
      </c>
      <c r="BP423">
        <v>0</v>
      </c>
      <c r="BQ423">
        <v>3</v>
      </c>
      <c r="BR423">
        <v>0</v>
      </c>
      <c r="BS423">
        <v>1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6</v>
      </c>
      <c r="BZ423">
        <v>95</v>
      </c>
      <c r="CA423">
        <v>65</v>
      </c>
      <c r="CF423">
        <v>0</v>
      </c>
      <c r="CG423">
        <v>0</v>
      </c>
      <c r="CM423">
        <v>0</v>
      </c>
      <c r="CN423" t="s">
        <v>6</v>
      </c>
      <c r="CO423">
        <v>0</v>
      </c>
      <c r="CP423">
        <f t="shared" si="342"/>
        <v>9562.51</v>
      </c>
      <c r="CQ423">
        <f t="shared" si="343"/>
        <v>4781.2560000000003</v>
      </c>
      <c r="CR423">
        <f t="shared" si="344"/>
        <v>0</v>
      </c>
      <c r="CS423">
        <f t="shared" si="345"/>
        <v>0</v>
      </c>
      <c r="CT423">
        <f t="shared" si="346"/>
        <v>0</v>
      </c>
      <c r="CU423">
        <f t="shared" si="347"/>
        <v>0</v>
      </c>
      <c r="CV423">
        <f t="shared" si="348"/>
        <v>0</v>
      </c>
      <c r="CW423">
        <f t="shared" si="349"/>
        <v>0</v>
      </c>
      <c r="CX423">
        <f t="shared" si="350"/>
        <v>0</v>
      </c>
      <c r="CY423">
        <f t="shared" si="351"/>
        <v>0</v>
      </c>
      <c r="CZ423">
        <f t="shared" si="352"/>
        <v>0</v>
      </c>
      <c r="DC423" t="s">
        <v>6</v>
      </c>
      <c r="DD423" t="s">
        <v>6</v>
      </c>
      <c r="DE423" t="s">
        <v>6</v>
      </c>
      <c r="DF423" t="s">
        <v>6</v>
      </c>
      <c r="DG423" t="s">
        <v>6</v>
      </c>
      <c r="DH423" t="s">
        <v>6</v>
      </c>
      <c r="DI423" t="s">
        <v>6</v>
      </c>
      <c r="DJ423" t="s">
        <v>6</v>
      </c>
      <c r="DK423" t="s">
        <v>6</v>
      </c>
      <c r="DL423" t="s">
        <v>6</v>
      </c>
      <c r="DM423" t="s">
        <v>6</v>
      </c>
      <c r="DN423">
        <v>0</v>
      </c>
      <c r="DO423">
        <v>0</v>
      </c>
      <c r="DP423">
        <v>1</v>
      </c>
      <c r="DQ423">
        <v>1</v>
      </c>
      <c r="DU423">
        <v>1010</v>
      </c>
      <c r="DV423" t="s">
        <v>73</v>
      </c>
      <c r="DW423" t="s">
        <v>73</v>
      </c>
      <c r="DX423">
        <v>1</v>
      </c>
      <c r="EE423">
        <v>16510370</v>
      </c>
      <c r="EF423">
        <v>3</v>
      </c>
      <c r="EG423" t="s">
        <v>83</v>
      </c>
      <c r="EH423">
        <v>0</v>
      </c>
      <c r="EI423" t="s">
        <v>6</v>
      </c>
      <c r="EJ423">
        <v>2</v>
      </c>
      <c r="EK423">
        <v>108001</v>
      </c>
      <c r="EL423" t="s">
        <v>84</v>
      </c>
      <c r="EM423" t="s">
        <v>85</v>
      </c>
      <c r="EO423" t="s">
        <v>6</v>
      </c>
      <c r="EQ423">
        <v>0</v>
      </c>
      <c r="ER423">
        <v>728.85</v>
      </c>
      <c r="ES423">
        <v>728.85</v>
      </c>
      <c r="ET423">
        <v>0</v>
      </c>
      <c r="EU423">
        <v>0</v>
      </c>
      <c r="EV423">
        <v>0</v>
      </c>
      <c r="EW423">
        <v>0</v>
      </c>
      <c r="EX423">
        <v>0</v>
      </c>
      <c r="FQ423">
        <v>0</v>
      </c>
      <c r="FR423">
        <f t="shared" si="353"/>
        <v>0</v>
      </c>
      <c r="FS423">
        <v>0</v>
      </c>
      <c r="FX423">
        <v>95</v>
      </c>
      <c r="FY423">
        <v>65</v>
      </c>
      <c r="GA423" t="s">
        <v>6</v>
      </c>
      <c r="GD423">
        <v>0</v>
      </c>
      <c r="GF423">
        <v>1440540133</v>
      </c>
      <c r="GG423">
        <v>1</v>
      </c>
      <c r="GH423">
        <v>1</v>
      </c>
      <c r="GI423">
        <v>4</v>
      </c>
      <c r="GJ423">
        <v>0</v>
      </c>
      <c r="GK423">
        <f>ROUND(R423*(R12)/100,2)</f>
        <v>0</v>
      </c>
      <c r="GL423">
        <f t="shared" si="354"/>
        <v>0</v>
      </c>
      <c r="GM423">
        <f t="shared" si="355"/>
        <v>9562.51</v>
      </c>
      <c r="GN423">
        <f t="shared" si="356"/>
        <v>0</v>
      </c>
      <c r="GO423">
        <f t="shared" si="357"/>
        <v>9562.51</v>
      </c>
      <c r="GP423">
        <f t="shared" si="358"/>
        <v>0</v>
      </c>
      <c r="GR423">
        <v>0</v>
      </c>
      <c r="GS423">
        <v>3</v>
      </c>
      <c r="GT423">
        <v>0</v>
      </c>
      <c r="GU423" t="s">
        <v>6</v>
      </c>
      <c r="GV423">
        <f t="shared" si="359"/>
        <v>0</v>
      </c>
      <c r="GW423">
        <v>1</v>
      </c>
      <c r="GX423">
        <f t="shared" si="360"/>
        <v>0</v>
      </c>
      <c r="HA423">
        <v>0</v>
      </c>
      <c r="HB423">
        <v>0</v>
      </c>
      <c r="IK423">
        <v>0</v>
      </c>
    </row>
    <row r="424" spans="1:245" x14ac:dyDescent="0.2">
      <c r="A424">
        <v>18</v>
      </c>
      <c r="B424">
        <v>1</v>
      </c>
      <c r="C424">
        <v>738</v>
      </c>
      <c r="E424" t="s">
        <v>946</v>
      </c>
      <c r="F424" t="s">
        <v>947</v>
      </c>
      <c r="G424" t="s">
        <v>948</v>
      </c>
      <c r="H424" t="s">
        <v>73</v>
      </c>
      <c r="I424">
        <f>I421*J424</f>
        <v>2</v>
      </c>
      <c r="J424">
        <v>0.33333333333333331</v>
      </c>
      <c r="O424">
        <f t="shared" si="322"/>
        <v>13775.87</v>
      </c>
      <c r="P424">
        <f t="shared" si="323"/>
        <v>13775.87</v>
      </c>
      <c r="Q424">
        <f t="shared" si="324"/>
        <v>0</v>
      </c>
      <c r="R424">
        <f t="shared" si="325"/>
        <v>0</v>
      </c>
      <c r="S424">
        <f t="shared" si="326"/>
        <v>0</v>
      </c>
      <c r="T424">
        <f t="shared" si="327"/>
        <v>0</v>
      </c>
      <c r="U424">
        <f t="shared" si="328"/>
        <v>0</v>
      </c>
      <c r="V424">
        <f t="shared" si="329"/>
        <v>0</v>
      </c>
      <c r="W424">
        <f t="shared" si="330"/>
        <v>0</v>
      </c>
      <c r="X424">
        <f t="shared" si="331"/>
        <v>0</v>
      </c>
      <c r="Y424">
        <f t="shared" si="332"/>
        <v>0</v>
      </c>
      <c r="AA424">
        <v>16742901</v>
      </c>
      <c r="AB424">
        <f t="shared" si="333"/>
        <v>1049.99</v>
      </c>
      <c r="AC424">
        <f t="shared" si="334"/>
        <v>1049.99</v>
      </c>
      <c r="AD424">
        <f t="shared" si="335"/>
        <v>0</v>
      </c>
      <c r="AE424">
        <f t="shared" si="336"/>
        <v>0</v>
      </c>
      <c r="AF424">
        <f t="shared" si="337"/>
        <v>0</v>
      </c>
      <c r="AG424">
        <f t="shared" si="338"/>
        <v>0</v>
      </c>
      <c r="AH424">
        <f t="shared" si="339"/>
        <v>0</v>
      </c>
      <c r="AI424">
        <f t="shared" si="340"/>
        <v>0</v>
      </c>
      <c r="AJ424">
        <f t="shared" si="341"/>
        <v>0</v>
      </c>
      <c r="AK424">
        <v>1049.99</v>
      </c>
      <c r="AL424">
        <v>1049.99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95</v>
      </c>
      <c r="AU424">
        <v>65</v>
      </c>
      <c r="AV424">
        <v>1</v>
      </c>
      <c r="AW424">
        <v>1</v>
      </c>
      <c r="AZ424">
        <v>6.56</v>
      </c>
      <c r="BA424">
        <v>1</v>
      </c>
      <c r="BB424">
        <v>1</v>
      </c>
      <c r="BC424">
        <v>6.56</v>
      </c>
      <c r="BD424" t="s">
        <v>6</v>
      </c>
      <c r="BE424" t="s">
        <v>6</v>
      </c>
      <c r="BF424" t="s">
        <v>6</v>
      </c>
      <c r="BG424" t="s">
        <v>6</v>
      </c>
      <c r="BH424">
        <v>3</v>
      </c>
      <c r="BI424">
        <v>2</v>
      </c>
      <c r="BJ424" t="s">
        <v>949</v>
      </c>
      <c r="BM424">
        <v>108001</v>
      </c>
      <c r="BN424">
        <v>0</v>
      </c>
      <c r="BO424" t="s">
        <v>6</v>
      </c>
      <c r="BP424">
        <v>0</v>
      </c>
      <c r="BQ424">
        <v>3</v>
      </c>
      <c r="BR424">
        <v>0</v>
      </c>
      <c r="BS424">
        <v>1</v>
      </c>
      <c r="BT424">
        <v>1</v>
      </c>
      <c r="BU424">
        <v>1</v>
      </c>
      <c r="BV424">
        <v>1</v>
      </c>
      <c r="BW424">
        <v>1</v>
      </c>
      <c r="BX424">
        <v>1</v>
      </c>
      <c r="BY424" t="s">
        <v>6</v>
      </c>
      <c r="BZ424">
        <v>95</v>
      </c>
      <c r="CA424">
        <v>65</v>
      </c>
      <c r="CF424">
        <v>0</v>
      </c>
      <c r="CG424">
        <v>0</v>
      </c>
      <c r="CM424">
        <v>0</v>
      </c>
      <c r="CN424" t="s">
        <v>6</v>
      </c>
      <c r="CO424">
        <v>0</v>
      </c>
      <c r="CP424">
        <f t="shared" si="342"/>
        <v>13775.87</v>
      </c>
      <c r="CQ424">
        <f t="shared" si="343"/>
        <v>6887.9344000000001</v>
      </c>
      <c r="CR424">
        <f t="shared" si="344"/>
        <v>0</v>
      </c>
      <c r="CS424">
        <f t="shared" si="345"/>
        <v>0</v>
      </c>
      <c r="CT424">
        <f t="shared" si="346"/>
        <v>0</v>
      </c>
      <c r="CU424">
        <f t="shared" si="347"/>
        <v>0</v>
      </c>
      <c r="CV424">
        <f t="shared" si="348"/>
        <v>0</v>
      </c>
      <c r="CW424">
        <f t="shared" si="349"/>
        <v>0</v>
      </c>
      <c r="CX424">
        <f t="shared" si="350"/>
        <v>0</v>
      </c>
      <c r="CY424">
        <f t="shared" si="351"/>
        <v>0</v>
      </c>
      <c r="CZ424">
        <f t="shared" si="352"/>
        <v>0</v>
      </c>
      <c r="DC424" t="s">
        <v>6</v>
      </c>
      <c r="DD424" t="s">
        <v>6</v>
      </c>
      <c r="DE424" t="s">
        <v>6</v>
      </c>
      <c r="DF424" t="s">
        <v>6</v>
      </c>
      <c r="DG424" t="s">
        <v>6</v>
      </c>
      <c r="DH424" t="s">
        <v>6</v>
      </c>
      <c r="DI424" t="s">
        <v>6</v>
      </c>
      <c r="DJ424" t="s">
        <v>6</v>
      </c>
      <c r="DK424" t="s">
        <v>6</v>
      </c>
      <c r="DL424" t="s">
        <v>6</v>
      </c>
      <c r="DM424" t="s">
        <v>6</v>
      </c>
      <c r="DN424">
        <v>0</v>
      </c>
      <c r="DO424">
        <v>0</v>
      </c>
      <c r="DP424">
        <v>1</v>
      </c>
      <c r="DQ424">
        <v>1</v>
      </c>
      <c r="DU424">
        <v>1010</v>
      </c>
      <c r="DV424" t="s">
        <v>73</v>
      </c>
      <c r="DW424" t="s">
        <v>73</v>
      </c>
      <c r="DX424">
        <v>1</v>
      </c>
      <c r="EE424">
        <v>16510370</v>
      </c>
      <c r="EF424">
        <v>3</v>
      </c>
      <c r="EG424" t="s">
        <v>83</v>
      </c>
      <c r="EH424">
        <v>0</v>
      </c>
      <c r="EI424" t="s">
        <v>6</v>
      </c>
      <c r="EJ424">
        <v>2</v>
      </c>
      <c r="EK424">
        <v>108001</v>
      </c>
      <c r="EL424" t="s">
        <v>84</v>
      </c>
      <c r="EM424" t="s">
        <v>85</v>
      </c>
      <c r="EO424" t="s">
        <v>6</v>
      </c>
      <c r="EQ424">
        <v>0</v>
      </c>
      <c r="ER424">
        <v>1049.99</v>
      </c>
      <c r="ES424">
        <v>1049.99</v>
      </c>
      <c r="ET424">
        <v>0</v>
      </c>
      <c r="EU424">
        <v>0</v>
      </c>
      <c r="EV424">
        <v>0</v>
      </c>
      <c r="EW424">
        <v>0</v>
      </c>
      <c r="EX424">
        <v>0</v>
      </c>
      <c r="FQ424">
        <v>0</v>
      </c>
      <c r="FR424">
        <f t="shared" si="353"/>
        <v>0</v>
      </c>
      <c r="FS424">
        <v>0</v>
      </c>
      <c r="FX424">
        <v>95</v>
      </c>
      <c r="FY424">
        <v>65</v>
      </c>
      <c r="GA424" t="s">
        <v>6</v>
      </c>
      <c r="GD424">
        <v>0</v>
      </c>
      <c r="GF424">
        <v>-1848164190</v>
      </c>
      <c r="GG424">
        <v>1</v>
      </c>
      <c r="GH424">
        <v>1</v>
      </c>
      <c r="GI424">
        <v>4</v>
      </c>
      <c r="GJ424">
        <v>0</v>
      </c>
      <c r="GK424">
        <f>ROUND(R424*(R12)/100,2)</f>
        <v>0</v>
      </c>
      <c r="GL424">
        <f t="shared" si="354"/>
        <v>0</v>
      </c>
      <c r="GM424">
        <f t="shared" si="355"/>
        <v>13775.87</v>
      </c>
      <c r="GN424">
        <f t="shared" si="356"/>
        <v>0</v>
      </c>
      <c r="GO424">
        <f t="shared" si="357"/>
        <v>13775.87</v>
      </c>
      <c r="GP424">
        <f t="shared" si="358"/>
        <v>0</v>
      </c>
      <c r="GR424">
        <v>0</v>
      </c>
      <c r="GS424">
        <v>3</v>
      </c>
      <c r="GT424">
        <v>0</v>
      </c>
      <c r="GU424" t="s">
        <v>6</v>
      </c>
      <c r="GV424">
        <f t="shared" si="359"/>
        <v>0</v>
      </c>
      <c r="GW424">
        <v>1</v>
      </c>
      <c r="GX424">
        <f t="shared" si="360"/>
        <v>0</v>
      </c>
      <c r="HA424">
        <v>0</v>
      </c>
      <c r="HB424">
        <v>0</v>
      </c>
      <c r="IK424">
        <v>0</v>
      </c>
    </row>
    <row r="425" spans="1:245" x14ac:dyDescent="0.2">
      <c r="A425">
        <v>17</v>
      </c>
      <c r="B425">
        <v>1</v>
      </c>
      <c r="C425">
        <f>ROW(SmtRes!A741)</f>
        <v>741</v>
      </c>
      <c r="D425">
        <f>ROW(EtalonRes!A678)</f>
        <v>678</v>
      </c>
      <c r="E425" t="s">
        <v>950</v>
      </c>
      <c r="F425" t="s">
        <v>774</v>
      </c>
      <c r="G425" t="s">
        <v>775</v>
      </c>
      <c r="H425" t="s">
        <v>66</v>
      </c>
      <c r="I425">
        <f>ROUND(15/100,9)</f>
        <v>0.15</v>
      </c>
      <c r="J425">
        <v>0</v>
      </c>
      <c r="O425">
        <f t="shared" si="322"/>
        <v>46.08</v>
      </c>
      <c r="P425">
        <f t="shared" si="323"/>
        <v>0</v>
      </c>
      <c r="Q425">
        <f t="shared" si="324"/>
        <v>0</v>
      </c>
      <c r="R425">
        <f t="shared" si="325"/>
        <v>0</v>
      </c>
      <c r="S425">
        <f t="shared" si="326"/>
        <v>46.08</v>
      </c>
      <c r="T425">
        <f t="shared" si="327"/>
        <v>0</v>
      </c>
      <c r="U425">
        <f t="shared" si="328"/>
        <v>0.82350000000000001</v>
      </c>
      <c r="V425">
        <f t="shared" si="329"/>
        <v>0</v>
      </c>
      <c r="W425">
        <f t="shared" si="330"/>
        <v>0</v>
      </c>
      <c r="X425">
        <f t="shared" si="331"/>
        <v>35.94</v>
      </c>
      <c r="Y425">
        <f t="shared" si="332"/>
        <v>23.04</v>
      </c>
      <c r="AA425">
        <v>16742901</v>
      </c>
      <c r="AB425">
        <f t="shared" si="333"/>
        <v>46.83</v>
      </c>
      <c r="AC425">
        <f t="shared" si="334"/>
        <v>0</v>
      </c>
      <c r="AD425">
        <f t="shared" si="335"/>
        <v>0</v>
      </c>
      <c r="AE425">
        <f t="shared" si="336"/>
        <v>0</v>
      </c>
      <c r="AF425">
        <f t="shared" si="337"/>
        <v>46.83</v>
      </c>
      <c r="AG425">
        <f t="shared" si="338"/>
        <v>0</v>
      </c>
      <c r="AH425">
        <f t="shared" si="339"/>
        <v>5.49</v>
      </c>
      <c r="AI425">
        <f t="shared" si="340"/>
        <v>0</v>
      </c>
      <c r="AJ425">
        <f t="shared" si="341"/>
        <v>0</v>
      </c>
      <c r="AK425">
        <v>46.83</v>
      </c>
      <c r="AL425">
        <v>0</v>
      </c>
      <c r="AM425">
        <v>0</v>
      </c>
      <c r="AN425">
        <v>0</v>
      </c>
      <c r="AO425">
        <v>46.83</v>
      </c>
      <c r="AP425">
        <v>0</v>
      </c>
      <c r="AQ425">
        <v>5.49</v>
      </c>
      <c r="AR425">
        <v>0</v>
      </c>
      <c r="AS425">
        <v>0</v>
      </c>
      <c r="AT425">
        <v>78</v>
      </c>
      <c r="AU425">
        <v>50</v>
      </c>
      <c r="AV425">
        <v>1</v>
      </c>
      <c r="AW425">
        <v>1</v>
      </c>
      <c r="AZ425">
        <v>6.56</v>
      </c>
      <c r="BA425">
        <v>6.56</v>
      </c>
      <c r="BB425">
        <v>6.56</v>
      </c>
      <c r="BC425">
        <v>6.56</v>
      </c>
      <c r="BD425" t="s">
        <v>6</v>
      </c>
      <c r="BE425" t="s">
        <v>6</v>
      </c>
      <c r="BF425" t="s">
        <v>6</v>
      </c>
      <c r="BG425" t="s">
        <v>6</v>
      </c>
      <c r="BH425">
        <v>0</v>
      </c>
      <c r="BI425">
        <v>1</v>
      </c>
      <c r="BJ425" t="s">
        <v>776</v>
      </c>
      <c r="BM425">
        <v>69001</v>
      </c>
      <c r="BN425">
        <v>0</v>
      </c>
      <c r="BO425" t="s">
        <v>6</v>
      </c>
      <c r="BP425">
        <v>0</v>
      </c>
      <c r="BQ425">
        <v>6</v>
      </c>
      <c r="BR425">
        <v>0</v>
      </c>
      <c r="BS425">
        <v>6.56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6</v>
      </c>
      <c r="BZ425">
        <v>78</v>
      </c>
      <c r="CA425">
        <v>50</v>
      </c>
      <c r="CF425">
        <v>0</v>
      </c>
      <c r="CG425">
        <v>0</v>
      </c>
      <c r="CM425">
        <v>0</v>
      </c>
      <c r="CN425" t="s">
        <v>6</v>
      </c>
      <c r="CO425">
        <v>0</v>
      </c>
      <c r="CP425">
        <f t="shared" si="342"/>
        <v>46.08</v>
      </c>
      <c r="CQ425">
        <f t="shared" si="343"/>
        <v>0</v>
      </c>
      <c r="CR425">
        <f t="shared" si="344"/>
        <v>0</v>
      </c>
      <c r="CS425">
        <f t="shared" si="345"/>
        <v>0</v>
      </c>
      <c r="CT425">
        <f t="shared" si="346"/>
        <v>307.20479999999998</v>
      </c>
      <c r="CU425">
        <f t="shared" si="347"/>
        <v>0</v>
      </c>
      <c r="CV425">
        <f t="shared" si="348"/>
        <v>5.49</v>
      </c>
      <c r="CW425">
        <f t="shared" si="349"/>
        <v>0</v>
      </c>
      <c r="CX425">
        <f t="shared" si="350"/>
        <v>0</v>
      </c>
      <c r="CY425">
        <f t="shared" si="351"/>
        <v>35.942399999999999</v>
      </c>
      <c r="CZ425">
        <f t="shared" si="352"/>
        <v>23.04</v>
      </c>
      <c r="DC425" t="s">
        <v>6</v>
      </c>
      <c r="DD425" t="s">
        <v>6</v>
      </c>
      <c r="DE425" t="s">
        <v>6</v>
      </c>
      <c r="DF425" t="s">
        <v>6</v>
      </c>
      <c r="DG425" t="s">
        <v>6</v>
      </c>
      <c r="DH425" t="s">
        <v>6</v>
      </c>
      <c r="DI425" t="s">
        <v>6</v>
      </c>
      <c r="DJ425" t="s">
        <v>6</v>
      </c>
      <c r="DK425" t="s">
        <v>6</v>
      </c>
      <c r="DL425" t="s">
        <v>6</v>
      </c>
      <c r="DM425" t="s">
        <v>6</v>
      </c>
      <c r="DN425">
        <v>0</v>
      </c>
      <c r="DO425">
        <v>0</v>
      </c>
      <c r="DP425">
        <v>1</v>
      </c>
      <c r="DQ425">
        <v>1</v>
      </c>
      <c r="DU425">
        <v>1013</v>
      </c>
      <c r="DV425" t="s">
        <v>66</v>
      </c>
      <c r="DW425" t="s">
        <v>66</v>
      </c>
      <c r="DX425">
        <v>1</v>
      </c>
      <c r="EE425">
        <v>16510614</v>
      </c>
      <c r="EF425">
        <v>6</v>
      </c>
      <c r="EG425" t="s">
        <v>36</v>
      </c>
      <c r="EH425">
        <v>0</v>
      </c>
      <c r="EI425" t="s">
        <v>6</v>
      </c>
      <c r="EJ425">
        <v>1</v>
      </c>
      <c r="EK425">
        <v>69001</v>
      </c>
      <c r="EL425" t="s">
        <v>660</v>
      </c>
      <c r="EM425" t="s">
        <v>661</v>
      </c>
      <c r="EO425" t="s">
        <v>6</v>
      </c>
      <c r="EQ425">
        <v>131072</v>
      </c>
      <c r="ER425">
        <v>46.83</v>
      </c>
      <c r="ES425">
        <v>0</v>
      </c>
      <c r="ET425">
        <v>0</v>
      </c>
      <c r="EU425">
        <v>0</v>
      </c>
      <c r="EV425">
        <v>46.83</v>
      </c>
      <c r="EW425">
        <v>5.49</v>
      </c>
      <c r="EX425">
        <v>0</v>
      </c>
      <c r="EY425">
        <v>0</v>
      </c>
      <c r="FQ425">
        <v>0</v>
      </c>
      <c r="FR425">
        <f t="shared" si="353"/>
        <v>0</v>
      </c>
      <c r="FS425">
        <v>0</v>
      </c>
      <c r="FX425">
        <v>78</v>
      </c>
      <c r="FY425">
        <v>50</v>
      </c>
      <c r="GA425" t="s">
        <v>6</v>
      </c>
      <c r="GD425">
        <v>0</v>
      </c>
      <c r="GF425">
        <v>-746968197</v>
      </c>
      <c r="GG425">
        <v>1</v>
      </c>
      <c r="GH425">
        <v>1</v>
      </c>
      <c r="GI425">
        <v>4</v>
      </c>
      <c r="GJ425">
        <v>0</v>
      </c>
      <c r="GK425">
        <f>ROUND(R425*(R12)/100,2)</f>
        <v>0</v>
      </c>
      <c r="GL425">
        <f t="shared" si="354"/>
        <v>0</v>
      </c>
      <c r="GM425">
        <f t="shared" si="355"/>
        <v>105.06</v>
      </c>
      <c r="GN425">
        <f t="shared" si="356"/>
        <v>105.06</v>
      </c>
      <c r="GO425">
        <f t="shared" si="357"/>
        <v>0</v>
      </c>
      <c r="GP425">
        <f t="shared" si="358"/>
        <v>0</v>
      </c>
      <c r="GR425">
        <v>0</v>
      </c>
      <c r="GS425">
        <v>3</v>
      </c>
      <c r="GT425">
        <v>0</v>
      </c>
      <c r="GU425" t="s">
        <v>6</v>
      </c>
      <c r="GV425">
        <f t="shared" si="359"/>
        <v>0</v>
      </c>
      <c r="GW425">
        <v>1</v>
      </c>
      <c r="GX425">
        <f t="shared" si="360"/>
        <v>0</v>
      </c>
      <c r="HA425">
        <v>0</v>
      </c>
      <c r="HB425">
        <v>0</v>
      </c>
      <c r="IK425">
        <v>0</v>
      </c>
    </row>
    <row r="426" spans="1:245" x14ac:dyDescent="0.2">
      <c r="A426">
        <v>17</v>
      </c>
      <c r="B426">
        <v>1</v>
      </c>
      <c r="C426">
        <f>ROW(SmtRes!A752)</f>
        <v>752</v>
      </c>
      <c r="D426">
        <f>ROW(EtalonRes!A688)</f>
        <v>688</v>
      </c>
      <c r="E426" t="s">
        <v>951</v>
      </c>
      <c r="F426" t="s">
        <v>778</v>
      </c>
      <c r="G426" t="s">
        <v>779</v>
      </c>
      <c r="H426" t="s">
        <v>34</v>
      </c>
      <c r="I426">
        <f>ROUND(4.5/100,9)</f>
        <v>4.4999999999999998E-2</v>
      </c>
      <c r="J426">
        <v>0</v>
      </c>
      <c r="O426">
        <f t="shared" si="322"/>
        <v>74.069999999999993</v>
      </c>
      <c r="P426">
        <f t="shared" si="323"/>
        <v>25.9</v>
      </c>
      <c r="Q426">
        <f t="shared" si="324"/>
        <v>5.77</v>
      </c>
      <c r="R426">
        <f t="shared" si="325"/>
        <v>0.82</v>
      </c>
      <c r="S426">
        <f t="shared" si="326"/>
        <v>42.4</v>
      </c>
      <c r="T426">
        <f t="shared" si="327"/>
        <v>0</v>
      </c>
      <c r="U426">
        <f t="shared" si="328"/>
        <v>0.68759999999999999</v>
      </c>
      <c r="V426">
        <f t="shared" si="329"/>
        <v>9.8999999999999991E-3</v>
      </c>
      <c r="W426">
        <f t="shared" si="330"/>
        <v>0</v>
      </c>
      <c r="X426">
        <f t="shared" si="331"/>
        <v>41.06</v>
      </c>
      <c r="Y426">
        <f t="shared" si="332"/>
        <v>28.09</v>
      </c>
      <c r="AA426">
        <v>16742901</v>
      </c>
      <c r="AB426">
        <f t="shared" si="333"/>
        <v>250.92</v>
      </c>
      <c r="AC426">
        <f t="shared" si="334"/>
        <v>87.74</v>
      </c>
      <c r="AD426">
        <f t="shared" si="335"/>
        <v>19.55</v>
      </c>
      <c r="AE426">
        <f t="shared" si="336"/>
        <v>2.77</v>
      </c>
      <c r="AF426">
        <f t="shared" si="337"/>
        <v>143.63</v>
      </c>
      <c r="AG426">
        <f t="shared" si="338"/>
        <v>0</v>
      </c>
      <c r="AH426">
        <f t="shared" si="339"/>
        <v>15.28</v>
      </c>
      <c r="AI426">
        <f t="shared" si="340"/>
        <v>0.22</v>
      </c>
      <c r="AJ426">
        <f t="shared" si="341"/>
        <v>0</v>
      </c>
      <c r="AK426">
        <v>250.92</v>
      </c>
      <c r="AL426">
        <v>87.74</v>
      </c>
      <c r="AM426">
        <v>19.55</v>
      </c>
      <c r="AN426">
        <v>2.77</v>
      </c>
      <c r="AO426">
        <v>143.63</v>
      </c>
      <c r="AP426">
        <v>0</v>
      </c>
      <c r="AQ426">
        <v>15.28</v>
      </c>
      <c r="AR426">
        <v>0.22</v>
      </c>
      <c r="AS426">
        <v>0</v>
      </c>
      <c r="AT426">
        <v>95</v>
      </c>
      <c r="AU426">
        <v>65</v>
      </c>
      <c r="AV426">
        <v>1</v>
      </c>
      <c r="AW426">
        <v>1</v>
      </c>
      <c r="AZ426">
        <v>6.56</v>
      </c>
      <c r="BA426">
        <v>6.56</v>
      </c>
      <c r="BB426">
        <v>6.56</v>
      </c>
      <c r="BC426">
        <v>6.56</v>
      </c>
      <c r="BD426" t="s">
        <v>6</v>
      </c>
      <c r="BE426" t="s">
        <v>6</v>
      </c>
      <c r="BF426" t="s">
        <v>6</v>
      </c>
      <c r="BG426" t="s">
        <v>6</v>
      </c>
      <c r="BH426">
        <v>0</v>
      </c>
      <c r="BI426">
        <v>2</v>
      </c>
      <c r="BJ426" t="s">
        <v>780</v>
      </c>
      <c r="BM426">
        <v>108001</v>
      </c>
      <c r="BN426">
        <v>0</v>
      </c>
      <c r="BO426" t="s">
        <v>6</v>
      </c>
      <c r="BP426">
        <v>0</v>
      </c>
      <c r="BQ426">
        <v>3</v>
      </c>
      <c r="BR426">
        <v>0</v>
      </c>
      <c r="BS426">
        <v>6.56</v>
      </c>
      <c r="BT426">
        <v>1</v>
      </c>
      <c r="BU426">
        <v>1</v>
      </c>
      <c r="BV426">
        <v>1</v>
      </c>
      <c r="BW426">
        <v>1</v>
      </c>
      <c r="BX426">
        <v>1</v>
      </c>
      <c r="BY426" t="s">
        <v>6</v>
      </c>
      <c r="BZ426">
        <v>95</v>
      </c>
      <c r="CA426">
        <v>65</v>
      </c>
      <c r="CF426">
        <v>0</v>
      </c>
      <c r="CG426">
        <v>0</v>
      </c>
      <c r="CM426">
        <v>0</v>
      </c>
      <c r="CN426" t="s">
        <v>6</v>
      </c>
      <c r="CO426">
        <v>0</v>
      </c>
      <c r="CP426">
        <f t="shared" si="342"/>
        <v>74.069999999999993</v>
      </c>
      <c r="CQ426">
        <f t="shared" si="343"/>
        <v>575.57439999999997</v>
      </c>
      <c r="CR426">
        <f t="shared" si="344"/>
        <v>128.24799999999999</v>
      </c>
      <c r="CS426">
        <f t="shared" si="345"/>
        <v>18.171199999999999</v>
      </c>
      <c r="CT426">
        <f t="shared" si="346"/>
        <v>942.2127999999999</v>
      </c>
      <c r="CU426">
        <f t="shared" si="347"/>
        <v>0</v>
      </c>
      <c r="CV426">
        <f t="shared" si="348"/>
        <v>15.28</v>
      </c>
      <c r="CW426">
        <f t="shared" si="349"/>
        <v>0.22</v>
      </c>
      <c r="CX426">
        <f t="shared" si="350"/>
        <v>0</v>
      </c>
      <c r="CY426">
        <f t="shared" si="351"/>
        <v>41.058999999999997</v>
      </c>
      <c r="CZ426">
        <f t="shared" si="352"/>
        <v>28.092999999999996</v>
      </c>
      <c r="DC426" t="s">
        <v>6</v>
      </c>
      <c r="DD426" t="s">
        <v>6</v>
      </c>
      <c r="DE426" t="s">
        <v>6</v>
      </c>
      <c r="DF426" t="s">
        <v>6</v>
      </c>
      <c r="DG426" t="s">
        <v>6</v>
      </c>
      <c r="DH426" t="s">
        <v>6</v>
      </c>
      <c r="DI426" t="s">
        <v>6</v>
      </c>
      <c r="DJ426" t="s">
        <v>6</v>
      </c>
      <c r="DK426" t="s">
        <v>6</v>
      </c>
      <c r="DL426" t="s">
        <v>6</v>
      </c>
      <c r="DM426" t="s">
        <v>6</v>
      </c>
      <c r="DN426">
        <v>0</v>
      </c>
      <c r="DO426">
        <v>0</v>
      </c>
      <c r="DP426">
        <v>1</v>
      </c>
      <c r="DQ426">
        <v>1</v>
      </c>
      <c r="DU426">
        <v>1003</v>
      </c>
      <c r="DV426" t="s">
        <v>34</v>
      </c>
      <c r="DW426" t="s">
        <v>34</v>
      </c>
      <c r="DX426">
        <v>100</v>
      </c>
      <c r="EE426">
        <v>16510370</v>
      </c>
      <c r="EF426">
        <v>3</v>
      </c>
      <c r="EG426" t="s">
        <v>83</v>
      </c>
      <c r="EH426">
        <v>0</v>
      </c>
      <c r="EI426" t="s">
        <v>6</v>
      </c>
      <c r="EJ426">
        <v>2</v>
      </c>
      <c r="EK426">
        <v>108001</v>
      </c>
      <c r="EL426" t="s">
        <v>84</v>
      </c>
      <c r="EM426" t="s">
        <v>85</v>
      </c>
      <c r="EO426" t="s">
        <v>6</v>
      </c>
      <c r="EQ426">
        <v>131072</v>
      </c>
      <c r="ER426">
        <v>250.92</v>
      </c>
      <c r="ES426">
        <v>87.74</v>
      </c>
      <c r="ET426">
        <v>19.55</v>
      </c>
      <c r="EU426">
        <v>2.77</v>
      </c>
      <c r="EV426">
        <v>143.63</v>
      </c>
      <c r="EW426">
        <v>15.28</v>
      </c>
      <c r="EX426">
        <v>0.22</v>
      </c>
      <c r="EY426">
        <v>0</v>
      </c>
      <c r="FQ426">
        <v>0</v>
      </c>
      <c r="FR426">
        <f t="shared" si="353"/>
        <v>0</v>
      </c>
      <c r="FS426">
        <v>0</v>
      </c>
      <c r="FX426">
        <v>95</v>
      </c>
      <c r="FY426">
        <v>65</v>
      </c>
      <c r="GA426" t="s">
        <v>6</v>
      </c>
      <c r="GD426">
        <v>0</v>
      </c>
      <c r="GF426">
        <v>-137810929</v>
      </c>
      <c r="GG426">
        <v>1</v>
      </c>
      <c r="GH426">
        <v>1</v>
      </c>
      <c r="GI426">
        <v>4</v>
      </c>
      <c r="GJ426">
        <v>0</v>
      </c>
      <c r="GK426">
        <f>ROUND(R426*(R12)/100,2)</f>
        <v>0</v>
      </c>
      <c r="GL426">
        <f t="shared" si="354"/>
        <v>0</v>
      </c>
      <c r="GM426">
        <f t="shared" si="355"/>
        <v>143.22</v>
      </c>
      <c r="GN426">
        <f t="shared" si="356"/>
        <v>0</v>
      </c>
      <c r="GO426">
        <f t="shared" si="357"/>
        <v>143.22</v>
      </c>
      <c r="GP426">
        <f t="shared" si="358"/>
        <v>0</v>
      </c>
      <c r="GR426">
        <v>0</v>
      </c>
      <c r="GS426">
        <v>3</v>
      </c>
      <c r="GT426">
        <v>0</v>
      </c>
      <c r="GU426" t="s">
        <v>6</v>
      </c>
      <c r="GV426">
        <f t="shared" si="359"/>
        <v>0</v>
      </c>
      <c r="GW426">
        <v>1</v>
      </c>
      <c r="GX426">
        <f t="shared" si="360"/>
        <v>0</v>
      </c>
      <c r="HA426">
        <v>0</v>
      </c>
      <c r="HB426">
        <v>0</v>
      </c>
      <c r="IK426">
        <v>0</v>
      </c>
    </row>
    <row r="427" spans="1:245" x14ac:dyDescent="0.2">
      <c r="A427">
        <v>18</v>
      </c>
      <c r="B427">
        <v>1</v>
      </c>
      <c r="C427">
        <v>751</v>
      </c>
      <c r="E427" t="s">
        <v>952</v>
      </c>
      <c r="F427" t="s">
        <v>782</v>
      </c>
      <c r="G427" t="s">
        <v>783</v>
      </c>
      <c r="H427" t="s">
        <v>740</v>
      </c>
      <c r="I427">
        <f>I426*J427</f>
        <v>0.44999999999999996</v>
      </c>
      <c r="J427">
        <v>10</v>
      </c>
      <c r="O427">
        <f t="shared" si="322"/>
        <v>234.6</v>
      </c>
      <c r="P427">
        <f t="shared" si="323"/>
        <v>234.6</v>
      </c>
      <c r="Q427">
        <f t="shared" si="324"/>
        <v>0</v>
      </c>
      <c r="R427">
        <f t="shared" si="325"/>
        <v>0</v>
      </c>
      <c r="S427">
        <f t="shared" si="326"/>
        <v>0</v>
      </c>
      <c r="T427">
        <f t="shared" si="327"/>
        <v>0</v>
      </c>
      <c r="U427">
        <f t="shared" si="328"/>
        <v>0</v>
      </c>
      <c r="V427">
        <f t="shared" si="329"/>
        <v>0</v>
      </c>
      <c r="W427">
        <f t="shared" si="330"/>
        <v>0</v>
      </c>
      <c r="X427">
        <f t="shared" si="331"/>
        <v>0</v>
      </c>
      <c r="Y427">
        <f t="shared" si="332"/>
        <v>0</v>
      </c>
      <c r="AA427">
        <v>16742901</v>
      </c>
      <c r="AB427">
        <f t="shared" si="333"/>
        <v>79.47</v>
      </c>
      <c r="AC427">
        <f t="shared" si="334"/>
        <v>79.47</v>
      </c>
      <c r="AD427">
        <f t="shared" si="335"/>
        <v>0</v>
      </c>
      <c r="AE427">
        <f t="shared" si="336"/>
        <v>0</v>
      </c>
      <c r="AF427">
        <f t="shared" si="337"/>
        <v>0</v>
      </c>
      <c r="AG427">
        <f t="shared" si="338"/>
        <v>0</v>
      </c>
      <c r="AH427">
        <f t="shared" si="339"/>
        <v>0</v>
      </c>
      <c r="AI427">
        <f t="shared" si="340"/>
        <v>0</v>
      </c>
      <c r="AJ427">
        <f t="shared" si="341"/>
        <v>0</v>
      </c>
      <c r="AK427">
        <v>79.47</v>
      </c>
      <c r="AL427">
        <v>79.47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95</v>
      </c>
      <c r="AU427">
        <v>65</v>
      </c>
      <c r="AV427">
        <v>1</v>
      </c>
      <c r="AW427">
        <v>1</v>
      </c>
      <c r="AZ427">
        <v>6.56</v>
      </c>
      <c r="BA427">
        <v>1</v>
      </c>
      <c r="BB427">
        <v>1</v>
      </c>
      <c r="BC427">
        <v>6.56</v>
      </c>
      <c r="BD427" t="s">
        <v>6</v>
      </c>
      <c r="BE427" t="s">
        <v>6</v>
      </c>
      <c r="BF427" t="s">
        <v>6</v>
      </c>
      <c r="BG427" t="s">
        <v>6</v>
      </c>
      <c r="BH427">
        <v>3</v>
      </c>
      <c r="BI427">
        <v>2</v>
      </c>
      <c r="BJ427" t="s">
        <v>784</v>
      </c>
      <c r="BM427">
        <v>108001</v>
      </c>
      <c r="BN427">
        <v>0</v>
      </c>
      <c r="BO427" t="s">
        <v>6</v>
      </c>
      <c r="BP427">
        <v>0</v>
      </c>
      <c r="BQ427">
        <v>3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6</v>
      </c>
      <c r="BZ427">
        <v>95</v>
      </c>
      <c r="CA427">
        <v>65</v>
      </c>
      <c r="CF427">
        <v>0</v>
      </c>
      <c r="CG427">
        <v>0</v>
      </c>
      <c r="CM427">
        <v>0</v>
      </c>
      <c r="CN427" t="s">
        <v>6</v>
      </c>
      <c r="CO427">
        <v>0</v>
      </c>
      <c r="CP427">
        <f t="shared" si="342"/>
        <v>234.6</v>
      </c>
      <c r="CQ427">
        <f t="shared" si="343"/>
        <v>521.32319999999993</v>
      </c>
      <c r="CR427">
        <f t="shared" si="344"/>
        <v>0</v>
      </c>
      <c r="CS427">
        <f t="shared" si="345"/>
        <v>0</v>
      </c>
      <c r="CT427">
        <f t="shared" si="346"/>
        <v>0</v>
      </c>
      <c r="CU427">
        <f t="shared" si="347"/>
        <v>0</v>
      </c>
      <c r="CV427">
        <f t="shared" si="348"/>
        <v>0</v>
      </c>
      <c r="CW427">
        <f t="shared" si="349"/>
        <v>0</v>
      </c>
      <c r="CX427">
        <f t="shared" si="350"/>
        <v>0</v>
      </c>
      <c r="CY427">
        <f t="shared" si="351"/>
        <v>0</v>
      </c>
      <c r="CZ427">
        <f t="shared" si="352"/>
        <v>0</v>
      </c>
      <c r="DC427" t="s">
        <v>6</v>
      </c>
      <c r="DD427" t="s">
        <v>6</v>
      </c>
      <c r="DE427" t="s">
        <v>6</v>
      </c>
      <c r="DF427" t="s">
        <v>6</v>
      </c>
      <c r="DG427" t="s">
        <v>6</v>
      </c>
      <c r="DH427" t="s">
        <v>6</v>
      </c>
      <c r="DI427" t="s">
        <v>6</v>
      </c>
      <c r="DJ427" t="s">
        <v>6</v>
      </c>
      <c r="DK427" t="s">
        <v>6</v>
      </c>
      <c r="DL427" t="s">
        <v>6</v>
      </c>
      <c r="DM427" t="s">
        <v>6</v>
      </c>
      <c r="DN427">
        <v>0</v>
      </c>
      <c r="DO427">
        <v>0</v>
      </c>
      <c r="DP427">
        <v>1</v>
      </c>
      <c r="DQ427">
        <v>1</v>
      </c>
      <c r="DU427">
        <v>1003</v>
      </c>
      <c r="DV427" t="s">
        <v>740</v>
      </c>
      <c r="DW427" t="s">
        <v>740</v>
      </c>
      <c r="DX427">
        <v>10</v>
      </c>
      <c r="EE427">
        <v>16510370</v>
      </c>
      <c r="EF427">
        <v>3</v>
      </c>
      <c r="EG427" t="s">
        <v>83</v>
      </c>
      <c r="EH427">
        <v>0</v>
      </c>
      <c r="EI427" t="s">
        <v>6</v>
      </c>
      <c r="EJ427">
        <v>2</v>
      </c>
      <c r="EK427">
        <v>108001</v>
      </c>
      <c r="EL427" t="s">
        <v>84</v>
      </c>
      <c r="EM427" t="s">
        <v>85</v>
      </c>
      <c r="EO427" t="s">
        <v>6</v>
      </c>
      <c r="EQ427">
        <v>0</v>
      </c>
      <c r="ER427">
        <v>79.47</v>
      </c>
      <c r="ES427">
        <v>79.47</v>
      </c>
      <c r="ET427">
        <v>0</v>
      </c>
      <c r="EU427">
        <v>0</v>
      </c>
      <c r="EV427">
        <v>0</v>
      </c>
      <c r="EW427">
        <v>0</v>
      </c>
      <c r="EX427">
        <v>0</v>
      </c>
      <c r="FQ427">
        <v>0</v>
      </c>
      <c r="FR427">
        <f t="shared" si="353"/>
        <v>0</v>
      </c>
      <c r="FS427">
        <v>0</v>
      </c>
      <c r="FX427">
        <v>95</v>
      </c>
      <c r="FY427">
        <v>65</v>
      </c>
      <c r="GA427" t="s">
        <v>6</v>
      </c>
      <c r="GD427">
        <v>0</v>
      </c>
      <c r="GF427">
        <v>1974421767</v>
      </c>
      <c r="GG427">
        <v>1</v>
      </c>
      <c r="GH427">
        <v>1</v>
      </c>
      <c r="GI427">
        <v>4</v>
      </c>
      <c r="GJ427">
        <v>0</v>
      </c>
      <c r="GK427">
        <f>ROUND(R427*(R12)/100,2)</f>
        <v>0</v>
      </c>
      <c r="GL427">
        <f t="shared" si="354"/>
        <v>0</v>
      </c>
      <c r="GM427">
        <f t="shared" si="355"/>
        <v>234.6</v>
      </c>
      <c r="GN427">
        <f t="shared" si="356"/>
        <v>0</v>
      </c>
      <c r="GO427">
        <f t="shared" si="357"/>
        <v>234.6</v>
      </c>
      <c r="GP427">
        <f t="shared" si="358"/>
        <v>0</v>
      </c>
      <c r="GR427">
        <v>0</v>
      </c>
      <c r="GS427">
        <v>3</v>
      </c>
      <c r="GT427">
        <v>0</v>
      </c>
      <c r="GU427" t="s">
        <v>6</v>
      </c>
      <c r="GV427">
        <f t="shared" si="359"/>
        <v>0</v>
      </c>
      <c r="GW427">
        <v>1</v>
      </c>
      <c r="GX427">
        <f t="shared" si="360"/>
        <v>0</v>
      </c>
      <c r="HA427">
        <v>0</v>
      </c>
      <c r="HB427">
        <v>0</v>
      </c>
      <c r="IK427">
        <v>0</v>
      </c>
    </row>
    <row r="428" spans="1:245" x14ac:dyDescent="0.2">
      <c r="A428">
        <v>17</v>
      </c>
      <c r="B428">
        <v>1</v>
      </c>
      <c r="C428">
        <f>ROW(SmtRes!A759)</f>
        <v>759</v>
      </c>
      <c r="D428">
        <f>ROW(EtalonRes!A694)</f>
        <v>694</v>
      </c>
      <c r="E428" t="s">
        <v>953</v>
      </c>
      <c r="F428" t="s">
        <v>954</v>
      </c>
      <c r="G428" t="s">
        <v>955</v>
      </c>
      <c r="H428" t="s">
        <v>56</v>
      </c>
      <c r="I428">
        <v>4</v>
      </c>
      <c r="J428">
        <v>0</v>
      </c>
      <c r="O428">
        <f t="shared" si="322"/>
        <v>560.23</v>
      </c>
      <c r="P428">
        <f t="shared" si="323"/>
        <v>136.19</v>
      </c>
      <c r="Q428">
        <f t="shared" si="324"/>
        <v>0</v>
      </c>
      <c r="R428">
        <f t="shared" si="325"/>
        <v>0</v>
      </c>
      <c r="S428">
        <f t="shared" si="326"/>
        <v>424.04</v>
      </c>
      <c r="T428">
        <f t="shared" si="327"/>
        <v>0</v>
      </c>
      <c r="U428">
        <f t="shared" si="328"/>
        <v>6.72</v>
      </c>
      <c r="V428">
        <f t="shared" si="329"/>
        <v>0</v>
      </c>
      <c r="W428">
        <f t="shared" si="330"/>
        <v>0</v>
      </c>
      <c r="X428">
        <f t="shared" si="331"/>
        <v>402.84</v>
      </c>
      <c r="Y428">
        <f t="shared" si="332"/>
        <v>275.63</v>
      </c>
      <c r="AA428">
        <v>16742901</v>
      </c>
      <c r="AB428">
        <f t="shared" si="333"/>
        <v>21.35</v>
      </c>
      <c r="AC428">
        <f t="shared" si="334"/>
        <v>5.19</v>
      </c>
      <c r="AD428">
        <f t="shared" si="335"/>
        <v>0</v>
      </c>
      <c r="AE428">
        <f t="shared" si="336"/>
        <v>0</v>
      </c>
      <c r="AF428">
        <f t="shared" si="337"/>
        <v>16.16</v>
      </c>
      <c r="AG428">
        <f t="shared" si="338"/>
        <v>0</v>
      </c>
      <c r="AH428">
        <f t="shared" si="339"/>
        <v>1.68</v>
      </c>
      <c r="AI428">
        <f t="shared" si="340"/>
        <v>0</v>
      </c>
      <c r="AJ428">
        <f t="shared" si="341"/>
        <v>0</v>
      </c>
      <c r="AK428">
        <v>21.35</v>
      </c>
      <c r="AL428">
        <v>5.19</v>
      </c>
      <c r="AM428">
        <v>0</v>
      </c>
      <c r="AN428">
        <v>0</v>
      </c>
      <c r="AO428">
        <v>16.16</v>
      </c>
      <c r="AP428">
        <v>0</v>
      </c>
      <c r="AQ428">
        <v>1.68</v>
      </c>
      <c r="AR428">
        <v>0</v>
      </c>
      <c r="AS428">
        <v>0</v>
      </c>
      <c r="AT428">
        <v>95</v>
      </c>
      <c r="AU428">
        <v>65</v>
      </c>
      <c r="AV428">
        <v>1</v>
      </c>
      <c r="AW428">
        <v>1</v>
      </c>
      <c r="AZ428">
        <v>6.56</v>
      </c>
      <c r="BA428">
        <v>6.56</v>
      </c>
      <c r="BB428">
        <v>6.56</v>
      </c>
      <c r="BC428">
        <v>6.56</v>
      </c>
      <c r="BD428" t="s">
        <v>6</v>
      </c>
      <c r="BE428" t="s">
        <v>6</v>
      </c>
      <c r="BF428" t="s">
        <v>6</v>
      </c>
      <c r="BG428" t="s">
        <v>6</v>
      </c>
      <c r="BH428">
        <v>0</v>
      </c>
      <c r="BI428">
        <v>2</v>
      </c>
      <c r="BJ428" t="s">
        <v>956</v>
      </c>
      <c r="BM428">
        <v>108001</v>
      </c>
      <c r="BN428">
        <v>0</v>
      </c>
      <c r="BO428" t="s">
        <v>6</v>
      </c>
      <c r="BP428">
        <v>0</v>
      </c>
      <c r="BQ428">
        <v>3</v>
      </c>
      <c r="BR428">
        <v>0</v>
      </c>
      <c r="BS428">
        <v>6.56</v>
      </c>
      <c r="BT428">
        <v>1</v>
      </c>
      <c r="BU428">
        <v>1</v>
      </c>
      <c r="BV428">
        <v>1</v>
      </c>
      <c r="BW428">
        <v>1</v>
      </c>
      <c r="BX428">
        <v>1</v>
      </c>
      <c r="BY428" t="s">
        <v>6</v>
      </c>
      <c r="BZ428">
        <v>95</v>
      </c>
      <c r="CA428">
        <v>65</v>
      </c>
      <c r="CF428">
        <v>0</v>
      </c>
      <c r="CG428">
        <v>0</v>
      </c>
      <c r="CM428">
        <v>0</v>
      </c>
      <c r="CN428" t="s">
        <v>6</v>
      </c>
      <c r="CO428">
        <v>0</v>
      </c>
      <c r="CP428">
        <f t="shared" si="342"/>
        <v>560.23</v>
      </c>
      <c r="CQ428">
        <f t="shared" si="343"/>
        <v>34.046399999999998</v>
      </c>
      <c r="CR428">
        <f t="shared" si="344"/>
        <v>0</v>
      </c>
      <c r="CS428">
        <f t="shared" si="345"/>
        <v>0</v>
      </c>
      <c r="CT428">
        <f t="shared" si="346"/>
        <v>106.00959999999999</v>
      </c>
      <c r="CU428">
        <f t="shared" si="347"/>
        <v>0</v>
      </c>
      <c r="CV428">
        <f t="shared" si="348"/>
        <v>1.68</v>
      </c>
      <c r="CW428">
        <f t="shared" si="349"/>
        <v>0</v>
      </c>
      <c r="CX428">
        <f t="shared" si="350"/>
        <v>0</v>
      </c>
      <c r="CY428">
        <f t="shared" si="351"/>
        <v>402.83800000000002</v>
      </c>
      <c r="CZ428">
        <f t="shared" si="352"/>
        <v>275.62600000000003</v>
      </c>
      <c r="DC428" t="s">
        <v>6</v>
      </c>
      <c r="DD428" t="s">
        <v>6</v>
      </c>
      <c r="DE428" t="s">
        <v>6</v>
      </c>
      <c r="DF428" t="s">
        <v>6</v>
      </c>
      <c r="DG428" t="s">
        <v>6</v>
      </c>
      <c r="DH428" t="s">
        <v>6</v>
      </c>
      <c r="DI428" t="s">
        <v>6</v>
      </c>
      <c r="DJ428" t="s">
        <v>6</v>
      </c>
      <c r="DK428" t="s">
        <v>6</v>
      </c>
      <c r="DL428" t="s">
        <v>6</v>
      </c>
      <c r="DM428" t="s">
        <v>6</v>
      </c>
      <c r="DN428">
        <v>0</v>
      </c>
      <c r="DO428">
        <v>0</v>
      </c>
      <c r="DP428">
        <v>1</v>
      </c>
      <c r="DQ428">
        <v>1</v>
      </c>
      <c r="DU428">
        <v>1013</v>
      </c>
      <c r="DV428" t="s">
        <v>56</v>
      </c>
      <c r="DW428" t="s">
        <v>56</v>
      </c>
      <c r="DX428">
        <v>1</v>
      </c>
      <c r="EE428">
        <v>16510370</v>
      </c>
      <c r="EF428">
        <v>3</v>
      </c>
      <c r="EG428" t="s">
        <v>83</v>
      </c>
      <c r="EH428">
        <v>0</v>
      </c>
      <c r="EI428" t="s">
        <v>6</v>
      </c>
      <c r="EJ428">
        <v>2</v>
      </c>
      <c r="EK428">
        <v>108001</v>
      </c>
      <c r="EL428" t="s">
        <v>84</v>
      </c>
      <c r="EM428" t="s">
        <v>85</v>
      </c>
      <c r="EO428" t="s">
        <v>6</v>
      </c>
      <c r="EQ428">
        <v>131072</v>
      </c>
      <c r="ER428">
        <v>21.35</v>
      </c>
      <c r="ES428">
        <v>5.19</v>
      </c>
      <c r="ET428">
        <v>0</v>
      </c>
      <c r="EU428">
        <v>0</v>
      </c>
      <c r="EV428">
        <v>16.16</v>
      </c>
      <c r="EW428">
        <v>1.68</v>
      </c>
      <c r="EX428">
        <v>0</v>
      </c>
      <c r="EY428">
        <v>0</v>
      </c>
      <c r="FQ428">
        <v>0</v>
      </c>
      <c r="FR428">
        <f t="shared" si="353"/>
        <v>0</v>
      </c>
      <c r="FS428">
        <v>0</v>
      </c>
      <c r="FX428">
        <v>95</v>
      </c>
      <c r="FY428">
        <v>65</v>
      </c>
      <c r="GA428" t="s">
        <v>6</v>
      </c>
      <c r="GD428">
        <v>0</v>
      </c>
      <c r="GF428">
        <v>-753809075</v>
      </c>
      <c r="GG428">
        <v>1</v>
      </c>
      <c r="GH428">
        <v>1</v>
      </c>
      <c r="GI428">
        <v>4</v>
      </c>
      <c r="GJ428">
        <v>0</v>
      </c>
      <c r="GK428">
        <f>ROUND(R428*(R12)/100,2)</f>
        <v>0</v>
      </c>
      <c r="GL428">
        <f t="shared" si="354"/>
        <v>0</v>
      </c>
      <c r="GM428">
        <f t="shared" si="355"/>
        <v>1238.7</v>
      </c>
      <c r="GN428">
        <f t="shared" si="356"/>
        <v>0</v>
      </c>
      <c r="GO428">
        <f t="shared" si="357"/>
        <v>1238.7</v>
      </c>
      <c r="GP428">
        <f t="shared" si="358"/>
        <v>0</v>
      </c>
      <c r="GR428">
        <v>0</v>
      </c>
      <c r="GS428">
        <v>3</v>
      </c>
      <c r="GT428">
        <v>0</v>
      </c>
      <c r="GU428" t="s">
        <v>6</v>
      </c>
      <c r="GV428">
        <f t="shared" si="359"/>
        <v>0</v>
      </c>
      <c r="GW428">
        <v>1</v>
      </c>
      <c r="GX428">
        <f t="shared" si="360"/>
        <v>0</v>
      </c>
      <c r="HA428">
        <v>0</v>
      </c>
      <c r="HB428">
        <v>0</v>
      </c>
      <c r="IK428">
        <v>0</v>
      </c>
    </row>
    <row r="429" spans="1:245" x14ac:dyDescent="0.2">
      <c r="A429">
        <v>18</v>
      </c>
      <c r="B429">
        <v>1</v>
      </c>
      <c r="C429">
        <v>758</v>
      </c>
      <c r="E429" t="s">
        <v>957</v>
      </c>
      <c r="F429" t="s">
        <v>958</v>
      </c>
      <c r="G429" t="s">
        <v>959</v>
      </c>
      <c r="H429" t="s">
        <v>73</v>
      </c>
      <c r="I429">
        <f>I428*J429</f>
        <v>4</v>
      </c>
      <c r="J429">
        <v>1</v>
      </c>
      <c r="O429">
        <f t="shared" si="322"/>
        <v>997.12</v>
      </c>
      <c r="P429">
        <f t="shared" si="323"/>
        <v>997.12</v>
      </c>
      <c r="Q429">
        <f t="shared" si="324"/>
        <v>0</v>
      </c>
      <c r="R429">
        <f t="shared" si="325"/>
        <v>0</v>
      </c>
      <c r="S429">
        <f t="shared" si="326"/>
        <v>0</v>
      </c>
      <c r="T429">
        <f t="shared" si="327"/>
        <v>0</v>
      </c>
      <c r="U429">
        <f t="shared" si="328"/>
        <v>0</v>
      </c>
      <c r="V429">
        <f t="shared" si="329"/>
        <v>0</v>
      </c>
      <c r="W429">
        <f t="shared" si="330"/>
        <v>0</v>
      </c>
      <c r="X429">
        <f t="shared" si="331"/>
        <v>0</v>
      </c>
      <c r="Y429">
        <f t="shared" si="332"/>
        <v>0</v>
      </c>
      <c r="AA429">
        <v>16742901</v>
      </c>
      <c r="AB429">
        <f t="shared" si="333"/>
        <v>38</v>
      </c>
      <c r="AC429">
        <f t="shared" si="334"/>
        <v>38</v>
      </c>
      <c r="AD429">
        <f t="shared" si="335"/>
        <v>0</v>
      </c>
      <c r="AE429">
        <f t="shared" si="336"/>
        <v>0</v>
      </c>
      <c r="AF429">
        <f t="shared" si="337"/>
        <v>0</v>
      </c>
      <c r="AG429">
        <f t="shared" si="338"/>
        <v>0</v>
      </c>
      <c r="AH429">
        <f t="shared" si="339"/>
        <v>0</v>
      </c>
      <c r="AI429">
        <f t="shared" si="340"/>
        <v>0</v>
      </c>
      <c r="AJ429">
        <f t="shared" si="341"/>
        <v>0</v>
      </c>
      <c r="AK429">
        <v>38</v>
      </c>
      <c r="AL429">
        <v>38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95</v>
      </c>
      <c r="AU429">
        <v>65</v>
      </c>
      <c r="AV429">
        <v>1</v>
      </c>
      <c r="AW429">
        <v>1</v>
      </c>
      <c r="AZ429">
        <v>6.56</v>
      </c>
      <c r="BA429">
        <v>1</v>
      </c>
      <c r="BB429">
        <v>1</v>
      </c>
      <c r="BC429">
        <v>6.56</v>
      </c>
      <c r="BD429" t="s">
        <v>6</v>
      </c>
      <c r="BE429" t="s">
        <v>6</v>
      </c>
      <c r="BF429" t="s">
        <v>6</v>
      </c>
      <c r="BG429" t="s">
        <v>6</v>
      </c>
      <c r="BH429">
        <v>3</v>
      </c>
      <c r="BI429">
        <v>2</v>
      </c>
      <c r="BJ429" t="s">
        <v>960</v>
      </c>
      <c r="BM429">
        <v>108001</v>
      </c>
      <c r="BN429">
        <v>0</v>
      </c>
      <c r="BO429" t="s">
        <v>6</v>
      </c>
      <c r="BP429">
        <v>0</v>
      </c>
      <c r="BQ429">
        <v>3</v>
      </c>
      <c r="BR429">
        <v>0</v>
      </c>
      <c r="BS429">
        <v>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6</v>
      </c>
      <c r="BZ429">
        <v>95</v>
      </c>
      <c r="CA429">
        <v>65</v>
      </c>
      <c r="CF429">
        <v>0</v>
      </c>
      <c r="CG429">
        <v>0</v>
      </c>
      <c r="CM429">
        <v>0</v>
      </c>
      <c r="CN429" t="s">
        <v>6</v>
      </c>
      <c r="CO429">
        <v>0</v>
      </c>
      <c r="CP429">
        <f t="shared" si="342"/>
        <v>997.12</v>
      </c>
      <c r="CQ429">
        <f t="shared" si="343"/>
        <v>249.27999999999997</v>
      </c>
      <c r="CR429">
        <f t="shared" si="344"/>
        <v>0</v>
      </c>
      <c r="CS429">
        <f t="shared" si="345"/>
        <v>0</v>
      </c>
      <c r="CT429">
        <f t="shared" si="346"/>
        <v>0</v>
      </c>
      <c r="CU429">
        <f t="shared" si="347"/>
        <v>0</v>
      </c>
      <c r="CV429">
        <f t="shared" si="348"/>
        <v>0</v>
      </c>
      <c r="CW429">
        <f t="shared" si="349"/>
        <v>0</v>
      </c>
      <c r="CX429">
        <f t="shared" si="350"/>
        <v>0</v>
      </c>
      <c r="CY429">
        <f t="shared" si="351"/>
        <v>0</v>
      </c>
      <c r="CZ429">
        <f t="shared" si="352"/>
        <v>0</v>
      </c>
      <c r="DC429" t="s">
        <v>6</v>
      </c>
      <c r="DD429" t="s">
        <v>6</v>
      </c>
      <c r="DE429" t="s">
        <v>6</v>
      </c>
      <c r="DF429" t="s">
        <v>6</v>
      </c>
      <c r="DG429" t="s">
        <v>6</v>
      </c>
      <c r="DH429" t="s">
        <v>6</v>
      </c>
      <c r="DI429" t="s">
        <v>6</v>
      </c>
      <c r="DJ429" t="s">
        <v>6</v>
      </c>
      <c r="DK429" t="s">
        <v>6</v>
      </c>
      <c r="DL429" t="s">
        <v>6</v>
      </c>
      <c r="DM429" t="s">
        <v>6</v>
      </c>
      <c r="DN429">
        <v>0</v>
      </c>
      <c r="DO429">
        <v>0</v>
      </c>
      <c r="DP429">
        <v>1</v>
      </c>
      <c r="DQ429">
        <v>1</v>
      </c>
      <c r="DU429">
        <v>1010</v>
      </c>
      <c r="DV429" t="s">
        <v>73</v>
      </c>
      <c r="DW429" t="s">
        <v>73</v>
      </c>
      <c r="DX429">
        <v>1</v>
      </c>
      <c r="EE429">
        <v>16510370</v>
      </c>
      <c r="EF429">
        <v>3</v>
      </c>
      <c r="EG429" t="s">
        <v>83</v>
      </c>
      <c r="EH429">
        <v>0</v>
      </c>
      <c r="EI429" t="s">
        <v>6</v>
      </c>
      <c r="EJ429">
        <v>2</v>
      </c>
      <c r="EK429">
        <v>108001</v>
      </c>
      <c r="EL429" t="s">
        <v>84</v>
      </c>
      <c r="EM429" t="s">
        <v>85</v>
      </c>
      <c r="EO429" t="s">
        <v>6</v>
      </c>
      <c r="EQ429">
        <v>0</v>
      </c>
      <c r="ER429">
        <v>38</v>
      </c>
      <c r="ES429">
        <v>38</v>
      </c>
      <c r="ET429">
        <v>0</v>
      </c>
      <c r="EU429">
        <v>0</v>
      </c>
      <c r="EV429">
        <v>0</v>
      </c>
      <c r="EW429">
        <v>0</v>
      </c>
      <c r="EX429">
        <v>0</v>
      </c>
      <c r="FQ429">
        <v>0</v>
      </c>
      <c r="FR429">
        <f t="shared" si="353"/>
        <v>0</v>
      </c>
      <c r="FS429">
        <v>0</v>
      </c>
      <c r="FX429">
        <v>95</v>
      </c>
      <c r="FY429">
        <v>65</v>
      </c>
      <c r="GA429" t="s">
        <v>6</v>
      </c>
      <c r="GD429">
        <v>0</v>
      </c>
      <c r="GF429">
        <v>-11282944</v>
      </c>
      <c r="GG429">
        <v>1</v>
      </c>
      <c r="GH429">
        <v>1</v>
      </c>
      <c r="GI429">
        <v>4</v>
      </c>
      <c r="GJ429">
        <v>0</v>
      </c>
      <c r="GK429">
        <f>ROUND(R429*(R12)/100,2)</f>
        <v>0</v>
      </c>
      <c r="GL429">
        <f t="shared" si="354"/>
        <v>0</v>
      </c>
      <c r="GM429">
        <f t="shared" si="355"/>
        <v>997.12</v>
      </c>
      <c r="GN429">
        <f t="shared" si="356"/>
        <v>0</v>
      </c>
      <c r="GO429">
        <f t="shared" si="357"/>
        <v>997.12</v>
      </c>
      <c r="GP429">
        <f t="shared" si="358"/>
        <v>0</v>
      </c>
      <c r="GR429">
        <v>0</v>
      </c>
      <c r="GS429">
        <v>3</v>
      </c>
      <c r="GT429">
        <v>0</v>
      </c>
      <c r="GU429" t="s">
        <v>6</v>
      </c>
      <c r="GV429">
        <f t="shared" si="359"/>
        <v>0</v>
      </c>
      <c r="GW429">
        <v>1</v>
      </c>
      <c r="GX429">
        <f t="shared" si="360"/>
        <v>0</v>
      </c>
      <c r="HA429">
        <v>0</v>
      </c>
      <c r="HB429">
        <v>0</v>
      </c>
      <c r="IK429">
        <v>0</v>
      </c>
    </row>
    <row r="431" spans="1:245" x14ac:dyDescent="0.2">
      <c r="A431" s="2">
        <v>51</v>
      </c>
      <c r="B431" s="2">
        <f>B385</f>
        <v>1</v>
      </c>
      <c r="C431" s="2">
        <f>A385</f>
        <v>5</v>
      </c>
      <c r="D431" s="2">
        <f>ROW(A385)</f>
        <v>385</v>
      </c>
      <c r="E431" s="2"/>
      <c r="F431" s="2" t="str">
        <f>IF(F385&lt;&gt;"",F385,"")</f>
        <v>Новый подраздел</v>
      </c>
      <c r="G431" s="2" t="str">
        <f>IF(G385&lt;&gt;"",G385,"")</f>
        <v>3 Монтаж силовой части</v>
      </c>
      <c r="H431" s="2">
        <v>0</v>
      </c>
      <c r="I431" s="2"/>
      <c r="J431" s="2"/>
      <c r="K431" s="2"/>
      <c r="L431" s="2"/>
      <c r="M431" s="2"/>
      <c r="N431" s="2"/>
      <c r="O431" s="2">
        <f t="shared" ref="O431:T431" si="361">ROUND(AB431,2)</f>
        <v>288125.73</v>
      </c>
      <c r="P431" s="2">
        <f t="shared" si="361"/>
        <v>277187.09000000003</v>
      </c>
      <c r="Q431" s="2">
        <f t="shared" si="361"/>
        <v>1307.68</v>
      </c>
      <c r="R431" s="2">
        <f t="shared" si="361"/>
        <v>204.21</v>
      </c>
      <c r="S431" s="2">
        <f t="shared" si="361"/>
        <v>9630.9599999999991</v>
      </c>
      <c r="T431" s="2">
        <f t="shared" si="361"/>
        <v>0</v>
      </c>
      <c r="U431" s="2">
        <f>AH431</f>
        <v>153.54939999999999</v>
      </c>
      <c r="V431" s="2">
        <f>AI431</f>
        <v>2.7536000000000005</v>
      </c>
      <c r="W431" s="2">
        <f>ROUND(AJ431,2)</f>
        <v>0</v>
      </c>
      <c r="X431" s="2">
        <f>ROUND(AK431,2)</f>
        <v>9335.57</v>
      </c>
      <c r="Y431" s="2">
        <f>ROUND(AL431,2)</f>
        <v>6385.95</v>
      </c>
      <c r="Z431" s="2"/>
      <c r="AA431" s="2"/>
      <c r="AB431" s="2">
        <f>ROUND(SUMIF(AA389:AA429,"=16742901",O389:O429),2)</f>
        <v>288125.73</v>
      </c>
      <c r="AC431" s="2">
        <f>ROUND(SUMIF(AA389:AA429,"=16742901",P389:P429),2)</f>
        <v>277187.09000000003</v>
      </c>
      <c r="AD431" s="2">
        <f>ROUND(SUMIF(AA389:AA429,"=16742901",Q389:Q429),2)</f>
        <v>1307.68</v>
      </c>
      <c r="AE431" s="2">
        <f>ROUND(SUMIF(AA389:AA429,"=16742901",R389:R429),2)</f>
        <v>204.21</v>
      </c>
      <c r="AF431" s="2">
        <f>ROUND(SUMIF(AA389:AA429,"=16742901",S389:S429),2)</f>
        <v>9630.9599999999991</v>
      </c>
      <c r="AG431" s="2">
        <f>ROUND(SUMIF(AA389:AA429,"=16742901",T389:T429),2)</f>
        <v>0</v>
      </c>
      <c r="AH431" s="2">
        <f>SUMIF(AA389:AA429,"=16742901",U389:U429)</f>
        <v>153.54939999999999</v>
      </c>
      <c r="AI431" s="2">
        <f>SUMIF(AA389:AA429,"=16742901",V389:V429)</f>
        <v>2.7536000000000005</v>
      </c>
      <c r="AJ431" s="2">
        <f>ROUND(SUMIF(AA389:AA429,"=16742901",W389:W429),2)</f>
        <v>0</v>
      </c>
      <c r="AK431" s="2">
        <f>ROUND(SUMIF(AA389:AA429,"=16742901",X389:X429),2)</f>
        <v>9335.57</v>
      </c>
      <c r="AL431" s="2">
        <f>ROUND(SUMIF(AA389:AA429,"=16742901",Y389:Y429),2)</f>
        <v>6385.95</v>
      </c>
      <c r="AM431" s="2"/>
      <c r="AN431" s="2"/>
      <c r="AO431" s="2">
        <f t="shared" ref="AO431:BC431" si="362">ROUND(BX431,2)</f>
        <v>0</v>
      </c>
      <c r="AP431" s="2">
        <f t="shared" si="362"/>
        <v>0</v>
      </c>
      <c r="AQ431" s="2">
        <f t="shared" si="362"/>
        <v>0</v>
      </c>
      <c r="AR431" s="2">
        <f t="shared" si="362"/>
        <v>303847.25</v>
      </c>
      <c r="AS431" s="2">
        <f t="shared" si="362"/>
        <v>105.06</v>
      </c>
      <c r="AT431" s="2">
        <f t="shared" si="362"/>
        <v>303742.19</v>
      </c>
      <c r="AU431" s="2">
        <f t="shared" si="362"/>
        <v>0</v>
      </c>
      <c r="AV431" s="2">
        <f t="shared" si="362"/>
        <v>277187.09000000003</v>
      </c>
      <c r="AW431" s="2">
        <f t="shared" si="362"/>
        <v>277187.09000000003</v>
      </c>
      <c r="AX431" s="2">
        <f t="shared" si="362"/>
        <v>0</v>
      </c>
      <c r="AY431" s="2">
        <f t="shared" si="362"/>
        <v>277187.09000000003</v>
      </c>
      <c r="AZ431" s="2">
        <f t="shared" si="362"/>
        <v>0</v>
      </c>
      <c r="BA431" s="2">
        <f t="shared" si="362"/>
        <v>0</v>
      </c>
      <c r="BB431" s="2">
        <f t="shared" si="362"/>
        <v>0</v>
      </c>
      <c r="BC431" s="2">
        <f t="shared" si="362"/>
        <v>0</v>
      </c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>
        <f>ROUND(SUMIF(AA389:AA429,"=16742901",FQ389:FQ429),2)</f>
        <v>0</v>
      </c>
      <c r="BY431" s="2">
        <f>ROUND(SUMIF(AA389:AA429,"=16742901",FR389:FR429),2)</f>
        <v>0</v>
      </c>
      <c r="BZ431" s="2">
        <f>ROUND(SUMIF(AA389:AA429,"=16742901",GL389:GL429),2)</f>
        <v>0</v>
      </c>
      <c r="CA431" s="2">
        <f>ROUND(SUMIF(AA389:AA429,"=16742901",GM389:GM429),2)</f>
        <v>303847.25</v>
      </c>
      <c r="CB431" s="2">
        <f>ROUND(SUMIF(AA389:AA429,"=16742901",GN389:GN429),2)</f>
        <v>105.06</v>
      </c>
      <c r="CC431" s="2">
        <f>ROUND(SUMIF(AA389:AA429,"=16742901",GO389:GO429),2)</f>
        <v>303742.19</v>
      </c>
      <c r="CD431" s="2">
        <f>ROUND(SUMIF(AA389:AA429,"=16742901",GP389:GP429),2)</f>
        <v>0</v>
      </c>
      <c r="CE431" s="2">
        <f>AC431-BX431</f>
        <v>277187.09000000003</v>
      </c>
      <c r="CF431" s="2">
        <f>AC431-BY431</f>
        <v>277187.09000000003</v>
      </c>
      <c r="CG431" s="2">
        <f>BX431-BZ431</f>
        <v>0</v>
      </c>
      <c r="CH431" s="2">
        <f>AC431-BX431-BY431+BZ431</f>
        <v>277187.09000000003</v>
      </c>
      <c r="CI431" s="2">
        <f>BY431-BZ431</f>
        <v>0</v>
      </c>
      <c r="CJ431" s="2">
        <f>ROUND(SUMIF(AA389:AA429,"=16742901",GX389:GX429),2)</f>
        <v>0</v>
      </c>
      <c r="CK431" s="2">
        <f>ROUND(SUMIF(AA389:AA429,"=16742901",GY389:GY429),2)</f>
        <v>0</v>
      </c>
      <c r="CL431" s="2">
        <f>ROUND(SUMIF(AA389:AA429,"=16742901",GZ389:GZ429),2)</f>
        <v>0</v>
      </c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3"/>
      <c r="EF431" s="3"/>
      <c r="EG431" s="3"/>
      <c r="EH431" s="3"/>
      <c r="EI431" s="3"/>
      <c r="EJ431" s="3"/>
      <c r="EK431" s="3"/>
      <c r="EL431" s="3"/>
      <c r="EM431" s="3"/>
      <c r="EN431" s="3"/>
      <c r="EO431" s="3"/>
      <c r="EP431" s="3"/>
      <c r="EQ431" s="3"/>
      <c r="ER431" s="3"/>
      <c r="ES431" s="3"/>
      <c r="ET431" s="3"/>
      <c r="EU431" s="3"/>
      <c r="EV431" s="3"/>
      <c r="EW431" s="3"/>
      <c r="EX431" s="3"/>
      <c r="EY431" s="3"/>
      <c r="EZ431" s="3"/>
      <c r="FA431" s="3"/>
      <c r="FB431" s="3"/>
      <c r="FC431" s="3"/>
      <c r="FD431" s="3"/>
      <c r="FE431" s="3"/>
      <c r="FF431" s="3"/>
      <c r="FG431" s="3"/>
      <c r="FH431" s="3"/>
      <c r="FI431" s="3"/>
      <c r="FJ431" s="3"/>
      <c r="FK431" s="3"/>
      <c r="FL431" s="3"/>
      <c r="FM431" s="3"/>
      <c r="FN431" s="3"/>
      <c r="FO431" s="3"/>
      <c r="FP431" s="3"/>
      <c r="FQ431" s="3"/>
      <c r="FR431" s="3"/>
      <c r="FS431" s="3"/>
      <c r="FT431" s="3"/>
      <c r="FU431" s="3"/>
      <c r="FV431" s="3"/>
      <c r="FW431" s="3"/>
      <c r="FX431" s="3"/>
      <c r="FY431" s="3"/>
      <c r="FZ431" s="3"/>
      <c r="GA431" s="3"/>
      <c r="GB431" s="3"/>
      <c r="GC431" s="3"/>
      <c r="GD431" s="3"/>
      <c r="GE431" s="3"/>
      <c r="GF431" s="3"/>
      <c r="GG431" s="3"/>
      <c r="GH431" s="3"/>
      <c r="GI431" s="3"/>
      <c r="GJ431" s="3"/>
      <c r="GK431" s="3"/>
      <c r="GL431" s="3"/>
      <c r="GM431" s="3"/>
      <c r="GN431" s="3"/>
      <c r="GO431" s="3"/>
      <c r="GP431" s="3"/>
      <c r="GQ431" s="3"/>
      <c r="GR431" s="3"/>
      <c r="GS431" s="3"/>
      <c r="GT431" s="3"/>
      <c r="GU431" s="3"/>
      <c r="GV431" s="3"/>
      <c r="GW431" s="3"/>
      <c r="GX431" s="3">
        <v>0</v>
      </c>
    </row>
    <row r="433" spans="1:23" x14ac:dyDescent="0.2">
      <c r="A433" s="4">
        <v>50</v>
      </c>
      <c r="B433" s="4">
        <v>0</v>
      </c>
      <c r="C433" s="4">
        <v>0</v>
      </c>
      <c r="D433" s="4">
        <v>1</v>
      </c>
      <c r="E433" s="4">
        <v>201</v>
      </c>
      <c r="F433" s="4">
        <f>ROUND(Source!O431,O433)</f>
        <v>288125.73</v>
      </c>
      <c r="G433" s="4" t="s">
        <v>130</v>
      </c>
      <c r="H433" s="4" t="s">
        <v>131</v>
      </c>
      <c r="I433" s="4"/>
      <c r="J433" s="4"/>
      <c r="K433" s="4">
        <v>201</v>
      </c>
      <c r="L433" s="4">
        <v>1</v>
      </c>
      <c r="M433" s="4">
        <v>3</v>
      </c>
      <c r="N433" s="4" t="s">
        <v>6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3" x14ac:dyDescent="0.2">
      <c r="A434" s="4">
        <v>50</v>
      </c>
      <c r="B434" s="4">
        <v>0</v>
      </c>
      <c r="C434" s="4">
        <v>0</v>
      </c>
      <c r="D434" s="4">
        <v>1</v>
      </c>
      <c r="E434" s="4">
        <v>202</v>
      </c>
      <c r="F434" s="4">
        <f>ROUND(Source!P431,O434)</f>
        <v>277187.09000000003</v>
      </c>
      <c r="G434" s="4" t="s">
        <v>132</v>
      </c>
      <c r="H434" s="4" t="s">
        <v>133</v>
      </c>
      <c r="I434" s="4"/>
      <c r="J434" s="4"/>
      <c r="K434" s="4">
        <v>202</v>
      </c>
      <c r="L434" s="4">
        <v>2</v>
      </c>
      <c r="M434" s="4">
        <v>3</v>
      </c>
      <c r="N434" s="4" t="s">
        <v>6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3" x14ac:dyDescent="0.2">
      <c r="A435" s="4">
        <v>50</v>
      </c>
      <c r="B435" s="4">
        <v>0</v>
      </c>
      <c r="C435" s="4">
        <v>0</v>
      </c>
      <c r="D435" s="4">
        <v>1</v>
      </c>
      <c r="E435" s="4">
        <v>222</v>
      </c>
      <c r="F435" s="4">
        <f>ROUND(Source!AO431,O435)</f>
        <v>0</v>
      </c>
      <c r="G435" s="4" t="s">
        <v>134</v>
      </c>
      <c r="H435" s="4" t="s">
        <v>135</v>
      </c>
      <c r="I435" s="4"/>
      <c r="J435" s="4"/>
      <c r="K435" s="4">
        <v>222</v>
      </c>
      <c r="L435" s="4">
        <v>3</v>
      </c>
      <c r="M435" s="4">
        <v>3</v>
      </c>
      <c r="N435" s="4" t="s">
        <v>6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6" spans="1:23" x14ac:dyDescent="0.2">
      <c r="A436" s="4">
        <v>50</v>
      </c>
      <c r="B436" s="4">
        <v>0</v>
      </c>
      <c r="C436" s="4">
        <v>0</v>
      </c>
      <c r="D436" s="4">
        <v>1</v>
      </c>
      <c r="E436" s="4">
        <v>225</v>
      </c>
      <c r="F436" s="4">
        <f>ROUND(Source!AV431,O436)</f>
        <v>277187.09000000003</v>
      </c>
      <c r="G436" s="4" t="s">
        <v>136</v>
      </c>
      <c r="H436" s="4" t="s">
        <v>137</v>
      </c>
      <c r="I436" s="4"/>
      <c r="J436" s="4"/>
      <c r="K436" s="4">
        <v>225</v>
      </c>
      <c r="L436" s="4">
        <v>4</v>
      </c>
      <c r="M436" s="4">
        <v>3</v>
      </c>
      <c r="N436" s="4" t="s">
        <v>6</v>
      </c>
      <c r="O436" s="4">
        <v>2</v>
      </c>
      <c r="P436" s="4"/>
      <c r="Q436" s="4"/>
      <c r="R436" s="4"/>
      <c r="S436" s="4"/>
      <c r="T436" s="4"/>
      <c r="U436" s="4"/>
      <c r="V436" s="4"/>
      <c r="W436" s="4"/>
    </row>
    <row r="437" spans="1:23" x14ac:dyDescent="0.2">
      <c r="A437" s="4">
        <v>50</v>
      </c>
      <c r="B437" s="4">
        <v>0</v>
      </c>
      <c r="C437" s="4">
        <v>0</v>
      </c>
      <c r="D437" s="4">
        <v>1</v>
      </c>
      <c r="E437" s="4">
        <v>226</v>
      </c>
      <c r="F437" s="4">
        <f>ROUND(Source!AW431,O437)</f>
        <v>277187.09000000003</v>
      </c>
      <c r="G437" s="4" t="s">
        <v>138</v>
      </c>
      <c r="H437" s="4" t="s">
        <v>139</v>
      </c>
      <c r="I437" s="4"/>
      <c r="J437" s="4"/>
      <c r="K437" s="4">
        <v>226</v>
      </c>
      <c r="L437" s="4">
        <v>5</v>
      </c>
      <c r="M437" s="4">
        <v>3</v>
      </c>
      <c r="N437" s="4" t="s">
        <v>6</v>
      </c>
      <c r="O437" s="4">
        <v>2</v>
      </c>
      <c r="P437" s="4"/>
      <c r="Q437" s="4"/>
      <c r="R437" s="4"/>
      <c r="S437" s="4"/>
      <c r="T437" s="4"/>
      <c r="U437" s="4"/>
      <c r="V437" s="4"/>
      <c r="W437" s="4"/>
    </row>
    <row r="438" spans="1:23" x14ac:dyDescent="0.2">
      <c r="A438" s="4">
        <v>50</v>
      </c>
      <c r="B438" s="4">
        <v>0</v>
      </c>
      <c r="C438" s="4">
        <v>0</v>
      </c>
      <c r="D438" s="4">
        <v>1</v>
      </c>
      <c r="E438" s="4">
        <v>227</v>
      </c>
      <c r="F438" s="4">
        <f>ROUND(Source!AX431,O438)</f>
        <v>0</v>
      </c>
      <c r="G438" s="4" t="s">
        <v>140</v>
      </c>
      <c r="H438" s="4" t="s">
        <v>141</v>
      </c>
      <c r="I438" s="4"/>
      <c r="J438" s="4"/>
      <c r="K438" s="4">
        <v>227</v>
      </c>
      <c r="L438" s="4">
        <v>6</v>
      </c>
      <c r="M438" s="4">
        <v>3</v>
      </c>
      <c r="N438" s="4" t="s">
        <v>6</v>
      </c>
      <c r="O438" s="4">
        <v>2</v>
      </c>
      <c r="P438" s="4"/>
      <c r="Q438" s="4"/>
      <c r="R438" s="4"/>
      <c r="S438" s="4"/>
      <c r="T438" s="4"/>
      <c r="U438" s="4"/>
      <c r="V438" s="4"/>
      <c r="W438" s="4"/>
    </row>
    <row r="439" spans="1:23" x14ac:dyDescent="0.2">
      <c r="A439" s="4">
        <v>50</v>
      </c>
      <c r="B439" s="4">
        <v>0</v>
      </c>
      <c r="C439" s="4">
        <v>0</v>
      </c>
      <c r="D439" s="4">
        <v>1</v>
      </c>
      <c r="E439" s="4">
        <v>228</v>
      </c>
      <c r="F439" s="4">
        <f>ROUND(Source!AY431,O439)</f>
        <v>277187.09000000003</v>
      </c>
      <c r="G439" s="4" t="s">
        <v>142</v>
      </c>
      <c r="H439" s="4" t="s">
        <v>143</v>
      </c>
      <c r="I439" s="4"/>
      <c r="J439" s="4"/>
      <c r="K439" s="4">
        <v>228</v>
      </c>
      <c r="L439" s="4">
        <v>7</v>
      </c>
      <c r="M439" s="4">
        <v>3</v>
      </c>
      <c r="N439" s="4" t="s">
        <v>6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3" x14ac:dyDescent="0.2">
      <c r="A440" s="4">
        <v>50</v>
      </c>
      <c r="B440" s="4">
        <v>0</v>
      </c>
      <c r="C440" s="4">
        <v>0</v>
      </c>
      <c r="D440" s="4">
        <v>1</v>
      </c>
      <c r="E440" s="4">
        <v>216</v>
      </c>
      <c r="F440" s="4">
        <f>ROUND(Source!AP431,O440)</f>
        <v>0</v>
      </c>
      <c r="G440" s="4" t="s">
        <v>144</v>
      </c>
      <c r="H440" s="4" t="s">
        <v>145</v>
      </c>
      <c r="I440" s="4"/>
      <c r="J440" s="4"/>
      <c r="K440" s="4">
        <v>216</v>
      </c>
      <c r="L440" s="4">
        <v>8</v>
      </c>
      <c r="M440" s="4">
        <v>3</v>
      </c>
      <c r="N440" s="4" t="s">
        <v>6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3" x14ac:dyDescent="0.2">
      <c r="A441" s="4">
        <v>50</v>
      </c>
      <c r="B441" s="4">
        <v>0</v>
      </c>
      <c r="C441" s="4">
        <v>0</v>
      </c>
      <c r="D441" s="4">
        <v>1</v>
      </c>
      <c r="E441" s="4">
        <v>223</v>
      </c>
      <c r="F441" s="4">
        <f>ROUND(Source!AQ431,O441)</f>
        <v>0</v>
      </c>
      <c r="G441" s="4" t="s">
        <v>146</v>
      </c>
      <c r="H441" s="4" t="s">
        <v>147</v>
      </c>
      <c r="I441" s="4"/>
      <c r="J441" s="4"/>
      <c r="K441" s="4">
        <v>223</v>
      </c>
      <c r="L441" s="4">
        <v>9</v>
      </c>
      <c r="M441" s="4">
        <v>3</v>
      </c>
      <c r="N441" s="4" t="s">
        <v>6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3" x14ac:dyDescent="0.2">
      <c r="A442" s="4">
        <v>50</v>
      </c>
      <c r="B442" s="4">
        <v>0</v>
      </c>
      <c r="C442" s="4">
        <v>0</v>
      </c>
      <c r="D442" s="4">
        <v>1</v>
      </c>
      <c r="E442" s="4">
        <v>229</v>
      </c>
      <c r="F442" s="4">
        <f>ROUND(Source!AZ431,O442)</f>
        <v>0</v>
      </c>
      <c r="G442" s="4" t="s">
        <v>148</v>
      </c>
      <c r="H442" s="4" t="s">
        <v>149</v>
      </c>
      <c r="I442" s="4"/>
      <c r="J442" s="4"/>
      <c r="K442" s="4">
        <v>229</v>
      </c>
      <c r="L442" s="4">
        <v>10</v>
      </c>
      <c r="M442" s="4">
        <v>3</v>
      </c>
      <c r="N442" s="4" t="s">
        <v>6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3" x14ac:dyDescent="0.2">
      <c r="A443" s="4">
        <v>50</v>
      </c>
      <c r="B443" s="4">
        <v>0</v>
      </c>
      <c r="C443" s="4">
        <v>0</v>
      </c>
      <c r="D443" s="4">
        <v>1</v>
      </c>
      <c r="E443" s="4">
        <v>203</v>
      </c>
      <c r="F443" s="4">
        <f>ROUND(Source!Q431,O443)</f>
        <v>1307.68</v>
      </c>
      <c r="G443" s="4" t="s">
        <v>150</v>
      </c>
      <c r="H443" s="4" t="s">
        <v>151</v>
      </c>
      <c r="I443" s="4"/>
      <c r="J443" s="4"/>
      <c r="K443" s="4">
        <v>203</v>
      </c>
      <c r="L443" s="4">
        <v>11</v>
      </c>
      <c r="M443" s="4">
        <v>3</v>
      </c>
      <c r="N443" s="4" t="s">
        <v>6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3" x14ac:dyDescent="0.2">
      <c r="A444" s="4">
        <v>50</v>
      </c>
      <c r="B444" s="4">
        <v>0</v>
      </c>
      <c r="C444" s="4">
        <v>0</v>
      </c>
      <c r="D444" s="4">
        <v>1</v>
      </c>
      <c r="E444" s="4">
        <v>231</v>
      </c>
      <c r="F444" s="4">
        <f>ROUND(Source!BB431,O444)</f>
        <v>0</v>
      </c>
      <c r="G444" s="4" t="s">
        <v>152</v>
      </c>
      <c r="H444" s="4" t="s">
        <v>153</v>
      </c>
      <c r="I444" s="4"/>
      <c r="J444" s="4"/>
      <c r="K444" s="4">
        <v>231</v>
      </c>
      <c r="L444" s="4">
        <v>12</v>
      </c>
      <c r="M444" s="4">
        <v>3</v>
      </c>
      <c r="N444" s="4" t="s">
        <v>6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3" x14ac:dyDescent="0.2">
      <c r="A445" s="4">
        <v>50</v>
      </c>
      <c r="B445" s="4">
        <v>0</v>
      </c>
      <c r="C445" s="4">
        <v>0</v>
      </c>
      <c r="D445" s="4">
        <v>1</v>
      </c>
      <c r="E445" s="4">
        <v>204</v>
      </c>
      <c r="F445" s="4">
        <f>ROUND(Source!R431,O445)</f>
        <v>204.21</v>
      </c>
      <c r="G445" s="4" t="s">
        <v>154</v>
      </c>
      <c r="H445" s="4" t="s">
        <v>155</v>
      </c>
      <c r="I445" s="4"/>
      <c r="J445" s="4"/>
      <c r="K445" s="4">
        <v>204</v>
      </c>
      <c r="L445" s="4">
        <v>13</v>
      </c>
      <c r="M445" s="4">
        <v>3</v>
      </c>
      <c r="N445" s="4" t="s">
        <v>6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3" x14ac:dyDescent="0.2">
      <c r="A446" s="4">
        <v>50</v>
      </c>
      <c r="B446" s="4">
        <v>0</v>
      </c>
      <c r="C446" s="4">
        <v>0</v>
      </c>
      <c r="D446" s="4">
        <v>1</v>
      </c>
      <c r="E446" s="4">
        <v>205</v>
      </c>
      <c r="F446" s="4">
        <f>ROUND(Source!S431,O446)</f>
        <v>9630.9599999999991</v>
      </c>
      <c r="G446" s="4" t="s">
        <v>156</v>
      </c>
      <c r="H446" s="4" t="s">
        <v>157</v>
      </c>
      <c r="I446" s="4"/>
      <c r="J446" s="4"/>
      <c r="K446" s="4">
        <v>205</v>
      </c>
      <c r="L446" s="4">
        <v>14</v>
      </c>
      <c r="M446" s="4">
        <v>3</v>
      </c>
      <c r="N446" s="4" t="s">
        <v>6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3" x14ac:dyDescent="0.2">
      <c r="A447" s="4">
        <v>50</v>
      </c>
      <c r="B447" s="4">
        <v>0</v>
      </c>
      <c r="C447" s="4">
        <v>0</v>
      </c>
      <c r="D447" s="4">
        <v>1</v>
      </c>
      <c r="E447" s="4">
        <v>232</v>
      </c>
      <c r="F447" s="4">
        <f>ROUND(Source!BC431,O447)</f>
        <v>0</v>
      </c>
      <c r="G447" s="4" t="s">
        <v>158</v>
      </c>
      <c r="H447" s="4" t="s">
        <v>159</v>
      </c>
      <c r="I447" s="4"/>
      <c r="J447" s="4"/>
      <c r="K447" s="4">
        <v>232</v>
      </c>
      <c r="L447" s="4">
        <v>15</v>
      </c>
      <c r="M447" s="4">
        <v>3</v>
      </c>
      <c r="N447" s="4" t="s">
        <v>6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8" spans="1:23" x14ac:dyDescent="0.2">
      <c r="A448" s="4">
        <v>50</v>
      </c>
      <c r="B448" s="4">
        <v>0</v>
      </c>
      <c r="C448" s="4">
        <v>0</v>
      </c>
      <c r="D448" s="4">
        <v>1</v>
      </c>
      <c r="E448" s="4">
        <v>214</v>
      </c>
      <c r="F448" s="4">
        <f>ROUND(Source!AS431,O448)</f>
        <v>105.06</v>
      </c>
      <c r="G448" s="4" t="s">
        <v>160</v>
      </c>
      <c r="H448" s="4" t="s">
        <v>161</v>
      </c>
      <c r="I448" s="4"/>
      <c r="J448" s="4"/>
      <c r="K448" s="4">
        <v>214</v>
      </c>
      <c r="L448" s="4">
        <v>16</v>
      </c>
      <c r="M448" s="4">
        <v>3</v>
      </c>
      <c r="N448" s="4" t="s">
        <v>6</v>
      </c>
      <c r="O448" s="4">
        <v>2</v>
      </c>
      <c r="P448" s="4"/>
      <c r="Q448" s="4"/>
      <c r="R448" s="4"/>
      <c r="S448" s="4"/>
      <c r="T448" s="4"/>
      <c r="U448" s="4"/>
      <c r="V448" s="4"/>
      <c r="W448" s="4"/>
    </row>
    <row r="449" spans="1:206" x14ac:dyDescent="0.2">
      <c r="A449" s="4">
        <v>50</v>
      </c>
      <c r="B449" s="4">
        <v>0</v>
      </c>
      <c r="C449" s="4">
        <v>0</v>
      </c>
      <c r="D449" s="4">
        <v>1</v>
      </c>
      <c r="E449" s="4">
        <v>215</v>
      </c>
      <c r="F449" s="4">
        <f>ROUND(Source!AT431,O449)</f>
        <v>303742.19</v>
      </c>
      <c r="G449" s="4" t="s">
        <v>162</v>
      </c>
      <c r="H449" s="4" t="s">
        <v>163</v>
      </c>
      <c r="I449" s="4"/>
      <c r="J449" s="4"/>
      <c r="K449" s="4">
        <v>215</v>
      </c>
      <c r="L449" s="4">
        <v>17</v>
      </c>
      <c r="M449" s="4">
        <v>3</v>
      </c>
      <c r="N449" s="4" t="s">
        <v>6</v>
      </c>
      <c r="O449" s="4">
        <v>2</v>
      </c>
      <c r="P449" s="4"/>
      <c r="Q449" s="4"/>
      <c r="R449" s="4"/>
      <c r="S449" s="4"/>
      <c r="T449" s="4"/>
      <c r="U449" s="4"/>
      <c r="V449" s="4"/>
      <c r="W449" s="4"/>
    </row>
    <row r="450" spans="1:206" x14ac:dyDescent="0.2">
      <c r="A450" s="4">
        <v>50</v>
      </c>
      <c r="B450" s="4">
        <v>0</v>
      </c>
      <c r="C450" s="4">
        <v>0</v>
      </c>
      <c r="D450" s="4">
        <v>1</v>
      </c>
      <c r="E450" s="4">
        <v>217</v>
      </c>
      <c r="F450" s="4">
        <f>ROUND(Source!AU431,O450)</f>
        <v>0</v>
      </c>
      <c r="G450" s="4" t="s">
        <v>164</v>
      </c>
      <c r="H450" s="4" t="s">
        <v>165</v>
      </c>
      <c r="I450" s="4"/>
      <c r="J450" s="4"/>
      <c r="K450" s="4">
        <v>217</v>
      </c>
      <c r="L450" s="4">
        <v>18</v>
      </c>
      <c r="M450" s="4">
        <v>3</v>
      </c>
      <c r="N450" s="4" t="s">
        <v>6</v>
      </c>
      <c r="O450" s="4">
        <v>2</v>
      </c>
      <c r="P450" s="4"/>
      <c r="Q450" s="4"/>
      <c r="R450" s="4"/>
      <c r="S450" s="4"/>
      <c r="T450" s="4"/>
      <c r="U450" s="4"/>
      <c r="V450" s="4"/>
      <c r="W450" s="4"/>
    </row>
    <row r="451" spans="1:206" x14ac:dyDescent="0.2">
      <c r="A451" s="4">
        <v>50</v>
      </c>
      <c r="B451" s="4">
        <v>0</v>
      </c>
      <c r="C451" s="4">
        <v>0</v>
      </c>
      <c r="D451" s="4">
        <v>1</v>
      </c>
      <c r="E451" s="4">
        <v>230</v>
      </c>
      <c r="F451" s="4">
        <f>ROUND(Source!BA431,O451)</f>
        <v>0</v>
      </c>
      <c r="G451" s="4" t="s">
        <v>166</v>
      </c>
      <c r="H451" s="4" t="s">
        <v>167</v>
      </c>
      <c r="I451" s="4"/>
      <c r="J451" s="4"/>
      <c r="K451" s="4">
        <v>230</v>
      </c>
      <c r="L451" s="4">
        <v>19</v>
      </c>
      <c r="M451" s="4">
        <v>3</v>
      </c>
      <c r="N451" s="4" t="s">
        <v>6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06" x14ac:dyDescent="0.2">
      <c r="A452" s="4">
        <v>50</v>
      </c>
      <c r="B452" s="4">
        <v>0</v>
      </c>
      <c r="C452" s="4">
        <v>0</v>
      </c>
      <c r="D452" s="4">
        <v>1</v>
      </c>
      <c r="E452" s="4">
        <v>206</v>
      </c>
      <c r="F452" s="4">
        <f>ROUND(Source!T431,O452)</f>
        <v>0</v>
      </c>
      <c r="G452" s="4" t="s">
        <v>168</v>
      </c>
      <c r="H452" s="4" t="s">
        <v>169</v>
      </c>
      <c r="I452" s="4"/>
      <c r="J452" s="4"/>
      <c r="K452" s="4">
        <v>206</v>
      </c>
      <c r="L452" s="4">
        <v>20</v>
      </c>
      <c r="M452" s="4">
        <v>3</v>
      </c>
      <c r="N452" s="4" t="s">
        <v>6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06" x14ac:dyDescent="0.2">
      <c r="A453" s="4">
        <v>50</v>
      </c>
      <c r="B453" s="4">
        <v>0</v>
      </c>
      <c r="C453" s="4">
        <v>0</v>
      </c>
      <c r="D453" s="4">
        <v>1</v>
      </c>
      <c r="E453" s="4">
        <v>207</v>
      </c>
      <c r="F453" s="4">
        <f>Source!U431</f>
        <v>153.54939999999999</v>
      </c>
      <c r="G453" s="4" t="s">
        <v>170</v>
      </c>
      <c r="H453" s="4" t="s">
        <v>171</v>
      </c>
      <c r="I453" s="4"/>
      <c r="J453" s="4"/>
      <c r="K453" s="4">
        <v>207</v>
      </c>
      <c r="L453" s="4">
        <v>21</v>
      </c>
      <c r="M453" s="4">
        <v>3</v>
      </c>
      <c r="N453" s="4" t="s">
        <v>6</v>
      </c>
      <c r="O453" s="4">
        <v>-1</v>
      </c>
      <c r="P453" s="4"/>
      <c r="Q453" s="4"/>
      <c r="R453" s="4"/>
      <c r="S453" s="4"/>
      <c r="T453" s="4"/>
      <c r="U453" s="4"/>
      <c r="V453" s="4"/>
      <c r="W453" s="4"/>
    </row>
    <row r="454" spans="1:206" x14ac:dyDescent="0.2">
      <c r="A454" s="4">
        <v>50</v>
      </c>
      <c r="B454" s="4">
        <v>0</v>
      </c>
      <c r="C454" s="4">
        <v>0</v>
      </c>
      <c r="D454" s="4">
        <v>1</v>
      </c>
      <c r="E454" s="4">
        <v>208</v>
      </c>
      <c r="F454" s="4">
        <f>Source!V431</f>
        <v>2.7536000000000005</v>
      </c>
      <c r="G454" s="4" t="s">
        <v>172</v>
      </c>
      <c r="H454" s="4" t="s">
        <v>173</v>
      </c>
      <c r="I454" s="4"/>
      <c r="J454" s="4"/>
      <c r="K454" s="4">
        <v>208</v>
      </c>
      <c r="L454" s="4">
        <v>22</v>
      </c>
      <c r="M454" s="4">
        <v>3</v>
      </c>
      <c r="N454" s="4" t="s">
        <v>6</v>
      </c>
      <c r="O454" s="4">
        <v>-1</v>
      </c>
      <c r="P454" s="4"/>
      <c r="Q454" s="4"/>
      <c r="R454" s="4"/>
      <c r="S454" s="4"/>
      <c r="T454" s="4"/>
      <c r="U454" s="4"/>
      <c r="V454" s="4"/>
      <c r="W454" s="4"/>
    </row>
    <row r="455" spans="1:206" x14ac:dyDescent="0.2">
      <c r="A455" s="4">
        <v>50</v>
      </c>
      <c r="B455" s="4">
        <v>0</v>
      </c>
      <c r="C455" s="4">
        <v>0</v>
      </c>
      <c r="D455" s="4">
        <v>1</v>
      </c>
      <c r="E455" s="4">
        <v>209</v>
      </c>
      <c r="F455" s="4">
        <f>ROUND(Source!W431,O455)</f>
        <v>0</v>
      </c>
      <c r="G455" s="4" t="s">
        <v>174</v>
      </c>
      <c r="H455" s="4" t="s">
        <v>175</v>
      </c>
      <c r="I455" s="4"/>
      <c r="J455" s="4"/>
      <c r="K455" s="4">
        <v>209</v>
      </c>
      <c r="L455" s="4">
        <v>23</v>
      </c>
      <c r="M455" s="4">
        <v>3</v>
      </c>
      <c r="N455" s="4" t="s">
        <v>6</v>
      </c>
      <c r="O455" s="4">
        <v>2</v>
      </c>
      <c r="P455" s="4"/>
      <c r="Q455" s="4"/>
      <c r="R455" s="4"/>
      <c r="S455" s="4"/>
      <c r="T455" s="4"/>
      <c r="U455" s="4"/>
      <c r="V455" s="4"/>
      <c r="W455" s="4"/>
    </row>
    <row r="456" spans="1:206" x14ac:dyDescent="0.2">
      <c r="A456" s="4">
        <v>50</v>
      </c>
      <c r="B456" s="4">
        <v>0</v>
      </c>
      <c r="C456" s="4">
        <v>0</v>
      </c>
      <c r="D456" s="4">
        <v>1</v>
      </c>
      <c r="E456" s="4">
        <v>210</v>
      </c>
      <c r="F456" s="4">
        <f>ROUND(Source!X431,O456)</f>
        <v>9335.57</v>
      </c>
      <c r="G456" s="4" t="s">
        <v>176</v>
      </c>
      <c r="H456" s="4" t="s">
        <v>177</v>
      </c>
      <c r="I456" s="4"/>
      <c r="J456" s="4"/>
      <c r="K456" s="4">
        <v>210</v>
      </c>
      <c r="L456" s="4">
        <v>24</v>
      </c>
      <c r="M456" s="4">
        <v>3</v>
      </c>
      <c r="N456" s="4" t="s">
        <v>6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06" x14ac:dyDescent="0.2">
      <c r="A457" s="4">
        <v>50</v>
      </c>
      <c r="B457" s="4">
        <v>0</v>
      </c>
      <c r="C457" s="4">
        <v>0</v>
      </c>
      <c r="D457" s="4">
        <v>1</v>
      </c>
      <c r="E457" s="4">
        <v>211</v>
      </c>
      <c r="F457" s="4">
        <f>ROUND(Source!Y431,O457)</f>
        <v>6385.95</v>
      </c>
      <c r="G457" s="4" t="s">
        <v>178</v>
      </c>
      <c r="H457" s="4" t="s">
        <v>179</v>
      </c>
      <c r="I457" s="4"/>
      <c r="J457" s="4"/>
      <c r="K457" s="4">
        <v>211</v>
      </c>
      <c r="L457" s="4">
        <v>25</v>
      </c>
      <c r="M457" s="4">
        <v>3</v>
      </c>
      <c r="N457" s="4" t="s">
        <v>6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06" x14ac:dyDescent="0.2">
      <c r="A458" s="4">
        <v>50</v>
      </c>
      <c r="B458" s="4">
        <v>0</v>
      </c>
      <c r="C458" s="4">
        <v>0</v>
      </c>
      <c r="D458" s="4">
        <v>1</v>
      </c>
      <c r="E458" s="4">
        <v>224</v>
      </c>
      <c r="F458" s="4">
        <f>ROUND(Source!AR431,O458)</f>
        <v>303847.25</v>
      </c>
      <c r="G458" s="4" t="s">
        <v>180</v>
      </c>
      <c r="H458" s="4" t="s">
        <v>181</v>
      </c>
      <c r="I458" s="4"/>
      <c r="J458" s="4"/>
      <c r="K458" s="4">
        <v>224</v>
      </c>
      <c r="L458" s="4">
        <v>26</v>
      </c>
      <c r="M458" s="4">
        <v>3</v>
      </c>
      <c r="N458" s="4" t="s">
        <v>6</v>
      </c>
      <c r="O458" s="4">
        <v>2</v>
      </c>
      <c r="P458" s="4"/>
      <c r="Q458" s="4"/>
      <c r="R458" s="4"/>
      <c r="S458" s="4"/>
      <c r="T458" s="4"/>
      <c r="U458" s="4"/>
      <c r="V458" s="4"/>
      <c r="W458" s="4"/>
    </row>
    <row r="460" spans="1:206" x14ac:dyDescent="0.2">
      <c r="A460" s="2">
        <v>51</v>
      </c>
      <c r="B460" s="2">
        <f>B276</f>
        <v>1</v>
      </c>
      <c r="C460" s="2">
        <f>A276</f>
        <v>4</v>
      </c>
      <c r="D460" s="2">
        <f>ROW(A276)</f>
        <v>276</v>
      </c>
      <c r="E460" s="2"/>
      <c r="F460" s="2" t="str">
        <f>IF(F276&lt;&gt;"",F276,"")</f>
        <v>Новый раздел</v>
      </c>
      <c r="G460" s="2" t="str">
        <f>IF(G276&lt;&gt;"",G276,"")</f>
        <v>2 Электромонтажные работы</v>
      </c>
      <c r="H460" s="2">
        <v>0</v>
      </c>
      <c r="I460" s="2"/>
      <c r="J460" s="2"/>
      <c r="K460" s="2"/>
      <c r="L460" s="2"/>
      <c r="M460" s="2"/>
      <c r="N460" s="2"/>
      <c r="O460" s="2">
        <f t="shared" ref="O460:T460" si="363">ROUND(O290+O356+O431+AB460,2)</f>
        <v>719362.61</v>
      </c>
      <c r="P460" s="2">
        <f t="shared" si="363"/>
        <v>683094.19</v>
      </c>
      <c r="Q460" s="2">
        <f t="shared" si="363"/>
        <v>7151.12</v>
      </c>
      <c r="R460" s="2">
        <f t="shared" si="363"/>
        <v>824.75</v>
      </c>
      <c r="S460" s="2">
        <f t="shared" si="363"/>
        <v>29117.3</v>
      </c>
      <c r="T460" s="2">
        <f t="shared" si="363"/>
        <v>0</v>
      </c>
      <c r="U460" s="2">
        <f>U290+U356+U431+AH460</f>
        <v>466.50174999999996</v>
      </c>
      <c r="V460" s="2">
        <f>V290+V356+V431+AI460</f>
        <v>10.064600000000002</v>
      </c>
      <c r="W460" s="2">
        <f>ROUND(W290+W356+W431+AJ460,2)</f>
        <v>0</v>
      </c>
      <c r="X460" s="2">
        <f>ROUND(X290+X356+X431+AK460,2)</f>
        <v>27802.31</v>
      </c>
      <c r="Y460" s="2">
        <f>ROUND(Y290+Y356+Y431+AL460,2)</f>
        <v>19304.009999999998</v>
      </c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>
        <f t="shared" ref="AO460:BC460" si="364">ROUND(AO290+AO356+AO431+BX460,2)</f>
        <v>0</v>
      </c>
      <c r="AP460" s="2">
        <f t="shared" si="364"/>
        <v>0</v>
      </c>
      <c r="AQ460" s="2">
        <f t="shared" si="364"/>
        <v>0</v>
      </c>
      <c r="AR460" s="2">
        <f t="shared" si="364"/>
        <v>766468.93</v>
      </c>
      <c r="AS460" s="2">
        <f t="shared" si="364"/>
        <v>5083.41</v>
      </c>
      <c r="AT460" s="2">
        <f t="shared" si="364"/>
        <v>761385.52</v>
      </c>
      <c r="AU460" s="2">
        <f t="shared" si="364"/>
        <v>0</v>
      </c>
      <c r="AV460" s="2">
        <f t="shared" si="364"/>
        <v>683094.19</v>
      </c>
      <c r="AW460" s="2">
        <f t="shared" si="364"/>
        <v>683094.19</v>
      </c>
      <c r="AX460" s="2">
        <f t="shared" si="364"/>
        <v>0</v>
      </c>
      <c r="AY460" s="2">
        <f t="shared" si="364"/>
        <v>683094.19</v>
      </c>
      <c r="AZ460" s="2">
        <f t="shared" si="364"/>
        <v>0</v>
      </c>
      <c r="BA460" s="2">
        <f t="shared" si="364"/>
        <v>0</v>
      </c>
      <c r="BB460" s="2">
        <f t="shared" si="364"/>
        <v>0</v>
      </c>
      <c r="BC460" s="2">
        <f t="shared" si="364"/>
        <v>0</v>
      </c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3"/>
      <c r="EF460" s="3"/>
      <c r="EG460" s="3"/>
      <c r="EH460" s="3"/>
      <c r="EI460" s="3"/>
      <c r="EJ460" s="3"/>
      <c r="EK460" s="3"/>
      <c r="EL460" s="3"/>
      <c r="EM460" s="3"/>
      <c r="EN460" s="3"/>
      <c r="EO460" s="3"/>
      <c r="EP460" s="3"/>
      <c r="EQ460" s="3"/>
      <c r="ER460" s="3"/>
      <c r="ES460" s="3"/>
      <c r="ET460" s="3"/>
      <c r="EU460" s="3"/>
      <c r="EV460" s="3"/>
      <c r="EW460" s="3"/>
      <c r="EX460" s="3"/>
      <c r="EY460" s="3"/>
      <c r="EZ460" s="3"/>
      <c r="FA460" s="3"/>
      <c r="FB460" s="3"/>
      <c r="FC460" s="3"/>
      <c r="FD460" s="3"/>
      <c r="FE460" s="3"/>
      <c r="FF460" s="3"/>
      <c r="FG460" s="3"/>
      <c r="FH460" s="3"/>
      <c r="FI460" s="3"/>
      <c r="FJ460" s="3"/>
      <c r="FK460" s="3"/>
      <c r="FL460" s="3"/>
      <c r="FM460" s="3"/>
      <c r="FN460" s="3"/>
      <c r="FO460" s="3"/>
      <c r="FP460" s="3"/>
      <c r="FQ460" s="3"/>
      <c r="FR460" s="3"/>
      <c r="FS460" s="3"/>
      <c r="FT460" s="3"/>
      <c r="FU460" s="3"/>
      <c r="FV460" s="3"/>
      <c r="FW460" s="3"/>
      <c r="FX460" s="3"/>
      <c r="FY460" s="3"/>
      <c r="FZ460" s="3"/>
      <c r="GA460" s="3"/>
      <c r="GB460" s="3"/>
      <c r="GC460" s="3"/>
      <c r="GD460" s="3"/>
      <c r="GE460" s="3"/>
      <c r="GF460" s="3"/>
      <c r="GG460" s="3"/>
      <c r="GH460" s="3"/>
      <c r="GI460" s="3"/>
      <c r="GJ460" s="3"/>
      <c r="GK460" s="3"/>
      <c r="GL460" s="3"/>
      <c r="GM460" s="3"/>
      <c r="GN460" s="3"/>
      <c r="GO460" s="3"/>
      <c r="GP460" s="3"/>
      <c r="GQ460" s="3"/>
      <c r="GR460" s="3"/>
      <c r="GS460" s="3"/>
      <c r="GT460" s="3"/>
      <c r="GU460" s="3"/>
      <c r="GV460" s="3"/>
      <c r="GW460" s="3"/>
      <c r="GX460" s="3">
        <v>0</v>
      </c>
    </row>
    <row r="462" spans="1:206" x14ac:dyDescent="0.2">
      <c r="A462" s="4">
        <v>50</v>
      </c>
      <c r="B462" s="4">
        <v>0</v>
      </c>
      <c r="C462" s="4">
        <v>0</v>
      </c>
      <c r="D462" s="4">
        <v>1</v>
      </c>
      <c r="E462" s="4">
        <v>201</v>
      </c>
      <c r="F462" s="4">
        <f>ROUND(Source!O460,O462)</f>
        <v>719362.61</v>
      </c>
      <c r="G462" s="4" t="s">
        <v>130</v>
      </c>
      <c r="H462" s="4" t="s">
        <v>131</v>
      </c>
      <c r="I462" s="4"/>
      <c r="J462" s="4"/>
      <c r="K462" s="4">
        <v>201</v>
      </c>
      <c r="L462" s="4">
        <v>1</v>
      </c>
      <c r="M462" s="4">
        <v>3</v>
      </c>
      <c r="N462" s="4" t="s">
        <v>6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06" x14ac:dyDescent="0.2">
      <c r="A463" s="4">
        <v>50</v>
      </c>
      <c r="B463" s="4">
        <v>0</v>
      </c>
      <c r="C463" s="4">
        <v>0</v>
      </c>
      <c r="D463" s="4">
        <v>1</v>
      </c>
      <c r="E463" s="4">
        <v>202</v>
      </c>
      <c r="F463" s="4">
        <f>ROUND(Source!P460,O463)</f>
        <v>683094.19</v>
      </c>
      <c r="G463" s="4" t="s">
        <v>132</v>
      </c>
      <c r="H463" s="4" t="s">
        <v>133</v>
      </c>
      <c r="I463" s="4"/>
      <c r="J463" s="4"/>
      <c r="K463" s="4">
        <v>202</v>
      </c>
      <c r="L463" s="4">
        <v>2</v>
      </c>
      <c r="M463" s="4">
        <v>3</v>
      </c>
      <c r="N463" s="4" t="s">
        <v>6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06" x14ac:dyDescent="0.2">
      <c r="A464" s="4">
        <v>50</v>
      </c>
      <c r="B464" s="4">
        <v>0</v>
      </c>
      <c r="C464" s="4">
        <v>0</v>
      </c>
      <c r="D464" s="4">
        <v>1</v>
      </c>
      <c r="E464" s="4">
        <v>222</v>
      </c>
      <c r="F464" s="4">
        <f>ROUND(Source!AO460,O464)</f>
        <v>0</v>
      </c>
      <c r="G464" s="4" t="s">
        <v>134</v>
      </c>
      <c r="H464" s="4" t="s">
        <v>135</v>
      </c>
      <c r="I464" s="4"/>
      <c r="J464" s="4"/>
      <c r="K464" s="4">
        <v>222</v>
      </c>
      <c r="L464" s="4">
        <v>3</v>
      </c>
      <c r="M464" s="4">
        <v>3</v>
      </c>
      <c r="N464" s="4" t="s">
        <v>6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5" spans="1:23" x14ac:dyDescent="0.2">
      <c r="A465" s="4">
        <v>50</v>
      </c>
      <c r="B465" s="4">
        <v>0</v>
      </c>
      <c r="C465" s="4">
        <v>0</v>
      </c>
      <c r="D465" s="4">
        <v>1</v>
      </c>
      <c r="E465" s="4">
        <v>225</v>
      </c>
      <c r="F465" s="4">
        <f>ROUND(Source!AV460,O465)</f>
        <v>683094.19</v>
      </c>
      <c r="G465" s="4" t="s">
        <v>136</v>
      </c>
      <c r="H465" s="4" t="s">
        <v>137</v>
      </c>
      <c r="I465" s="4"/>
      <c r="J465" s="4"/>
      <c r="K465" s="4">
        <v>225</v>
      </c>
      <c r="L465" s="4">
        <v>4</v>
      </c>
      <c r="M465" s="4">
        <v>3</v>
      </c>
      <c r="N465" s="4" t="s">
        <v>6</v>
      </c>
      <c r="O465" s="4">
        <v>2</v>
      </c>
      <c r="P465" s="4"/>
      <c r="Q465" s="4"/>
      <c r="R465" s="4"/>
      <c r="S465" s="4"/>
      <c r="T465" s="4"/>
      <c r="U465" s="4"/>
      <c r="V465" s="4"/>
      <c r="W465" s="4"/>
    </row>
    <row r="466" spans="1:23" x14ac:dyDescent="0.2">
      <c r="A466" s="4">
        <v>50</v>
      </c>
      <c r="B466" s="4">
        <v>0</v>
      </c>
      <c r="C466" s="4">
        <v>0</v>
      </c>
      <c r="D466" s="4">
        <v>1</v>
      </c>
      <c r="E466" s="4">
        <v>226</v>
      </c>
      <c r="F466" s="4">
        <f>ROUND(Source!AW460,O466)</f>
        <v>683094.19</v>
      </c>
      <c r="G466" s="4" t="s">
        <v>138</v>
      </c>
      <c r="H466" s="4" t="s">
        <v>139</v>
      </c>
      <c r="I466" s="4"/>
      <c r="J466" s="4"/>
      <c r="K466" s="4">
        <v>226</v>
      </c>
      <c r="L466" s="4">
        <v>5</v>
      </c>
      <c r="M466" s="4">
        <v>3</v>
      </c>
      <c r="N466" s="4" t="s">
        <v>6</v>
      </c>
      <c r="O466" s="4">
        <v>2</v>
      </c>
      <c r="P466" s="4"/>
      <c r="Q466" s="4"/>
      <c r="R466" s="4"/>
      <c r="S466" s="4"/>
      <c r="T466" s="4"/>
      <c r="U466" s="4"/>
      <c r="V466" s="4"/>
      <c r="W466" s="4"/>
    </row>
    <row r="467" spans="1:23" x14ac:dyDescent="0.2">
      <c r="A467" s="4">
        <v>50</v>
      </c>
      <c r="B467" s="4">
        <v>0</v>
      </c>
      <c r="C467" s="4">
        <v>0</v>
      </c>
      <c r="D467" s="4">
        <v>1</v>
      </c>
      <c r="E467" s="4">
        <v>227</v>
      </c>
      <c r="F467" s="4">
        <f>ROUND(Source!AX460,O467)</f>
        <v>0</v>
      </c>
      <c r="G467" s="4" t="s">
        <v>140</v>
      </c>
      <c r="H467" s="4" t="s">
        <v>141</v>
      </c>
      <c r="I467" s="4"/>
      <c r="J467" s="4"/>
      <c r="K467" s="4">
        <v>227</v>
      </c>
      <c r="L467" s="4">
        <v>6</v>
      </c>
      <c r="M467" s="4">
        <v>3</v>
      </c>
      <c r="N467" s="4" t="s">
        <v>6</v>
      </c>
      <c r="O467" s="4">
        <v>2</v>
      </c>
      <c r="P467" s="4"/>
      <c r="Q467" s="4"/>
      <c r="R467" s="4"/>
      <c r="S467" s="4"/>
      <c r="T467" s="4"/>
      <c r="U467" s="4"/>
      <c r="V467" s="4"/>
      <c r="W467" s="4"/>
    </row>
    <row r="468" spans="1:23" x14ac:dyDescent="0.2">
      <c r="A468" s="4">
        <v>50</v>
      </c>
      <c r="B468" s="4">
        <v>0</v>
      </c>
      <c r="C468" s="4">
        <v>0</v>
      </c>
      <c r="D468" s="4">
        <v>1</v>
      </c>
      <c r="E468" s="4">
        <v>228</v>
      </c>
      <c r="F468" s="4">
        <f>ROUND(Source!AY460,O468)</f>
        <v>683094.19</v>
      </c>
      <c r="G468" s="4" t="s">
        <v>142</v>
      </c>
      <c r="H468" s="4" t="s">
        <v>143</v>
      </c>
      <c r="I468" s="4"/>
      <c r="J468" s="4"/>
      <c r="K468" s="4">
        <v>228</v>
      </c>
      <c r="L468" s="4">
        <v>7</v>
      </c>
      <c r="M468" s="4">
        <v>3</v>
      </c>
      <c r="N468" s="4" t="s">
        <v>6</v>
      </c>
      <c r="O468" s="4">
        <v>2</v>
      </c>
      <c r="P468" s="4"/>
      <c r="Q468" s="4"/>
      <c r="R468" s="4"/>
      <c r="S468" s="4"/>
      <c r="T468" s="4"/>
      <c r="U468" s="4"/>
      <c r="V468" s="4"/>
      <c r="W468" s="4"/>
    </row>
    <row r="469" spans="1:23" x14ac:dyDescent="0.2">
      <c r="A469" s="4">
        <v>50</v>
      </c>
      <c r="B469" s="4">
        <v>0</v>
      </c>
      <c r="C469" s="4">
        <v>0</v>
      </c>
      <c r="D469" s="4">
        <v>1</v>
      </c>
      <c r="E469" s="4">
        <v>216</v>
      </c>
      <c r="F469" s="4">
        <f>ROUND(Source!AP460,O469)</f>
        <v>0</v>
      </c>
      <c r="G469" s="4" t="s">
        <v>144</v>
      </c>
      <c r="H469" s="4" t="s">
        <v>145</v>
      </c>
      <c r="I469" s="4"/>
      <c r="J469" s="4"/>
      <c r="K469" s="4">
        <v>216</v>
      </c>
      <c r="L469" s="4">
        <v>8</v>
      </c>
      <c r="M469" s="4">
        <v>3</v>
      </c>
      <c r="N469" s="4" t="s">
        <v>6</v>
      </c>
      <c r="O469" s="4">
        <v>2</v>
      </c>
      <c r="P469" s="4"/>
      <c r="Q469" s="4"/>
      <c r="R469" s="4"/>
      <c r="S469" s="4"/>
      <c r="T469" s="4"/>
      <c r="U469" s="4"/>
      <c r="V469" s="4"/>
      <c r="W469" s="4"/>
    </row>
    <row r="470" spans="1:23" x14ac:dyDescent="0.2">
      <c r="A470" s="4">
        <v>50</v>
      </c>
      <c r="B470" s="4">
        <v>0</v>
      </c>
      <c r="C470" s="4">
        <v>0</v>
      </c>
      <c r="D470" s="4">
        <v>1</v>
      </c>
      <c r="E470" s="4">
        <v>223</v>
      </c>
      <c r="F470" s="4">
        <f>ROUND(Source!AQ460,O470)</f>
        <v>0</v>
      </c>
      <c r="G470" s="4" t="s">
        <v>146</v>
      </c>
      <c r="H470" s="4" t="s">
        <v>147</v>
      </c>
      <c r="I470" s="4"/>
      <c r="J470" s="4"/>
      <c r="K470" s="4">
        <v>223</v>
      </c>
      <c r="L470" s="4">
        <v>9</v>
      </c>
      <c r="M470" s="4">
        <v>3</v>
      </c>
      <c r="N470" s="4" t="s">
        <v>6</v>
      </c>
      <c r="O470" s="4">
        <v>2</v>
      </c>
      <c r="P470" s="4"/>
      <c r="Q470" s="4"/>
      <c r="R470" s="4"/>
      <c r="S470" s="4"/>
      <c r="T470" s="4"/>
      <c r="U470" s="4"/>
      <c r="V470" s="4"/>
      <c r="W470" s="4"/>
    </row>
    <row r="471" spans="1:23" x14ac:dyDescent="0.2">
      <c r="A471" s="4">
        <v>50</v>
      </c>
      <c r="B471" s="4">
        <v>0</v>
      </c>
      <c r="C471" s="4">
        <v>0</v>
      </c>
      <c r="D471" s="4">
        <v>1</v>
      </c>
      <c r="E471" s="4">
        <v>229</v>
      </c>
      <c r="F471" s="4">
        <f>ROUND(Source!AZ460,O471)</f>
        <v>0</v>
      </c>
      <c r="G471" s="4" t="s">
        <v>148</v>
      </c>
      <c r="H471" s="4" t="s">
        <v>149</v>
      </c>
      <c r="I471" s="4"/>
      <c r="J471" s="4"/>
      <c r="K471" s="4">
        <v>229</v>
      </c>
      <c r="L471" s="4">
        <v>10</v>
      </c>
      <c r="M471" s="4">
        <v>3</v>
      </c>
      <c r="N471" s="4" t="s">
        <v>6</v>
      </c>
      <c r="O471" s="4">
        <v>2</v>
      </c>
      <c r="P471" s="4"/>
      <c r="Q471" s="4"/>
      <c r="R471" s="4"/>
      <c r="S471" s="4"/>
      <c r="T471" s="4"/>
      <c r="U471" s="4"/>
      <c r="V471" s="4"/>
      <c r="W471" s="4"/>
    </row>
    <row r="472" spans="1:23" x14ac:dyDescent="0.2">
      <c r="A472" s="4">
        <v>50</v>
      </c>
      <c r="B472" s="4">
        <v>0</v>
      </c>
      <c r="C472" s="4">
        <v>0</v>
      </c>
      <c r="D472" s="4">
        <v>1</v>
      </c>
      <c r="E472" s="4">
        <v>203</v>
      </c>
      <c r="F472" s="4">
        <f>ROUND(Source!Q460,O472)</f>
        <v>7151.12</v>
      </c>
      <c r="G472" s="4" t="s">
        <v>150</v>
      </c>
      <c r="H472" s="4" t="s">
        <v>151</v>
      </c>
      <c r="I472" s="4"/>
      <c r="J472" s="4"/>
      <c r="K472" s="4">
        <v>203</v>
      </c>
      <c r="L472" s="4">
        <v>11</v>
      </c>
      <c r="M472" s="4">
        <v>3</v>
      </c>
      <c r="N472" s="4" t="s">
        <v>6</v>
      </c>
      <c r="O472" s="4">
        <v>2</v>
      </c>
      <c r="P472" s="4"/>
      <c r="Q472" s="4"/>
      <c r="R472" s="4"/>
      <c r="S472" s="4"/>
      <c r="T472" s="4"/>
      <c r="U472" s="4"/>
      <c r="V472" s="4"/>
      <c r="W472" s="4"/>
    </row>
    <row r="473" spans="1:23" x14ac:dyDescent="0.2">
      <c r="A473" s="4">
        <v>50</v>
      </c>
      <c r="B473" s="4">
        <v>0</v>
      </c>
      <c r="C473" s="4">
        <v>0</v>
      </c>
      <c r="D473" s="4">
        <v>1</v>
      </c>
      <c r="E473" s="4">
        <v>231</v>
      </c>
      <c r="F473" s="4">
        <f>ROUND(Source!BB460,O473)</f>
        <v>0</v>
      </c>
      <c r="G473" s="4" t="s">
        <v>152</v>
      </c>
      <c r="H473" s="4" t="s">
        <v>153</v>
      </c>
      <c r="I473" s="4"/>
      <c r="J473" s="4"/>
      <c r="K473" s="4">
        <v>231</v>
      </c>
      <c r="L473" s="4">
        <v>12</v>
      </c>
      <c r="M473" s="4">
        <v>3</v>
      </c>
      <c r="N473" s="4" t="s">
        <v>6</v>
      </c>
      <c r="O473" s="4">
        <v>2</v>
      </c>
      <c r="P473" s="4"/>
      <c r="Q473" s="4"/>
      <c r="R473" s="4"/>
      <c r="S473" s="4"/>
      <c r="T473" s="4"/>
      <c r="U473" s="4"/>
      <c r="V473" s="4"/>
      <c r="W473" s="4"/>
    </row>
    <row r="474" spans="1:23" x14ac:dyDescent="0.2">
      <c r="A474" s="4">
        <v>50</v>
      </c>
      <c r="B474" s="4">
        <v>0</v>
      </c>
      <c r="C474" s="4">
        <v>0</v>
      </c>
      <c r="D474" s="4">
        <v>1</v>
      </c>
      <c r="E474" s="4">
        <v>204</v>
      </c>
      <c r="F474" s="4">
        <f>ROUND(Source!R460,O474)</f>
        <v>824.75</v>
      </c>
      <c r="G474" s="4" t="s">
        <v>154</v>
      </c>
      <c r="H474" s="4" t="s">
        <v>155</v>
      </c>
      <c r="I474" s="4"/>
      <c r="J474" s="4"/>
      <c r="K474" s="4">
        <v>204</v>
      </c>
      <c r="L474" s="4">
        <v>13</v>
      </c>
      <c r="M474" s="4">
        <v>3</v>
      </c>
      <c r="N474" s="4" t="s">
        <v>6</v>
      </c>
      <c r="O474" s="4">
        <v>2</v>
      </c>
      <c r="P474" s="4"/>
      <c r="Q474" s="4"/>
      <c r="R474" s="4"/>
      <c r="S474" s="4"/>
      <c r="T474" s="4"/>
      <c r="U474" s="4"/>
      <c r="V474" s="4"/>
      <c r="W474" s="4"/>
    </row>
    <row r="475" spans="1:23" x14ac:dyDescent="0.2">
      <c r="A475" s="4">
        <v>50</v>
      </c>
      <c r="B475" s="4">
        <v>0</v>
      </c>
      <c r="C475" s="4">
        <v>0</v>
      </c>
      <c r="D475" s="4">
        <v>1</v>
      </c>
      <c r="E475" s="4">
        <v>205</v>
      </c>
      <c r="F475" s="4">
        <f>ROUND(Source!S460,O475)</f>
        <v>29117.3</v>
      </c>
      <c r="G475" s="4" t="s">
        <v>156</v>
      </c>
      <c r="H475" s="4" t="s">
        <v>157</v>
      </c>
      <c r="I475" s="4"/>
      <c r="J475" s="4"/>
      <c r="K475" s="4">
        <v>205</v>
      </c>
      <c r="L475" s="4">
        <v>14</v>
      </c>
      <c r="M475" s="4">
        <v>3</v>
      </c>
      <c r="N475" s="4" t="s">
        <v>6</v>
      </c>
      <c r="O475" s="4">
        <v>2</v>
      </c>
      <c r="P475" s="4"/>
      <c r="Q475" s="4"/>
      <c r="R475" s="4"/>
      <c r="S475" s="4"/>
      <c r="T475" s="4"/>
      <c r="U475" s="4"/>
      <c r="V475" s="4"/>
      <c r="W475" s="4"/>
    </row>
    <row r="476" spans="1:23" x14ac:dyDescent="0.2">
      <c r="A476" s="4">
        <v>50</v>
      </c>
      <c r="B476" s="4">
        <v>0</v>
      </c>
      <c r="C476" s="4">
        <v>0</v>
      </c>
      <c r="D476" s="4">
        <v>1</v>
      </c>
      <c r="E476" s="4">
        <v>232</v>
      </c>
      <c r="F476" s="4">
        <f>ROUND(Source!BC460,O476)</f>
        <v>0</v>
      </c>
      <c r="G476" s="4" t="s">
        <v>158</v>
      </c>
      <c r="H476" s="4" t="s">
        <v>159</v>
      </c>
      <c r="I476" s="4"/>
      <c r="J476" s="4"/>
      <c r="K476" s="4">
        <v>232</v>
      </c>
      <c r="L476" s="4">
        <v>15</v>
      </c>
      <c r="M476" s="4">
        <v>3</v>
      </c>
      <c r="N476" s="4" t="s">
        <v>6</v>
      </c>
      <c r="O476" s="4">
        <v>2</v>
      </c>
      <c r="P476" s="4"/>
      <c r="Q476" s="4"/>
      <c r="R476" s="4"/>
      <c r="S476" s="4"/>
      <c r="T476" s="4"/>
      <c r="U476" s="4"/>
      <c r="V476" s="4"/>
      <c r="W476" s="4"/>
    </row>
    <row r="477" spans="1:23" x14ac:dyDescent="0.2">
      <c r="A477" s="4">
        <v>50</v>
      </c>
      <c r="B477" s="4">
        <v>0</v>
      </c>
      <c r="C477" s="4">
        <v>0</v>
      </c>
      <c r="D477" s="4">
        <v>1</v>
      </c>
      <c r="E477" s="4">
        <v>214</v>
      </c>
      <c r="F477" s="4">
        <f>ROUND(Source!AS460,O477)</f>
        <v>5083.41</v>
      </c>
      <c r="G477" s="4" t="s">
        <v>160</v>
      </c>
      <c r="H477" s="4" t="s">
        <v>161</v>
      </c>
      <c r="I477" s="4"/>
      <c r="J477" s="4"/>
      <c r="K477" s="4">
        <v>214</v>
      </c>
      <c r="L477" s="4">
        <v>16</v>
      </c>
      <c r="M477" s="4">
        <v>3</v>
      </c>
      <c r="N477" s="4" t="s">
        <v>6</v>
      </c>
      <c r="O477" s="4">
        <v>2</v>
      </c>
      <c r="P477" s="4"/>
      <c r="Q477" s="4"/>
      <c r="R477" s="4"/>
      <c r="S477" s="4"/>
      <c r="T477" s="4"/>
      <c r="U477" s="4"/>
      <c r="V477" s="4"/>
      <c r="W477" s="4"/>
    </row>
    <row r="478" spans="1:23" x14ac:dyDescent="0.2">
      <c r="A478" s="4">
        <v>50</v>
      </c>
      <c r="B478" s="4">
        <v>0</v>
      </c>
      <c r="C478" s="4">
        <v>0</v>
      </c>
      <c r="D478" s="4">
        <v>1</v>
      </c>
      <c r="E478" s="4">
        <v>215</v>
      </c>
      <c r="F478" s="4">
        <f>ROUND(Source!AT460,O478)</f>
        <v>761385.52</v>
      </c>
      <c r="G478" s="4" t="s">
        <v>162</v>
      </c>
      <c r="H478" s="4" t="s">
        <v>163</v>
      </c>
      <c r="I478" s="4"/>
      <c r="J478" s="4"/>
      <c r="K478" s="4">
        <v>215</v>
      </c>
      <c r="L478" s="4">
        <v>17</v>
      </c>
      <c r="M478" s="4">
        <v>3</v>
      </c>
      <c r="N478" s="4" t="s">
        <v>6</v>
      </c>
      <c r="O478" s="4">
        <v>2</v>
      </c>
      <c r="P478" s="4"/>
      <c r="Q478" s="4"/>
      <c r="R478" s="4"/>
      <c r="S478" s="4"/>
      <c r="T478" s="4"/>
      <c r="U478" s="4"/>
      <c r="V478" s="4"/>
      <c r="W478" s="4"/>
    </row>
    <row r="479" spans="1:23" x14ac:dyDescent="0.2">
      <c r="A479" s="4">
        <v>50</v>
      </c>
      <c r="B479" s="4">
        <v>0</v>
      </c>
      <c r="C479" s="4">
        <v>0</v>
      </c>
      <c r="D479" s="4">
        <v>1</v>
      </c>
      <c r="E479" s="4">
        <v>217</v>
      </c>
      <c r="F479" s="4">
        <f>ROUND(Source!AU460,O479)</f>
        <v>0</v>
      </c>
      <c r="G479" s="4" t="s">
        <v>164</v>
      </c>
      <c r="H479" s="4" t="s">
        <v>165</v>
      </c>
      <c r="I479" s="4"/>
      <c r="J479" s="4"/>
      <c r="K479" s="4">
        <v>217</v>
      </c>
      <c r="L479" s="4">
        <v>18</v>
      </c>
      <c r="M479" s="4">
        <v>3</v>
      </c>
      <c r="N479" s="4" t="s">
        <v>6</v>
      </c>
      <c r="O479" s="4">
        <v>2</v>
      </c>
      <c r="P479" s="4"/>
      <c r="Q479" s="4"/>
      <c r="R479" s="4"/>
      <c r="S479" s="4"/>
      <c r="T479" s="4"/>
      <c r="U479" s="4"/>
      <c r="V479" s="4"/>
      <c r="W479" s="4"/>
    </row>
    <row r="480" spans="1:23" x14ac:dyDescent="0.2">
      <c r="A480" s="4">
        <v>50</v>
      </c>
      <c r="B480" s="4">
        <v>0</v>
      </c>
      <c r="C480" s="4">
        <v>0</v>
      </c>
      <c r="D480" s="4">
        <v>1</v>
      </c>
      <c r="E480" s="4">
        <v>230</v>
      </c>
      <c r="F480" s="4">
        <f>ROUND(Source!BA460,O480)</f>
        <v>0</v>
      </c>
      <c r="G480" s="4" t="s">
        <v>166</v>
      </c>
      <c r="H480" s="4" t="s">
        <v>167</v>
      </c>
      <c r="I480" s="4"/>
      <c r="J480" s="4"/>
      <c r="K480" s="4">
        <v>230</v>
      </c>
      <c r="L480" s="4">
        <v>19</v>
      </c>
      <c r="M480" s="4">
        <v>3</v>
      </c>
      <c r="N480" s="4" t="s">
        <v>6</v>
      </c>
      <c r="O480" s="4">
        <v>2</v>
      </c>
      <c r="P480" s="4"/>
      <c r="Q480" s="4"/>
      <c r="R480" s="4"/>
      <c r="S480" s="4"/>
      <c r="T480" s="4"/>
      <c r="U480" s="4"/>
      <c r="V480" s="4"/>
      <c r="W480" s="4"/>
    </row>
    <row r="481" spans="1:245" x14ac:dyDescent="0.2">
      <c r="A481" s="4">
        <v>50</v>
      </c>
      <c r="B481" s="4">
        <v>0</v>
      </c>
      <c r="C481" s="4">
        <v>0</v>
      </c>
      <c r="D481" s="4">
        <v>1</v>
      </c>
      <c r="E481" s="4">
        <v>206</v>
      </c>
      <c r="F481" s="4">
        <f>ROUND(Source!T460,O481)</f>
        <v>0</v>
      </c>
      <c r="G481" s="4" t="s">
        <v>168</v>
      </c>
      <c r="H481" s="4" t="s">
        <v>169</v>
      </c>
      <c r="I481" s="4"/>
      <c r="J481" s="4"/>
      <c r="K481" s="4">
        <v>206</v>
      </c>
      <c r="L481" s="4">
        <v>20</v>
      </c>
      <c r="M481" s="4">
        <v>3</v>
      </c>
      <c r="N481" s="4" t="s">
        <v>6</v>
      </c>
      <c r="O481" s="4">
        <v>2</v>
      </c>
      <c r="P481" s="4"/>
      <c r="Q481" s="4"/>
      <c r="R481" s="4"/>
      <c r="S481" s="4"/>
      <c r="T481" s="4"/>
      <c r="U481" s="4"/>
      <c r="V481" s="4"/>
      <c r="W481" s="4"/>
    </row>
    <row r="482" spans="1:245" x14ac:dyDescent="0.2">
      <c r="A482" s="4">
        <v>50</v>
      </c>
      <c r="B482" s="4">
        <v>0</v>
      </c>
      <c r="C482" s="4">
        <v>0</v>
      </c>
      <c r="D482" s="4">
        <v>1</v>
      </c>
      <c r="E482" s="4">
        <v>207</v>
      </c>
      <c r="F482" s="4">
        <f>Source!U460</f>
        <v>466.50174999999996</v>
      </c>
      <c r="G482" s="4" t="s">
        <v>170</v>
      </c>
      <c r="H482" s="4" t="s">
        <v>171</v>
      </c>
      <c r="I482" s="4"/>
      <c r="J482" s="4"/>
      <c r="K482" s="4">
        <v>207</v>
      </c>
      <c r="L482" s="4">
        <v>21</v>
      </c>
      <c r="M482" s="4">
        <v>3</v>
      </c>
      <c r="N482" s="4" t="s">
        <v>6</v>
      </c>
      <c r="O482" s="4">
        <v>-1</v>
      </c>
      <c r="P482" s="4"/>
      <c r="Q482" s="4"/>
      <c r="R482" s="4"/>
      <c r="S482" s="4"/>
      <c r="T482" s="4"/>
      <c r="U482" s="4"/>
      <c r="V482" s="4"/>
      <c r="W482" s="4"/>
    </row>
    <row r="483" spans="1:245" x14ac:dyDescent="0.2">
      <c r="A483" s="4">
        <v>50</v>
      </c>
      <c r="B483" s="4">
        <v>0</v>
      </c>
      <c r="C483" s="4">
        <v>0</v>
      </c>
      <c r="D483" s="4">
        <v>1</v>
      </c>
      <c r="E483" s="4">
        <v>208</v>
      </c>
      <c r="F483" s="4">
        <f>Source!V460</f>
        <v>10.064600000000002</v>
      </c>
      <c r="G483" s="4" t="s">
        <v>172</v>
      </c>
      <c r="H483" s="4" t="s">
        <v>173</v>
      </c>
      <c r="I483" s="4"/>
      <c r="J483" s="4"/>
      <c r="K483" s="4">
        <v>208</v>
      </c>
      <c r="L483" s="4">
        <v>22</v>
      </c>
      <c r="M483" s="4">
        <v>3</v>
      </c>
      <c r="N483" s="4" t="s">
        <v>6</v>
      </c>
      <c r="O483" s="4">
        <v>-1</v>
      </c>
      <c r="P483" s="4"/>
      <c r="Q483" s="4"/>
      <c r="R483" s="4"/>
      <c r="S483" s="4"/>
      <c r="T483" s="4"/>
      <c r="U483" s="4"/>
      <c r="V483" s="4"/>
      <c r="W483" s="4"/>
    </row>
    <row r="484" spans="1:245" x14ac:dyDescent="0.2">
      <c r="A484" s="4">
        <v>50</v>
      </c>
      <c r="B484" s="4">
        <v>0</v>
      </c>
      <c r="C484" s="4">
        <v>0</v>
      </c>
      <c r="D484" s="4">
        <v>1</v>
      </c>
      <c r="E484" s="4">
        <v>209</v>
      </c>
      <c r="F484" s="4">
        <f>ROUND(Source!W460,O484)</f>
        <v>0</v>
      </c>
      <c r="G484" s="4" t="s">
        <v>174</v>
      </c>
      <c r="H484" s="4" t="s">
        <v>175</v>
      </c>
      <c r="I484" s="4"/>
      <c r="J484" s="4"/>
      <c r="K484" s="4">
        <v>209</v>
      </c>
      <c r="L484" s="4">
        <v>23</v>
      </c>
      <c r="M484" s="4">
        <v>3</v>
      </c>
      <c r="N484" s="4" t="s">
        <v>6</v>
      </c>
      <c r="O484" s="4">
        <v>2</v>
      </c>
      <c r="P484" s="4"/>
      <c r="Q484" s="4"/>
      <c r="R484" s="4"/>
      <c r="S484" s="4"/>
      <c r="T484" s="4"/>
      <c r="U484" s="4"/>
      <c r="V484" s="4"/>
      <c r="W484" s="4"/>
    </row>
    <row r="485" spans="1:245" x14ac:dyDescent="0.2">
      <c r="A485" s="4">
        <v>50</v>
      </c>
      <c r="B485" s="4">
        <v>0</v>
      </c>
      <c r="C485" s="4">
        <v>0</v>
      </c>
      <c r="D485" s="4">
        <v>1</v>
      </c>
      <c r="E485" s="4">
        <v>210</v>
      </c>
      <c r="F485" s="4">
        <f>ROUND(Source!X460,O485)</f>
        <v>27802.31</v>
      </c>
      <c r="G485" s="4" t="s">
        <v>176</v>
      </c>
      <c r="H485" s="4" t="s">
        <v>177</v>
      </c>
      <c r="I485" s="4"/>
      <c r="J485" s="4"/>
      <c r="K485" s="4">
        <v>210</v>
      </c>
      <c r="L485" s="4">
        <v>24</v>
      </c>
      <c r="M485" s="4">
        <v>3</v>
      </c>
      <c r="N485" s="4" t="s">
        <v>6</v>
      </c>
      <c r="O485" s="4">
        <v>2</v>
      </c>
      <c r="P485" s="4"/>
      <c r="Q485" s="4"/>
      <c r="R485" s="4"/>
      <c r="S485" s="4"/>
      <c r="T485" s="4"/>
      <c r="U485" s="4"/>
      <c r="V485" s="4"/>
      <c r="W485" s="4"/>
    </row>
    <row r="486" spans="1:245" x14ac:dyDescent="0.2">
      <c r="A486" s="4">
        <v>50</v>
      </c>
      <c r="B486" s="4">
        <v>0</v>
      </c>
      <c r="C486" s="4">
        <v>0</v>
      </c>
      <c r="D486" s="4">
        <v>1</v>
      </c>
      <c r="E486" s="4">
        <v>211</v>
      </c>
      <c r="F486" s="4">
        <f>ROUND(Source!Y460,O486)</f>
        <v>19304.009999999998</v>
      </c>
      <c r="G486" s="4" t="s">
        <v>178</v>
      </c>
      <c r="H486" s="4" t="s">
        <v>179</v>
      </c>
      <c r="I486" s="4"/>
      <c r="J486" s="4"/>
      <c r="K486" s="4">
        <v>211</v>
      </c>
      <c r="L486" s="4">
        <v>25</v>
      </c>
      <c r="M486" s="4">
        <v>3</v>
      </c>
      <c r="N486" s="4" t="s">
        <v>6</v>
      </c>
      <c r="O486" s="4">
        <v>2</v>
      </c>
      <c r="P486" s="4"/>
      <c r="Q486" s="4"/>
      <c r="R486" s="4"/>
      <c r="S486" s="4"/>
      <c r="T486" s="4"/>
      <c r="U486" s="4"/>
      <c r="V486" s="4"/>
      <c r="W486" s="4"/>
    </row>
    <row r="487" spans="1:245" x14ac:dyDescent="0.2">
      <c r="A487" s="4">
        <v>50</v>
      </c>
      <c r="B487" s="4">
        <v>0</v>
      </c>
      <c r="C487" s="4">
        <v>0</v>
      </c>
      <c r="D487" s="4">
        <v>1</v>
      </c>
      <c r="E487" s="4">
        <v>224</v>
      </c>
      <c r="F487" s="4">
        <f>ROUND(Source!AR460,O487)</f>
        <v>766468.93</v>
      </c>
      <c r="G487" s="4" t="s">
        <v>180</v>
      </c>
      <c r="H487" s="4" t="s">
        <v>181</v>
      </c>
      <c r="I487" s="4"/>
      <c r="J487" s="4"/>
      <c r="K487" s="4">
        <v>224</v>
      </c>
      <c r="L487" s="4">
        <v>26</v>
      </c>
      <c r="M487" s="4">
        <v>3</v>
      </c>
      <c r="N487" s="4" t="s">
        <v>6</v>
      </c>
      <c r="O487" s="4">
        <v>2</v>
      </c>
      <c r="P487" s="4"/>
      <c r="Q487" s="4"/>
      <c r="R487" s="4"/>
      <c r="S487" s="4"/>
      <c r="T487" s="4"/>
      <c r="U487" s="4"/>
      <c r="V487" s="4"/>
      <c r="W487" s="4"/>
    </row>
    <row r="489" spans="1:245" x14ac:dyDescent="0.2">
      <c r="A489" s="1">
        <v>4</v>
      </c>
      <c r="B489" s="1">
        <v>1</v>
      </c>
      <c r="C489" s="1"/>
      <c r="D489" s="1">
        <f>ROW(A498)</f>
        <v>498</v>
      </c>
      <c r="E489" s="1"/>
      <c r="F489" s="1" t="s">
        <v>13</v>
      </c>
      <c r="G489" s="1" t="s">
        <v>961</v>
      </c>
      <c r="H489" s="1" t="s">
        <v>6</v>
      </c>
      <c r="I489" s="1">
        <v>0</v>
      </c>
      <c r="J489" s="1"/>
      <c r="K489" s="1">
        <v>0</v>
      </c>
      <c r="L489" s="1"/>
      <c r="M489" s="1"/>
      <c r="N489" s="1"/>
      <c r="O489" s="1"/>
      <c r="P489" s="1"/>
      <c r="Q489" s="1"/>
      <c r="R489" s="1"/>
      <c r="S489" s="1"/>
      <c r="T489" s="1"/>
      <c r="U489" s="1" t="s">
        <v>6</v>
      </c>
      <c r="V489" s="1">
        <v>0</v>
      </c>
      <c r="W489" s="1"/>
      <c r="X489" s="1"/>
      <c r="Y489" s="1"/>
      <c r="Z489" s="1"/>
      <c r="AA489" s="1"/>
      <c r="AB489" s="1" t="s">
        <v>6</v>
      </c>
      <c r="AC489" s="1" t="s">
        <v>6</v>
      </c>
      <c r="AD489" s="1" t="s">
        <v>6</v>
      </c>
      <c r="AE489" s="1" t="s">
        <v>6</v>
      </c>
      <c r="AF489" s="1" t="s">
        <v>6</v>
      </c>
      <c r="AG489" s="1" t="s">
        <v>6</v>
      </c>
      <c r="AH489" s="1"/>
      <c r="AI489" s="1"/>
      <c r="AJ489" s="1"/>
      <c r="AK489" s="1"/>
      <c r="AL489" s="1"/>
      <c r="AM489" s="1"/>
      <c r="AN489" s="1"/>
      <c r="AO489" s="1"/>
      <c r="AP489" s="1" t="s">
        <v>6</v>
      </c>
      <c r="AQ489" s="1" t="s">
        <v>6</v>
      </c>
      <c r="AR489" s="1" t="s">
        <v>6</v>
      </c>
      <c r="AS489" s="1"/>
      <c r="AT489" s="1"/>
      <c r="AU489" s="1"/>
      <c r="AV489" s="1"/>
      <c r="AW489" s="1"/>
      <c r="AX489" s="1"/>
      <c r="AY489" s="1"/>
      <c r="AZ489" s="1" t="s">
        <v>6</v>
      </c>
      <c r="BA489" s="1"/>
      <c r="BB489" s="1" t="s">
        <v>6</v>
      </c>
      <c r="BC489" s="1" t="s">
        <v>6</v>
      </c>
      <c r="BD489" s="1" t="s">
        <v>6</v>
      </c>
      <c r="BE489" s="1" t="s">
        <v>6</v>
      </c>
      <c r="BF489" s="1" t="s">
        <v>6</v>
      </c>
      <c r="BG489" s="1" t="s">
        <v>6</v>
      </c>
      <c r="BH489" s="1" t="s">
        <v>6</v>
      </c>
      <c r="BI489" s="1" t="s">
        <v>6</v>
      </c>
      <c r="BJ489" s="1" t="s">
        <v>6</v>
      </c>
      <c r="BK489" s="1" t="s">
        <v>6</v>
      </c>
      <c r="BL489" s="1" t="s">
        <v>6</v>
      </c>
      <c r="BM489" s="1" t="s">
        <v>6</v>
      </c>
      <c r="BN489" s="1" t="s">
        <v>6</v>
      </c>
      <c r="BO489" s="1" t="s">
        <v>6</v>
      </c>
      <c r="BP489" s="1" t="s">
        <v>6</v>
      </c>
      <c r="BQ489" s="1"/>
      <c r="BR489" s="1"/>
      <c r="BS489" s="1"/>
      <c r="BT489" s="1"/>
      <c r="BU489" s="1"/>
      <c r="BV489" s="1"/>
      <c r="BW489" s="1"/>
      <c r="BX489" s="1">
        <v>0</v>
      </c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>
        <v>0</v>
      </c>
    </row>
    <row r="491" spans="1:245" x14ac:dyDescent="0.2">
      <c r="A491" s="2">
        <v>52</v>
      </c>
      <c r="B491" s="2">
        <f t="shared" ref="B491:G491" si="365">B498</f>
        <v>1</v>
      </c>
      <c r="C491" s="2">
        <f t="shared" si="365"/>
        <v>4</v>
      </c>
      <c r="D491" s="2">
        <f t="shared" si="365"/>
        <v>489</v>
      </c>
      <c r="E491" s="2">
        <f t="shared" si="365"/>
        <v>0</v>
      </c>
      <c r="F491" s="2" t="str">
        <f t="shared" si="365"/>
        <v>Новый раздел</v>
      </c>
      <c r="G491" s="2" t="str">
        <f t="shared" si="365"/>
        <v>3 Пусконаладочные работы</v>
      </c>
      <c r="H491" s="2"/>
      <c r="I491" s="2"/>
      <c r="J491" s="2"/>
      <c r="K491" s="2"/>
      <c r="L491" s="2"/>
      <c r="M491" s="2"/>
      <c r="N491" s="2"/>
      <c r="O491" s="2">
        <f t="shared" ref="O491:AT491" si="366">O498</f>
        <v>27134.400000000001</v>
      </c>
      <c r="P491" s="2">
        <f t="shared" si="366"/>
        <v>0</v>
      </c>
      <c r="Q491" s="2">
        <f t="shared" si="366"/>
        <v>0</v>
      </c>
      <c r="R491" s="2">
        <f t="shared" si="366"/>
        <v>0</v>
      </c>
      <c r="S491" s="2">
        <f t="shared" si="366"/>
        <v>27134.400000000001</v>
      </c>
      <c r="T491" s="2">
        <f t="shared" si="366"/>
        <v>0</v>
      </c>
      <c r="U491" s="2">
        <f t="shared" si="366"/>
        <v>114.38272000000001</v>
      </c>
      <c r="V491" s="2">
        <f t="shared" si="366"/>
        <v>0</v>
      </c>
      <c r="W491" s="2">
        <f t="shared" si="366"/>
        <v>0</v>
      </c>
      <c r="X491" s="2">
        <f t="shared" si="366"/>
        <v>17637.36</v>
      </c>
      <c r="Y491" s="2">
        <f t="shared" si="366"/>
        <v>10853.76</v>
      </c>
      <c r="Z491" s="2">
        <f t="shared" si="366"/>
        <v>0</v>
      </c>
      <c r="AA491" s="2">
        <f t="shared" si="366"/>
        <v>0</v>
      </c>
      <c r="AB491" s="2">
        <f t="shared" si="366"/>
        <v>27134.400000000001</v>
      </c>
      <c r="AC491" s="2">
        <f t="shared" si="366"/>
        <v>0</v>
      </c>
      <c r="AD491" s="2">
        <f t="shared" si="366"/>
        <v>0</v>
      </c>
      <c r="AE491" s="2">
        <f t="shared" si="366"/>
        <v>0</v>
      </c>
      <c r="AF491" s="2">
        <f t="shared" si="366"/>
        <v>27134.400000000001</v>
      </c>
      <c r="AG491" s="2">
        <f t="shared" si="366"/>
        <v>0</v>
      </c>
      <c r="AH491" s="2">
        <f t="shared" si="366"/>
        <v>114.38272000000001</v>
      </c>
      <c r="AI491" s="2">
        <f t="shared" si="366"/>
        <v>0</v>
      </c>
      <c r="AJ491" s="2">
        <f t="shared" si="366"/>
        <v>0</v>
      </c>
      <c r="AK491" s="2">
        <f t="shared" si="366"/>
        <v>17637.36</v>
      </c>
      <c r="AL491" s="2">
        <f t="shared" si="366"/>
        <v>10853.76</v>
      </c>
      <c r="AM491" s="2">
        <f t="shared" si="366"/>
        <v>0</v>
      </c>
      <c r="AN491" s="2">
        <f t="shared" si="366"/>
        <v>0</v>
      </c>
      <c r="AO491" s="2">
        <f t="shared" si="366"/>
        <v>0</v>
      </c>
      <c r="AP491" s="2">
        <f t="shared" si="366"/>
        <v>0</v>
      </c>
      <c r="AQ491" s="2">
        <f t="shared" si="366"/>
        <v>0</v>
      </c>
      <c r="AR491" s="2">
        <f t="shared" si="366"/>
        <v>55625.52</v>
      </c>
      <c r="AS491" s="2">
        <f t="shared" si="366"/>
        <v>0</v>
      </c>
      <c r="AT491" s="2">
        <f t="shared" si="366"/>
        <v>0</v>
      </c>
      <c r="AU491" s="2">
        <f t="shared" ref="AU491:BZ491" si="367">AU498</f>
        <v>55625.52</v>
      </c>
      <c r="AV491" s="2">
        <f t="shared" si="367"/>
        <v>0</v>
      </c>
      <c r="AW491" s="2">
        <f t="shared" si="367"/>
        <v>0</v>
      </c>
      <c r="AX491" s="2">
        <f t="shared" si="367"/>
        <v>0</v>
      </c>
      <c r="AY491" s="2">
        <f t="shared" si="367"/>
        <v>0</v>
      </c>
      <c r="AZ491" s="2">
        <f t="shared" si="367"/>
        <v>0</v>
      </c>
      <c r="BA491" s="2">
        <f t="shared" si="367"/>
        <v>0</v>
      </c>
      <c r="BB491" s="2">
        <f t="shared" si="367"/>
        <v>0</v>
      </c>
      <c r="BC491" s="2">
        <f t="shared" si="367"/>
        <v>0</v>
      </c>
      <c r="BD491" s="2">
        <f t="shared" si="367"/>
        <v>0</v>
      </c>
      <c r="BE491" s="2">
        <f t="shared" si="367"/>
        <v>0</v>
      </c>
      <c r="BF491" s="2">
        <f t="shared" si="367"/>
        <v>0</v>
      </c>
      <c r="BG491" s="2">
        <f t="shared" si="367"/>
        <v>0</v>
      </c>
      <c r="BH491" s="2">
        <f t="shared" si="367"/>
        <v>0</v>
      </c>
      <c r="BI491" s="2">
        <f t="shared" si="367"/>
        <v>0</v>
      </c>
      <c r="BJ491" s="2">
        <f t="shared" si="367"/>
        <v>0</v>
      </c>
      <c r="BK491" s="2">
        <f t="shared" si="367"/>
        <v>0</v>
      </c>
      <c r="BL491" s="2">
        <f t="shared" si="367"/>
        <v>0</v>
      </c>
      <c r="BM491" s="2">
        <f t="shared" si="367"/>
        <v>0</v>
      </c>
      <c r="BN491" s="2">
        <f t="shared" si="367"/>
        <v>0</v>
      </c>
      <c r="BO491" s="2">
        <f t="shared" si="367"/>
        <v>0</v>
      </c>
      <c r="BP491" s="2">
        <f t="shared" si="367"/>
        <v>0</v>
      </c>
      <c r="BQ491" s="2">
        <f t="shared" si="367"/>
        <v>0</v>
      </c>
      <c r="BR491" s="2">
        <f t="shared" si="367"/>
        <v>0</v>
      </c>
      <c r="BS491" s="2">
        <f t="shared" si="367"/>
        <v>0</v>
      </c>
      <c r="BT491" s="2">
        <f t="shared" si="367"/>
        <v>0</v>
      </c>
      <c r="BU491" s="2">
        <f t="shared" si="367"/>
        <v>0</v>
      </c>
      <c r="BV491" s="2">
        <f t="shared" si="367"/>
        <v>0</v>
      </c>
      <c r="BW491" s="2">
        <f t="shared" si="367"/>
        <v>0</v>
      </c>
      <c r="BX491" s="2">
        <f t="shared" si="367"/>
        <v>0</v>
      </c>
      <c r="BY491" s="2">
        <f t="shared" si="367"/>
        <v>0</v>
      </c>
      <c r="BZ491" s="2">
        <f t="shared" si="367"/>
        <v>0</v>
      </c>
      <c r="CA491" s="2">
        <f t="shared" ref="CA491:DF491" si="368">CA498</f>
        <v>55625.52</v>
      </c>
      <c r="CB491" s="2">
        <f t="shared" si="368"/>
        <v>0</v>
      </c>
      <c r="CC491" s="2">
        <f t="shared" si="368"/>
        <v>0</v>
      </c>
      <c r="CD491" s="2">
        <f t="shared" si="368"/>
        <v>55625.52</v>
      </c>
      <c r="CE491" s="2">
        <f t="shared" si="368"/>
        <v>0</v>
      </c>
      <c r="CF491" s="2">
        <f t="shared" si="368"/>
        <v>0</v>
      </c>
      <c r="CG491" s="2">
        <f t="shared" si="368"/>
        <v>0</v>
      </c>
      <c r="CH491" s="2">
        <f t="shared" si="368"/>
        <v>0</v>
      </c>
      <c r="CI491" s="2">
        <f t="shared" si="368"/>
        <v>0</v>
      </c>
      <c r="CJ491" s="2">
        <f t="shared" si="368"/>
        <v>0</v>
      </c>
      <c r="CK491" s="2">
        <f t="shared" si="368"/>
        <v>0</v>
      </c>
      <c r="CL491" s="2">
        <f t="shared" si="368"/>
        <v>0</v>
      </c>
      <c r="CM491" s="2">
        <f t="shared" si="368"/>
        <v>0</v>
      </c>
      <c r="CN491" s="2">
        <f t="shared" si="368"/>
        <v>0</v>
      </c>
      <c r="CO491" s="2">
        <f t="shared" si="368"/>
        <v>0</v>
      </c>
      <c r="CP491" s="2">
        <f t="shared" si="368"/>
        <v>0</v>
      </c>
      <c r="CQ491" s="2">
        <f t="shared" si="368"/>
        <v>0</v>
      </c>
      <c r="CR491" s="2">
        <f t="shared" si="368"/>
        <v>0</v>
      </c>
      <c r="CS491" s="2">
        <f t="shared" si="368"/>
        <v>0</v>
      </c>
      <c r="CT491" s="2">
        <f t="shared" si="368"/>
        <v>0</v>
      </c>
      <c r="CU491" s="2">
        <f t="shared" si="368"/>
        <v>0</v>
      </c>
      <c r="CV491" s="2">
        <f t="shared" si="368"/>
        <v>0</v>
      </c>
      <c r="CW491" s="2">
        <f t="shared" si="368"/>
        <v>0</v>
      </c>
      <c r="CX491" s="2">
        <f t="shared" si="368"/>
        <v>0</v>
      </c>
      <c r="CY491" s="2">
        <f t="shared" si="368"/>
        <v>0</v>
      </c>
      <c r="CZ491" s="2">
        <f t="shared" si="368"/>
        <v>0</v>
      </c>
      <c r="DA491" s="2">
        <f t="shared" si="368"/>
        <v>0</v>
      </c>
      <c r="DB491" s="2">
        <f t="shared" si="368"/>
        <v>0</v>
      </c>
      <c r="DC491" s="2">
        <f t="shared" si="368"/>
        <v>0</v>
      </c>
      <c r="DD491" s="2">
        <f t="shared" si="368"/>
        <v>0</v>
      </c>
      <c r="DE491" s="2">
        <f t="shared" si="368"/>
        <v>0</v>
      </c>
      <c r="DF491" s="2">
        <f t="shared" si="368"/>
        <v>0</v>
      </c>
      <c r="DG491" s="3">
        <f t="shared" ref="DG491:EL491" si="369">DG498</f>
        <v>0</v>
      </c>
      <c r="DH491" s="3">
        <f t="shared" si="369"/>
        <v>0</v>
      </c>
      <c r="DI491" s="3">
        <f t="shared" si="369"/>
        <v>0</v>
      </c>
      <c r="DJ491" s="3">
        <f t="shared" si="369"/>
        <v>0</v>
      </c>
      <c r="DK491" s="3">
        <f t="shared" si="369"/>
        <v>0</v>
      </c>
      <c r="DL491" s="3">
        <f t="shared" si="369"/>
        <v>0</v>
      </c>
      <c r="DM491" s="3">
        <f t="shared" si="369"/>
        <v>0</v>
      </c>
      <c r="DN491" s="3">
        <f t="shared" si="369"/>
        <v>0</v>
      </c>
      <c r="DO491" s="3">
        <f t="shared" si="369"/>
        <v>0</v>
      </c>
      <c r="DP491" s="3">
        <f t="shared" si="369"/>
        <v>0</v>
      </c>
      <c r="DQ491" s="3">
        <f t="shared" si="369"/>
        <v>0</v>
      </c>
      <c r="DR491" s="3">
        <f t="shared" si="369"/>
        <v>0</v>
      </c>
      <c r="DS491" s="3">
        <f t="shared" si="369"/>
        <v>0</v>
      </c>
      <c r="DT491" s="3">
        <f t="shared" si="369"/>
        <v>0</v>
      </c>
      <c r="DU491" s="3">
        <f t="shared" si="369"/>
        <v>0</v>
      </c>
      <c r="DV491" s="3">
        <f t="shared" si="369"/>
        <v>0</v>
      </c>
      <c r="DW491" s="3">
        <f t="shared" si="369"/>
        <v>0</v>
      </c>
      <c r="DX491" s="3">
        <f t="shared" si="369"/>
        <v>0</v>
      </c>
      <c r="DY491" s="3">
        <f t="shared" si="369"/>
        <v>0</v>
      </c>
      <c r="DZ491" s="3">
        <f t="shared" si="369"/>
        <v>0</v>
      </c>
      <c r="EA491" s="3">
        <f t="shared" si="369"/>
        <v>0</v>
      </c>
      <c r="EB491" s="3">
        <f t="shared" si="369"/>
        <v>0</v>
      </c>
      <c r="EC491" s="3">
        <f t="shared" si="369"/>
        <v>0</v>
      </c>
      <c r="ED491" s="3">
        <f t="shared" si="369"/>
        <v>0</v>
      </c>
      <c r="EE491" s="3">
        <f t="shared" si="369"/>
        <v>0</v>
      </c>
      <c r="EF491" s="3">
        <f t="shared" si="369"/>
        <v>0</v>
      </c>
      <c r="EG491" s="3">
        <f t="shared" si="369"/>
        <v>0</v>
      </c>
      <c r="EH491" s="3">
        <f t="shared" si="369"/>
        <v>0</v>
      </c>
      <c r="EI491" s="3">
        <f t="shared" si="369"/>
        <v>0</v>
      </c>
      <c r="EJ491" s="3">
        <f t="shared" si="369"/>
        <v>0</v>
      </c>
      <c r="EK491" s="3">
        <f t="shared" si="369"/>
        <v>0</v>
      </c>
      <c r="EL491" s="3">
        <f t="shared" si="369"/>
        <v>0</v>
      </c>
      <c r="EM491" s="3">
        <f t="shared" ref="EM491:FR491" si="370">EM498</f>
        <v>0</v>
      </c>
      <c r="EN491" s="3">
        <f t="shared" si="370"/>
        <v>0</v>
      </c>
      <c r="EO491" s="3">
        <f t="shared" si="370"/>
        <v>0</v>
      </c>
      <c r="EP491" s="3">
        <f t="shared" si="370"/>
        <v>0</v>
      </c>
      <c r="EQ491" s="3">
        <f t="shared" si="370"/>
        <v>0</v>
      </c>
      <c r="ER491" s="3">
        <f t="shared" si="370"/>
        <v>0</v>
      </c>
      <c r="ES491" s="3">
        <f t="shared" si="370"/>
        <v>0</v>
      </c>
      <c r="ET491" s="3">
        <f t="shared" si="370"/>
        <v>0</v>
      </c>
      <c r="EU491" s="3">
        <f t="shared" si="370"/>
        <v>0</v>
      </c>
      <c r="EV491" s="3">
        <f t="shared" si="370"/>
        <v>0</v>
      </c>
      <c r="EW491" s="3">
        <f t="shared" si="370"/>
        <v>0</v>
      </c>
      <c r="EX491" s="3">
        <f t="shared" si="370"/>
        <v>0</v>
      </c>
      <c r="EY491" s="3">
        <f t="shared" si="370"/>
        <v>0</v>
      </c>
      <c r="EZ491" s="3">
        <f t="shared" si="370"/>
        <v>0</v>
      </c>
      <c r="FA491" s="3">
        <f t="shared" si="370"/>
        <v>0</v>
      </c>
      <c r="FB491" s="3">
        <f t="shared" si="370"/>
        <v>0</v>
      </c>
      <c r="FC491" s="3">
        <f t="shared" si="370"/>
        <v>0</v>
      </c>
      <c r="FD491" s="3">
        <f t="shared" si="370"/>
        <v>0</v>
      </c>
      <c r="FE491" s="3">
        <f t="shared" si="370"/>
        <v>0</v>
      </c>
      <c r="FF491" s="3">
        <f t="shared" si="370"/>
        <v>0</v>
      </c>
      <c r="FG491" s="3">
        <f t="shared" si="370"/>
        <v>0</v>
      </c>
      <c r="FH491" s="3">
        <f t="shared" si="370"/>
        <v>0</v>
      </c>
      <c r="FI491" s="3">
        <f t="shared" si="370"/>
        <v>0</v>
      </c>
      <c r="FJ491" s="3">
        <f t="shared" si="370"/>
        <v>0</v>
      </c>
      <c r="FK491" s="3">
        <f t="shared" si="370"/>
        <v>0</v>
      </c>
      <c r="FL491" s="3">
        <f t="shared" si="370"/>
        <v>0</v>
      </c>
      <c r="FM491" s="3">
        <f t="shared" si="370"/>
        <v>0</v>
      </c>
      <c r="FN491" s="3">
        <f t="shared" si="370"/>
        <v>0</v>
      </c>
      <c r="FO491" s="3">
        <f t="shared" si="370"/>
        <v>0</v>
      </c>
      <c r="FP491" s="3">
        <f t="shared" si="370"/>
        <v>0</v>
      </c>
      <c r="FQ491" s="3">
        <f t="shared" si="370"/>
        <v>0</v>
      </c>
      <c r="FR491" s="3">
        <f t="shared" si="370"/>
        <v>0</v>
      </c>
      <c r="FS491" s="3">
        <f t="shared" ref="FS491:GX491" si="371">FS498</f>
        <v>0</v>
      </c>
      <c r="FT491" s="3">
        <f t="shared" si="371"/>
        <v>0</v>
      </c>
      <c r="FU491" s="3">
        <f t="shared" si="371"/>
        <v>0</v>
      </c>
      <c r="FV491" s="3">
        <f t="shared" si="371"/>
        <v>0</v>
      </c>
      <c r="FW491" s="3">
        <f t="shared" si="371"/>
        <v>0</v>
      </c>
      <c r="FX491" s="3">
        <f t="shared" si="371"/>
        <v>0</v>
      </c>
      <c r="FY491" s="3">
        <f t="shared" si="371"/>
        <v>0</v>
      </c>
      <c r="FZ491" s="3">
        <f t="shared" si="371"/>
        <v>0</v>
      </c>
      <c r="GA491" s="3">
        <f t="shared" si="371"/>
        <v>0</v>
      </c>
      <c r="GB491" s="3">
        <f t="shared" si="371"/>
        <v>0</v>
      </c>
      <c r="GC491" s="3">
        <f t="shared" si="371"/>
        <v>0</v>
      </c>
      <c r="GD491" s="3">
        <f t="shared" si="371"/>
        <v>0</v>
      </c>
      <c r="GE491" s="3">
        <f t="shared" si="371"/>
        <v>0</v>
      </c>
      <c r="GF491" s="3">
        <f t="shared" si="371"/>
        <v>0</v>
      </c>
      <c r="GG491" s="3">
        <f t="shared" si="371"/>
        <v>0</v>
      </c>
      <c r="GH491" s="3">
        <f t="shared" si="371"/>
        <v>0</v>
      </c>
      <c r="GI491" s="3">
        <f t="shared" si="371"/>
        <v>0</v>
      </c>
      <c r="GJ491" s="3">
        <f t="shared" si="371"/>
        <v>0</v>
      </c>
      <c r="GK491" s="3">
        <f t="shared" si="371"/>
        <v>0</v>
      </c>
      <c r="GL491" s="3">
        <f t="shared" si="371"/>
        <v>0</v>
      </c>
      <c r="GM491" s="3">
        <f t="shared" si="371"/>
        <v>0</v>
      </c>
      <c r="GN491" s="3">
        <f t="shared" si="371"/>
        <v>0</v>
      </c>
      <c r="GO491" s="3">
        <f t="shared" si="371"/>
        <v>0</v>
      </c>
      <c r="GP491" s="3">
        <f t="shared" si="371"/>
        <v>0</v>
      </c>
      <c r="GQ491" s="3">
        <f t="shared" si="371"/>
        <v>0</v>
      </c>
      <c r="GR491" s="3">
        <f t="shared" si="371"/>
        <v>0</v>
      </c>
      <c r="GS491" s="3">
        <f t="shared" si="371"/>
        <v>0</v>
      </c>
      <c r="GT491" s="3">
        <f t="shared" si="371"/>
        <v>0</v>
      </c>
      <c r="GU491" s="3">
        <f t="shared" si="371"/>
        <v>0</v>
      </c>
      <c r="GV491" s="3">
        <f t="shared" si="371"/>
        <v>0</v>
      </c>
      <c r="GW491" s="3">
        <f t="shared" si="371"/>
        <v>0</v>
      </c>
      <c r="GX491" s="3">
        <f t="shared" si="371"/>
        <v>0</v>
      </c>
    </row>
    <row r="493" spans="1:245" x14ac:dyDescent="0.2">
      <c r="A493">
        <v>17</v>
      </c>
      <c r="B493">
        <v>1</v>
      </c>
      <c r="C493">
        <f>ROW(SmtRes!A761)</f>
        <v>761</v>
      </c>
      <c r="D493">
        <f>ROW(EtalonRes!A696)</f>
        <v>696</v>
      </c>
      <c r="E493" t="s">
        <v>962</v>
      </c>
      <c r="F493" t="s">
        <v>963</v>
      </c>
      <c r="G493" t="s">
        <v>964</v>
      </c>
      <c r="H493" t="s">
        <v>56</v>
      </c>
      <c r="I493">
        <v>38</v>
      </c>
      <c r="J493">
        <v>0</v>
      </c>
      <c r="O493">
        <f>ROUND(CP493,2)</f>
        <v>2360.6799999999998</v>
      </c>
      <c r="P493">
        <f>ROUND(CQ493*I493,2)</f>
        <v>0</v>
      </c>
      <c r="Q493">
        <f>ROUND(CR493*I493,2)</f>
        <v>0</v>
      </c>
      <c r="R493">
        <f>ROUND(CS493*I493,2)</f>
        <v>0</v>
      </c>
      <c r="S493">
        <f>ROUND(CT493*I493,2)</f>
        <v>2360.6799999999998</v>
      </c>
      <c r="T493">
        <f>ROUND(CU493*I493,2)</f>
        <v>0</v>
      </c>
      <c r="U493">
        <f>CV493*I493</f>
        <v>9.7279999999999998</v>
      </c>
      <c r="V493">
        <f>CW493*I493</f>
        <v>0</v>
      </c>
      <c r="W493">
        <f>ROUND(CX493*I493,2)</f>
        <v>0</v>
      </c>
      <c r="X493">
        <f t="shared" ref="X493:Y496" si="372">ROUND(CY493,2)</f>
        <v>1534.44</v>
      </c>
      <c r="Y493">
        <f t="shared" si="372"/>
        <v>944.27</v>
      </c>
      <c r="AA493">
        <v>16742901</v>
      </c>
      <c r="AB493">
        <f>ROUND((AC493+AD493+AF493),2)</f>
        <v>3.28</v>
      </c>
      <c r="AC493">
        <f>ROUND((ES493),2)</f>
        <v>0</v>
      </c>
      <c r="AD493">
        <f>ROUND((((ET493)-(EU493))+AE493),2)</f>
        <v>0</v>
      </c>
      <c r="AE493">
        <f>ROUND((EU493),2)</f>
        <v>0</v>
      </c>
      <c r="AF493">
        <f>ROUND(((EV493*0.8)),2)</f>
        <v>3.28</v>
      </c>
      <c r="AG493">
        <f>ROUND((AP493),2)</f>
        <v>0</v>
      </c>
      <c r="AH493">
        <f>((EW493*0.8))</f>
        <v>0.25600000000000001</v>
      </c>
      <c r="AI493">
        <f>(EX493)</f>
        <v>0</v>
      </c>
      <c r="AJ493">
        <f>ROUND((AS493),2)</f>
        <v>0</v>
      </c>
      <c r="AK493">
        <v>4.0999999999999996</v>
      </c>
      <c r="AL493">
        <v>0</v>
      </c>
      <c r="AM493">
        <v>0</v>
      </c>
      <c r="AN493">
        <v>0</v>
      </c>
      <c r="AO493">
        <v>4.0999999999999996</v>
      </c>
      <c r="AP493">
        <v>0</v>
      </c>
      <c r="AQ493">
        <v>0.32</v>
      </c>
      <c r="AR493">
        <v>0</v>
      </c>
      <c r="AS493">
        <v>0</v>
      </c>
      <c r="AT493">
        <v>65</v>
      </c>
      <c r="AU493">
        <v>40</v>
      </c>
      <c r="AV493">
        <v>1</v>
      </c>
      <c r="AW493">
        <v>1</v>
      </c>
      <c r="AZ493">
        <v>18.940000000000001</v>
      </c>
      <c r="BA493">
        <v>18.940000000000001</v>
      </c>
      <c r="BB493">
        <v>1</v>
      </c>
      <c r="BC493">
        <v>1</v>
      </c>
      <c r="BD493" t="s">
        <v>6</v>
      </c>
      <c r="BE493" t="s">
        <v>6</v>
      </c>
      <c r="BF493" t="s">
        <v>6</v>
      </c>
      <c r="BG493" t="s">
        <v>6</v>
      </c>
      <c r="BH493">
        <v>0</v>
      </c>
      <c r="BI493">
        <v>4</v>
      </c>
      <c r="BJ493" t="s">
        <v>965</v>
      </c>
      <c r="BM493">
        <v>200001</v>
      </c>
      <c r="BN493">
        <v>0</v>
      </c>
      <c r="BO493" t="s">
        <v>6</v>
      </c>
      <c r="BP493">
        <v>0</v>
      </c>
      <c r="BQ493">
        <v>4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6</v>
      </c>
      <c r="BZ493">
        <v>65</v>
      </c>
      <c r="CA493">
        <v>40</v>
      </c>
      <c r="CF493">
        <v>0</v>
      </c>
      <c r="CG493">
        <v>0</v>
      </c>
      <c r="CM493">
        <v>0</v>
      </c>
      <c r="CN493" t="s">
        <v>966</v>
      </c>
      <c r="CO493">
        <v>0</v>
      </c>
      <c r="CP493">
        <f>(P493+Q493+S493)</f>
        <v>2360.6799999999998</v>
      </c>
      <c r="CQ493">
        <f>AC493*BC493</f>
        <v>0</v>
      </c>
      <c r="CR493">
        <f>AD493*BB493</f>
        <v>0</v>
      </c>
      <c r="CS493">
        <f>AE493*BS493</f>
        <v>0</v>
      </c>
      <c r="CT493">
        <f>AF493*BA493</f>
        <v>62.123199999999997</v>
      </c>
      <c r="CU493">
        <f t="shared" ref="CU493:CX496" si="373">AG493</f>
        <v>0</v>
      </c>
      <c r="CV493">
        <f t="shared" si="373"/>
        <v>0.25600000000000001</v>
      </c>
      <c r="CW493">
        <f t="shared" si="373"/>
        <v>0</v>
      </c>
      <c r="CX493">
        <f t="shared" si="373"/>
        <v>0</v>
      </c>
      <c r="CY493">
        <f>(((S493+R493)*AT493)/100)</f>
        <v>1534.4419999999998</v>
      </c>
      <c r="CZ493">
        <f>(((S493+R493)*AU493)/100)</f>
        <v>944.27199999999993</v>
      </c>
      <c r="DC493" t="s">
        <v>6</v>
      </c>
      <c r="DD493" t="s">
        <v>6</v>
      </c>
      <c r="DE493" t="s">
        <v>6</v>
      </c>
      <c r="DF493" t="s">
        <v>6</v>
      </c>
      <c r="DG493" t="s">
        <v>49</v>
      </c>
      <c r="DH493" t="s">
        <v>6</v>
      </c>
      <c r="DI493" t="s">
        <v>49</v>
      </c>
      <c r="DJ493" t="s">
        <v>6</v>
      </c>
      <c r="DK493" t="s">
        <v>6</v>
      </c>
      <c r="DL493" t="s">
        <v>6</v>
      </c>
      <c r="DM493" t="s">
        <v>6</v>
      </c>
      <c r="DN493">
        <v>0</v>
      </c>
      <c r="DO493">
        <v>0</v>
      </c>
      <c r="DP493">
        <v>1</v>
      </c>
      <c r="DQ493">
        <v>1</v>
      </c>
      <c r="DU493">
        <v>1013</v>
      </c>
      <c r="DV493" t="s">
        <v>56</v>
      </c>
      <c r="DW493" t="s">
        <v>56</v>
      </c>
      <c r="DX493">
        <v>1</v>
      </c>
      <c r="EE493">
        <v>16510412</v>
      </c>
      <c r="EF493">
        <v>4</v>
      </c>
      <c r="EG493" t="s">
        <v>967</v>
      </c>
      <c r="EH493">
        <v>0</v>
      </c>
      <c r="EI493" t="s">
        <v>6</v>
      </c>
      <c r="EJ493">
        <v>4</v>
      </c>
      <c r="EK493">
        <v>200001</v>
      </c>
      <c r="EL493" t="s">
        <v>968</v>
      </c>
      <c r="EM493" t="s">
        <v>969</v>
      </c>
      <c r="EO493" t="s">
        <v>970</v>
      </c>
      <c r="EQ493">
        <v>131072</v>
      </c>
      <c r="ER493">
        <v>4.0999999999999996</v>
      </c>
      <c r="ES493">
        <v>0</v>
      </c>
      <c r="ET493">
        <v>0</v>
      </c>
      <c r="EU493">
        <v>0</v>
      </c>
      <c r="EV493">
        <v>4.0999999999999996</v>
      </c>
      <c r="EW493">
        <v>0.32</v>
      </c>
      <c r="EX493">
        <v>0</v>
      </c>
      <c r="EY493">
        <v>0</v>
      </c>
      <c r="FQ493">
        <v>0</v>
      </c>
      <c r="FR493">
        <f>ROUND(IF(AND(BH493=3,BI493=3),P493,0),2)</f>
        <v>0</v>
      </c>
      <c r="FS493">
        <v>0</v>
      </c>
      <c r="FX493">
        <v>65</v>
      </c>
      <c r="FY493">
        <v>40</v>
      </c>
      <c r="GA493" t="s">
        <v>6</v>
      </c>
      <c r="GD493">
        <v>0</v>
      </c>
      <c r="GF493">
        <v>-1617765494</v>
      </c>
      <c r="GG493">
        <v>1</v>
      </c>
      <c r="GH493">
        <v>1</v>
      </c>
      <c r="GI493">
        <v>4</v>
      </c>
      <c r="GJ493">
        <v>0</v>
      </c>
      <c r="GK493">
        <f>ROUND(R493*(R12)/100,2)</f>
        <v>0</v>
      </c>
      <c r="GL493">
        <f>ROUND(IF(AND(BH493=3,BI493=3,FS493&lt;&gt;0),P493,0),2)</f>
        <v>0</v>
      </c>
      <c r="GM493">
        <f>ROUND(O493+X493+Y493+GK493,2)+GX493</f>
        <v>4839.3900000000003</v>
      </c>
      <c r="GN493">
        <f>IF(OR(BI493=0,BI493=1),ROUND(O493+X493+Y493+GK493,2),0)</f>
        <v>0</v>
      </c>
      <c r="GO493">
        <f>IF(BI493=2,ROUND(O493+X493+Y493+GK493,2),0)</f>
        <v>0</v>
      </c>
      <c r="GP493">
        <f>IF(BI493=4,ROUND(O493+X493+Y493+GK493,2)+GX493,0)</f>
        <v>4839.3900000000003</v>
      </c>
      <c r="GR493">
        <v>0</v>
      </c>
      <c r="GS493">
        <v>3</v>
      </c>
      <c r="GT493">
        <v>0</v>
      </c>
      <c r="GU493" t="s">
        <v>6</v>
      </c>
      <c r="GV493">
        <f>ROUND(GT493,2)</f>
        <v>0</v>
      </c>
      <c r="GW493">
        <v>1</v>
      </c>
      <c r="GX493">
        <f>ROUND(GV493*GW493*I493,2)</f>
        <v>0</v>
      </c>
      <c r="HA493">
        <v>0</v>
      </c>
      <c r="HB493">
        <v>0</v>
      </c>
      <c r="IK493">
        <v>0</v>
      </c>
    </row>
    <row r="494" spans="1:245" x14ac:dyDescent="0.2">
      <c r="A494">
        <v>17</v>
      </c>
      <c r="B494">
        <v>1</v>
      </c>
      <c r="C494">
        <f>ROW(SmtRes!A763)</f>
        <v>763</v>
      </c>
      <c r="D494">
        <f>ROW(EtalonRes!A698)</f>
        <v>698</v>
      </c>
      <c r="E494" t="s">
        <v>971</v>
      </c>
      <c r="F494" t="s">
        <v>972</v>
      </c>
      <c r="G494" t="s">
        <v>973</v>
      </c>
      <c r="H494" t="s">
        <v>56</v>
      </c>
      <c r="I494">
        <v>59</v>
      </c>
      <c r="J494">
        <v>0</v>
      </c>
      <c r="O494">
        <f>ROUND(CP494,2)</f>
        <v>13968.25</v>
      </c>
      <c r="P494">
        <f>ROUND(CQ494*I494,2)</f>
        <v>0</v>
      </c>
      <c r="Q494">
        <f>ROUND(CR494*I494,2)</f>
        <v>0</v>
      </c>
      <c r="R494">
        <f>ROUND(CS494*I494,2)</f>
        <v>0</v>
      </c>
      <c r="S494">
        <f>ROUND(CT494*I494,2)</f>
        <v>13968.25</v>
      </c>
      <c r="T494">
        <f>ROUND(CU494*I494,2)</f>
        <v>0</v>
      </c>
      <c r="U494">
        <f>CV494*I494</f>
        <v>57.583999999999996</v>
      </c>
      <c r="V494">
        <f>CW494*I494</f>
        <v>0</v>
      </c>
      <c r="W494">
        <f>ROUND(CX494*I494,2)</f>
        <v>0</v>
      </c>
      <c r="X494">
        <f t="shared" si="372"/>
        <v>9079.36</v>
      </c>
      <c r="Y494">
        <f t="shared" si="372"/>
        <v>5587.3</v>
      </c>
      <c r="AA494">
        <v>16742901</v>
      </c>
      <c r="AB494">
        <f>ROUND((AC494+AD494+AF494),2)</f>
        <v>12.5</v>
      </c>
      <c r="AC494">
        <f>ROUND((ES494),2)</f>
        <v>0</v>
      </c>
      <c r="AD494">
        <f>ROUND((((ET494)-(EU494))+AE494),2)</f>
        <v>0</v>
      </c>
      <c r="AE494">
        <f>ROUND((EU494),2)</f>
        <v>0</v>
      </c>
      <c r="AF494">
        <f>ROUND(((EV494*0.8)),2)</f>
        <v>12.5</v>
      </c>
      <c r="AG494">
        <f>ROUND((AP494),2)</f>
        <v>0</v>
      </c>
      <c r="AH494">
        <f>((EW494*0.8))</f>
        <v>0.97599999999999998</v>
      </c>
      <c r="AI494">
        <f>(EX494)</f>
        <v>0</v>
      </c>
      <c r="AJ494">
        <f>ROUND((AS494),2)</f>
        <v>0</v>
      </c>
      <c r="AK494">
        <v>15.62</v>
      </c>
      <c r="AL494">
        <v>0</v>
      </c>
      <c r="AM494">
        <v>0</v>
      </c>
      <c r="AN494">
        <v>0</v>
      </c>
      <c r="AO494">
        <v>15.62</v>
      </c>
      <c r="AP494">
        <v>0</v>
      </c>
      <c r="AQ494">
        <v>1.22</v>
      </c>
      <c r="AR494">
        <v>0</v>
      </c>
      <c r="AS494">
        <v>0</v>
      </c>
      <c r="AT494">
        <v>65</v>
      </c>
      <c r="AU494">
        <v>40</v>
      </c>
      <c r="AV494">
        <v>1</v>
      </c>
      <c r="AW494">
        <v>1</v>
      </c>
      <c r="AZ494">
        <v>18.940000000000001</v>
      </c>
      <c r="BA494">
        <v>18.940000000000001</v>
      </c>
      <c r="BB494">
        <v>1</v>
      </c>
      <c r="BC494">
        <v>1</v>
      </c>
      <c r="BD494" t="s">
        <v>6</v>
      </c>
      <c r="BE494" t="s">
        <v>6</v>
      </c>
      <c r="BF494" t="s">
        <v>6</v>
      </c>
      <c r="BG494" t="s">
        <v>6</v>
      </c>
      <c r="BH494">
        <v>0</v>
      </c>
      <c r="BI494">
        <v>4</v>
      </c>
      <c r="BJ494" t="s">
        <v>974</v>
      </c>
      <c r="BM494">
        <v>200001</v>
      </c>
      <c r="BN494">
        <v>0</v>
      </c>
      <c r="BO494" t="s">
        <v>6</v>
      </c>
      <c r="BP494">
        <v>0</v>
      </c>
      <c r="BQ494">
        <v>4</v>
      </c>
      <c r="BR494">
        <v>0</v>
      </c>
      <c r="BS494">
        <v>1</v>
      </c>
      <c r="BT494">
        <v>1</v>
      </c>
      <c r="BU494">
        <v>1</v>
      </c>
      <c r="BV494">
        <v>1</v>
      </c>
      <c r="BW494">
        <v>1</v>
      </c>
      <c r="BX494">
        <v>1</v>
      </c>
      <c r="BY494" t="s">
        <v>6</v>
      </c>
      <c r="BZ494">
        <v>65</v>
      </c>
      <c r="CA494">
        <v>40</v>
      </c>
      <c r="CF494">
        <v>0</v>
      </c>
      <c r="CG494">
        <v>0</v>
      </c>
      <c r="CM494">
        <v>0</v>
      </c>
      <c r="CN494" t="s">
        <v>966</v>
      </c>
      <c r="CO494">
        <v>0</v>
      </c>
      <c r="CP494">
        <f>(P494+Q494+S494)</f>
        <v>13968.25</v>
      </c>
      <c r="CQ494">
        <f>AC494*BC494</f>
        <v>0</v>
      </c>
      <c r="CR494">
        <f>AD494*BB494</f>
        <v>0</v>
      </c>
      <c r="CS494">
        <f>AE494*BS494</f>
        <v>0</v>
      </c>
      <c r="CT494">
        <f>AF494*BA494</f>
        <v>236.75000000000003</v>
      </c>
      <c r="CU494">
        <f t="shared" si="373"/>
        <v>0</v>
      </c>
      <c r="CV494">
        <f t="shared" si="373"/>
        <v>0.97599999999999998</v>
      </c>
      <c r="CW494">
        <f t="shared" si="373"/>
        <v>0</v>
      </c>
      <c r="CX494">
        <f t="shared" si="373"/>
        <v>0</v>
      </c>
      <c r="CY494">
        <f>(((S494+R494)*AT494)/100)</f>
        <v>9079.3624999999993</v>
      </c>
      <c r="CZ494">
        <f>(((S494+R494)*AU494)/100)</f>
        <v>5587.3</v>
      </c>
      <c r="DC494" t="s">
        <v>6</v>
      </c>
      <c r="DD494" t="s">
        <v>6</v>
      </c>
      <c r="DE494" t="s">
        <v>6</v>
      </c>
      <c r="DF494" t="s">
        <v>6</v>
      </c>
      <c r="DG494" t="s">
        <v>49</v>
      </c>
      <c r="DH494" t="s">
        <v>6</v>
      </c>
      <c r="DI494" t="s">
        <v>49</v>
      </c>
      <c r="DJ494" t="s">
        <v>6</v>
      </c>
      <c r="DK494" t="s">
        <v>6</v>
      </c>
      <c r="DL494" t="s">
        <v>6</v>
      </c>
      <c r="DM494" t="s">
        <v>6</v>
      </c>
      <c r="DN494">
        <v>0</v>
      </c>
      <c r="DO494">
        <v>0</v>
      </c>
      <c r="DP494">
        <v>1</v>
      </c>
      <c r="DQ494">
        <v>1</v>
      </c>
      <c r="DU494">
        <v>1013</v>
      </c>
      <c r="DV494" t="s">
        <v>56</v>
      </c>
      <c r="DW494" t="s">
        <v>56</v>
      </c>
      <c r="DX494">
        <v>1</v>
      </c>
      <c r="EE494">
        <v>16510412</v>
      </c>
      <c r="EF494">
        <v>4</v>
      </c>
      <c r="EG494" t="s">
        <v>967</v>
      </c>
      <c r="EH494">
        <v>0</v>
      </c>
      <c r="EI494" t="s">
        <v>6</v>
      </c>
      <c r="EJ494">
        <v>4</v>
      </c>
      <c r="EK494">
        <v>200001</v>
      </c>
      <c r="EL494" t="s">
        <v>968</v>
      </c>
      <c r="EM494" t="s">
        <v>969</v>
      </c>
      <c r="EO494" t="s">
        <v>970</v>
      </c>
      <c r="EQ494">
        <v>131072</v>
      </c>
      <c r="ER494">
        <v>15.62</v>
      </c>
      <c r="ES494">
        <v>0</v>
      </c>
      <c r="ET494">
        <v>0</v>
      </c>
      <c r="EU494">
        <v>0</v>
      </c>
      <c r="EV494">
        <v>15.62</v>
      </c>
      <c r="EW494">
        <v>1.22</v>
      </c>
      <c r="EX494">
        <v>0</v>
      </c>
      <c r="EY494">
        <v>0</v>
      </c>
      <c r="FQ494">
        <v>0</v>
      </c>
      <c r="FR494">
        <f>ROUND(IF(AND(BH494=3,BI494=3),P494,0),2)</f>
        <v>0</v>
      </c>
      <c r="FS494">
        <v>0</v>
      </c>
      <c r="FX494">
        <v>65</v>
      </c>
      <c r="FY494">
        <v>40</v>
      </c>
      <c r="GA494" t="s">
        <v>6</v>
      </c>
      <c r="GD494">
        <v>0</v>
      </c>
      <c r="GF494">
        <v>-829332442</v>
      </c>
      <c r="GG494">
        <v>1</v>
      </c>
      <c r="GH494">
        <v>1</v>
      </c>
      <c r="GI494">
        <v>4</v>
      </c>
      <c r="GJ494">
        <v>0</v>
      </c>
      <c r="GK494">
        <f>ROUND(R494*(R12)/100,2)</f>
        <v>0</v>
      </c>
      <c r="GL494">
        <f>ROUND(IF(AND(BH494=3,BI494=3,FS494&lt;&gt;0),P494,0),2)</f>
        <v>0</v>
      </c>
      <c r="GM494">
        <f>ROUND(O494+X494+Y494+GK494,2)+GX494</f>
        <v>28634.91</v>
      </c>
      <c r="GN494">
        <f>IF(OR(BI494=0,BI494=1),ROUND(O494+X494+Y494+GK494,2),0)</f>
        <v>0</v>
      </c>
      <c r="GO494">
        <f>IF(BI494=2,ROUND(O494+X494+Y494+GK494,2),0)</f>
        <v>0</v>
      </c>
      <c r="GP494">
        <f>IF(BI494=4,ROUND(O494+X494+Y494+GK494,2)+GX494,0)</f>
        <v>28634.91</v>
      </c>
      <c r="GR494">
        <v>0</v>
      </c>
      <c r="GS494">
        <v>3</v>
      </c>
      <c r="GT494">
        <v>0</v>
      </c>
      <c r="GU494" t="s">
        <v>6</v>
      </c>
      <c r="GV494">
        <f>ROUND(GT494,2)</f>
        <v>0</v>
      </c>
      <c r="GW494">
        <v>1</v>
      </c>
      <c r="GX494">
        <f>ROUND(GV494*GW494*I494,2)</f>
        <v>0</v>
      </c>
      <c r="HA494">
        <v>0</v>
      </c>
      <c r="HB494">
        <v>0</v>
      </c>
      <c r="IK494">
        <v>0</v>
      </c>
    </row>
    <row r="495" spans="1:245" x14ac:dyDescent="0.2">
      <c r="A495">
        <v>17</v>
      </c>
      <c r="B495">
        <v>1</v>
      </c>
      <c r="C495">
        <f>ROW(SmtRes!A765)</f>
        <v>765</v>
      </c>
      <c r="D495">
        <f>ROW(EtalonRes!A700)</f>
        <v>700</v>
      </c>
      <c r="E495" t="s">
        <v>975</v>
      </c>
      <c r="F495" t="s">
        <v>976</v>
      </c>
      <c r="G495" t="s">
        <v>977</v>
      </c>
      <c r="H495" t="s">
        <v>978</v>
      </c>
      <c r="I495">
        <f>ROUND(4/100,9)</f>
        <v>0.04</v>
      </c>
      <c r="J495">
        <v>0</v>
      </c>
      <c r="O495">
        <f>ROUND(CP495,2)</f>
        <v>100.58</v>
      </c>
      <c r="P495">
        <f>ROUND(CQ495*I495,2)</f>
        <v>0</v>
      </c>
      <c r="Q495">
        <f>ROUND(CR495*I495,2)</f>
        <v>0</v>
      </c>
      <c r="R495">
        <f>ROUND(CS495*I495,2)</f>
        <v>0</v>
      </c>
      <c r="S495">
        <f>ROUND(CT495*I495,2)</f>
        <v>100.58</v>
      </c>
      <c r="T495">
        <f>ROUND(CU495*I495,2)</f>
        <v>0</v>
      </c>
      <c r="U495">
        <f>CV495*I495</f>
        <v>0.41472000000000009</v>
      </c>
      <c r="V495">
        <f>CW495*I495</f>
        <v>0</v>
      </c>
      <c r="W495">
        <f>ROUND(CX495*I495,2)</f>
        <v>0</v>
      </c>
      <c r="X495">
        <f t="shared" si="372"/>
        <v>65.38</v>
      </c>
      <c r="Y495">
        <f t="shared" si="372"/>
        <v>40.229999999999997</v>
      </c>
      <c r="AA495">
        <v>16742901</v>
      </c>
      <c r="AB495">
        <f>ROUND((AC495+AD495+AF495),2)</f>
        <v>132.76</v>
      </c>
      <c r="AC495">
        <f>ROUND((ES495),2)</f>
        <v>0</v>
      </c>
      <c r="AD495">
        <f>ROUND((((ET495)-(EU495))+AE495),2)</f>
        <v>0</v>
      </c>
      <c r="AE495">
        <f>ROUND((EU495),2)</f>
        <v>0</v>
      </c>
      <c r="AF495">
        <f>ROUND(((EV495*0.8)),2)</f>
        <v>132.76</v>
      </c>
      <c r="AG495">
        <f>ROUND((AP495),2)</f>
        <v>0</v>
      </c>
      <c r="AH495">
        <f>((EW495*0.8))</f>
        <v>10.368000000000002</v>
      </c>
      <c r="AI495">
        <f>(EX495)</f>
        <v>0</v>
      </c>
      <c r="AJ495">
        <f>ROUND((AS495),2)</f>
        <v>0</v>
      </c>
      <c r="AK495">
        <v>165.95</v>
      </c>
      <c r="AL495">
        <v>0</v>
      </c>
      <c r="AM495">
        <v>0</v>
      </c>
      <c r="AN495">
        <v>0</v>
      </c>
      <c r="AO495">
        <v>165.95</v>
      </c>
      <c r="AP495">
        <v>0</v>
      </c>
      <c r="AQ495">
        <v>12.96</v>
      </c>
      <c r="AR495">
        <v>0</v>
      </c>
      <c r="AS495">
        <v>0</v>
      </c>
      <c r="AT495">
        <v>65</v>
      </c>
      <c r="AU495">
        <v>40</v>
      </c>
      <c r="AV495">
        <v>1</v>
      </c>
      <c r="AW495">
        <v>1</v>
      </c>
      <c r="AZ495">
        <v>18.940000000000001</v>
      </c>
      <c r="BA495">
        <v>18.940000000000001</v>
      </c>
      <c r="BB495">
        <v>1</v>
      </c>
      <c r="BC495">
        <v>1</v>
      </c>
      <c r="BD495" t="s">
        <v>6</v>
      </c>
      <c r="BE495" t="s">
        <v>6</v>
      </c>
      <c r="BF495" t="s">
        <v>6</v>
      </c>
      <c r="BG495" t="s">
        <v>6</v>
      </c>
      <c r="BH495">
        <v>0</v>
      </c>
      <c r="BI495">
        <v>4</v>
      </c>
      <c r="BJ495" t="s">
        <v>979</v>
      </c>
      <c r="BM495">
        <v>200001</v>
      </c>
      <c r="BN495">
        <v>0</v>
      </c>
      <c r="BO495" t="s">
        <v>6</v>
      </c>
      <c r="BP495">
        <v>0</v>
      </c>
      <c r="BQ495">
        <v>4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6</v>
      </c>
      <c r="BZ495">
        <v>65</v>
      </c>
      <c r="CA495">
        <v>40</v>
      </c>
      <c r="CF495">
        <v>0</v>
      </c>
      <c r="CG495">
        <v>0</v>
      </c>
      <c r="CM495">
        <v>0</v>
      </c>
      <c r="CN495" t="s">
        <v>966</v>
      </c>
      <c r="CO495">
        <v>0</v>
      </c>
      <c r="CP495">
        <f>(P495+Q495+S495)</f>
        <v>100.58</v>
      </c>
      <c r="CQ495">
        <f>AC495*BC495</f>
        <v>0</v>
      </c>
      <c r="CR495">
        <f>AD495*BB495</f>
        <v>0</v>
      </c>
      <c r="CS495">
        <f>AE495*BS495</f>
        <v>0</v>
      </c>
      <c r="CT495">
        <f>AF495*BA495</f>
        <v>2514.4744000000001</v>
      </c>
      <c r="CU495">
        <f t="shared" si="373"/>
        <v>0</v>
      </c>
      <c r="CV495">
        <f t="shared" si="373"/>
        <v>10.368000000000002</v>
      </c>
      <c r="CW495">
        <f t="shared" si="373"/>
        <v>0</v>
      </c>
      <c r="CX495">
        <f t="shared" si="373"/>
        <v>0</v>
      </c>
      <c r="CY495">
        <f>(((S495+R495)*AT495)/100)</f>
        <v>65.376999999999995</v>
      </c>
      <c r="CZ495">
        <f>(((S495+R495)*AU495)/100)</f>
        <v>40.231999999999999</v>
      </c>
      <c r="DC495" t="s">
        <v>6</v>
      </c>
      <c r="DD495" t="s">
        <v>6</v>
      </c>
      <c r="DE495" t="s">
        <v>6</v>
      </c>
      <c r="DF495" t="s">
        <v>6</v>
      </c>
      <c r="DG495" t="s">
        <v>49</v>
      </c>
      <c r="DH495" t="s">
        <v>6</v>
      </c>
      <c r="DI495" t="s">
        <v>49</v>
      </c>
      <c r="DJ495" t="s">
        <v>6</v>
      </c>
      <c r="DK495" t="s">
        <v>6</v>
      </c>
      <c r="DL495" t="s">
        <v>6</v>
      </c>
      <c r="DM495" t="s">
        <v>6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978</v>
      </c>
      <c r="DW495" t="s">
        <v>978</v>
      </c>
      <c r="DX495">
        <v>1</v>
      </c>
      <c r="EE495">
        <v>16510412</v>
      </c>
      <c r="EF495">
        <v>4</v>
      </c>
      <c r="EG495" t="s">
        <v>967</v>
      </c>
      <c r="EH495">
        <v>0</v>
      </c>
      <c r="EI495" t="s">
        <v>6</v>
      </c>
      <c r="EJ495">
        <v>4</v>
      </c>
      <c r="EK495">
        <v>200001</v>
      </c>
      <c r="EL495" t="s">
        <v>968</v>
      </c>
      <c r="EM495" t="s">
        <v>969</v>
      </c>
      <c r="EO495" t="s">
        <v>970</v>
      </c>
      <c r="EQ495">
        <v>131072</v>
      </c>
      <c r="ER495">
        <v>165.95</v>
      </c>
      <c r="ES495">
        <v>0</v>
      </c>
      <c r="ET495">
        <v>0</v>
      </c>
      <c r="EU495">
        <v>0</v>
      </c>
      <c r="EV495">
        <v>165.95</v>
      </c>
      <c r="EW495">
        <v>12.96</v>
      </c>
      <c r="EX495">
        <v>0</v>
      </c>
      <c r="EY495">
        <v>0</v>
      </c>
      <c r="FQ495">
        <v>0</v>
      </c>
      <c r="FR495">
        <f>ROUND(IF(AND(BH495=3,BI495=3),P495,0),2)</f>
        <v>0</v>
      </c>
      <c r="FS495">
        <v>0</v>
      </c>
      <c r="FX495">
        <v>65</v>
      </c>
      <c r="FY495">
        <v>40</v>
      </c>
      <c r="GA495" t="s">
        <v>6</v>
      </c>
      <c r="GD495">
        <v>0</v>
      </c>
      <c r="GF495">
        <v>-931447527</v>
      </c>
      <c r="GG495">
        <v>1</v>
      </c>
      <c r="GH495">
        <v>1</v>
      </c>
      <c r="GI495">
        <v>4</v>
      </c>
      <c r="GJ495">
        <v>0</v>
      </c>
      <c r="GK495">
        <f>ROUND(R495*(R12)/100,2)</f>
        <v>0</v>
      </c>
      <c r="GL495">
        <f>ROUND(IF(AND(BH495=3,BI495=3,FS495&lt;&gt;0),P495,0),2)</f>
        <v>0</v>
      </c>
      <c r="GM495">
        <f>ROUND(O495+X495+Y495+GK495,2)+GX495</f>
        <v>206.19</v>
      </c>
      <c r="GN495">
        <f>IF(OR(BI495=0,BI495=1),ROUND(O495+X495+Y495+GK495,2),0)</f>
        <v>0</v>
      </c>
      <c r="GO495">
        <f>IF(BI495=2,ROUND(O495+X495+Y495+GK495,2),0)</f>
        <v>0</v>
      </c>
      <c r="GP495">
        <f>IF(BI495=4,ROUND(O495+X495+Y495+GK495,2)+GX495,0)</f>
        <v>206.19</v>
      </c>
      <c r="GR495">
        <v>0</v>
      </c>
      <c r="GS495">
        <v>3</v>
      </c>
      <c r="GT495">
        <v>0</v>
      </c>
      <c r="GU495" t="s">
        <v>6</v>
      </c>
      <c r="GV495">
        <f>ROUND(GT495,2)</f>
        <v>0</v>
      </c>
      <c r="GW495">
        <v>1</v>
      </c>
      <c r="GX495">
        <f>ROUND(GV495*GW495*I495,2)</f>
        <v>0</v>
      </c>
      <c r="HA495">
        <v>0</v>
      </c>
      <c r="HB495">
        <v>0</v>
      </c>
      <c r="IK495">
        <v>0</v>
      </c>
    </row>
    <row r="496" spans="1:245" x14ac:dyDescent="0.2">
      <c r="A496">
        <v>17</v>
      </c>
      <c r="B496">
        <v>1</v>
      </c>
      <c r="C496">
        <f>ROW(SmtRes!A767)</f>
        <v>767</v>
      </c>
      <c r="D496">
        <f>ROW(EtalonRes!A702)</f>
        <v>702</v>
      </c>
      <c r="E496" t="s">
        <v>980</v>
      </c>
      <c r="F496" t="s">
        <v>981</v>
      </c>
      <c r="G496" t="s">
        <v>982</v>
      </c>
      <c r="H496" t="s">
        <v>983</v>
      </c>
      <c r="I496">
        <v>36</v>
      </c>
      <c r="J496">
        <v>0</v>
      </c>
      <c r="O496">
        <f>ROUND(CP496,2)</f>
        <v>10704.89</v>
      </c>
      <c r="P496">
        <f>ROUND(CQ496*I496,2)</f>
        <v>0</v>
      </c>
      <c r="Q496">
        <f>ROUND(CR496*I496,2)</f>
        <v>0</v>
      </c>
      <c r="R496">
        <f>ROUND(CS496*I496,2)</f>
        <v>0</v>
      </c>
      <c r="S496">
        <f>ROUND(CT496*I496,2)</f>
        <v>10704.89</v>
      </c>
      <c r="T496">
        <f>ROUND(CU496*I496,2)</f>
        <v>0</v>
      </c>
      <c r="U496">
        <f>CV496*I496</f>
        <v>46.656000000000006</v>
      </c>
      <c r="V496">
        <f>CW496*I496</f>
        <v>0</v>
      </c>
      <c r="W496">
        <f>ROUND(CX496*I496,2)</f>
        <v>0</v>
      </c>
      <c r="X496">
        <f t="shared" si="372"/>
        <v>6958.18</v>
      </c>
      <c r="Y496">
        <f t="shared" si="372"/>
        <v>4281.96</v>
      </c>
      <c r="AA496">
        <v>16742901</v>
      </c>
      <c r="AB496">
        <f>ROUND((AC496+AD496+AF496),2)</f>
        <v>15.7</v>
      </c>
      <c r="AC496">
        <f>ROUND((ES496),2)</f>
        <v>0</v>
      </c>
      <c r="AD496">
        <f>ROUND((((ET496)-(EU496))+AE496),2)</f>
        <v>0</v>
      </c>
      <c r="AE496">
        <f>ROUND((EU496),2)</f>
        <v>0</v>
      </c>
      <c r="AF496">
        <f>ROUND(((EV496*0.8)),2)</f>
        <v>15.7</v>
      </c>
      <c r="AG496">
        <f>ROUND((AP496),2)</f>
        <v>0</v>
      </c>
      <c r="AH496">
        <f>((EW496*0.8))</f>
        <v>1.2960000000000003</v>
      </c>
      <c r="AI496">
        <f>(EX496)</f>
        <v>0</v>
      </c>
      <c r="AJ496">
        <f>ROUND((AS496),2)</f>
        <v>0</v>
      </c>
      <c r="AK496">
        <v>19.63</v>
      </c>
      <c r="AL496">
        <v>0</v>
      </c>
      <c r="AM496">
        <v>0</v>
      </c>
      <c r="AN496">
        <v>0</v>
      </c>
      <c r="AO496">
        <v>19.63</v>
      </c>
      <c r="AP496">
        <v>0</v>
      </c>
      <c r="AQ496">
        <v>1.62</v>
      </c>
      <c r="AR496">
        <v>0</v>
      </c>
      <c r="AS496">
        <v>0</v>
      </c>
      <c r="AT496">
        <v>65</v>
      </c>
      <c r="AU496">
        <v>40</v>
      </c>
      <c r="AV496">
        <v>1</v>
      </c>
      <c r="AW496">
        <v>1</v>
      </c>
      <c r="AZ496">
        <v>18.940000000000001</v>
      </c>
      <c r="BA496">
        <v>18.940000000000001</v>
      </c>
      <c r="BB496">
        <v>1</v>
      </c>
      <c r="BC496">
        <v>1</v>
      </c>
      <c r="BD496" t="s">
        <v>6</v>
      </c>
      <c r="BE496" t="s">
        <v>6</v>
      </c>
      <c r="BF496" t="s">
        <v>6</v>
      </c>
      <c r="BG496" t="s">
        <v>6</v>
      </c>
      <c r="BH496">
        <v>0</v>
      </c>
      <c r="BI496">
        <v>4</v>
      </c>
      <c r="BJ496" t="s">
        <v>984</v>
      </c>
      <c r="BM496">
        <v>200001</v>
      </c>
      <c r="BN496">
        <v>0</v>
      </c>
      <c r="BO496" t="s">
        <v>6</v>
      </c>
      <c r="BP496">
        <v>0</v>
      </c>
      <c r="BQ496">
        <v>4</v>
      </c>
      <c r="BR496">
        <v>0</v>
      </c>
      <c r="BS496">
        <v>1</v>
      </c>
      <c r="BT496">
        <v>1</v>
      </c>
      <c r="BU496">
        <v>1</v>
      </c>
      <c r="BV496">
        <v>1</v>
      </c>
      <c r="BW496">
        <v>1</v>
      </c>
      <c r="BX496">
        <v>1</v>
      </c>
      <c r="BY496" t="s">
        <v>6</v>
      </c>
      <c r="BZ496">
        <v>65</v>
      </c>
      <c r="CA496">
        <v>40</v>
      </c>
      <c r="CF496">
        <v>0</v>
      </c>
      <c r="CG496">
        <v>0</v>
      </c>
      <c r="CM496">
        <v>0</v>
      </c>
      <c r="CN496" t="s">
        <v>966</v>
      </c>
      <c r="CO496">
        <v>0</v>
      </c>
      <c r="CP496">
        <f>(P496+Q496+S496)</f>
        <v>10704.89</v>
      </c>
      <c r="CQ496">
        <f>AC496*BC496</f>
        <v>0</v>
      </c>
      <c r="CR496">
        <f>AD496*BB496</f>
        <v>0</v>
      </c>
      <c r="CS496">
        <f>AE496*BS496</f>
        <v>0</v>
      </c>
      <c r="CT496">
        <f>AF496*BA496</f>
        <v>297.358</v>
      </c>
      <c r="CU496">
        <f t="shared" si="373"/>
        <v>0</v>
      </c>
      <c r="CV496">
        <f t="shared" si="373"/>
        <v>1.2960000000000003</v>
      </c>
      <c r="CW496">
        <f t="shared" si="373"/>
        <v>0</v>
      </c>
      <c r="CX496">
        <f t="shared" si="373"/>
        <v>0</v>
      </c>
      <c r="CY496">
        <f>(((S496+R496)*AT496)/100)</f>
        <v>6958.1785</v>
      </c>
      <c r="CZ496">
        <f>(((S496+R496)*AU496)/100)</f>
        <v>4281.9560000000001</v>
      </c>
      <c r="DC496" t="s">
        <v>6</v>
      </c>
      <c r="DD496" t="s">
        <v>6</v>
      </c>
      <c r="DE496" t="s">
        <v>6</v>
      </c>
      <c r="DF496" t="s">
        <v>6</v>
      </c>
      <c r="DG496" t="s">
        <v>49</v>
      </c>
      <c r="DH496" t="s">
        <v>6</v>
      </c>
      <c r="DI496" t="s">
        <v>49</v>
      </c>
      <c r="DJ496" t="s">
        <v>6</v>
      </c>
      <c r="DK496" t="s">
        <v>6</v>
      </c>
      <c r="DL496" t="s">
        <v>6</v>
      </c>
      <c r="DM496" t="s">
        <v>6</v>
      </c>
      <c r="DN496">
        <v>0</v>
      </c>
      <c r="DO496">
        <v>0</v>
      </c>
      <c r="DP496">
        <v>1</v>
      </c>
      <c r="DQ496">
        <v>1</v>
      </c>
      <c r="DU496">
        <v>1013</v>
      </c>
      <c r="DV496" t="s">
        <v>983</v>
      </c>
      <c r="DW496" t="s">
        <v>983</v>
      </c>
      <c r="DX496">
        <v>1</v>
      </c>
      <c r="EE496">
        <v>16510412</v>
      </c>
      <c r="EF496">
        <v>4</v>
      </c>
      <c r="EG496" t="s">
        <v>967</v>
      </c>
      <c r="EH496">
        <v>0</v>
      </c>
      <c r="EI496" t="s">
        <v>6</v>
      </c>
      <c r="EJ496">
        <v>4</v>
      </c>
      <c r="EK496">
        <v>200001</v>
      </c>
      <c r="EL496" t="s">
        <v>968</v>
      </c>
      <c r="EM496" t="s">
        <v>969</v>
      </c>
      <c r="EO496" t="s">
        <v>970</v>
      </c>
      <c r="EQ496">
        <v>131072</v>
      </c>
      <c r="ER496">
        <v>19.63</v>
      </c>
      <c r="ES496">
        <v>0</v>
      </c>
      <c r="ET496">
        <v>0</v>
      </c>
      <c r="EU496">
        <v>0</v>
      </c>
      <c r="EV496">
        <v>19.63</v>
      </c>
      <c r="EW496">
        <v>1.62</v>
      </c>
      <c r="EX496">
        <v>0</v>
      </c>
      <c r="EY496">
        <v>0</v>
      </c>
      <c r="FQ496">
        <v>0</v>
      </c>
      <c r="FR496">
        <f>ROUND(IF(AND(BH496=3,BI496=3),P496,0),2)</f>
        <v>0</v>
      </c>
      <c r="FS496">
        <v>0</v>
      </c>
      <c r="FX496">
        <v>65</v>
      </c>
      <c r="FY496">
        <v>40</v>
      </c>
      <c r="GA496" t="s">
        <v>6</v>
      </c>
      <c r="GD496">
        <v>0</v>
      </c>
      <c r="GF496">
        <v>-1211304926</v>
      </c>
      <c r="GG496">
        <v>1</v>
      </c>
      <c r="GH496">
        <v>1</v>
      </c>
      <c r="GI496">
        <v>4</v>
      </c>
      <c r="GJ496">
        <v>0</v>
      </c>
      <c r="GK496">
        <f>ROUND(R496*(R12)/100,2)</f>
        <v>0</v>
      </c>
      <c r="GL496">
        <f>ROUND(IF(AND(BH496=3,BI496=3,FS496&lt;&gt;0),P496,0),2)</f>
        <v>0</v>
      </c>
      <c r="GM496">
        <f>ROUND(O496+X496+Y496+GK496,2)+GX496</f>
        <v>21945.03</v>
      </c>
      <c r="GN496">
        <f>IF(OR(BI496=0,BI496=1),ROUND(O496+X496+Y496+GK496,2),0)</f>
        <v>0</v>
      </c>
      <c r="GO496">
        <f>IF(BI496=2,ROUND(O496+X496+Y496+GK496,2),0)</f>
        <v>0</v>
      </c>
      <c r="GP496">
        <f>IF(BI496=4,ROUND(O496+X496+Y496+GK496,2)+GX496,0)</f>
        <v>21945.03</v>
      </c>
      <c r="GR496">
        <v>0</v>
      </c>
      <c r="GS496">
        <v>3</v>
      </c>
      <c r="GT496">
        <v>0</v>
      </c>
      <c r="GU496" t="s">
        <v>6</v>
      </c>
      <c r="GV496">
        <f>ROUND(GT496,2)</f>
        <v>0</v>
      </c>
      <c r="GW496">
        <v>1</v>
      </c>
      <c r="GX496">
        <f>ROUND(GV496*GW496*I496,2)</f>
        <v>0</v>
      </c>
      <c r="HA496">
        <v>0</v>
      </c>
      <c r="HB496">
        <v>0</v>
      </c>
      <c r="IK496">
        <v>0</v>
      </c>
    </row>
    <row r="498" spans="1:206" x14ac:dyDescent="0.2">
      <c r="A498" s="2">
        <v>51</v>
      </c>
      <c r="B498" s="2">
        <f>B489</f>
        <v>1</v>
      </c>
      <c r="C498" s="2">
        <f>A489</f>
        <v>4</v>
      </c>
      <c r="D498" s="2">
        <f>ROW(A489)</f>
        <v>489</v>
      </c>
      <c r="E498" s="2"/>
      <c r="F498" s="2" t="str">
        <f>IF(F489&lt;&gt;"",F489,"")</f>
        <v>Новый раздел</v>
      </c>
      <c r="G498" s="2" t="str">
        <f>IF(G489&lt;&gt;"",G489,"")</f>
        <v>3 Пусконаладочные работы</v>
      </c>
      <c r="H498" s="2">
        <v>0</v>
      </c>
      <c r="I498" s="2"/>
      <c r="J498" s="2"/>
      <c r="K498" s="2"/>
      <c r="L498" s="2"/>
      <c r="M498" s="2"/>
      <c r="N498" s="2"/>
      <c r="O498" s="2">
        <f t="shared" ref="O498:T498" si="374">ROUND(AB498,2)</f>
        <v>27134.400000000001</v>
      </c>
      <c r="P498" s="2">
        <f t="shared" si="374"/>
        <v>0</v>
      </c>
      <c r="Q498" s="2">
        <f t="shared" si="374"/>
        <v>0</v>
      </c>
      <c r="R498" s="2">
        <f t="shared" si="374"/>
        <v>0</v>
      </c>
      <c r="S498" s="2">
        <f t="shared" si="374"/>
        <v>27134.400000000001</v>
      </c>
      <c r="T498" s="2">
        <f t="shared" si="374"/>
        <v>0</v>
      </c>
      <c r="U498" s="2">
        <f>AH498</f>
        <v>114.38272000000001</v>
      </c>
      <c r="V498" s="2">
        <f>AI498</f>
        <v>0</v>
      </c>
      <c r="W498" s="2">
        <f>ROUND(AJ498,2)</f>
        <v>0</v>
      </c>
      <c r="X498" s="2">
        <f>ROUND(AK498,2)</f>
        <v>17637.36</v>
      </c>
      <c r="Y498" s="2">
        <f>ROUND(AL498,2)</f>
        <v>10853.76</v>
      </c>
      <c r="Z498" s="2"/>
      <c r="AA498" s="2"/>
      <c r="AB498" s="2">
        <f>ROUND(SUMIF(AA493:AA496,"=16742901",O493:O496),2)</f>
        <v>27134.400000000001</v>
      </c>
      <c r="AC498" s="2">
        <f>ROUND(SUMIF(AA493:AA496,"=16742901",P493:P496),2)</f>
        <v>0</v>
      </c>
      <c r="AD498" s="2">
        <f>ROUND(SUMIF(AA493:AA496,"=16742901",Q493:Q496),2)</f>
        <v>0</v>
      </c>
      <c r="AE498" s="2">
        <f>ROUND(SUMIF(AA493:AA496,"=16742901",R493:R496),2)</f>
        <v>0</v>
      </c>
      <c r="AF498" s="2">
        <f>ROUND(SUMIF(AA493:AA496,"=16742901",S493:S496),2)</f>
        <v>27134.400000000001</v>
      </c>
      <c r="AG498" s="2">
        <f>ROUND(SUMIF(AA493:AA496,"=16742901",T493:T496),2)</f>
        <v>0</v>
      </c>
      <c r="AH498" s="2">
        <f>SUMIF(AA493:AA496,"=16742901",U493:U496)</f>
        <v>114.38272000000001</v>
      </c>
      <c r="AI498" s="2">
        <f>SUMIF(AA493:AA496,"=16742901",V493:V496)</f>
        <v>0</v>
      </c>
      <c r="AJ498" s="2">
        <f>ROUND(SUMIF(AA493:AA496,"=16742901",W493:W496),2)</f>
        <v>0</v>
      </c>
      <c r="AK498" s="2">
        <f>ROUND(SUMIF(AA493:AA496,"=16742901",X493:X496),2)</f>
        <v>17637.36</v>
      </c>
      <c r="AL498" s="2">
        <f>ROUND(SUMIF(AA493:AA496,"=16742901",Y493:Y496),2)</f>
        <v>10853.76</v>
      </c>
      <c r="AM498" s="2"/>
      <c r="AN498" s="2"/>
      <c r="AO498" s="2">
        <f t="shared" ref="AO498:BC498" si="375">ROUND(BX498,2)</f>
        <v>0</v>
      </c>
      <c r="AP498" s="2">
        <f t="shared" si="375"/>
        <v>0</v>
      </c>
      <c r="AQ498" s="2">
        <f t="shared" si="375"/>
        <v>0</v>
      </c>
      <c r="AR498" s="2">
        <f t="shared" si="375"/>
        <v>55625.52</v>
      </c>
      <c r="AS498" s="2">
        <f t="shared" si="375"/>
        <v>0</v>
      </c>
      <c r="AT498" s="2">
        <f t="shared" si="375"/>
        <v>0</v>
      </c>
      <c r="AU498" s="2">
        <f t="shared" si="375"/>
        <v>55625.52</v>
      </c>
      <c r="AV498" s="2">
        <f t="shared" si="375"/>
        <v>0</v>
      </c>
      <c r="AW498" s="2">
        <f t="shared" si="375"/>
        <v>0</v>
      </c>
      <c r="AX498" s="2">
        <f t="shared" si="375"/>
        <v>0</v>
      </c>
      <c r="AY498" s="2">
        <f t="shared" si="375"/>
        <v>0</v>
      </c>
      <c r="AZ498" s="2">
        <f t="shared" si="375"/>
        <v>0</v>
      </c>
      <c r="BA498" s="2">
        <f t="shared" si="375"/>
        <v>0</v>
      </c>
      <c r="BB498" s="2">
        <f t="shared" si="375"/>
        <v>0</v>
      </c>
      <c r="BC498" s="2">
        <f t="shared" si="375"/>
        <v>0</v>
      </c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>
        <f>ROUND(SUMIF(AA493:AA496,"=16742901",FQ493:FQ496),2)</f>
        <v>0</v>
      </c>
      <c r="BY498" s="2">
        <f>ROUND(SUMIF(AA493:AA496,"=16742901",FR493:FR496),2)</f>
        <v>0</v>
      </c>
      <c r="BZ498" s="2">
        <f>ROUND(SUMIF(AA493:AA496,"=16742901",GL493:GL496),2)</f>
        <v>0</v>
      </c>
      <c r="CA498" s="2">
        <f>ROUND(SUMIF(AA493:AA496,"=16742901",GM493:GM496),2)</f>
        <v>55625.52</v>
      </c>
      <c r="CB498" s="2">
        <f>ROUND(SUMIF(AA493:AA496,"=16742901",GN493:GN496),2)</f>
        <v>0</v>
      </c>
      <c r="CC498" s="2">
        <f>ROUND(SUMIF(AA493:AA496,"=16742901",GO493:GO496),2)</f>
        <v>0</v>
      </c>
      <c r="CD498" s="2">
        <f>ROUND(SUMIF(AA493:AA496,"=16742901",GP493:GP496),2)</f>
        <v>55625.52</v>
      </c>
      <c r="CE498" s="2">
        <f>AC498-BX498</f>
        <v>0</v>
      </c>
      <c r="CF498" s="2">
        <f>AC498-BY498</f>
        <v>0</v>
      </c>
      <c r="CG498" s="2">
        <f>BX498-BZ498</f>
        <v>0</v>
      </c>
      <c r="CH498" s="2">
        <f>AC498-BX498-BY498+BZ498</f>
        <v>0</v>
      </c>
      <c r="CI498" s="2">
        <f>BY498-BZ498</f>
        <v>0</v>
      </c>
      <c r="CJ498" s="2">
        <f>ROUND(SUMIF(AA493:AA496,"=16742901",GX493:GX496),2)</f>
        <v>0</v>
      </c>
      <c r="CK498" s="2">
        <f>ROUND(SUMIF(AA493:AA496,"=16742901",GY493:GY496),2)</f>
        <v>0</v>
      </c>
      <c r="CL498" s="2">
        <f>ROUND(SUMIF(AA493:AA496,"=16742901",GZ493:GZ496),2)</f>
        <v>0</v>
      </c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3"/>
      <c r="EF498" s="3"/>
      <c r="EG498" s="3"/>
      <c r="EH498" s="3"/>
      <c r="EI498" s="3"/>
      <c r="EJ498" s="3"/>
      <c r="EK498" s="3"/>
      <c r="EL498" s="3"/>
      <c r="EM498" s="3"/>
      <c r="EN498" s="3"/>
      <c r="EO498" s="3"/>
      <c r="EP498" s="3"/>
      <c r="EQ498" s="3"/>
      <c r="ER498" s="3"/>
      <c r="ES498" s="3"/>
      <c r="ET498" s="3"/>
      <c r="EU498" s="3"/>
      <c r="EV498" s="3"/>
      <c r="EW498" s="3"/>
      <c r="EX498" s="3"/>
      <c r="EY498" s="3"/>
      <c r="EZ498" s="3"/>
      <c r="FA498" s="3"/>
      <c r="FB498" s="3"/>
      <c r="FC498" s="3"/>
      <c r="FD498" s="3"/>
      <c r="FE498" s="3"/>
      <c r="FF498" s="3"/>
      <c r="FG498" s="3"/>
      <c r="FH498" s="3"/>
      <c r="FI498" s="3"/>
      <c r="FJ498" s="3"/>
      <c r="FK498" s="3"/>
      <c r="FL498" s="3"/>
      <c r="FM498" s="3"/>
      <c r="FN498" s="3"/>
      <c r="FO498" s="3"/>
      <c r="FP498" s="3"/>
      <c r="FQ498" s="3"/>
      <c r="FR498" s="3"/>
      <c r="FS498" s="3"/>
      <c r="FT498" s="3"/>
      <c r="FU498" s="3"/>
      <c r="FV498" s="3"/>
      <c r="FW498" s="3"/>
      <c r="FX498" s="3"/>
      <c r="FY498" s="3"/>
      <c r="FZ498" s="3"/>
      <c r="GA498" s="3"/>
      <c r="GB498" s="3"/>
      <c r="GC498" s="3"/>
      <c r="GD498" s="3"/>
      <c r="GE498" s="3"/>
      <c r="GF498" s="3"/>
      <c r="GG498" s="3"/>
      <c r="GH498" s="3"/>
      <c r="GI498" s="3"/>
      <c r="GJ498" s="3"/>
      <c r="GK498" s="3"/>
      <c r="GL498" s="3"/>
      <c r="GM498" s="3"/>
      <c r="GN498" s="3"/>
      <c r="GO498" s="3"/>
      <c r="GP498" s="3"/>
      <c r="GQ498" s="3"/>
      <c r="GR498" s="3"/>
      <c r="GS498" s="3"/>
      <c r="GT498" s="3"/>
      <c r="GU498" s="3"/>
      <c r="GV498" s="3"/>
      <c r="GW498" s="3"/>
      <c r="GX498" s="3">
        <v>0</v>
      </c>
    </row>
    <row r="500" spans="1:206" x14ac:dyDescent="0.2">
      <c r="A500" s="4">
        <v>50</v>
      </c>
      <c r="B500" s="4">
        <v>0</v>
      </c>
      <c r="C500" s="4">
        <v>0</v>
      </c>
      <c r="D500" s="4">
        <v>1</v>
      </c>
      <c r="E500" s="4">
        <v>201</v>
      </c>
      <c r="F500" s="4">
        <f>ROUND(Source!O498,O500)</f>
        <v>27134.400000000001</v>
      </c>
      <c r="G500" s="4" t="s">
        <v>130</v>
      </c>
      <c r="H500" s="4" t="s">
        <v>131</v>
      </c>
      <c r="I500" s="4"/>
      <c r="J500" s="4"/>
      <c r="K500" s="4">
        <v>201</v>
      </c>
      <c r="L500" s="4">
        <v>1</v>
      </c>
      <c r="M500" s="4">
        <v>3</v>
      </c>
      <c r="N500" s="4" t="s">
        <v>6</v>
      </c>
      <c r="O500" s="4">
        <v>2</v>
      </c>
      <c r="P500" s="4"/>
      <c r="Q500" s="4"/>
      <c r="R500" s="4"/>
      <c r="S500" s="4"/>
      <c r="T500" s="4"/>
      <c r="U500" s="4"/>
      <c r="V500" s="4"/>
      <c r="W500" s="4"/>
    </row>
    <row r="501" spans="1:206" x14ac:dyDescent="0.2">
      <c r="A501" s="4">
        <v>50</v>
      </c>
      <c r="B501" s="4">
        <v>0</v>
      </c>
      <c r="C501" s="4">
        <v>0</v>
      </c>
      <c r="D501" s="4">
        <v>1</v>
      </c>
      <c r="E501" s="4">
        <v>202</v>
      </c>
      <c r="F501" s="4">
        <f>ROUND(Source!P498,O501)</f>
        <v>0</v>
      </c>
      <c r="G501" s="4" t="s">
        <v>132</v>
      </c>
      <c r="H501" s="4" t="s">
        <v>133</v>
      </c>
      <c r="I501" s="4"/>
      <c r="J501" s="4"/>
      <c r="K501" s="4">
        <v>202</v>
      </c>
      <c r="L501" s="4">
        <v>2</v>
      </c>
      <c r="M501" s="4">
        <v>3</v>
      </c>
      <c r="N501" s="4" t="s">
        <v>6</v>
      </c>
      <c r="O501" s="4">
        <v>2</v>
      </c>
      <c r="P501" s="4"/>
      <c r="Q501" s="4"/>
      <c r="R501" s="4"/>
      <c r="S501" s="4"/>
      <c r="T501" s="4"/>
      <c r="U501" s="4"/>
      <c r="V501" s="4"/>
      <c r="W501" s="4"/>
    </row>
    <row r="502" spans="1:206" x14ac:dyDescent="0.2">
      <c r="A502" s="4">
        <v>50</v>
      </c>
      <c r="B502" s="4">
        <v>0</v>
      </c>
      <c r="C502" s="4">
        <v>0</v>
      </c>
      <c r="D502" s="4">
        <v>1</v>
      </c>
      <c r="E502" s="4">
        <v>222</v>
      </c>
      <c r="F502" s="4">
        <f>ROUND(Source!AO498,O502)</f>
        <v>0</v>
      </c>
      <c r="G502" s="4" t="s">
        <v>134</v>
      </c>
      <c r="H502" s="4" t="s">
        <v>135</v>
      </c>
      <c r="I502" s="4"/>
      <c r="J502" s="4"/>
      <c r="K502" s="4">
        <v>222</v>
      </c>
      <c r="L502" s="4">
        <v>3</v>
      </c>
      <c r="M502" s="4">
        <v>3</v>
      </c>
      <c r="N502" s="4" t="s">
        <v>6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06" x14ac:dyDescent="0.2">
      <c r="A503" s="4">
        <v>50</v>
      </c>
      <c r="B503" s="4">
        <v>0</v>
      </c>
      <c r="C503" s="4">
        <v>0</v>
      </c>
      <c r="D503" s="4">
        <v>1</v>
      </c>
      <c r="E503" s="4">
        <v>225</v>
      </c>
      <c r="F503" s="4">
        <f>ROUND(Source!AV498,O503)</f>
        <v>0</v>
      </c>
      <c r="G503" s="4" t="s">
        <v>136</v>
      </c>
      <c r="H503" s="4" t="s">
        <v>137</v>
      </c>
      <c r="I503" s="4"/>
      <c r="J503" s="4"/>
      <c r="K503" s="4">
        <v>225</v>
      </c>
      <c r="L503" s="4">
        <v>4</v>
      </c>
      <c r="M503" s="4">
        <v>3</v>
      </c>
      <c r="N503" s="4" t="s">
        <v>6</v>
      </c>
      <c r="O503" s="4">
        <v>2</v>
      </c>
      <c r="P503" s="4"/>
      <c r="Q503" s="4"/>
      <c r="R503" s="4"/>
      <c r="S503" s="4"/>
      <c r="T503" s="4"/>
      <c r="U503" s="4"/>
      <c r="V503" s="4"/>
      <c r="W503" s="4"/>
    </row>
    <row r="504" spans="1:206" x14ac:dyDescent="0.2">
      <c r="A504" s="4">
        <v>50</v>
      </c>
      <c r="B504" s="4">
        <v>0</v>
      </c>
      <c r="C504" s="4">
        <v>0</v>
      </c>
      <c r="D504" s="4">
        <v>1</v>
      </c>
      <c r="E504" s="4">
        <v>226</v>
      </c>
      <c r="F504" s="4">
        <f>ROUND(Source!AW498,O504)</f>
        <v>0</v>
      </c>
      <c r="G504" s="4" t="s">
        <v>138</v>
      </c>
      <c r="H504" s="4" t="s">
        <v>139</v>
      </c>
      <c r="I504" s="4"/>
      <c r="J504" s="4"/>
      <c r="K504" s="4">
        <v>226</v>
      </c>
      <c r="L504" s="4">
        <v>5</v>
      </c>
      <c r="M504" s="4">
        <v>3</v>
      </c>
      <c r="N504" s="4" t="s">
        <v>6</v>
      </c>
      <c r="O504" s="4">
        <v>2</v>
      </c>
      <c r="P504" s="4"/>
      <c r="Q504" s="4"/>
      <c r="R504" s="4"/>
      <c r="S504" s="4"/>
      <c r="T504" s="4"/>
      <c r="U504" s="4"/>
      <c r="V504" s="4"/>
      <c r="W504" s="4"/>
    </row>
    <row r="505" spans="1:206" x14ac:dyDescent="0.2">
      <c r="A505" s="4">
        <v>50</v>
      </c>
      <c r="B505" s="4">
        <v>0</v>
      </c>
      <c r="C505" s="4">
        <v>0</v>
      </c>
      <c r="D505" s="4">
        <v>1</v>
      </c>
      <c r="E505" s="4">
        <v>227</v>
      </c>
      <c r="F505" s="4">
        <f>ROUND(Source!AX498,O505)</f>
        <v>0</v>
      </c>
      <c r="G505" s="4" t="s">
        <v>140</v>
      </c>
      <c r="H505" s="4" t="s">
        <v>141</v>
      </c>
      <c r="I505" s="4"/>
      <c r="J505" s="4"/>
      <c r="K505" s="4">
        <v>227</v>
      </c>
      <c r="L505" s="4">
        <v>6</v>
      </c>
      <c r="M505" s="4">
        <v>3</v>
      </c>
      <c r="N505" s="4" t="s">
        <v>6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06" x14ac:dyDescent="0.2">
      <c r="A506" s="4">
        <v>50</v>
      </c>
      <c r="B506" s="4">
        <v>0</v>
      </c>
      <c r="C506" s="4">
        <v>0</v>
      </c>
      <c r="D506" s="4">
        <v>1</v>
      </c>
      <c r="E506" s="4">
        <v>228</v>
      </c>
      <c r="F506" s="4">
        <f>ROUND(Source!AY498,O506)</f>
        <v>0</v>
      </c>
      <c r="G506" s="4" t="s">
        <v>142</v>
      </c>
      <c r="H506" s="4" t="s">
        <v>143</v>
      </c>
      <c r="I506" s="4"/>
      <c r="J506" s="4"/>
      <c r="K506" s="4">
        <v>228</v>
      </c>
      <c r="L506" s="4">
        <v>7</v>
      </c>
      <c r="M506" s="4">
        <v>3</v>
      </c>
      <c r="N506" s="4" t="s">
        <v>6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06" x14ac:dyDescent="0.2">
      <c r="A507" s="4">
        <v>50</v>
      </c>
      <c r="B507" s="4">
        <v>0</v>
      </c>
      <c r="C507" s="4">
        <v>0</v>
      </c>
      <c r="D507" s="4">
        <v>1</v>
      </c>
      <c r="E507" s="4">
        <v>216</v>
      </c>
      <c r="F507" s="4">
        <f>ROUND(Source!AP498,O507)</f>
        <v>0</v>
      </c>
      <c r="G507" s="4" t="s">
        <v>144</v>
      </c>
      <c r="H507" s="4" t="s">
        <v>145</v>
      </c>
      <c r="I507" s="4"/>
      <c r="J507" s="4"/>
      <c r="K507" s="4">
        <v>216</v>
      </c>
      <c r="L507" s="4">
        <v>8</v>
      </c>
      <c r="M507" s="4">
        <v>3</v>
      </c>
      <c r="N507" s="4" t="s">
        <v>6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06" x14ac:dyDescent="0.2">
      <c r="A508" s="4">
        <v>50</v>
      </c>
      <c r="B508" s="4">
        <v>0</v>
      </c>
      <c r="C508" s="4">
        <v>0</v>
      </c>
      <c r="D508" s="4">
        <v>1</v>
      </c>
      <c r="E508" s="4">
        <v>223</v>
      </c>
      <c r="F508" s="4">
        <f>ROUND(Source!AQ498,O508)</f>
        <v>0</v>
      </c>
      <c r="G508" s="4" t="s">
        <v>146</v>
      </c>
      <c r="H508" s="4" t="s">
        <v>147</v>
      </c>
      <c r="I508" s="4"/>
      <c r="J508" s="4"/>
      <c r="K508" s="4">
        <v>223</v>
      </c>
      <c r="L508" s="4">
        <v>9</v>
      </c>
      <c r="M508" s="4">
        <v>3</v>
      </c>
      <c r="N508" s="4" t="s">
        <v>6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06" x14ac:dyDescent="0.2">
      <c r="A509" s="4">
        <v>50</v>
      </c>
      <c r="B509" s="4">
        <v>0</v>
      </c>
      <c r="C509" s="4">
        <v>0</v>
      </c>
      <c r="D509" s="4">
        <v>1</v>
      </c>
      <c r="E509" s="4">
        <v>229</v>
      </c>
      <c r="F509" s="4">
        <f>ROUND(Source!AZ498,O509)</f>
        <v>0</v>
      </c>
      <c r="G509" s="4" t="s">
        <v>148</v>
      </c>
      <c r="H509" s="4" t="s">
        <v>149</v>
      </c>
      <c r="I509" s="4"/>
      <c r="J509" s="4"/>
      <c r="K509" s="4">
        <v>229</v>
      </c>
      <c r="L509" s="4">
        <v>10</v>
      </c>
      <c r="M509" s="4">
        <v>3</v>
      </c>
      <c r="N509" s="4" t="s">
        <v>6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06" x14ac:dyDescent="0.2">
      <c r="A510" s="4">
        <v>50</v>
      </c>
      <c r="B510" s="4">
        <v>0</v>
      </c>
      <c r="C510" s="4">
        <v>0</v>
      </c>
      <c r="D510" s="4">
        <v>1</v>
      </c>
      <c r="E510" s="4">
        <v>203</v>
      </c>
      <c r="F510" s="4">
        <f>ROUND(Source!Q498,O510)</f>
        <v>0</v>
      </c>
      <c r="G510" s="4" t="s">
        <v>150</v>
      </c>
      <c r="H510" s="4" t="s">
        <v>151</v>
      </c>
      <c r="I510" s="4"/>
      <c r="J510" s="4"/>
      <c r="K510" s="4">
        <v>203</v>
      </c>
      <c r="L510" s="4">
        <v>11</v>
      </c>
      <c r="M510" s="4">
        <v>3</v>
      </c>
      <c r="N510" s="4" t="s">
        <v>6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06" x14ac:dyDescent="0.2">
      <c r="A511" s="4">
        <v>50</v>
      </c>
      <c r="B511" s="4">
        <v>0</v>
      </c>
      <c r="C511" s="4">
        <v>0</v>
      </c>
      <c r="D511" s="4">
        <v>1</v>
      </c>
      <c r="E511" s="4">
        <v>231</v>
      </c>
      <c r="F511" s="4">
        <f>ROUND(Source!BB498,O511)</f>
        <v>0</v>
      </c>
      <c r="G511" s="4" t="s">
        <v>152</v>
      </c>
      <c r="H511" s="4" t="s">
        <v>153</v>
      </c>
      <c r="I511" s="4"/>
      <c r="J511" s="4"/>
      <c r="K511" s="4">
        <v>231</v>
      </c>
      <c r="L511" s="4">
        <v>12</v>
      </c>
      <c r="M511" s="4">
        <v>3</v>
      </c>
      <c r="N511" s="4" t="s">
        <v>6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2" spans="1:206" x14ac:dyDescent="0.2">
      <c r="A512" s="4">
        <v>50</v>
      </c>
      <c r="B512" s="4">
        <v>0</v>
      </c>
      <c r="C512" s="4">
        <v>0</v>
      </c>
      <c r="D512" s="4">
        <v>1</v>
      </c>
      <c r="E512" s="4">
        <v>204</v>
      </c>
      <c r="F512" s="4">
        <f>ROUND(Source!R498,O512)</f>
        <v>0</v>
      </c>
      <c r="G512" s="4" t="s">
        <v>154</v>
      </c>
      <c r="H512" s="4" t="s">
        <v>155</v>
      </c>
      <c r="I512" s="4"/>
      <c r="J512" s="4"/>
      <c r="K512" s="4">
        <v>204</v>
      </c>
      <c r="L512" s="4">
        <v>13</v>
      </c>
      <c r="M512" s="4">
        <v>3</v>
      </c>
      <c r="N512" s="4" t="s">
        <v>6</v>
      </c>
      <c r="O512" s="4">
        <v>2</v>
      </c>
      <c r="P512" s="4"/>
      <c r="Q512" s="4"/>
      <c r="R512" s="4"/>
      <c r="S512" s="4"/>
      <c r="T512" s="4"/>
      <c r="U512" s="4"/>
      <c r="V512" s="4"/>
      <c r="W512" s="4"/>
    </row>
    <row r="513" spans="1:88" x14ac:dyDescent="0.2">
      <c r="A513" s="4">
        <v>50</v>
      </c>
      <c r="B513" s="4">
        <v>0</v>
      </c>
      <c r="C513" s="4">
        <v>0</v>
      </c>
      <c r="D513" s="4">
        <v>1</v>
      </c>
      <c r="E513" s="4">
        <v>205</v>
      </c>
      <c r="F513" s="4">
        <f>ROUND(Source!S498,O513)</f>
        <v>27134.400000000001</v>
      </c>
      <c r="G513" s="4" t="s">
        <v>156</v>
      </c>
      <c r="H513" s="4" t="s">
        <v>157</v>
      </c>
      <c r="I513" s="4"/>
      <c r="J513" s="4"/>
      <c r="K513" s="4">
        <v>205</v>
      </c>
      <c r="L513" s="4">
        <v>14</v>
      </c>
      <c r="M513" s="4">
        <v>3</v>
      </c>
      <c r="N513" s="4" t="s">
        <v>6</v>
      </c>
      <c r="O513" s="4">
        <v>2</v>
      </c>
      <c r="P513" s="4"/>
      <c r="Q513" s="4"/>
      <c r="R513" s="4"/>
      <c r="S513" s="4"/>
      <c r="T513" s="4"/>
      <c r="U513" s="4"/>
      <c r="V513" s="4"/>
      <c r="W513" s="4"/>
    </row>
    <row r="514" spans="1:88" x14ac:dyDescent="0.2">
      <c r="A514" s="4">
        <v>50</v>
      </c>
      <c r="B514" s="4">
        <v>0</v>
      </c>
      <c r="C514" s="4">
        <v>0</v>
      </c>
      <c r="D514" s="4">
        <v>1</v>
      </c>
      <c r="E514" s="4">
        <v>232</v>
      </c>
      <c r="F514" s="4">
        <f>ROUND(Source!BC498,O514)</f>
        <v>0</v>
      </c>
      <c r="G514" s="4" t="s">
        <v>158</v>
      </c>
      <c r="H514" s="4" t="s">
        <v>159</v>
      </c>
      <c r="I514" s="4"/>
      <c r="J514" s="4"/>
      <c r="K514" s="4">
        <v>232</v>
      </c>
      <c r="L514" s="4">
        <v>15</v>
      </c>
      <c r="M514" s="4">
        <v>3</v>
      </c>
      <c r="N514" s="4" t="s">
        <v>6</v>
      </c>
      <c r="O514" s="4">
        <v>2</v>
      </c>
      <c r="P514" s="4"/>
      <c r="Q514" s="4"/>
      <c r="R514" s="4"/>
      <c r="S514" s="4"/>
      <c r="T514" s="4"/>
      <c r="U514" s="4"/>
      <c r="V514" s="4"/>
      <c r="W514" s="4"/>
    </row>
    <row r="515" spans="1:88" x14ac:dyDescent="0.2">
      <c r="A515" s="4">
        <v>50</v>
      </c>
      <c r="B515" s="4">
        <v>0</v>
      </c>
      <c r="C515" s="4">
        <v>0</v>
      </c>
      <c r="D515" s="4">
        <v>1</v>
      </c>
      <c r="E515" s="4">
        <v>214</v>
      </c>
      <c r="F515" s="4">
        <f>ROUND(Source!AS498,O515)</f>
        <v>0</v>
      </c>
      <c r="G515" s="4" t="s">
        <v>160</v>
      </c>
      <c r="H515" s="4" t="s">
        <v>161</v>
      </c>
      <c r="I515" s="4"/>
      <c r="J515" s="4"/>
      <c r="K515" s="4">
        <v>214</v>
      </c>
      <c r="L515" s="4">
        <v>16</v>
      </c>
      <c r="M515" s="4">
        <v>3</v>
      </c>
      <c r="N515" s="4" t="s">
        <v>6</v>
      </c>
      <c r="O515" s="4">
        <v>2</v>
      </c>
      <c r="P515" s="4"/>
      <c r="Q515" s="4"/>
      <c r="R515" s="4"/>
      <c r="S515" s="4"/>
      <c r="T515" s="4"/>
      <c r="U515" s="4"/>
      <c r="V515" s="4"/>
      <c r="W515" s="4"/>
    </row>
    <row r="516" spans="1:88" x14ac:dyDescent="0.2">
      <c r="A516" s="4">
        <v>50</v>
      </c>
      <c r="B516" s="4">
        <v>0</v>
      </c>
      <c r="C516" s="4">
        <v>0</v>
      </c>
      <c r="D516" s="4">
        <v>1</v>
      </c>
      <c r="E516" s="4">
        <v>215</v>
      </c>
      <c r="F516" s="4">
        <f>ROUND(Source!AT498,O516)</f>
        <v>0</v>
      </c>
      <c r="G516" s="4" t="s">
        <v>162</v>
      </c>
      <c r="H516" s="4" t="s">
        <v>163</v>
      </c>
      <c r="I516" s="4"/>
      <c r="J516" s="4"/>
      <c r="K516" s="4">
        <v>215</v>
      </c>
      <c r="L516" s="4">
        <v>17</v>
      </c>
      <c r="M516" s="4">
        <v>3</v>
      </c>
      <c r="N516" s="4" t="s">
        <v>6</v>
      </c>
      <c r="O516" s="4">
        <v>2</v>
      </c>
      <c r="P516" s="4"/>
      <c r="Q516" s="4"/>
      <c r="R516" s="4"/>
      <c r="S516" s="4"/>
      <c r="T516" s="4"/>
      <c r="U516" s="4"/>
      <c r="V516" s="4"/>
      <c r="W516" s="4"/>
    </row>
    <row r="517" spans="1:88" x14ac:dyDescent="0.2">
      <c r="A517" s="4">
        <v>50</v>
      </c>
      <c r="B517" s="4">
        <v>0</v>
      </c>
      <c r="C517" s="4">
        <v>0</v>
      </c>
      <c r="D517" s="4">
        <v>1</v>
      </c>
      <c r="E517" s="4">
        <v>217</v>
      </c>
      <c r="F517" s="4">
        <f>ROUND(Source!AU498,O517)</f>
        <v>55625.52</v>
      </c>
      <c r="G517" s="4" t="s">
        <v>164</v>
      </c>
      <c r="H517" s="4" t="s">
        <v>165</v>
      </c>
      <c r="I517" s="4"/>
      <c r="J517" s="4"/>
      <c r="K517" s="4">
        <v>217</v>
      </c>
      <c r="L517" s="4">
        <v>18</v>
      </c>
      <c r="M517" s="4">
        <v>3</v>
      </c>
      <c r="N517" s="4" t="s">
        <v>6</v>
      </c>
      <c r="O517" s="4">
        <v>2</v>
      </c>
      <c r="P517" s="4"/>
      <c r="Q517" s="4"/>
      <c r="R517" s="4"/>
      <c r="S517" s="4"/>
      <c r="T517" s="4"/>
      <c r="U517" s="4"/>
      <c r="V517" s="4"/>
      <c r="W517" s="4"/>
    </row>
    <row r="518" spans="1:88" x14ac:dyDescent="0.2">
      <c r="A518" s="4">
        <v>50</v>
      </c>
      <c r="B518" s="4">
        <v>0</v>
      </c>
      <c r="C518" s="4">
        <v>0</v>
      </c>
      <c r="D518" s="4">
        <v>1</v>
      </c>
      <c r="E518" s="4">
        <v>230</v>
      </c>
      <c r="F518" s="4">
        <f>ROUND(Source!BA498,O518)</f>
        <v>0</v>
      </c>
      <c r="G518" s="4" t="s">
        <v>166</v>
      </c>
      <c r="H518" s="4" t="s">
        <v>167</v>
      </c>
      <c r="I518" s="4"/>
      <c r="J518" s="4"/>
      <c r="K518" s="4">
        <v>230</v>
      </c>
      <c r="L518" s="4">
        <v>19</v>
      </c>
      <c r="M518" s="4">
        <v>3</v>
      </c>
      <c r="N518" s="4" t="s">
        <v>6</v>
      </c>
      <c r="O518" s="4">
        <v>2</v>
      </c>
      <c r="P518" s="4"/>
      <c r="Q518" s="4"/>
      <c r="R518" s="4"/>
      <c r="S518" s="4"/>
      <c r="T518" s="4"/>
      <c r="U518" s="4"/>
      <c r="V518" s="4"/>
      <c r="W518" s="4"/>
    </row>
    <row r="519" spans="1:88" x14ac:dyDescent="0.2">
      <c r="A519" s="4">
        <v>50</v>
      </c>
      <c r="B519" s="4">
        <v>0</v>
      </c>
      <c r="C519" s="4">
        <v>0</v>
      </c>
      <c r="D519" s="4">
        <v>1</v>
      </c>
      <c r="E519" s="4">
        <v>206</v>
      </c>
      <c r="F519" s="4">
        <f>ROUND(Source!T498,O519)</f>
        <v>0</v>
      </c>
      <c r="G519" s="4" t="s">
        <v>168</v>
      </c>
      <c r="H519" s="4" t="s">
        <v>169</v>
      </c>
      <c r="I519" s="4"/>
      <c r="J519" s="4"/>
      <c r="K519" s="4">
        <v>206</v>
      </c>
      <c r="L519" s="4">
        <v>20</v>
      </c>
      <c r="M519" s="4">
        <v>3</v>
      </c>
      <c r="N519" s="4" t="s">
        <v>6</v>
      </c>
      <c r="O519" s="4">
        <v>2</v>
      </c>
      <c r="P519" s="4"/>
      <c r="Q519" s="4"/>
      <c r="R519" s="4"/>
      <c r="S519" s="4"/>
      <c r="T519" s="4"/>
      <c r="U519" s="4"/>
      <c r="V519" s="4"/>
      <c r="W519" s="4"/>
    </row>
    <row r="520" spans="1:88" x14ac:dyDescent="0.2">
      <c r="A520" s="4">
        <v>50</v>
      </c>
      <c r="B520" s="4">
        <v>0</v>
      </c>
      <c r="C520" s="4">
        <v>0</v>
      </c>
      <c r="D520" s="4">
        <v>1</v>
      </c>
      <c r="E520" s="4">
        <v>207</v>
      </c>
      <c r="F520" s="4">
        <f>Source!U498</f>
        <v>114.38272000000001</v>
      </c>
      <c r="G520" s="4" t="s">
        <v>170</v>
      </c>
      <c r="H520" s="4" t="s">
        <v>171</v>
      </c>
      <c r="I520" s="4"/>
      <c r="J520" s="4"/>
      <c r="K520" s="4">
        <v>207</v>
      </c>
      <c r="L520" s="4">
        <v>21</v>
      </c>
      <c r="M520" s="4">
        <v>3</v>
      </c>
      <c r="N520" s="4" t="s">
        <v>6</v>
      </c>
      <c r="O520" s="4">
        <v>-1</v>
      </c>
      <c r="P520" s="4"/>
      <c r="Q520" s="4"/>
      <c r="R520" s="4"/>
      <c r="S520" s="4"/>
      <c r="T520" s="4"/>
      <c r="U520" s="4"/>
      <c r="V520" s="4"/>
      <c r="W520" s="4"/>
    </row>
    <row r="521" spans="1:88" x14ac:dyDescent="0.2">
      <c r="A521" s="4">
        <v>50</v>
      </c>
      <c r="B521" s="4">
        <v>0</v>
      </c>
      <c r="C521" s="4">
        <v>0</v>
      </c>
      <c r="D521" s="4">
        <v>1</v>
      </c>
      <c r="E521" s="4">
        <v>208</v>
      </c>
      <c r="F521" s="4">
        <f>Source!V498</f>
        <v>0</v>
      </c>
      <c r="G521" s="4" t="s">
        <v>172</v>
      </c>
      <c r="H521" s="4" t="s">
        <v>173</v>
      </c>
      <c r="I521" s="4"/>
      <c r="J521" s="4"/>
      <c r="K521" s="4">
        <v>208</v>
      </c>
      <c r="L521" s="4">
        <v>22</v>
      </c>
      <c r="M521" s="4">
        <v>3</v>
      </c>
      <c r="N521" s="4" t="s">
        <v>6</v>
      </c>
      <c r="O521" s="4">
        <v>-1</v>
      </c>
      <c r="P521" s="4"/>
      <c r="Q521" s="4"/>
      <c r="R521" s="4"/>
      <c r="S521" s="4"/>
      <c r="T521" s="4"/>
      <c r="U521" s="4"/>
      <c r="V521" s="4"/>
      <c r="W521" s="4"/>
    </row>
    <row r="522" spans="1:88" x14ac:dyDescent="0.2">
      <c r="A522" s="4">
        <v>50</v>
      </c>
      <c r="B522" s="4">
        <v>0</v>
      </c>
      <c r="C522" s="4">
        <v>0</v>
      </c>
      <c r="D522" s="4">
        <v>1</v>
      </c>
      <c r="E522" s="4">
        <v>209</v>
      </c>
      <c r="F522" s="4">
        <f>ROUND(Source!W498,O522)</f>
        <v>0</v>
      </c>
      <c r="G522" s="4" t="s">
        <v>174</v>
      </c>
      <c r="H522" s="4" t="s">
        <v>175</v>
      </c>
      <c r="I522" s="4"/>
      <c r="J522" s="4"/>
      <c r="K522" s="4">
        <v>209</v>
      </c>
      <c r="L522" s="4">
        <v>23</v>
      </c>
      <c r="M522" s="4">
        <v>3</v>
      </c>
      <c r="N522" s="4" t="s">
        <v>6</v>
      </c>
      <c r="O522" s="4">
        <v>2</v>
      </c>
      <c r="P522" s="4"/>
      <c r="Q522" s="4"/>
      <c r="R522" s="4"/>
      <c r="S522" s="4"/>
      <c r="T522" s="4"/>
      <c r="U522" s="4"/>
      <c r="V522" s="4"/>
      <c r="W522" s="4"/>
    </row>
    <row r="523" spans="1:88" x14ac:dyDescent="0.2">
      <c r="A523" s="4">
        <v>50</v>
      </c>
      <c r="B523" s="4">
        <v>0</v>
      </c>
      <c r="C523" s="4">
        <v>0</v>
      </c>
      <c r="D523" s="4">
        <v>1</v>
      </c>
      <c r="E523" s="4">
        <v>210</v>
      </c>
      <c r="F523" s="4">
        <f>ROUND(Source!X498,O523)</f>
        <v>17637.36</v>
      </c>
      <c r="G523" s="4" t="s">
        <v>176</v>
      </c>
      <c r="H523" s="4" t="s">
        <v>177</v>
      </c>
      <c r="I523" s="4"/>
      <c r="J523" s="4"/>
      <c r="K523" s="4">
        <v>210</v>
      </c>
      <c r="L523" s="4">
        <v>24</v>
      </c>
      <c r="M523" s="4">
        <v>3</v>
      </c>
      <c r="N523" s="4" t="s">
        <v>6</v>
      </c>
      <c r="O523" s="4">
        <v>2</v>
      </c>
      <c r="P523" s="4"/>
      <c r="Q523" s="4"/>
      <c r="R523" s="4"/>
      <c r="S523" s="4"/>
      <c r="T523" s="4"/>
      <c r="U523" s="4"/>
      <c r="V523" s="4"/>
      <c r="W523" s="4"/>
    </row>
    <row r="524" spans="1:88" x14ac:dyDescent="0.2">
      <c r="A524" s="4">
        <v>50</v>
      </c>
      <c r="B524" s="4">
        <v>0</v>
      </c>
      <c r="C524" s="4">
        <v>0</v>
      </c>
      <c r="D524" s="4">
        <v>1</v>
      </c>
      <c r="E524" s="4">
        <v>211</v>
      </c>
      <c r="F524" s="4">
        <f>ROUND(Source!Y498,O524)</f>
        <v>10853.76</v>
      </c>
      <c r="G524" s="4" t="s">
        <v>178</v>
      </c>
      <c r="H524" s="4" t="s">
        <v>179</v>
      </c>
      <c r="I524" s="4"/>
      <c r="J524" s="4"/>
      <c r="K524" s="4">
        <v>211</v>
      </c>
      <c r="L524" s="4">
        <v>25</v>
      </c>
      <c r="M524" s="4">
        <v>3</v>
      </c>
      <c r="N524" s="4" t="s">
        <v>6</v>
      </c>
      <c r="O524" s="4">
        <v>2</v>
      </c>
      <c r="P524" s="4"/>
      <c r="Q524" s="4"/>
      <c r="R524" s="4"/>
      <c r="S524" s="4"/>
      <c r="T524" s="4"/>
      <c r="U524" s="4"/>
      <c r="V524" s="4"/>
      <c r="W524" s="4"/>
    </row>
    <row r="525" spans="1:88" x14ac:dyDescent="0.2">
      <c r="A525" s="4">
        <v>50</v>
      </c>
      <c r="B525" s="4">
        <v>0</v>
      </c>
      <c r="C525" s="4">
        <v>0</v>
      </c>
      <c r="D525" s="4">
        <v>1</v>
      </c>
      <c r="E525" s="4">
        <v>224</v>
      </c>
      <c r="F525" s="4">
        <f>ROUND(Source!AR498,O525)</f>
        <v>55625.52</v>
      </c>
      <c r="G525" s="4" t="s">
        <v>180</v>
      </c>
      <c r="H525" s="4" t="s">
        <v>181</v>
      </c>
      <c r="I525" s="4"/>
      <c r="J525" s="4"/>
      <c r="K525" s="4">
        <v>224</v>
      </c>
      <c r="L525" s="4">
        <v>26</v>
      </c>
      <c r="M525" s="4">
        <v>3</v>
      </c>
      <c r="N525" s="4" t="s">
        <v>6</v>
      </c>
      <c r="O525" s="4">
        <v>2</v>
      </c>
      <c r="P525" s="4"/>
      <c r="Q525" s="4"/>
      <c r="R525" s="4"/>
      <c r="S525" s="4"/>
      <c r="T525" s="4"/>
      <c r="U525" s="4"/>
      <c r="V525" s="4"/>
      <c r="W525" s="4"/>
    </row>
    <row r="527" spans="1:88" x14ac:dyDescent="0.2">
      <c r="A527" s="1">
        <v>4</v>
      </c>
      <c r="B527" s="1">
        <v>1</v>
      </c>
      <c r="C527" s="1"/>
      <c r="D527" s="1">
        <f>ROW(A539)</f>
        <v>539</v>
      </c>
      <c r="E527" s="1"/>
      <c r="F527" s="1" t="s">
        <v>13</v>
      </c>
      <c r="G527" s="1" t="s">
        <v>985</v>
      </c>
      <c r="H527" s="1" t="s">
        <v>6</v>
      </c>
      <c r="I527" s="1">
        <v>0</v>
      </c>
      <c r="J527" s="1"/>
      <c r="K527" s="1">
        <v>0</v>
      </c>
      <c r="L527" s="1"/>
      <c r="M527" s="1"/>
      <c r="N527" s="1"/>
      <c r="O527" s="1"/>
      <c r="P527" s="1"/>
      <c r="Q527" s="1"/>
      <c r="R527" s="1"/>
      <c r="S527" s="1"/>
      <c r="T527" s="1"/>
      <c r="U527" s="1" t="s">
        <v>6</v>
      </c>
      <c r="V527" s="1">
        <v>0</v>
      </c>
      <c r="W527" s="1"/>
      <c r="X527" s="1"/>
      <c r="Y527" s="1"/>
      <c r="Z527" s="1"/>
      <c r="AA527" s="1"/>
      <c r="AB527" s="1" t="s">
        <v>6</v>
      </c>
      <c r="AC527" s="1" t="s">
        <v>6</v>
      </c>
      <c r="AD527" s="1" t="s">
        <v>6</v>
      </c>
      <c r="AE527" s="1" t="s">
        <v>6</v>
      </c>
      <c r="AF527" s="1" t="s">
        <v>6</v>
      </c>
      <c r="AG527" s="1" t="s">
        <v>6</v>
      </c>
      <c r="AH527" s="1"/>
      <c r="AI527" s="1"/>
      <c r="AJ527" s="1"/>
      <c r="AK527" s="1"/>
      <c r="AL527" s="1"/>
      <c r="AM527" s="1"/>
      <c r="AN527" s="1"/>
      <c r="AO527" s="1"/>
      <c r="AP527" s="1" t="s">
        <v>6</v>
      </c>
      <c r="AQ527" s="1" t="s">
        <v>6</v>
      </c>
      <c r="AR527" s="1" t="s">
        <v>6</v>
      </c>
      <c r="AS527" s="1"/>
      <c r="AT527" s="1"/>
      <c r="AU527" s="1"/>
      <c r="AV527" s="1"/>
      <c r="AW527" s="1"/>
      <c r="AX527" s="1"/>
      <c r="AY527" s="1"/>
      <c r="AZ527" s="1" t="s">
        <v>6</v>
      </c>
      <c r="BA527" s="1"/>
      <c r="BB527" s="1" t="s">
        <v>6</v>
      </c>
      <c r="BC527" s="1" t="s">
        <v>6</v>
      </c>
      <c r="BD527" s="1" t="s">
        <v>6</v>
      </c>
      <c r="BE527" s="1" t="s">
        <v>6</v>
      </c>
      <c r="BF527" s="1" t="s">
        <v>6</v>
      </c>
      <c r="BG527" s="1" t="s">
        <v>6</v>
      </c>
      <c r="BH527" s="1" t="s">
        <v>6</v>
      </c>
      <c r="BI527" s="1" t="s">
        <v>6</v>
      </c>
      <c r="BJ527" s="1" t="s">
        <v>6</v>
      </c>
      <c r="BK527" s="1" t="s">
        <v>6</v>
      </c>
      <c r="BL527" s="1" t="s">
        <v>6</v>
      </c>
      <c r="BM527" s="1" t="s">
        <v>6</v>
      </c>
      <c r="BN527" s="1" t="s">
        <v>6</v>
      </c>
      <c r="BO527" s="1" t="s">
        <v>6</v>
      </c>
      <c r="BP527" s="1" t="s">
        <v>6</v>
      </c>
      <c r="BQ527" s="1"/>
      <c r="BR527" s="1"/>
      <c r="BS527" s="1"/>
      <c r="BT527" s="1"/>
      <c r="BU527" s="1"/>
      <c r="BV527" s="1"/>
      <c r="BW527" s="1"/>
      <c r="BX527" s="1">
        <v>0</v>
      </c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>
        <v>0</v>
      </c>
    </row>
    <row r="529" spans="1:245" x14ac:dyDescent="0.2">
      <c r="A529" s="2">
        <v>52</v>
      </c>
      <c r="B529" s="2">
        <f t="shared" ref="B529:G529" si="376">B539</f>
        <v>1</v>
      </c>
      <c r="C529" s="2">
        <f t="shared" si="376"/>
        <v>4</v>
      </c>
      <c r="D529" s="2">
        <f t="shared" si="376"/>
        <v>527</v>
      </c>
      <c r="E529" s="2">
        <f t="shared" si="376"/>
        <v>0</v>
      </c>
      <c r="F529" s="2" t="str">
        <f t="shared" si="376"/>
        <v>Новый раздел</v>
      </c>
      <c r="G529" s="2" t="str">
        <f t="shared" si="376"/>
        <v>4 Пожарная сигнализация</v>
      </c>
      <c r="H529" s="2"/>
      <c r="I529" s="2"/>
      <c r="J529" s="2"/>
      <c r="K529" s="2"/>
      <c r="L529" s="2"/>
      <c r="M529" s="2"/>
      <c r="N529" s="2"/>
      <c r="O529" s="2">
        <f t="shared" ref="O529:AT529" si="377">O539</f>
        <v>33117.120000000003</v>
      </c>
      <c r="P529" s="2">
        <f t="shared" si="377"/>
        <v>10979.55</v>
      </c>
      <c r="Q529" s="2">
        <f t="shared" si="377"/>
        <v>11.18</v>
      </c>
      <c r="R529" s="2">
        <f t="shared" si="377"/>
        <v>1.57</v>
      </c>
      <c r="S529" s="2">
        <f t="shared" si="377"/>
        <v>22126.39</v>
      </c>
      <c r="T529" s="2">
        <f t="shared" si="377"/>
        <v>0</v>
      </c>
      <c r="U529" s="2">
        <f t="shared" si="377"/>
        <v>267.55520000000001</v>
      </c>
      <c r="V529" s="2">
        <f t="shared" si="377"/>
        <v>1.9199999999999998E-2</v>
      </c>
      <c r="W529" s="2">
        <f t="shared" si="377"/>
        <v>0</v>
      </c>
      <c r="X529" s="2">
        <f t="shared" si="377"/>
        <v>17773.22</v>
      </c>
      <c r="Y529" s="2">
        <f t="shared" si="377"/>
        <v>13300.4</v>
      </c>
      <c r="Z529" s="2">
        <f t="shared" si="377"/>
        <v>0</v>
      </c>
      <c r="AA529" s="2">
        <f t="shared" si="377"/>
        <v>0</v>
      </c>
      <c r="AB529" s="2">
        <f t="shared" si="377"/>
        <v>33117.120000000003</v>
      </c>
      <c r="AC529" s="2">
        <f t="shared" si="377"/>
        <v>10979.55</v>
      </c>
      <c r="AD529" s="2">
        <f t="shared" si="377"/>
        <v>11.18</v>
      </c>
      <c r="AE529" s="2">
        <f t="shared" si="377"/>
        <v>1.57</v>
      </c>
      <c r="AF529" s="2">
        <f t="shared" si="377"/>
        <v>22126.39</v>
      </c>
      <c r="AG529" s="2">
        <f t="shared" si="377"/>
        <v>0</v>
      </c>
      <c r="AH529" s="2">
        <f t="shared" si="377"/>
        <v>267.55520000000001</v>
      </c>
      <c r="AI529" s="2">
        <f t="shared" si="377"/>
        <v>1.9199999999999998E-2</v>
      </c>
      <c r="AJ529" s="2">
        <f t="shared" si="377"/>
        <v>0</v>
      </c>
      <c r="AK529" s="2">
        <f t="shared" si="377"/>
        <v>17773.22</v>
      </c>
      <c r="AL529" s="2">
        <f t="shared" si="377"/>
        <v>13300.4</v>
      </c>
      <c r="AM529" s="2">
        <f t="shared" si="377"/>
        <v>0</v>
      </c>
      <c r="AN529" s="2">
        <f t="shared" si="377"/>
        <v>0</v>
      </c>
      <c r="AO529" s="2">
        <f t="shared" si="377"/>
        <v>0</v>
      </c>
      <c r="AP529" s="2">
        <f t="shared" si="377"/>
        <v>0</v>
      </c>
      <c r="AQ529" s="2">
        <f t="shared" si="377"/>
        <v>0</v>
      </c>
      <c r="AR529" s="2">
        <f t="shared" si="377"/>
        <v>64190.74</v>
      </c>
      <c r="AS529" s="2">
        <f t="shared" si="377"/>
        <v>0</v>
      </c>
      <c r="AT529" s="2">
        <f t="shared" si="377"/>
        <v>64190.74</v>
      </c>
      <c r="AU529" s="2">
        <f t="shared" ref="AU529:BZ529" si="378">AU539</f>
        <v>0</v>
      </c>
      <c r="AV529" s="2">
        <f t="shared" si="378"/>
        <v>10979.55</v>
      </c>
      <c r="AW529" s="2">
        <f t="shared" si="378"/>
        <v>10979.55</v>
      </c>
      <c r="AX529" s="2">
        <f t="shared" si="378"/>
        <v>0</v>
      </c>
      <c r="AY529" s="2">
        <f t="shared" si="378"/>
        <v>10979.55</v>
      </c>
      <c r="AZ529" s="2">
        <f t="shared" si="378"/>
        <v>0</v>
      </c>
      <c r="BA529" s="2">
        <f t="shared" si="378"/>
        <v>0</v>
      </c>
      <c r="BB529" s="2">
        <f t="shared" si="378"/>
        <v>0</v>
      </c>
      <c r="BC529" s="2">
        <f t="shared" si="378"/>
        <v>0</v>
      </c>
      <c r="BD529" s="2">
        <f t="shared" si="378"/>
        <v>0</v>
      </c>
      <c r="BE529" s="2">
        <f t="shared" si="378"/>
        <v>0</v>
      </c>
      <c r="BF529" s="2">
        <f t="shared" si="378"/>
        <v>0</v>
      </c>
      <c r="BG529" s="2">
        <f t="shared" si="378"/>
        <v>0</v>
      </c>
      <c r="BH529" s="2">
        <f t="shared" si="378"/>
        <v>0</v>
      </c>
      <c r="BI529" s="2">
        <f t="shared" si="378"/>
        <v>0</v>
      </c>
      <c r="BJ529" s="2">
        <f t="shared" si="378"/>
        <v>0</v>
      </c>
      <c r="BK529" s="2">
        <f t="shared" si="378"/>
        <v>0</v>
      </c>
      <c r="BL529" s="2">
        <f t="shared" si="378"/>
        <v>0</v>
      </c>
      <c r="BM529" s="2">
        <f t="shared" si="378"/>
        <v>0</v>
      </c>
      <c r="BN529" s="2">
        <f t="shared" si="378"/>
        <v>0</v>
      </c>
      <c r="BO529" s="2">
        <f t="shared" si="378"/>
        <v>0</v>
      </c>
      <c r="BP529" s="2">
        <f t="shared" si="378"/>
        <v>0</v>
      </c>
      <c r="BQ529" s="2">
        <f t="shared" si="378"/>
        <v>0</v>
      </c>
      <c r="BR529" s="2">
        <f t="shared" si="378"/>
        <v>0</v>
      </c>
      <c r="BS529" s="2">
        <f t="shared" si="378"/>
        <v>0</v>
      </c>
      <c r="BT529" s="2">
        <f t="shared" si="378"/>
        <v>0</v>
      </c>
      <c r="BU529" s="2">
        <f t="shared" si="378"/>
        <v>0</v>
      </c>
      <c r="BV529" s="2">
        <f t="shared" si="378"/>
        <v>0</v>
      </c>
      <c r="BW529" s="2">
        <f t="shared" si="378"/>
        <v>0</v>
      </c>
      <c r="BX529" s="2">
        <f t="shared" si="378"/>
        <v>0</v>
      </c>
      <c r="BY529" s="2">
        <f t="shared" si="378"/>
        <v>0</v>
      </c>
      <c r="BZ529" s="2">
        <f t="shared" si="378"/>
        <v>0</v>
      </c>
      <c r="CA529" s="2">
        <f t="shared" ref="CA529:DF529" si="379">CA539</f>
        <v>64190.74</v>
      </c>
      <c r="CB529" s="2">
        <f t="shared" si="379"/>
        <v>0</v>
      </c>
      <c r="CC529" s="2">
        <f t="shared" si="379"/>
        <v>64190.74</v>
      </c>
      <c r="CD529" s="2">
        <f t="shared" si="379"/>
        <v>0</v>
      </c>
      <c r="CE529" s="2">
        <f t="shared" si="379"/>
        <v>10979.55</v>
      </c>
      <c r="CF529" s="2">
        <f t="shared" si="379"/>
        <v>10979.55</v>
      </c>
      <c r="CG529" s="2">
        <f t="shared" si="379"/>
        <v>0</v>
      </c>
      <c r="CH529" s="2">
        <f t="shared" si="379"/>
        <v>10979.55</v>
      </c>
      <c r="CI529" s="2">
        <f t="shared" si="379"/>
        <v>0</v>
      </c>
      <c r="CJ529" s="2">
        <f t="shared" si="379"/>
        <v>0</v>
      </c>
      <c r="CK529" s="2">
        <f t="shared" si="379"/>
        <v>0</v>
      </c>
      <c r="CL529" s="2">
        <f t="shared" si="379"/>
        <v>0</v>
      </c>
      <c r="CM529" s="2">
        <f t="shared" si="379"/>
        <v>0</v>
      </c>
      <c r="CN529" s="2">
        <f t="shared" si="379"/>
        <v>0</v>
      </c>
      <c r="CO529" s="2">
        <f t="shared" si="379"/>
        <v>0</v>
      </c>
      <c r="CP529" s="2">
        <f t="shared" si="379"/>
        <v>0</v>
      </c>
      <c r="CQ529" s="2">
        <f t="shared" si="379"/>
        <v>0</v>
      </c>
      <c r="CR529" s="2">
        <f t="shared" si="379"/>
        <v>0</v>
      </c>
      <c r="CS529" s="2">
        <f t="shared" si="379"/>
        <v>0</v>
      </c>
      <c r="CT529" s="2">
        <f t="shared" si="379"/>
        <v>0</v>
      </c>
      <c r="CU529" s="2">
        <f t="shared" si="379"/>
        <v>0</v>
      </c>
      <c r="CV529" s="2">
        <f t="shared" si="379"/>
        <v>0</v>
      </c>
      <c r="CW529" s="2">
        <f t="shared" si="379"/>
        <v>0</v>
      </c>
      <c r="CX529" s="2">
        <f t="shared" si="379"/>
        <v>0</v>
      </c>
      <c r="CY529" s="2">
        <f t="shared" si="379"/>
        <v>0</v>
      </c>
      <c r="CZ529" s="2">
        <f t="shared" si="379"/>
        <v>0</v>
      </c>
      <c r="DA529" s="2">
        <f t="shared" si="379"/>
        <v>0</v>
      </c>
      <c r="DB529" s="2">
        <f t="shared" si="379"/>
        <v>0</v>
      </c>
      <c r="DC529" s="2">
        <f t="shared" si="379"/>
        <v>0</v>
      </c>
      <c r="DD529" s="2">
        <f t="shared" si="379"/>
        <v>0</v>
      </c>
      <c r="DE529" s="2">
        <f t="shared" si="379"/>
        <v>0</v>
      </c>
      <c r="DF529" s="2">
        <f t="shared" si="379"/>
        <v>0</v>
      </c>
      <c r="DG529" s="3">
        <f t="shared" ref="DG529:EL529" si="380">DG539</f>
        <v>0</v>
      </c>
      <c r="DH529" s="3">
        <f t="shared" si="380"/>
        <v>0</v>
      </c>
      <c r="DI529" s="3">
        <f t="shared" si="380"/>
        <v>0</v>
      </c>
      <c r="DJ529" s="3">
        <f t="shared" si="380"/>
        <v>0</v>
      </c>
      <c r="DK529" s="3">
        <f t="shared" si="380"/>
        <v>0</v>
      </c>
      <c r="DL529" s="3">
        <f t="shared" si="380"/>
        <v>0</v>
      </c>
      <c r="DM529" s="3">
        <f t="shared" si="380"/>
        <v>0</v>
      </c>
      <c r="DN529" s="3">
        <f t="shared" si="380"/>
        <v>0</v>
      </c>
      <c r="DO529" s="3">
        <f t="shared" si="380"/>
        <v>0</v>
      </c>
      <c r="DP529" s="3">
        <f t="shared" si="380"/>
        <v>0</v>
      </c>
      <c r="DQ529" s="3">
        <f t="shared" si="380"/>
        <v>0</v>
      </c>
      <c r="DR529" s="3">
        <f t="shared" si="380"/>
        <v>0</v>
      </c>
      <c r="DS529" s="3">
        <f t="shared" si="380"/>
        <v>0</v>
      </c>
      <c r="DT529" s="3">
        <f t="shared" si="380"/>
        <v>0</v>
      </c>
      <c r="DU529" s="3">
        <f t="shared" si="380"/>
        <v>0</v>
      </c>
      <c r="DV529" s="3">
        <f t="shared" si="380"/>
        <v>0</v>
      </c>
      <c r="DW529" s="3">
        <f t="shared" si="380"/>
        <v>0</v>
      </c>
      <c r="DX529" s="3">
        <f t="shared" si="380"/>
        <v>0</v>
      </c>
      <c r="DY529" s="3">
        <f t="shared" si="380"/>
        <v>0</v>
      </c>
      <c r="DZ529" s="3">
        <f t="shared" si="380"/>
        <v>0</v>
      </c>
      <c r="EA529" s="3">
        <f t="shared" si="380"/>
        <v>0</v>
      </c>
      <c r="EB529" s="3">
        <f t="shared" si="380"/>
        <v>0</v>
      </c>
      <c r="EC529" s="3">
        <f t="shared" si="380"/>
        <v>0</v>
      </c>
      <c r="ED529" s="3">
        <f t="shared" si="380"/>
        <v>0</v>
      </c>
      <c r="EE529" s="3">
        <f t="shared" si="380"/>
        <v>0</v>
      </c>
      <c r="EF529" s="3">
        <f t="shared" si="380"/>
        <v>0</v>
      </c>
      <c r="EG529" s="3">
        <f t="shared" si="380"/>
        <v>0</v>
      </c>
      <c r="EH529" s="3">
        <f t="shared" si="380"/>
        <v>0</v>
      </c>
      <c r="EI529" s="3">
        <f t="shared" si="380"/>
        <v>0</v>
      </c>
      <c r="EJ529" s="3">
        <f t="shared" si="380"/>
        <v>0</v>
      </c>
      <c r="EK529" s="3">
        <f t="shared" si="380"/>
        <v>0</v>
      </c>
      <c r="EL529" s="3">
        <f t="shared" si="380"/>
        <v>0</v>
      </c>
      <c r="EM529" s="3">
        <f t="shared" ref="EM529:FR529" si="381">EM539</f>
        <v>0</v>
      </c>
      <c r="EN529" s="3">
        <f t="shared" si="381"/>
        <v>0</v>
      </c>
      <c r="EO529" s="3">
        <f t="shared" si="381"/>
        <v>0</v>
      </c>
      <c r="EP529" s="3">
        <f t="shared" si="381"/>
        <v>0</v>
      </c>
      <c r="EQ529" s="3">
        <f t="shared" si="381"/>
        <v>0</v>
      </c>
      <c r="ER529" s="3">
        <f t="shared" si="381"/>
        <v>0</v>
      </c>
      <c r="ES529" s="3">
        <f t="shared" si="381"/>
        <v>0</v>
      </c>
      <c r="ET529" s="3">
        <f t="shared" si="381"/>
        <v>0</v>
      </c>
      <c r="EU529" s="3">
        <f t="shared" si="381"/>
        <v>0</v>
      </c>
      <c r="EV529" s="3">
        <f t="shared" si="381"/>
        <v>0</v>
      </c>
      <c r="EW529" s="3">
        <f t="shared" si="381"/>
        <v>0</v>
      </c>
      <c r="EX529" s="3">
        <f t="shared" si="381"/>
        <v>0</v>
      </c>
      <c r="EY529" s="3">
        <f t="shared" si="381"/>
        <v>0</v>
      </c>
      <c r="EZ529" s="3">
        <f t="shared" si="381"/>
        <v>0</v>
      </c>
      <c r="FA529" s="3">
        <f t="shared" si="381"/>
        <v>0</v>
      </c>
      <c r="FB529" s="3">
        <f t="shared" si="381"/>
        <v>0</v>
      </c>
      <c r="FC529" s="3">
        <f t="shared" si="381"/>
        <v>0</v>
      </c>
      <c r="FD529" s="3">
        <f t="shared" si="381"/>
        <v>0</v>
      </c>
      <c r="FE529" s="3">
        <f t="shared" si="381"/>
        <v>0</v>
      </c>
      <c r="FF529" s="3">
        <f t="shared" si="381"/>
        <v>0</v>
      </c>
      <c r="FG529" s="3">
        <f t="shared" si="381"/>
        <v>0</v>
      </c>
      <c r="FH529" s="3">
        <f t="shared" si="381"/>
        <v>0</v>
      </c>
      <c r="FI529" s="3">
        <f t="shared" si="381"/>
        <v>0</v>
      </c>
      <c r="FJ529" s="3">
        <f t="shared" si="381"/>
        <v>0</v>
      </c>
      <c r="FK529" s="3">
        <f t="shared" si="381"/>
        <v>0</v>
      </c>
      <c r="FL529" s="3">
        <f t="shared" si="381"/>
        <v>0</v>
      </c>
      <c r="FM529" s="3">
        <f t="shared" si="381"/>
        <v>0</v>
      </c>
      <c r="FN529" s="3">
        <f t="shared" si="381"/>
        <v>0</v>
      </c>
      <c r="FO529" s="3">
        <f t="shared" si="381"/>
        <v>0</v>
      </c>
      <c r="FP529" s="3">
        <f t="shared" si="381"/>
        <v>0</v>
      </c>
      <c r="FQ529" s="3">
        <f t="shared" si="381"/>
        <v>0</v>
      </c>
      <c r="FR529" s="3">
        <f t="shared" si="381"/>
        <v>0</v>
      </c>
      <c r="FS529" s="3">
        <f t="shared" ref="FS529:GX529" si="382">FS539</f>
        <v>0</v>
      </c>
      <c r="FT529" s="3">
        <f t="shared" si="382"/>
        <v>0</v>
      </c>
      <c r="FU529" s="3">
        <f t="shared" si="382"/>
        <v>0</v>
      </c>
      <c r="FV529" s="3">
        <f t="shared" si="382"/>
        <v>0</v>
      </c>
      <c r="FW529" s="3">
        <f t="shared" si="382"/>
        <v>0</v>
      </c>
      <c r="FX529" s="3">
        <f t="shared" si="382"/>
        <v>0</v>
      </c>
      <c r="FY529" s="3">
        <f t="shared" si="382"/>
        <v>0</v>
      </c>
      <c r="FZ529" s="3">
        <f t="shared" si="382"/>
        <v>0</v>
      </c>
      <c r="GA529" s="3">
        <f t="shared" si="382"/>
        <v>0</v>
      </c>
      <c r="GB529" s="3">
        <f t="shared" si="382"/>
        <v>0</v>
      </c>
      <c r="GC529" s="3">
        <f t="shared" si="382"/>
        <v>0</v>
      </c>
      <c r="GD529" s="3">
        <f t="shared" si="382"/>
        <v>0</v>
      </c>
      <c r="GE529" s="3">
        <f t="shared" si="382"/>
        <v>0</v>
      </c>
      <c r="GF529" s="3">
        <f t="shared" si="382"/>
        <v>0</v>
      </c>
      <c r="GG529" s="3">
        <f t="shared" si="382"/>
        <v>0</v>
      </c>
      <c r="GH529" s="3">
        <f t="shared" si="382"/>
        <v>0</v>
      </c>
      <c r="GI529" s="3">
        <f t="shared" si="382"/>
        <v>0</v>
      </c>
      <c r="GJ529" s="3">
        <f t="shared" si="382"/>
        <v>0</v>
      </c>
      <c r="GK529" s="3">
        <f t="shared" si="382"/>
        <v>0</v>
      </c>
      <c r="GL529" s="3">
        <f t="shared" si="382"/>
        <v>0</v>
      </c>
      <c r="GM529" s="3">
        <f t="shared" si="382"/>
        <v>0</v>
      </c>
      <c r="GN529" s="3">
        <f t="shared" si="382"/>
        <v>0</v>
      </c>
      <c r="GO529" s="3">
        <f t="shared" si="382"/>
        <v>0</v>
      </c>
      <c r="GP529" s="3">
        <f t="shared" si="382"/>
        <v>0</v>
      </c>
      <c r="GQ529" s="3">
        <f t="shared" si="382"/>
        <v>0</v>
      </c>
      <c r="GR529" s="3">
        <f t="shared" si="382"/>
        <v>0</v>
      </c>
      <c r="GS529" s="3">
        <f t="shared" si="382"/>
        <v>0</v>
      </c>
      <c r="GT529" s="3">
        <f t="shared" si="382"/>
        <v>0</v>
      </c>
      <c r="GU529" s="3">
        <f t="shared" si="382"/>
        <v>0</v>
      </c>
      <c r="GV529" s="3">
        <f t="shared" si="382"/>
        <v>0</v>
      </c>
      <c r="GW529" s="3">
        <f t="shared" si="382"/>
        <v>0</v>
      </c>
      <c r="GX529" s="3">
        <f t="shared" si="382"/>
        <v>0</v>
      </c>
    </row>
    <row r="531" spans="1:245" x14ac:dyDescent="0.2">
      <c r="A531">
        <v>17</v>
      </c>
      <c r="B531">
        <v>1</v>
      </c>
      <c r="C531">
        <f>ROW(SmtRes!A774)</f>
        <v>774</v>
      </c>
      <c r="D531">
        <f>ROW(EtalonRes!A708)</f>
        <v>708</v>
      </c>
      <c r="E531" t="s">
        <v>986</v>
      </c>
      <c r="F531" t="s">
        <v>987</v>
      </c>
      <c r="G531" t="s">
        <v>988</v>
      </c>
      <c r="H531" t="s">
        <v>56</v>
      </c>
      <c r="I531">
        <v>10</v>
      </c>
      <c r="J531">
        <v>0</v>
      </c>
      <c r="O531">
        <f t="shared" ref="O531:O537" si="383">ROUND(CP531,2)</f>
        <v>1240.5</v>
      </c>
      <c r="P531">
        <f t="shared" ref="P531:P537" si="384">ROUND(CQ531*I531,2)</f>
        <v>180.4</v>
      </c>
      <c r="Q531">
        <f t="shared" ref="Q531:Q537" si="385">ROUND(CR531*I531,2)</f>
        <v>0</v>
      </c>
      <c r="R531">
        <f t="shared" ref="R531:R537" si="386">ROUND(CS531*I531,2)</f>
        <v>0</v>
      </c>
      <c r="S531">
        <f t="shared" ref="S531:S537" si="387">ROUND(CT531*I531,2)</f>
        <v>1060.0999999999999</v>
      </c>
      <c r="T531">
        <f t="shared" ref="T531:T537" si="388">ROUND(CU531*I531,2)</f>
        <v>0</v>
      </c>
      <c r="U531">
        <f t="shared" ref="U531:U537" si="389">CV531*I531</f>
        <v>16.8</v>
      </c>
      <c r="V531">
        <f t="shared" ref="V531:V537" si="390">CW531*I531</f>
        <v>0</v>
      </c>
      <c r="W531">
        <f t="shared" ref="W531:W537" si="391">ROUND(CX531*I531,2)</f>
        <v>0</v>
      </c>
      <c r="X531">
        <f t="shared" ref="X531:Y537" si="392">ROUND(CY531,2)</f>
        <v>848.08</v>
      </c>
      <c r="Y531">
        <f t="shared" si="392"/>
        <v>636.05999999999995</v>
      </c>
      <c r="AA531">
        <v>16742901</v>
      </c>
      <c r="AB531">
        <f t="shared" ref="AB531:AB537" si="393">ROUND((AC531+AD531+AF531),2)</f>
        <v>18.91</v>
      </c>
      <c r="AC531">
        <f t="shared" ref="AC531:AC537" si="394">ROUND((ES531),2)</f>
        <v>2.75</v>
      </c>
      <c r="AD531">
        <f t="shared" ref="AD531:AD537" si="395">ROUND((((ET531)-(EU531))+AE531),2)</f>
        <v>0</v>
      </c>
      <c r="AE531">
        <f t="shared" ref="AE531:AF537" si="396">ROUND((EU531),2)</f>
        <v>0</v>
      </c>
      <c r="AF531">
        <f t="shared" si="396"/>
        <v>16.16</v>
      </c>
      <c r="AG531">
        <f t="shared" ref="AG531:AG537" si="397">ROUND((AP531),2)</f>
        <v>0</v>
      </c>
      <c r="AH531">
        <f t="shared" ref="AH531:AI537" si="398">(EW531)</f>
        <v>1.68</v>
      </c>
      <c r="AI531">
        <f t="shared" si="398"/>
        <v>0</v>
      </c>
      <c r="AJ531">
        <f t="shared" ref="AJ531:AJ537" si="399">ROUND((AS531),2)</f>
        <v>0</v>
      </c>
      <c r="AK531">
        <v>18.91</v>
      </c>
      <c r="AL531">
        <v>2.75</v>
      </c>
      <c r="AM531">
        <v>0</v>
      </c>
      <c r="AN531">
        <v>0</v>
      </c>
      <c r="AO531">
        <v>16.16</v>
      </c>
      <c r="AP531">
        <v>0</v>
      </c>
      <c r="AQ531">
        <v>1.68</v>
      </c>
      <c r="AR531">
        <v>0</v>
      </c>
      <c r="AS531">
        <v>0</v>
      </c>
      <c r="AT531">
        <v>80</v>
      </c>
      <c r="AU531">
        <v>60</v>
      </c>
      <c r="AV531">
        <v>1</v>
      </c>
      <c r="AW531">
        <v>1</v>
      </c>
      <c r="AZ531">
        <v>6.56</v>
      </c>
      <c r="BA531">
        <v>6.56</v>
      </c>
      <c r="BB531">
        <v>6.56</v>
      </c>
      <c r="BC531">
        <v>6.56</v>
      </c>
      <c r="BD531" t="s">
        <v>6</v>
      </c>
      <c r="BE531" t="s">
        <v>6</v>
      </c>
      <c r="BF531" t="s">
        <v>6</v>
      </c>
      <c r="BG531" t="s">
        <v>6</v>
      </c>
      <c r="BH531">
        <v>0</v>
      </c>
      <c r="BI531">
        <v>2</v>
      </c>
      <c r="BJ531" t="s">
        <v>989</v>
      </c>
      <c r="BM531">
        <v>110011</v>
      </c>
      <c r="BN531">
        <v>0</v>
      </c>
      <c r="BO531" t="s">
        <v>6</v>
      </c>
      <c r="BP531">
        <v>0</v>
      </c>
      <c r="BQ531">
        <v>3</v>
      </c>
      <c r="BR531">
        <v>0</v>
      </c>
      <c r="BS531">
        <v>6.56</v>
      </c>
      <c r="BT531">
        <v>1</v>
      </c>
      <c r="BU531">
        <v>1</v>
      </c>
      <c r="BV531">
        <v>1</v>
      </c>
      <c r="BW531">
        <v>1</v>
      </c>
      <c r="BX531">
        <v>1</v>
      </c>
      <c r="BY531" t="s">
        <v>6</v>
      </c>
      <c r="BZ531">
        <v>80</v>
      </c>
      <c r="CA531">
        <v>60</v>
      </c>
      <c r="CF531">
        <v>0</v>
      </c>
      <c r="CG531">
        <v>0</v>
      </c>
      <c r="CM531">
        <v>0</v>
      </c>
      <c r="CN531" t="s">
        <v>6</v>
      </c>
      <c r="CO531">
        <v>0</v>
      </c>
      <c r="CP531">
        <f t="shared" ref="CP531:CP537" si="400">(P531+Q531+S531)</f>
        <v>1240.5</v>
      </c>
      <c r="CQ531">
        <f t="shared" ref="CQ531:CQ537" si="401">AC531*BC531</f>
        <v>18.04</v>
      </c>
      <c r="CR531">
        <f t="shared" ref="CR531:CR537" si="402">AD531*BB531</f>
        <v>0</v>
      </c>
      <c r="CS531">
        <f t="shared" ref="CS531:CS537" si="403">AE531*BS531</f>
        <v>0</v>
      </c>
      <c r="CT531">
        <f t="shared" ref="CT531:CT537" si="404">AF531*BA531</f>
        <v>106.00959999999999</v>
      </c>
      <c r="CU531">
        <f t="shared" ref="CU531:CX537" si="405">AG531</f>
        <v>0</v>
      </c>
      <c r="CV531">
        <f t="shared" si="405"/>
        <v>1.68</v>
      </c>
      <c r="CW531">
        <f t="shared" si="405"/>
        <v>0</v>
      </c>
      <c r="CX531">
        <f t="shared" si="405"/>
        <v>0</v>
      </c>
      <c r="CY531">
        <f t="shared" ref="CY531:CY537" si="406">(((S531+R531)*AT531)/100)</f>
        <v>848.08</v>
      </c>
      <c r="CZ531">
        <f t="shared" ref="CZ531:CZ537" si="407">(((S531+R531)*AU531)/100)</f>
        <v>636.05999999999995</v>
      </c>
      <c r="DC531" t="s">
        <v>6</v>
      </c>
      <c r="DD531" t="s">
        <v>6</v>
      </c>
      <c r="DE531" t="s">
        <v>6</v>
      </c>
      <c r="DF531" t="s">
        <v>6</v>
      </c>
      <c r="DG531" t="s">
        <v>6</v>
      </c>
      <c r="DH531" t="s">
        <v>6</v>
      </c>
      <c r="DI531" t="s">
        <v>6</v>
      </c>
      <c r="DJ531" t="s">
        <v>6</v>
      </c>
      <c r="DK531" t="s">
        <v>6</v>
      </c>
      <c r="DL531" t="s">
        <v>6</v>
      </c>
      <c r="DM531" t="s">
        <v>6</v>
      </c>
      <c r="DN531">
        <v>0</v>
      </c>
      <c r="DO531">
        <v>0</v>
      </c>
      <c r="DP531">
        <v>1</v>
      </c>
      <c r="DQ531">
        <v>1</v>
      </c>
      <c r="DU531">
        <v>1013</v>
      </c>
      <c r="DV531" t="s">
        <v>56</v>
      </c>
      <c r="DW531" t="s">
        <v>56</v>
      </c>
      <c r="DX531">
        <v>1</v>
      </c>
      <c r="EE531">
        <v>16510417</v>
      </c>
      <c r="EF531">
        <v>3</v>
      </c>
      <c r="EG531" t="s">
        <v>83</v>
      </c>
      <c r="EH531">
        <v>0</v>
      </c>
      <c r="EI531" t="s">
        <v>6</v>
      </c>
      <c r="EJ531">
        <v>2</v>
      </c>
      <c r="EK531">
        <v>110011</v>
      </c>
      <c r="EL531" t="s">
        <v>767</v>
      </c>
      <c r="EM531" t="s">
        <v>768</v>
      </c>
      <c r="EO531" t="s">
        <v>6</v>
      </c>
      <c r="EQ531">
        <v>131072</v>
      </c>
      <c r="ER531">
        <v>18.91</v>
      </c>
      <c r="ES531">
        <v>2.75</v>
      </c>
      <c r="ET531">
        <v>0</v>
      </c>
      <c r="EU531">
        <v>0</v>
      </c>
      <c r="EV531">
        <v>16.16</v>
      </c>
      <c r="EW531">
        <v>1.68</v>
      </c>
      <c r="EX531">
        <v>0</v>
      </c>
      <c r="EY531">
        <v>0</v>
      </c>
      <c r="FQ531">
        <v>0</v>
      </c>
      <c r="FR531">
        <f t="shared" ref="FR531:FR537" si="408">ROUND(IF(AND(BH531=3,BI531=3),P531,0),2)</f>
        <v>0</v>
      </c>
      <c r="FS531">
        <v>0</v>
      </c>
      <c r="FX531">
        <v>80</v>
      </c>
      <c r="FY531">
        <v>60</v>
      </c>
      <c r="GA531" t="s">
        <v>6</v>
      </c>
      <c r="GD531">
        <v>0</v>
      </c>
      <c r="GF531">
        <v>209323162</v>
      </c>
      <c r="GG531">
        <v>1</v>
      </c>
      <c r="GH531">
        <v>1</v>
      </c>
      <c r="GI531">
        <v>4</v>
      </c>
      <c r="GJ531">
        <v>0</v>
      </c>
      <c r="GK531">
        <f>ROUND(R531*(R12)/100,2)</f>
        <v>0</v>
      </c>
      <c r="GL531">
        <f t="shared" ref="GL531:GL537" si="409">ROUND(IF(AND(BH531=3,BI531=3,FS531&lt;&gt;0),P531,0),2)</f>
        <v>0</v>
      </c>
      <c r="GM531">
        <f t="shared" ref="GM531:GM537" si="410">ROUND(O531+X531+Y531+GK531,2)+GX531</f>
        <v>2724.64</v>
      </c>
      <c r="GN531">
        <f t="shared" ref="GN531:GN537" si="411">IF(OR(BI531=0,BI531=1),ROUND(O531+X531+Y531+GK531,2),0)</f>
        <v>0</v>
      </c>
      <c r="GO531">
        <f t="shared" ref="GO531:GO537" si="412">IF(BI531=2,ROUND(O531+X531+Y531+GK531,2),0)</f>
        <v>2724.64</v>
      </c>
      <c r="GP531">
        <f t="shared" ref="GP531:GP537" si="413">IF(BI531=4,ROUND(O531+X531+Y531+GK531,2)+GX531,0)</f>
        <v>0</v>
      </c>
      <c r="GR531">
        <v>0</v>
      </c>
      <c r="GS531">
        <v>3</v>
      </c>
      <c r="GT531">
        <v>0</v>
      </c>
      <c r="GU531" t="s">
        <v>6</v>
      </c>
      <c r="GV531">
        <f t="shared" ref="GV531:GV537" si="414">ROUND(GT531,2)</f>
        <v>0</v>
      </c>
      <c r="GW531">
        <v>1</v>
      </c>
      <c r="GX531">
        <f t="shared" ref="GX531:GX537" si="415">ROUND(GV531*GW531*I531,2)</f>
        <v>0</v>
      </c>
      <c r="HA531">
        <v>0</v>
      </c>
      <c r="HB531">
        <v>0</v>
      </c>
      <c r="IK531">
        <v>0</v>
      </c>
    </row>
    <row r="532" spans="1:245" x14ac:dyDescent="0.2">
      <c r="A532">
        <v>18</v>
      </c>
      <c r="B532">
        <v>1</v>
      </c>
      <c r="C532">
        <v>773</v>
      </c>
      <c r="E532" t="s">
        <v>990</v>
      </c>
      <c r="F532" t="s">
        <v>991</v>
      </c>
      <c r="G532" t="s">
        <v>992</v>
      </c>
      <c r="H532" t="s">
        <v>723</v>
      </c>
      <c r="I532">
        <f>I531*J532</f>
        <v>1</v>
      </c>
      <c r="J532">
        <v>0.1</v>
      </c>
      <c r="O532">
        <f t="shared" si="383"/>
        <v>7643.84</v>
      </c>
      <c r="P532">
        <f t="shared" si="384"/>
        <v>7643.84</v>
      </c>
      <c r="Q532">
        <f t="shared" si="385"/>
        <v>0</v>
      </c>
      <c r="R532">
        <f t="shared" si="386"/>
        <v>0</v>
      </c>
      <c r="S532">
        <f t="shared" si="387"/>
        <v>0</v>
      </c>
      <c r="T532">
        <f t="shared" si="388"/>
        <v>0</v>
      </c>
      <c r="U532">
        <f t="shared" si="389"/>
        <v>0</v>
      </c>
      <c r="V532">
        <f t="shared" si="390"/>
        <v>0</v>
      </c>
      <c r="W532">
        <f t="shared" si="391"/>
        <v>0</v>
      </c>
      <c r="X532">
        <f t="shared" si="392"/>
        <v>0</v>
      </c>
      <c r="Y532">
        <f t="shared" si="392"/>
        <v>0</v>
      </c>
      <c r="AA532">
        <v>16742901</v>
      </c>
      <c r="AB532">
        <f t="shared" si="393"/>
        <v>1165.22</v>
      </c>
      <c r="AC532">
        <f t="shared" si="394"/>
        <v>1165.22</v>
      </c>
      <c r="AD532">
        <f t="shared" si="395"/>
        <v>0</v>
      </c>
      <c r="AE532">
        <f t="shared" si="396"/>
        <v>0</v>
      </c>
      <c r="AF532">
        <f t="shared" si="396"/>
        <v>0</v>
      </c>
      <c r="AG532">
        <f t="shared" si="397"/>
        <v>0</v>
      </c>
      <c r="AH532">
        <f t="shared" si="398"/>
        <v>0</v>
      </c>
      <c r="AI532">
        <f t="shared" si="398"/>
        <v>0</v>
      </c>
      <c r="AJ532">
        <f t="shared" si="399"/>
        <v>0</v>
      </c>
      <c r="AK532">
        <v>1165.22</v>
      </c>
      <c r="AL532">
        <v>1165.22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80</v>
      </c>
      <c r="AU532">
        <v>60</v>
      </c>
      <c r="AV532">
        <v>1</v>
      </c>
      <c r="AW532">
        <v>1</v>
      </c>
      <c r="AZ532">
        <v>6.56</v>
      </c>
      <c r="BA532">
        <v>1</v>
      </c>
      <c r="BB532">
        <v>1</v>
      </c>
      <c r="BC532">
        <v>6.56</v>
      </c>
      <c r="BD532" t="s">
        <v>6</v>
      </c>
      <c r="BE532" t="s">
        <v>6</v>
      </c>
      <c r="BF532" t="s">
        <v>6</v>
      </c>
      <c r="BG532" t="s">
        <v>6</v>
      </c>
      <c r="BH532">
        <v>3</v>
      </c>
      <c r="BI532">
        <v>2</v>
      </c>
      <c r="BJ532" t="s">
        <v>993</v>
      </c>
      <c r="BM532">
        <v>110011</v>
      </c>
      <c r="BN532">
        <v>0</v>
      </c>
      <c r="BO532" t="s">
        <v>6</v>
      </c>
      <c r="BP532">
        <v>0</v>
      </c>
      <c r="BQ532">
        <v>3</v>
      </c>
      <c r="BR532">
        <v>0</v>
      </c>
      <c r="BS532">
        <v>1</v>
      </c>
      <c r="BT532">
        <v>1</v>
      </c>
      <c r="BU532">
        <v>1</v>
      </c>
      <c r="BV532">
        <v>1</v>
      </c>
      <c r="BW532">
        <v>1</v>
      </c>
      <c r="BX532">
        <v>1</v>
      </c>
      <c r="BY532" t="s">
        <v>6</v>
      </c>
      <c r="BZ532">
        <v>80</v>
      </c>
      <c r="CA532">
        <v>60</v>
      </c>
      <c r="CF532">
        <v>0</v>
      </c>
      <c r="CG532">
        <v>0</v>
      </c>
      <c r="CM532">
        <v>0</v>
      </c>
      <c r="CN532" t="s">
        <v>6</v>
      </c>
      <c r="CO532">
        <v>0</v>
      </c>
      <c r="CP532">
        <f t="shared" si="400"/>
        <v>7643.84</v>
      </c>
      <c r="CQ532">
        <f t="shared" si="401"/>
        <v>7643.8431999999993</v>
      </c>
      <c r="CR532">
        <f t="shared" si="402"/>
        <v>0</v>
      </c>
      <c r="CS532">
        <f t="shared" si="403"/>
        <v>0</v>
      </c>
      <c r="CT532">
        <f t="shared" si="404"/>
        <v>0</v>
      </c>
      <c r="CU532">
        <f t="shared" si="405"/>
        <v>0</v>
      </c>
      <c r="CV532">
        <f t="shared" si="405"/>
        <v>0</v>
      </c>
      <c r="CW532">
        <f t="shared" si="405"/>
        <v>0</v>
      </c>
      <c r="CX532">
        <f t="shared" si="405"/>
        <v>0</v>
      </c>
      <c r="CY532">
        <f t="shared" si="406"/>
        <v>0</v>
      </c>
      <c r="CZ532">
        <f t="shared" si="407"/>
        <v>0</v>
      </c>
      <c r="DC532" t="s">
        <v>6</v>
      </c>
      <c r="DD532" t="s">
        <v>6</v>
      </c>
      <c r="DE532" t="s">
        <v>6</v>
      </c>
      <c r="DF532" t="s">
        <v>6</v>
      </c>
      <c r="DG532" t="s">
        <v>6</v>
      </c>
      <c r="DH532" t="s">
        <v>6</v>
      </c>
      <c r="DI532" t="s">
        <v>6</v>
      </c>
      <c r="DJ532" t="s">
        <v>6</v>
      </c>
      <c r="DK532" t="s">
        <v>6</v>
      </c>
      <c r="DL532" t="s">
        <v>6</v>
      </c>
      <c r="DM532" t="s">
        <v>6</v>
      </c>
      <c r="DN532">
        <v>0</v>
      </c>
      <c r="DO532">
        <v>0</v>
      </c>
      <c r="DP532">
        <v>1</v>
      </c>
      <c r="DQ532">
        <v>1</v>
      </c>
      <c r="DU532">
        <v>1010</v>
      </c>
      <c r="DV532" t="s">
        <v>723</v>
      </c>
      <c r="DW532" t="s">
        <v>723</v>
      </c>
      <c r="DX532">
        <v>10</v>
      </c>
      <c r="EE532">
        <v>16510417</v>
      </c>
      <c r="EF532">
        <v>3</v>
      </c>
      <c r="EG532" t="s">
        <v>83</v>
      </c>
      <c r="EH532">
        <v>0</v>
      </c>
      <c r="EI532" t="s">
        <v>6</v>
      </c>
      <c r="EJ532">
        <v>2</v>
      </c>
      <c r="EK532">
        <v>110011</v>
      </c>
      <c r="EL532" t="s">
        <v>767</v>
      </c>
      <c r="EM532" t="s">
        <v>768</v>
      </c>
      <c r="EO532" t="s">
        <v>6</v>
      </c>
      <c r="EQ532">
        <v>0</v>
      </c>
      <c r="ER532">
        <v>1165.22</v>
      </c>
      <c r="ES532">
        <v>1165.22</v>
      </c>
      <c r="ET532">
        <v>0</v>
      </c>
      <c r="EU532">
        <v>0</v>
      </c>
      <c r="EV532">
        <v>0</v>
      </c>
      <c r="EW532">
        <v>0</v>
      </c>
      <c r="EX532">
        <v>0</v>
      </c>
      <c r="FQ532">
        <v>0</v>
      </c>
      <c r="FR532">
        <f t="shared" si="408"/>
        <v>0</v>
      </c>
      <c r="FS532">
        <v>0</v>
      </c>
      <c r="FX532">
        <v>80</v>
      </c>
      <c r="FY532">
        <v>60</v>
      </c>
      <c r="GA532" t="s">
        <v>6</v>
      </c>
      <c r="GD532">
        <v>0</v>
      </c>
      <c r="GF532">
        <v>-1785852769</v>
      </c>
      <c r="GG532">
        <v>1</v>
      </c>
      <c r="GH532">
        <v>1</v>
      </c>
      <c r="GI532">
        <v>4</v>
      </c>
      <c r="GJ532">
        <v>0</v>
      </c>
      <c r="GK532">
        <f>ROUND(R532*(R12)/100,2)</f>
        <v>0</v>
      </c>
      <c r="GL532">
        <f t="shared" si="409"/>
        <v>0</v>
      </c>
      <c r="GM532">
        <f t="shared" si="410"/>
        <v>7643.84</v>
      </c>
      <c r="GN532">
        <f t="shared" si="411"/>
        <v>0</v>
      </c>
      <c r="GO532">
        <f t="shared" si="412"/>
        <v>7643.84</v>
      </c>
      <c r="GP532">
        <f t="shared" si="413"/>
        <v>0</v>
      </c>
      <c r="GR532">
        <v>0</v>
      </c>
      <c r="GS532">
        <v>3</v>
      </c>
      <c r="GT532">
        <v>0</v>
      </c>
      <c r="GU532" t="s">
        <v>6</v>
      </c>
      <c r="GV532">
        <f t="shared" si="414"/>
        <v>0</v>
      </c>
      <c r="GW532">
        <v>1</v>
      </c>
      <c r="GX532">
        <f t="shared" si="415"/>
        <v>0</v>
      </c>
      <c r="HA532">
        <v>0</v>
      </c>
      <c r="HB532">
        <v>0</v>
      </c>
      <c r="IK532">
        <v>0</v>
      </c>
    </row>
    <row r="533" spans="1:245" x14ac:dyDescent="0.2">
      <c r="A533">
        <v>17</v>
      </c>
      <c r="B533">
        <v>1</v>
      </c>
      <c r="C533">
        <f>ROW(SmtRes!A778)</f>
        <v>778</v>
      </c>
      <c r="D533">
        <f>ROW(EtalonRes!A711)</f>
        <v>711</v>
      </c>
      <c r="E533" t="s">
        <v>994</v>
      </c>
      <c r="F533" t="s">
        <v>734</v>
      </c>
      <c r="G533" t="s">
        <v>735</v>
      </c>
      <c r="H533" t="s">
        <v>34</v>
      </c>
      <c r="I533">
        <f>ROUND(34/100,9)</f>
        <v>0.34</v>
      </c>
      <c r="J533">
        <v>0</v>
      </c>
      <c r="O533">
        <f t="shared" si="383"/>
        <v>348.68</v>
      </c>
      <c r="P533">
        <f t="shared" si="384"/>
        <v>37.450000000000003</v>
      </c>
      <c r="Q533">
        <f t="shared" si="385"/>
        <v>0</v>
      </c>
      <c r="R533">
        <f t="shared" si="386"/>
        <v>0</v>
      </c>
      <c r="S533">
        <f t="shared" si="387"/>
        <v>311.23</v>
      </c>
      <c r="T533">
        <f t="shared" si="388"/>
        <v>0</v>
      </c>
      <c r="U533">
        <f t="shared" si="389"/>
        <v>5.1680000000000001</v>
      </c>
      <c r="V533">
        <f t="shared" si="390"/>
        <v>0</v>
      </c>
      <c r="W533">
        <f t="shared" si="391"/>
        <v>0</v>
      </c>
      <c r="X533">
        <f t="shared" si="392"/>
        <v>295.67</v>
      </c>
      <c r="Y533">
        <f t="shared" si="392"/>
        <v>202.3</v>
      </c>
      <c r="AA533">
        <v>16742901</v>
      </c>
      <c r="AB533">
        <f t="shared" si="393"/>
        <v>156.33000000000001</v>
      </c>
      <c r="AC533">
        <f t="shared" si="394"/>
        <v>16.79</v>
      </c>
      <c r="AD533">
        <f t="shared" si="395"/>
        <v>0</v>
      </c>
      <c r="AE533">
        <f t="shared" si="396"/>
        <v>0</v>
      </c>
      <c r="AF533">
        <f t="shared" si="396"/>
        <v>139.54</v>
      </c>
      <c r="AG533">
        <f t="shared" si="397"/>
        <v>0</v>
      </c>
      <c r="AH533">
        <f t="shared" si="398"/>
        <v>15.2</v>
      </c>
      <c r="AI533">
        <f t="shared" si="398"/>
        <v>0</v>
      </c>
      <c r="AJ533">
        <f t="shared" si="399"/>
        <v>0</v>
      </c>
      <c r="AK533">
        <v>156.33000000000001</v>
      </c>
      <c r="AL533">
        <v>16.79</v>
      </c>
      <c r="AM533">
        <v>0</v>
      </c>
      <c r="AN533">
        <v>0</v>
      </c>
      <c r="AO533">
        <v>139.54</v>
      </c>
      <c r="AP533">
        <v>0</v>
      </c>
      <c r="AQ533">
        <v>15.2</v>
      </c>
      <c r="AR533">
        <v>0</v>
      </c>
      <c r="AS533">
        <v>0</v>
      </c>
      <c r="AT533">
        <v>95</v>
      </c>
      <c r="AU533">
        <v>65</v>
      </c>
      <c r="AV533">
        <v>1</v>
      </c>
      <c r="AW533">
        <v>1</v>
      </c>
      <c r="AZ533">
        <v>6.56</v>
      </c>
      <c r="BA533">
        <v>6.56</v>
      </c>
      <c r="BB533">
        <v>6.56</v>
      </c>
      <c r="BC533">
        <v>6.56</v>
      </c>
      <c r="BD533" t="s">
        <v>6</v>
      </c>
      <c r="BE533" t="s">
        <v>6</v>
      </c>
      <c r="BF533" t="s">
        <v>6</v>
      </c>
      <c r="BG533" t="s">
        <v>6</v>
      </c>
      <c r="BH533">
        <v>0</v>
      </c>
      <c r="BI533">
        <v>2</v>
      </c>
      <c r="BJ533" t="s">
        <v>736</v>
      </c>
      <c r="BM533">
        <v>108001</v>
      </c>
      <c r="BN533">
        <v>0</v>
      </c>
      <c r="BO533" t="s">
        <v>6</v>
      </c>
      <c r="BP533">
        <v>0</v>
      </c>
      <c r="BQ533">
        <v>3</v>
      </c>
      <c r="BR533">
        <v>0</v>
      </c>
      <c r="BS533">
        <v>6.56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6</v>
      </c>
      <c r="BZ533">
        <v>95</v>
      </c>
      <c r="CA533">
        <v>65</v>
      </c>
      <c r="CF533">
        <v>0</v>
      </c>
      <c r="CG533">
        <v>0</v>
      </c>
      <c r="CM533">
        <v>0</v>
      </c>
      <c r="CN533" t="s">
        <v>6</v>
      </c>
      <c r="CO533">
        <v>0</v>
      </c>
      <c r="CP533">
        <f t="shared" si="400"/>
        <v>348.68</v>
      </c>
      <c r="CQ533">
        <f t="shared" si="401"/>
        <v>110.14239999999998</v>
      </c>
      <c r="CR533">
        <f t="shared" si="402"/>
        <v>0</v>
      </c>
      <c r="CS533">
        <f t="shared" si="403"/>
        <v>0</v>
      </c>
      <c r="CT533">
        <f t="shared" si="404"/>
        <v>915.38239999999985</v>
      </c>
      <c r="CU533">
        <f t="shared" si="405"/>
        <v>0</v>
      </c>
      <c r="CV533">
        <f t="shared" si="405"/>
        <v>15.2</v>
      </c>
      <c r="CW533">
        <f t="shared" si="405"/>
        <v>0</v>
      </c>
      <c r="CX533">
        <f t="shared" si="405"/>
        <v>0</v>
      </c>
      <c r="CY533">
        <f t="shared" si="406"/>
        <v>295.66849999999999</v>
      </c>
      <c r="CZ533">
        <f t="shared" si="407"/>
        <v>202.29949999999999</v>
      </c>
      <c r="DC533" t="s">
        <v>6</v>
      </c>
      <c r="DD533" t="s">
        <v>6</v>
      </c>
      <c r="DE533" t="s">
        <v>6</v>
      </c>
      <c r="DF533" t="s">
        <v>6</v>
      </c>
      <c r="DG533" t="s">
        <v>6</v>
      </c>
      <c r="DH533" t="s">
        <v>6</v>
      </c>
      <c r="DI533" t="s">
        <v>6</v>
      </c>
      <c r="DJ533" t="s">
        <v>6</v>
      </c>
      <c r="DK533" t="s">
        <v>6</v>
      </c>
      <c r="DL533" t="s">
        <v>6</v>
      </c>
      <c r="DM533" t="s">
        <v>6</v>
      </c>
      <c r="DN533">
        <v>0</v>
      </c>
      <c r="DO533">
        <v>0</v>
      </c>
      <c r="DP533">
        <v>1</v>
      </c>
      <c r="DQ533">
        <v>1</v>
      </c>
      <c r="DU533">
        <v>1003</v>
      </c>
      <c r="DV533" t="s">
        <v>34</v>
      </c>
      <c r="DW533" t="s">
        <v>34</v>
      </c>
      <c r="DX533">
        <v>100</v>
      </c>
      <c r="EE533">
        <v>16510370</v>
      </c>
      <c r="EF533">
        <v>3</v>
      </c>
      <c r="EG533" t="s">
        <v>83</v>
      </c>
      <c r="EH533">
        <v>0</v>
      </c>
      <c r="EI533" t="s">
        <v>6</v>
      </c>
      <c r="EJ533">
        <v>2</v>
      </c>
      <c r="EK533">
        <v>108001</v>
      </c>
      <c r="EL533" t="s">
        <v>84</v>
      </c>
      <c r="EM533" t="s">
        <v>85</v>
      </c>
      <c r="EO533" t="s">
        <v>6</v>
      </c>
      <c r="EQ533">
        <v>131072</v>
      </c>
      <c r="ER533">
        <v>156.33000000000001</v>
      </c>
      <c r="ES533">
        <v>16.79</v>
      </c>
      <c r="ET533">
        <v>0</v>
      </c>
      <c r="EU533">
        <v>0</v>
      </c>
      <c r="EV533">
        <v>139.54</v>
      </c>
      <c r="EW533">
        <v>15.2</v>
      </c>
      <c r="EX533">
        <v>0</v>
      </c>
      <c r="EY533">
        <v>0</v>
      </c>
      <c r="FQ533">
        <v>0</v>
      </c>
      <c r="FR533">
        <f t="shared" si="408"/>
        <v>0</v>
      </c>
      <c r="FS533">
        <v>0</v>
      </c>
      <c r="FX533">
        <v>95</v>
      </c>
      <c r="FY533">
        <v>65</v>
      </c>
      <c r="GA533" t="s">
        <v>6</v>
      </c>
      <c r="GD533">
        <v>0</v>
      </c>
      <c r="GF533">
        <v>-596386547</v>
      </c>
      <c r="GG533">
        <v>1</v>
      </c>
      <c r="GH533">
        <v>1</v>
      </c>
      <c r="GI533">
        <v>4</v>
      </c>
      <c r="GJ533">
        <v>0</v>
      </c>
      <c r="GK533">
        <f>ROUND(R533*(R12)/100,2)</f>
        <v>0</v>
      </c>
      <c r="GL533">
        <f t="shared" si="409"/>
        <v>0</v>
      </c>
      <c r="GM533">
        <f t="shared" si="410"/>
        <v>846.65</v>
      </c>
      <c r="GN533">
        <f t="shared" si="411"/>
        <v>0</v>
      </c>
      <c r="GO533">
        <f t="shared" si="412"/>
        <v>846.65</v>
      </c>
      <c r="GP533">
        <f t="shared" si="413"/>
        <v>0</v>
      </c>
      <c r="GR533">
        <v>0</v>
      </c>
      <c r="GS533">
        <v>3</v>
      </c>
      <c r="GT533">
        <v>0</v>
      </c>
      <c r="GU533" t="s">
        <v>6</v>
      </c>
      <c r="GV533">
        <f t="shared" si="414"/>
        <v>0</v>
      </c>
      <c r="GW533">
        <v>1</v>
      </c>
      <c r="GX533">
        <f t="shared" si="415"/>
        <v>0</v>
      </c>
      <c r="HA533">
        <v>0</v>
      </c>
      <c r="HB533">
        <v>0</v>
      </c>
      <c r="IK533">
        <v>0</v>
      </c>
    </row>
    <row r="534" spans="1:245" x14ac:dyDescent="0.2">
      <c r="A534">
        <v>18</v>
      </c>
      <c r="B534">
        <v>1</v>
      </c>
      <c r="C534">
        <v>777</v>
      </c>
      <c r="E534" t="s">
        <v>995</v>
      </c>
      <c r="F534" t="s">
        <v>738</v>
      </c>
      <c r="G534" t="s">
        <v>739</v>
      </c>
      <c r="H534" t="s">
        <v>740</v>
      </c>
      <c r="I534">
        <f>I533*J534</f>
        <v>3.3999999999999995</v>
      </c>
      <c r="J534">
        <v>9.9999999999999982</v>
      </c>
      <c r="O534">
        <f t="shared" si="383"/>
        <v>359.32</v>
      </c>
      <c r="P534">
        <f t="shared" si="384"/>
        <v>359.32</v>
      </c>
      <c r="Q534">
        <f t="shared" si="385"/>
        <v>0</v>
      </c>
      <c r="R534">
        <f t="shared" si="386"/>
        <v>0</v>
      </c>
      <c r="S534">
        <f t="shared" si="387"/>
        <v>0</v>
      </c>
      <c r="T534">
        <f t="shared" si="388"/>
        <v>0</v>
      </c>
      <c r="U534">
        <f t="shared" si="389"/>
        <v>0</v>
      </c>
      <c r="V534">
        <f t="shared" si="390"/>
        <v>0</v>
      </c>
      <c r="W534">
        <f t="shared" si="391"/>
        <v>0</v>
      </c>
      <c r="X534">
        <f t="shared" si="392"/>
        <v>0</v>
      </c>
      <c r="Y534">
        <f t="shared" si="392"/>
        <v>0</v>
      </c>
      <c r="AA534">
        <v>16742901</v>
      </c>
      <c r="AB534">
        <f t="shared" si="393"/>
        <v>16.11</v>
      </c>
      <c r="AC534">
        <f t="shared" si="394"/>
        <v>16.11</v>
      </c>
      <c r="AD534">
        <f t="shared" si="395"/>
        <v>0</v>
      </c>
      <c r="AE534">
        <f t="shared" si="396"/>
        <v>0</v>
      </c>
      <c r="AF534">
        <f t="shared" si="396"/>
        <v>0</v>
      </c>
      <c r="AG534">
        <f t="shared" si="397"/>
        <v>0</v>
      </c>
      <c r="AH534">
        <f t="shared" si="398"/>
        <v>0</v>
      </c>
      <c r="AI534">
        <f t="shared" si="398"/>
        <v>0</v>
      </c>
      <c r="AJ534">
        <f t="shared" si="399"/>
        <v>0</v>
      </c>
      <c r="AK534">
        <v>16.11</v>
      </c>
      <c r="AL534">
        <v>16.11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95</v>
      </c>
      <c r="AU534">
        <v>65</v>
      </c>
      <c r="AV534">
        <v>1</v>
      </c>
      <c r="AW534">
        <v>1</v>
      </c>
      <c r="AZ534">
        <v>6.56</v>
      </c>
      <c r="BA534">
        <v>1</v>
      </c>
      <c r="BB534">
        <v>1</v>
      </c>
      <c r="BC534">
        <v>6.56</v>
      </c>
      <c r="BD534" t="s">
        <v>6</v>
      </c>
      <c r="BE534" t="s">
        <v>6</v>
      </c>
      <c r="BF534" t="s">
        <v>6</v>
      </c>
      <c r="BG534" t="s">
        <v>6</v>
      </c>
      <c r="BH534">
        <v>3</v>
      </c>
      <c r="BI534">
        <v>2</v>
      </c>
      <c r="BJ534" t="s">
        <v>741</v>
      </c>
      <c r="BM534">
        <v>108001</v>
      </c>
      <c r="BN534">
        <v>0</v>
      </c>
      <c r="BO534" t="s">
        <v>6</v>
      </c>
      <c r="BP534">
        <v>0</v>
      </c>
      <c r="BQ534">
        <v>3</v>
      </c>
      <c r="BR534">
        <v>0</v>
      </c>
      <c r="BS534">
        <v>1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6</v>
      </c>
      <c r="BZ534">
        <v>95</v>
      </c>
      <c r="CA534">
        <v>65</v>
      </c>
      <c r="CF534">
        <v>0</v>
      </c>
      <c r="CG534">
        <v>0</v>
      </c>
      <c r="CM534">
        <v>0</v>
      </c>
      <c r="CN534" t="s">
        <v>6</v>
      </c>
      <c r="CO534">
        <v>0</v>
      </c>
      <c r="CP534">
        <f t="shared" si="400"/>
        <v>359.32</v>
      </c>
      <c r="CQ534">
        <f t="shared" si="401"/>
        <v>105.68159999999999</v>
      </c>
      <c r="CR534">
        <f t="shared" si="402"/>
        <v>0</v>
      </c>
      <c r="CS534">
        <f t="shared" si="403"/>
        <v>0</v>
      </c>
      <c r="CT534">
        <f t="shared" si="404"/>
        <v>0</v>
      </c>
      <c r="CU534">
        <f t="shared" si="405"/>
        <v>0</v>
      </c>
      <c r="CV534">
        <f t="shared" si="405"/>
        <v>0</v>
      </c>
      <c r="CW534">
        <f t="shared" si="405"/>
        <v>0</v>
      </c>
      <c r="CX534">
        <f t="shared" si="405"/>
        <v>0</v>
      </c>
      <c r="CY534">
        <f t="shared" si="406"/>
        <v>0</v>
      </c>
      <c r="CZ534">
        <f t="shared" si="407"/>
        <v>0</v>
      </c>
      <c r="DC534" t="s">
        <v>6</v>
      </c>
      <c r="DD534" t="s">
        <v>6</v>
      </c>
      <c r="DE534" t="s">
        <v>6</v>
      </c>
      <c r="DF534" t="s">
        <v>6</v>
      </c>
      <c r="DG534" t="s">
        <v>6</v>
      </c>
      <c r="DH534" t="s">
        <v>6</v>
      </c>
      <c r="DI534" t="s">
        <v>6</v>
      </c>
      <c r="DJ534" t="s">
        <v>6</v>
      </c>
      <c r="DK534" t="s">
        <v>6</v>
      </c>
      <c r="DL534" t="s">
        <v>6</v>
      </c>
      <c r="DM534" t="s">
        <v>6</v>
      </c>
      <c r="DN534">
        <v>0</v>
      </c>
      <c r="DO534">
        <v>0</v>
      </c>
      <c r="DP534">
        <v>1</v>
      </c>
      <c r="DQ534">
        <v>1</v>
      </c>
      <c r="DU534">
        <v>1003</v>
      </c>
      <c r="DV534" t="s">
        <v>740</v>
      </c>
      <c r="DW534" t="s">
        <v>740</v>
      </c>
      <c r="DX534">
        <v>10</v>
      </c>
      <c r="EE534">
        <v>16510370</v>
      </c>
      <c r="EF534">
        <v>3</v>
      </c>
      <c r="EG534" t="s">
        <v>83</v>
      </c>
      <c r="EH534">
        <v>0</v>
      </c>
      <c r="EI534" t="s">
        <v>6</v>
      </c>
      <c r="EJ534">
        <v>2</v>
      </c>
      <c r="EK534">
        <v>108001</v>
      </c>
      <c r="EL534" t="s">
        <v>84</v>
      </c>
      <c r="EM534" t="s">
        <v>85</v>
      </c>
      <c r="EO534" t="s">
        <v>6</v>
      </c>
      <c r="EQ534">
        <v>0</v>
      </c>
      <c r="ER534">
        <v>16.11</v>
      </c>
      <c r="ES534">
        <v>16.11</v>
      </c>
      <c r="ET534">
        <v>0</v>
      </c>
      <c r="EU534">
        <v>0</v>
      </c>
      <c r="EV534">
        <v>0</v>
      </c>
      <c r="EW534">
        <v>0</v>
      </c>
      <c r="EX534">
        <v>0</v>
      </c>
      <c r="FQ534">
        <v>0</v>
      </c>
      <c r="FR534">
        <f t="shared" si="408"/>
        <v>0</v>
      </c>
      <c r="FS534">
        <v>0</v>
      </c>
      <c r="FX534">
        <v>95</v>
      </c>
      <c r="FY534">
        <v>65</v>
      </c>
      <c r="GA534" t="s">
        <v>6</v>
      </c>
      <c r="GD534">
        <v>0</v>
      </c>
      <c r="GF534">
        <v>-819900352</v>
      </c>
      <c r="GG534">
        <v>1</v>
      </c>
      <c r="GH534">
        <v>1</v>
      </c>
      <c r="GI534">
        <v>4</v>
      </c>
      <c r="GJ534">
        <v>0</v>
      </c>
      <c r="GK534">
        <f>ROUND(R534*(R12)/100,2)</f>
        <v>0</v>
      </c>
      <c r="GL534">
        <f t="shared" si="409"/>
        <v>0</v>
      </c>
      <c r="GM534">
        <f t="shared" si="410"/>
        <v>359.32</v>
      </c>
      <c r="GN534">
        <f t="shared" si="411"/>
        <v>0</v>
      </c>
      <c r="GO534">
        <f t="shared" si="412"/>
        <v>359.32</v>
      </c>
      <c r="GP534">
        <f t="shared" si="413"/>
        <v>0</v>
      </c>
      <c r="GR534">
        <v>0</v>
      </c>
      <c r="GS534">
        <v>3</v>
      </c>
      <c r="GT534">
        <v>0</v>
      </c>
      <c r="GU534" t="s">
        <v>6</v>
      </c>
      <c r="GV534">
        <f t="shared" si="414"/>
        <v>0</v>
      </c>
      <c r="GW534">
        <v>1</v>
      </c>
      <c r="GX534">
        <f t="shared" si="415"/>
        <v>0</v>
      </c>
      <c r="HA534">
        <v>0</v>
      </c>
      <c r="HB534">
        <v>0</v>
      </c>
      <c r="IK534">
        <v>0</v>
      </c>
    </row>
    <row r="535" spans="1:245" x14ac:dyDescent="0.2">
      <c r="A535">
        <v>17</v>
      </c>
      <c r="B535">
        <v>1</v>
      </c>
      <c r="C535">
        <f>ROW(SmtRes!A789)</f>
        <v>789</v>
      </c>
      <c r="D535">
        <f>ROW(EtalonRes!A721)</f>
        <v>721</v>
      </c>
      <c r="E535" t="s">
        <v>996</v>
      </c>
      <c r="F535" t="s">
        <v>743</v>
      </c>
      <c r="G535" t="s">
        <v>744</v>
      </c>
      <c r="H535" t="s">
        <v>34</v>
      </c>
      <c r="I535">
        <f>ROUND(48/100,9)</f>
        <v>0.48</v>
      </c>
      <c r="J535">
        <v>0</v>
      </c>
      <c r="O535">
        <f t="shared" si="383"/>
        <v>216.32</v>
      </c>
      <c r="P535">
        <f t="shared" si="384"/>
        <v>45.59</v>
      </c>
      <c r="Q535">
        <f t="shared" si="385"/>
        <v>11.18</v>
      </c>
      <c r="R535">
        <f t="shared" si="386"/>
        <v>1.57</v>
      </c>
      <c r="S535">
        <f t="shared" si="387"/>
        <v>159.55000000000001</v>
      </c>
      <c r="T535">
        <f t="shared" si="388"/>
        <v>0</v>
      </c>
      <c r="U535">
        <f t="shared" si="389"/>
        <v>2.5871999999999997</v>
      </c>
      <c r="V535">
        <f t="shared" si="390"/>
        <v>1.9199999999999998E-2</v>
      </c>
      <c r="W535">
        <f t="shared" si="391"/>
        <v>0</v>
      </c>
      <c r="X535">
        <f t="shared" si="392"/>
        <v>153.06</v>
      </c>
      <c r="Y535">
        <f t="shared" si="392"/>
        <v>104.73</v>
      </c>
      <c r="AA535">
        <v>16742901</v>
      </c>
      <c r="AB535">
        <f t="shared" si="393"/>
        <v>68.7</v>
      </c>
      <c r="AC535">
        <f t="shared" si="394"/>
        <v>14.48</v>
      </c>
      <c r="AD535">
        <f t="shared" si="395"/>
        <v>3.55</v>
      </c>
      <c r="AE535">
        <f t="shared" si="396"/>
        <v>0.5</v>
      </c>
      <c r="AF535">
        <f t="shared" si="396"/>
        <v>50.67</v>
      </c>
      <c r="AG535">
        <f t="shared" si="397"/>
        <v>0</v>
      </c>
      <c r="AH535">
        <f t="shared" si="398"/>
        <v>5.39</v>
      </c>
      <c r="AI535">
        <f t="shared" si="398"/>
        <v>0.04</v>
      </c>
      <c r="AJ535">
        <f t="shared" si="399"/>
        <v>0</v>
      </c>
      <c r="AK535">
        <v>68.7</v>
      </c>
      <c r="AL535">
        <v>14.48</v>
      </c>
      <c r="AM535">
        <v>3.55</v>
      </c>
      <c r="AN535">
        <v>0.5</v>
      </c>
      <c r="AO535">
        <v>50.67</v>
      </c>
      <c r="AP535">
        <v>0</v>
      </c>
      <c r="AQ535">
        <v>5.39</v>
      </c>
      <c r="AR535">
        <v>0.04</v>
      </c>
      <c r="AS535">
        <v>0</v>
      </c>
      <c r="AT535">
        <v>95</v>
      </c>
      <c r="AU535">
        <v>65</v>
      </c>
      <c r="AV535">
        <v>1</v>
      </c>
      <c r="AW535">
        <v>1</v>
      </c>
      <c r="AZ535">
        <v>6.56</v>
      </c>
      <c r="BA535">
        <v>6.56</v>
      </c>
      <c r="BB535">
        <v>6.56</v>
      </c>
      <c r="BC535">
        <v>6.56</v>
      </c>
      <c r="BD535" t="s">
        <v>6</v>
      </c>
      <c r="BE535" t="s">
        <v>6</v>
      </c>
      <c r="BF535" t="s">
        <v>6</v>
      </c>
      <c r="BG535" t="s">
        <v>6</v>
      </c>
      <c r="BH535">
        <v>0</v>
      </c>
      <c r="BI535">
        <v>2</v>
      </c>
      <c r="BJ535" t="s">
        <v>745</v>
      </c>
      <c r="BM535">
        <v>108001</v>
      </c>
      <c r="BN535">
        <v>0</v>
      </c>
      <c r="BO535" t="s">
        <v>6</v>
      </c>
      <c r="BP535">
        <v>0</v>
      </c>
      <c r="BQ535">
        <v>3</v>
      </c>
      <c r="BR535">
        <v>0</v>
      </c>
      <c r="BS535">
        <v>6.56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6</v>
      </c>
      <c r="BZ535">
        <v>95</v>
      </c>
      <c r="CA535">
        <v>65</v>
      </c>
      <c r="CF535">
        <v>0</v>
      </c>
      <c r="CG535">
        <v>0</v>
      </c>
      <c r="CM535">
        <v>0</v>
      </c>
      <c r="CN535" t="s">
        <v>6</v>
      </c>
      <c r="CO535">
        <v>0</v>
      </c>
      <c r="CP535">
        <f t="shared" si="400"/>
        <v>216.32000000000002</v>
      </c>
      <c r="CQ535">
        <f t="shared" si="401"/>
        <v>94.988799999999998</v>
      </c>
      <c r="CR535">
        <f t="shared" si="402"/>
        <v>23.287999999999997</v>
      </c>
      <c r="CS535">
        <f t="shared" si="403"/>
        <v>3.28</v>
      </c>
      <c r="CT535">
        <f t="shared" si="404"/>
        <v>332.39519999999999</v>
      </c>
      <c r="CU535">
        <f t="shared" si="405"/>
        <v>0</v>
      </c>
      <c r="CV535">
        <f t="shared" si="405"/>
        <v>5.39</v>
      </c>
      <c r="CW535">
        <f t="shared" si="405"/>
        <v>0.04</v>
      </c>
      <c r="CX535">
        <f t="shared" si="405"/>
        <v>0</v>
      </c>
      <c r="CY535">
        <f t="shared" si="406"/>
        <v>153.06399999999999</v>
      </c>
      <c r="CZ535">
        <f t="shared" si="407"/>
        <v>104.72800000000001</v>
      </c>
      <c r="DC535" t="s">
        <v>6</v>
      </c>
      <c r="DD535" t="s">
        <v>6</v>
      </c>
      <c r="DE535" t="s">
        <v>6</v>
      </c>
      <c r="DF535" t="s">
        <v>6</v>
      </c>
      <c r="DG535" t="s">
        <v>6</v>
      </c>
      <c r="DH535" t="s">
        <v>6</v>
      </c>
      <c r="DI535" t="s">
        <v>6</v>
      </c>
      <c r="DJ535" t="s">
        <v>6</v>
      </c>
      <c r="DK535" t="s">
        <v>6</v>
      </c>
      <c r="DL535" t="s">
        <v>6</v>
      </c>
      <c r="DM535" t="s">
        <v>6</v>
      </c>
      <c r="DN535">
        <v>0</v>
      </c>
      <c r="DO535">
        <v>0</v>
      </c>
      <c r="DP535">
        <v>1</v>
      </c>
      <c r="DQ535">
        <v>1</v>
      </c>
      <c r="DU535">
        <v>1003</v>
      </c>
      <c r="DV535" t="s">
        <v>34</v>
      </c>
      <c r="DW535" t="s">
        <v>34</v>
      </c>
      <c r="DX535">
        <v>100</v>
      </c>
      <c r="EE535">
        <v>16510370</v>
      </c>
      <c r="EF535">
        <v>3</v>
      </c>
      <c r="EG535" t="s">
        <v>83</v>
      </c>
      <c r="EH535">
        <v>0</v>
      </c>
      <c r="EI535" t="s">
        <v>6</v>
      </c>
      <c r="EJ535">
        <v>2</v>
      </c>
      <c r="EK535">
        <v>108001</v>
      </c>
      <c r="EL535" t="s">
        <v>84</v>
      </c>
      <c r="EM535" t="s">
        <v>85</v>
      </c>
      <c r="EO535" t="s">
        <v>6</v>
      </c>
      <c r="EQ535">
        <v>131072</v>
      </c>
      <c r="ER535">
        <v>68.7</v>
      </c>
      <c r="ES535">
        <v>14.48</v>
      </c>
      <c r="ET535">
        <v>3.55</v>
      </c>
      <c r="EU535">
        <v>0.5</v>
      </c>
      <c r="EV535">
        <v>50.67</v>
      </c>
      <c r="EW535">
        <v>5.39</v>
      </c>
      <c r="EX535">
        <v>0.04</v>
      </c>
      <c r="EY535">
        <v>0</v>
      </c>
      <c r="FQ535">
        <v>0</v>
      </c>
      <c r="FR535">
        <f t="shared" si="408"/>
        <v>0</v>
      </c>
      <c r="FS535">
        <v>0</v>
      </c>
      <c r="FX535">
        <v>95</v>
      </c>
      <c r="FY535">
        <v>65</v>
      </c>
      <c r="GA535" t="s">
        <v>6</v>
      </c>
      <c r="GD535">
        <v>0</v>
      </c>
      <c r="GF535">
        <v>-1215790049</v>
      </c>
      <c r="GG535">
        <v>1</v>
      </c>
      <c r="GH535">
        <v>1</v>
      </c>
      <c r="GI535">
        <v>4</v>
      </c>
      <c r="GJ535">
        <v>0</v>
      </c>
      <c r="GK535">
        <f>ROUND(R535*(R12)/100,2)</f>
        <v>0</v>
      </c>
      <c r="GL535">
        <f t="shared" si="409"/>
        <v>0</v>
      </c>
      <c r="GM535">
        <f t="shared" si="410"/>
        <v>474.11</v>
      </c>
      <c r="GN535">
        <f t="shared" si="411"/>
        <v>0</v>
      </c>
      <c r="GO535">
        <f t="shared" si="412"/>
        <v>474.11</v>
      </c>
      <c r="GP535">
        <f t="shared" si="413"/>
        <v>0</v>
      </c>
      <c r="GR535">
        <v>0</v>
      </c>
      <c r="GS535">
        <v>3</v>
      </c>
      <c r="GT535">
        <v>0</v>
      </c>
      <c r="GU535" t="s">
        <v>6</v>
      </c>
      <c r="GV535">
        <f t="shared" si="414"/>
        <v>0</v>
      </c>
      <c r="GW535">
        <v>1</v>
      </c>
      <c r="GX535">
        <f t="shared" si="415"/>
        <v>0</v>
      </c>
      <c r="HA535">
        <v>0</v>
      </c>
      <c r="HB535">
        <v>0</v>
      </c>
      <c r="IK535">
        <v>0</v>
      </c>
    </row>
    <row r="536" spans="1:245" x14ac:dyDescent="0.2">
      <c r="A536">
        <v>18</v>
      </c>
      <c r="B536">
        <v>1</v>
      </c>
      <c r="C536">
        <v>788</v>
      </c>
      <c r="E536" t="s">
        <v>997</v>
      </c>
      <c r="F536" t="s">
        <v>998</v>
      </c>
      <c r="G536" t="s">
        <v>1904</v>
      </c>
      <c r="H536" t="s">
        <v>749</v>
      </c>
      <c r="I536">
        <f>I535*J536</f>
        <v>4.8000000000000001E-2</v>
      </c>
      <c r="J536">
        <v>0.1</v>
      </c>
      <c r="O536">
        <f t="shared" si="383"/>
        <v>2301.0500000000002</v>
      </c>
      <c r="P536">
        <f t="shared" si="384"/>
        <v>2301.0500000000002</v>
      </c>
      <c r="Q536">
        <f t="shared" si="385"/>
        <v>0</v>
      </c>
      <c r="R536">
        <f t="shared" si="386"/>
        <v>0</v>
      </c>
      <c r="S536">
        <f t="shared" si="387"/>
        <v>0</v>
      </c>
      <c r="T536">
        <f t="shared" si="388"/>
        <v>0</v>
      </c>
      <c r="U536">
        <f t="shared" si="389"/>
        <v>0</v>
      </c>
      <c r="V536">
        <f t="shared" si="390"/>
        <v>0</v>
      </c>
      <c r="W536">
        <f t="shared" si="391"/>
        <v>0</v>
      </c>
      <c r="X536">
        <f t="shared" si="392"/>
        <v>0</v>
      </c>
      <c r="Y536">
        <f t="shared" si="392"/>
        <v>0</v>
      </c>
      <c r="AA536">
        <v>16742901</v>
      </c>
      <c r="AB536">
        <f t="shared" si="393"/>
        <v>7307.7</v>
      </c>
      <c r="AC536">
        <f t="shared" si="394"/>
        <v>7307.7</v>
      </c>
      <c r="AD536">
        <f t="shared" si="395"/>
        <v>0</v>
      </c>
      <c r="AE536">
        <f t="shared" si="396"/>
        <v>0</v>
      </c>
      <c r="AF536">
        <f t="shared" si="396"/>
        <v>0</v>
      </c>
      <c r="AG536">
        <f t="shared" si="397"/>
        <v>0</v>
      </c>
      <c r="AH536">
        <f t="shared" si="398"/>
        <v>0</v>
      </c>
      <c r="AI536">
        <f t="shared" si="398"/>
        <v>0</v>
      </c>
      <c r="AJ536">
        <f t="shared" si="399"/>
        <v>0</v>
      </c>
      <c r="AK536">
        <v>7307.7</v>
      </c>
      <c r="AL536">
        <v>7307.7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95</v>
      </c>
      <c r="AU536">
        <v>65</v>
      </c>
      <c r="AV536">
        <v>1</v>
      </c>
      <c r="AW536">
        <v>1</v>
      </c>
      <c r="AZ536">
        <v>6.56</v>
      </c>
      <c r="BA536">
        <v>1</v>
      </c>
      <c r="BB536">
        <v>1</v>
      </c>
      <c r="BC536">
        <v>6.56</v>
      </c>
      <c r="BD536" t="s">
        <v>6</v>
      </c>
      <c r="BE536" t="s">
        <v>6</v>
      </c>
      <c r="BF536" t="s">
        <v>6</v>
      </c>
      <c r="BG536" t="s">
        <v>6</v>
      </c>
      <c r="BH536">
        <v>3</v>
      </c>
      <c r="BI536">
        <v>2</v>
      </c>
      <c r="BJ536" t="s">
        <v>999</v>
      </c>
      <c r="BM536">
        <v>108001</v>
      </c>
      <c r="BN536">
        <v>0</v>
      </c>
      <c r="BO536" t="s">
        <v>6</v>
      </c>
      <c r="BP536">
        <v>0</v>
      </c>
      <c r="BQ536">
        <v>3</v>
      </c>
      <c r="BR536">
        <v>0</v>
      </c>
      <c r="BS536">
        <v>1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6</v>
      </c>
      <c r="BZ536">
        <v>95</v>
      </c>
      <c r="CA536">
        <v>65</v>
      </c>
      <c r="CF536">
        <v>0</v>
      </c>
      <c r="CG536">
        <v>0</v>
      </c>
      <c r="CM536">
        <v>0</v>
      </c>
      <c r="CN536" t="s">
        <v>6</v>
      </c>
      <c r="CO536">
        <v>0</v>
      </c>
      <c r="CP536">
        <f t="shared" si="400"/>
        <v>2301.0500000000002</v>
      </c>
      <c r="CQ536">
        <f t="shared" si="401"/>
        <v>47938.511999999995</v>
      </c>
      <c r="CR536">
        <f t="shared" si="402"/>
        <v>0</v>
      </c>
      <c r="CS536">
        <f t="shared" si="403"/>
        <v>0</v>
      </c>
      <c r="CT536">
        <f t="shared" si="404"/>
        <v>0</v>
      </c>
      <c r="CU536">
        <f t="shared" si="405"/>
        <v>0</v>
      </c>
      <c r="CV536">
        <f t="shared" si="405"/>
        <v>0</v>
      </c>
      <c r="CW536">
        <f t="shared" si="405"/>
        <v>0</v>
      </c>
      <c r="CX536">
        <f t="shared" si="405"/>
        <v>0</v>
      </c>
      <c r="CY536">
        <f t="shared" si="406"/>
        <v>0</v>
      </c>
      <c r="CZ536">
        <f t="shared" si="407"/>
        <v>0</v>
      </c>
      <c r="DC536" t="s">
        <v>6</v>
      </c>
      <c r="DD536" t="s">
        <v>6</v>
      </c>
      <c r="DE536" t="s">
        <v>6</v>
      </c>
      <c r="DF536" t="s">
        <v>6</v>
      </c>
      <c r="DG536" t="s">
        <v>6</v>
      </c>
      <c r="DH536" t="s">
        <v>6</v>
      </c>
      <c r="DI536" t="s">
        <v>6</v>
      </c>
      <c r="DJ536" t="s">
        <v>6</v>
      </c>
      <c r="DK536" t="s">
        <v>6</v>
      </c>
      <c r="DL536" t="s">
        <v>6</v>
      </c>
      <c r="DM536" t="s">
        <v>6</v>
      </c>
      <c r="DN536">
        <v>0</v>
      </c>
      <c r="DO536">
        <v>0</v>
      </c>
      <c r="DP536">
        <v>1</v>
      </c>
      <c r="DQ536">
        <v>1</v>
      </c>
      <c r="DU536">
        <v>1013</v>
      </c>
      <c r="DV536" t="s">
        <v>749</v>
      </c>
      <c r="DW536" t="s">
        <v>751</v>
      </c>
      <c r="DX536">
        <v>1</v>
      </c>
      <c r="EE536">
        <v>16510370</v>
      </c>
      <c r="EF536">
        <v>3</v>
      </c>
      <c r="EG536" t="s">
        <v>83</v>
      </c>
      <c r="EH536">
        <v>0</v>
      </c>
      <c r="EI536" t="s">
        <v>6</v>
      </c>
      <c r="EJ536">
        <v>2</v>
      </c>
      <c r="EK536">
        <v>108001</v>
      </c>
      <c r="EL536" t="s">
        <v>84</v>
      </c>
      <c r="EM536" t="s">
        <v>85</v>
      </c>
      <c r="EO536" t="s">
        <v>6</v>
      </c>
      <c r="EQ536">
        <v>0</v>
      </c>
      <c r="ER536">
        <v>7307.7</v>
      </c>
      <c r="ES536">
        <v>7307.7</v>
      </c>
      <c r="ET536">
        <v>0</v>
      </c>
      <c r="EU536">
        <v>0</v>
      </c>
      <c r="EV536">
        <v>0</v>
      </c>
      <c r="EW536">
        <v>0</v>
      </c>
      <c r="EX536">
        <v>0</v>
      </c>
      <c r="FQ536">
        <v>0</v>
      </c>
      <c r="FR536">
        <f t="shared" si="408"/>
        <v>0</v>
      </c>
      <c r="FS536">
        <v>0</v>
      </c>
      <c r="FX536">
        <v>95</v>
      </c>
      <c r="FY536">
        <v>65</v>
      </c>
      <c r="GA536" t="s">
        <v>6</v>
      </c>
      <c r="GD536">
        <v>0</v>
      </c>
      <c r="GF536">
        <v>287234314</v>
      </c>
      <c r="GG536">
        <v>1</v>
      </c>
      <c r="GH536">
        <v>1</v>
      </c>
      <c r="GI536">
        <v>4</v>
      </c>
      <c r="GJ536">
        <v>0</v>
      </c>
      <c r="GK536">
        <f>ROUND(R536*(R12)/100,2)</f>
        <v>0</v>
      </c>
      <c r="GL536">
        <f t="shared" si="409"/>
        <v>0</v>
      </c>
      <c r="GM536">
        <f t="shared" si="410"/>
        <v>2301.0500000000002</v>
      </c>
      <c r="GN536">
        <f t="shared" si="411"/>
        <v>0</v>
      </c>
      <c r="GO536">
        <f t="shared" si="412"/>
        <v>2301.0500000000002</v>
      </c>
      <c r="GP536">
        <f t="shared" si="413"/>
        <v>0</v>
      </c>
      <c r="GR536">
        <v>0</v>
      </c>
      <c r="GS536">
        <v>3</v>
      </c>
      <c r="GT536">
        <v>0</v>
      </c>
      <c r="GU536" t="s">
        <v>6</v>
      </c>
      <c r="GV536">
        <f t="shared" si="414"/>
        <v>0</v>
      </c>
      <c r="GW536">
        <v>1</v>
      </c>
      <c r="GX536">
        <f t="shared" si="415"/>
        <v>0</v>
      </c>
      <c r="HA536">
        <v>0</v>
      </c>
      <c r="HB536">
        <v>0</v>
      </c>
      <c r="IK536">
        <v>0</v>
      </c>
    </row>
    <row r="537" spans="1:245" x14ac:dyDescent="0.2">
      <c r="A537">
        <v>17</v>
      </c>
      <c r="B537">
        <v>1</v>
      </c>
      <c r="C537">
        <f>ROW(SmtRes!A791)</f>
        <v>791</v>
      </c>
      <c r="D537">
        <f>ROW(EtalonRes!A723)</f>
        <v>723</v>
      </c>
      <c r="E537" t="s">
        <v>1000</v>
      </c>
      <c r="F537" t="s">
        <v>1001</v>
      </c>
      <c r="G537" t="s">
        <v>1002</v>
      </c>
      <c r="H537" t="s">
        <v>1003</v>
      </c>
      <c r="I537">
        <v>1</v>
      </c>
      <c r="J537">
        <v>0</v>
      </c>
      <c r="O537">
        <f t="shared" si="383"/>
        <v>21007.41</v>
      </c>
      <c r="P537">
        <f t="shared" si="384"/>
        <v>411.9</v>
      </c>
      <c r="Q537">
        <f t="shared" si="385"/>
        <v>0</v>
      </c>
      <c r="R537">
        <f t="shared" si="386"/>
        <v>0</v>
      </c>
      <c r="S537">
        <f t="shared" si="387"/>
        <v>20595.509999999998</v>
      </c>
      <c r="T537">
        <f t="shared" si="388"/>
        <v>0</v>
      </c>
      <c r="U537">
        <f t="shared" si="389"/>
        <v>243</v>
      </c>
      <c r="V537">
        <f t="shared" si="390"/>
        <v>0</v>
      </c>
      <c r="W537">
        <f t="shared" si="391"/>
        <v>0</v>
      </c>
      <c r="X537">
        <f t="shared" si="392"/>
        <v>16476.41</v>
      </c>
      <c r="Y537">
        <f t="shared" si="392"/>
        <v>12357.31</v>
      </c>
      <c r="AA537">
        <v>16742901</v>
      </c>
      <c r="AB537">
        <f t="shared" si="393"/>
        <v>3202.35</v>
      </c>
      <c r="AC537">
        <f t="shared" si="394"/>
        <v>62.79</v>
      </c>
      <c r="AD537">
        <f t="shared" si="395"/>
        <v>0</v>
      </c>
      <c r="AE537">
        <f t="shared" si="396"/>
        <v>0</v>
      </c>
      <c r="AF537">
        <f t="shared" si="396"/>
        <v>3139.56</v>
      </c>
      <c r="AG537">
        <f t="shared" si="397"/>
        <v>0</v>
      </c>
      <c r="AH537">
        <f t="shared" si="398"/>
        <v>243</v>
      </c>
      <c r="AI537">
        <f t="shared" si="398"/>
        <v>0</v>
      </c>
      <c r="AJ537">
        <f t="shared" si="399"/>
        <v>0</v>
      </c>
      <c r="AK537">
        <v>3202.35</v>
      </c>
      <c r="AL537">
        <v>62.79</v>
      </c>
      <c r="AM537">
        <v>0</v>
      </c>
      <c r="AN537">
        <v>0</v>
      </c>
      <c r="AO537">
        <v>3139.56</v>
      </c>
      <c r="AP537">
        <v>0</v>
      </c>
      <c r="AQ537">
        <v>243</v>
      </c>
      <c r="AR537">
        <v>0</v>
      </c>
      <c r="AS537">
        <v>0</v>
      </c>
      <c r="AT537">
        <v>80</v>
      </c>
      <c r="AU537">
        <v>60</v>
      </c>
      <c r="AV537">
        <v>1</v>
      </c>
      <c r="AW537">
        <v>1</v>
      </c>
      <c r="AZ537">
        <v>6.56</v>
      </c>
      <c r="BA537">
        <v>6.56</v>
      </c>
      <c r="BB537">
        <v>6.56</v>
      </c>
      <c r="BC537">
        <v>6.56</v>
      </c>
      <c r="BD537" t="s">
        <v>6</v>
      </c>
      <c r="BE537" t="s">
        <v>6</v>
      </c>
      <c r="BF537" t="s">
        <v>6</v>
      </c>
      <c r="BG537" t="s">
        <v>6</v>
      </c>
      <c r="BH537">
        <v>0</v>
      </c>
      <c r="BI537">
        <v>2</v>
      </c>
      <c r="BJ537" t="s">
        <v>1004</v>
      </c>
      <c r="BM537">
        <v>110001</v>
      </c>
      <c r="BN537">
        <v>0</v>
      </c>
      <c r="BO537" t="s">
        <v>6</v>
      </c>
      <c r="BP537">
        <v>0</v>
      </c>
      <c r="BQ537">
        <v>3</v>
      </c>
      <c r="BR537">
        <v>0</v>
      </c>
      <c r="BS537">
        <v>6.56</v>
      </c>
      <c r="BT537">
        <v>1</v>
      </c>
      <c r="BU537">
        <v>1</v>
      </c>
      <c r="BV537">
        <v>1</v>
      </c>
      <c r="BW537">
        <v>1</v>
      </c>
      <c r="BX537">
        <v>1</v>
      </c>
      <c r="BY537" t="s">
        <v>6</v>
      </c>
      <c r="BZ537">
        <v>80</v>
      </c>
      <c r="CA537">
        <v>60</v>
      </c>
      <c r="CF537">
        <v>0</v>
      </c>
      <c r="CG537">
        <v>0</v>
      </c>
      <c r="CM537">
        <v>0</v>
      </c>
      <c r="CN537" t="s">
        <v>6</v>
      </c>
      <c r="CO537">
        <v>0</v>
      </c>
      <c r="CP537">
        <f t="shared" si="400"/>
        <v>21007.41</v>
      </c>
      <c r="CQ537">
        <f t="shared" si="401"/>
        <v>411.90239999999994</v>
      </c>
      <c r="CR537">
        <f t="shared" si="402"/>
        <v>0</v>
      </c>
      <c r="CS537">
        <f t="shared" si="403"/>
        <v>0</v>
      </c>
      <c r="CT537">
        <f t="shared" si="404"/>
        <v>20595.513599999998</v>
      </c>
      <c r="CU537">
        <f t="shared" si="405"/>
        <v>0</v>
      </c>
      <c r="CV537">
        <f t="shared" si="405"/>
        <v>243</v>
      </c>
      <c r="CW537">
        <f t="shared" si="405"/>
        <v>0</v>
      </c>
      <c r="CX537">
        <f t="shared" si="405"/>
        <v>0</v>
      </c>
      <c r="CY537">
        <f t="shared" si="406"/>
        <v>16476.407999999999</v>
      </c>
      <c r="CZ537">
        <f t="shared" si="407"/>
        <v>12357.305999999999</v>
      </c>
      <c r="DC537" t="s">
        <v>6</v>
      </c>
      <c r="DD537" t="s">
        <v>6</v>
      </c>
      <c r="DE537" t="s">
        <v>6</v>
      </c>
      <c r="DF537" t="s">
        <v>6</v>
      </c>
      <c r="DG537" t="s">
        <v>6</v>
      </c>
      <c r="DH537" t="s">
        <v>6</v>
      </c>
      <c r="DI537" t="s">
        <v>6</v>
      </c>
      <c r="DJ537" t="s">
        <v>6</v>
      </c>
      <c r="DK537" t="s">
        <v>6</v>
      </c>
      <c r="DL537" t="s">
        <v>6</v>
      </c>
      <c r="DM537" t="s">
        <v>6</v>
      </c>
      <c r="DN537">
        <v>0</v>
      </c>
      <c r="DO537">
        <v>0</v>
      </c>
      <c r="DP537">
        <v>1</v>
      </c>
      <c r="DQ537">
        <v>1</v>
      </c>
      <c r="DU537">
        <v>1013</v>
      </c>
      <c r="DV537" t="s">
        <v>1003</v>
      </c>
      <c r="DW537" t="s">
        <v>1003</v>
      </c>
      <c r="DX537">
        <v>1</v>
      </c>
      <c r="EE537">
        <v>16510373</v>
      </c>
      <c r="EF537">
        <v>3</v>
      </c>
      <c r="EG537" t="s">
        <v>83</v>
      </c>
      <c r="EH537">
        <v>0</v>
      </c>
      <c r="EI537" t="s">
        <v>6</v>
      </c>
      <c r="EJ537">
        <v>2</v>
      </c>
      <c r="EK537">
        <v>110001</v>
      </c>
      <c r="EL537" t="s">
        <v>1005</v>
      </c>
      <c r="EM537" t="s">
        <v>768</v>
      </c>
      <c r="EO537" t="s">
        <v>6</v>
      </c>
      <c r="EQ537">
        <v>131072</v>
      </c>
      <c r="ER537">
        <v>3202.35</v>
      </c>
      <c r="ES537">
        <v>62.79</v>
      </c>
      <c r="ET537">
        <v>0</v>
      </c>
      <c r="EU537">
        <v>0</v>
      </c>
      <c r="EV537">
        <v>3139.56</v>
      </c>
      <c r="EW537">
        <v>243</v>
      </c>
      <c r="EX537">
        <v>0</v>
      </c>
      <c r="EY537">
        <v>0</v>
      </c>
      <c r="FQ537">
        <v>0</v>
      </c>
      <c r="FR537">
        <f t="shared" si="408"/>
        <v>0</v>
      </c>
      <c r="FS537">
        <v>0</v>
      </c>
      <c r="FX537">
        <v>80</v>
      </c>
      <c r="FY537">
        <v>60</v>
      </c>
      <c r="GA537" t="s">
        <v>6</v>
      </c>
      <c r="GD537">
        <v>0</v>
      </c>
      <c r="GF537">
        <v>731725496</v>
      </c>
      <c r="GG537">
        <v>1</v>
      </c>
      <c r="GH537">
        <v>1</v>
      </c>
      <c r="GI537">
        <v>4</v>
      </c>
      <c r="GJ537">
        <v>0</v>
      </c>
      <c r="GK537">
        <f>ROUND(R537*(R12)/100,2)</f>
        <v>0</v>
      </c>
      <c r="GL537">
        <f t="shared" si="409"/>
        <v>0</v>
      </c>
      <c r="GM537">
        <f t="shared" si="410"/>
        <v>49841.13</v>
      </c>
      <c r="GN537">
        <f t="shared" si="411"/>
        <v>0</v>
      </c>
      <c r="GO537">
        <f t="shared" si="412"/>
        <v>49841.13</v>
      </c>
      <c r="GP537">
        <f t="shared" si="413"/>
        <v>0</v>
      </c>
      <c r="GR537">
        <v>0</v>
      </c>
      <c r="GS537">
        <v>3</v>
      </c>
      <c r="GT537">
        <v>0</v>
      </c>
      <c r="GU537" t="s">
        <v>6</v>
      </c>
      <c r="GV537">
        <f t="shared" si="414"/>
        <v>0</v>
      </c>
      <c r="GW537">
        <v>1</v>
      </c>
      <c r="GX537">
        <f t="shared" si="415"/>
        <v>0</v>
      </c>
      <c r="HA537">
        <v>0</v>
      </c>
      <c r="HB537">
        <v>0</v>
      </c>
      <c r="IK537">
        <v>0</v>
      </c>
    </row>
    <row r="539" spans="1:245" x14ac:dyDescent="0.2">
      <c r="A539" s="2">
        <v>51</v>
      </c>
      <c r="B539" s="2">
        <f>B527</f>
        <v>1</v>
      </c>
      <c r="C539" s="2">
        <f>A527</f>
        <v>4</v>
      </c>
      <c r="D539" s="2">
        <f>ROW(A527)</f>
        <v>527</v>
      </c>
      <c r="E539" s="2"/>
      <c r="F539" s="2" t="str">
        <f>IF(F527&lt;&gt;"",F527,"")</f>
        <v>Новый раздел</v>
      </c>
      <c r="G539" s="2" t="str">
        <f>IF(G527&lt;&gt;"",G527,"")</f>
        <v>4 Пожарная сигнализация</v>
      </c>
      <c r="H539" s="2">
        <v>0</v>
      </c>
      <c r="I539" s="2"/>
      <c r="J539" s="2"/>
      <c r="K539" s="2"/>
      <c r="L539" s="2"/>
      <c r="M539" s="2"/>
      <c r="N539" s="2"/>
      <c r="O539" s="2">
        <f t="shared" ref="O539:T539" si="416">ROUND(AB539,2)</f>
        <v>33117.120000000003</v>
      </c>
      <c r="P539" s="2">
        <f t="shared" si="416"/>
        <v>10979.55</v>
      </c>
      <c r="Q539" s="2">
        <f t="shared" si="416"/>
        <v>11.18</v>
      </c>
      <c r="R539" s="2">
        <f t="shared" si="416"/>
        <v>1.57</v>
      </c>
      <c r="S539" s="2">
        <f t="shared" si="416"/>
        <v>22126.39</v>
      </c>
      <c r="T539" s="2">
        <f t="shared" si="416"/>
        <v>0</v>
      </c>
      <c r="U539" s="2">
        <f>AH539</f>
        <v>267.55520000000001</v>
      </c>
      <c r="V539" s="2">
        <f>AI539</f>
        <v>1.9199999999999998E-2</v>
      </c>
      <c r="W539" s="2">
        <f>ROUND(AJ539,2)</f>
        <v>0</v>
      </c>
      <c r="X539" s="2">
        <f>ROUND(AK539,2)</f>
        <v>17773.22</v>
      </c>
      <c r="Y539" s="2">
        <f>ROUND(AL539,2)</f>
        <v>13300.4</v>
      </c>
      <c r="Z539" s="2"/>
      <c r="AA539" s="2"/>
      <c r="AB539" s="2">
        <f>ROUND(SUMIF(AA531:AA537,"=16742901",O531:O537),2)</f>
        <v>33117.120000000003</v>
      </c>
      <c r="AC539" s="2">
        <f>ROUND(SUMIF(AA531:AA537,"=16742901",P531:P537),2)</f>
        <v>10979.55</v>
      </c>
      <c r="AD539" s="2">
        <f>ROUND(SUMIF(AA531:AA537,"=16742901",Q531:Q537),2)</f>
        <v>11.18</v>
      </c>
      <c r="AE539" s="2">
        <f>ROUND(SUMIF(AA531:AA537,"=16742901",R531:R537),2)</f>
        <v>1.57</v>
      </c>
      <c r="AF539" s="2">
        <f>ROUND(SUMIF(AA531:AA537,"=16742901",S531:S537),2)</f>
        <v>22126.39</v>
      </c>
      <c r="AG539" s="2">
        <f>ROUND(SUMIF(AA531:AA537,"=16742901",T531:T537),2)</f>
        <v>0</v>
      </c>
      <c r="AH539" s="2">
        <f>SUMIF(AA531:AA537,"=16742901",U531:U537)</f>
        <v>267.55520000000001</v>
      </c>
      <c r="AI539" s="2">
        <f>SUMIF(AA531:AA537,"=16742901",V531:V537)</f>
        <v>1.9199999999999998E-2</v>
      </c>
      <c r="AJ539" s="2">
        <f>ROUND(SUMIF(AA531:AA537,"=16742901",W531:W537),2)</f>
        <v>0</v>
      </c>
      <c r="AK539" s="2">
        <f>ROUND(SUMIF(AA531:AA537,"=16742901",X531:X537),2)</f>
        <v>17773.22</v>
      </c>
      <c r="AL539" s="2">
        <f>ROUND(SUMIF(AA531:AA537,"=16742901",Y531:Y537),2)</f>
        <v>13300.4</v>
      </c>
      <c r="AM539" s="2"/>
      <c r="AN539" s="2"/>
      <c r="AO539" s="2">
        <f t="shared" ref="AO539:BC539" si="417">ROUND(BX539,2)</f>
        <v>0</v>
      </c>
      <c r="AP539" s="2">
        <f t="shared" si="417"/>
        <v>0</v>
      </c>
      <c r="AQ539" s="2">
        <f t="shared" si="417"/>
        <v>0</v>
      </c>
      <c r="AR539" s="2">
        <f t="shared" si="417"/>
        <v>64190.74</v>
      </c>
      <c r="AS539" s="2">
        <f t="shared" si="417"/>
        <v>0</v>
      </c>
      <c r="AT539" s="2">
        <f t="shared" si="417"/>
        <v>64190.74</v>
      </c>
      <c r="AU539" s="2">
        <f t="shared" si="417"/>
        <v>0</v>
      </c>
      <c r="AV539" s="2">
        <f t="shared" si="417"/>
        <v>10979.55</v>
      </c>
      <c r="AW539" s="2">
        <f t="shared" si="417"/>
        <v>10979.55</v>
      </c>
      <c r="AX539" s="2">
        <f t="shared" si="417"/>
        <v>0</v>
      </c>
      <c r="AY539" s="2">
        <f t="shared" si="417"/>
        <v>10979.55</v>
      </c>
      <c r="AZ539" s="2">
        <f t="shared" si="417"/>
        <v>0</v>
      </c>
      <c r="BA539" s="2">
        <f t="shared" si="417"/>
        <v>0</v>
      </c>
      <c r="BB539" s="2">
        <f t="shared" si="417"/>
        <v>0</v>
      </c>
      <c r="BC539" s="2">
        <f t="shared" si="417"/>
        <v>0</v>
      </c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>
        <f>ROUND(SUMIF(AA531:AA537,"=16742901",FQ531:FQ537),2)</f>
        <v>0</v>
      </c>
      <c r="BY539" s="2">
        <f>ROUND(SUMIF(AA531:AA537,"=16742901",FR531:FR537),2)</f>
        <v>0</v>
      </c>
      <c r="BZ539" s="2">
        <f>ROUND(SUMIF(AA531:AA537,"=16742901",GL531:GL537),2)</f>
        <v>0</v>
      </c>
      <c r="CA539" s="2">
        <f>ROUND(SUMIF(AA531:AA537,"=16742901",GM531:GM537),2)</f>
        <v>64190.74</v>
      </c>
      <c r="CB539" s="2">
        <f>ROUND(SUMIF(AA531:AA537,"=16742901",GN531:GN537),2)</f>
        <v>0</v>
      </c>
      <c r="CC539" s="2">
        <f>ROUND(SUMIF(AA531:AA537,"=16742901",GO531:GO537),2)</f>
        <v>64190.74</v>
      </c>
      <c r="CD539" s="2">
        <f>ROUND(SUMIF(AA531:AA537,"=16742901",GP531:GP537),2)</f>
        <v>0</v>
      </c>
      <c r="CE539" s="2">
        <f>AC539-BX539</f>
        <v>10979.55</v>
      </c>
      <c r="CF539" s="2">
        <f>AC539-BY539</f>
        <v>10979.55</v>
      </c>
      <c r="CG539" s="2">
        <f>BX539-BZ539</f>
        <v>0</v>
      </c>
      <c r="CH539" s="2">
        <f>AC539-BX539-BY539+BZ539</f>
        <v>10979.55</v>
      </c>
      <c r="CI539" s="2">
        <f>BY539-BZ539</f>
        <v>0</v>
      </c>
      <c r="CJ539" s="2">
        <f>ROUND(SUMIF(AA531:AA537,"=16742901",GX531:GX537),2)</f>
        <v>0</v>
      </c>
      <c r="CK539" s="2">
        <f>ROUND(SUMIF(AA531:AA537,"=16742901",GY531:GY537),2)</f>
        <v>0</v>
      </c>
      <c r="CL539" s="2">
        <f>ROUND(SUMIF(AA531:AA537,"=16742901",GZ531:GZ537),2)</f>
        <v>0</v>
      </c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3"/>
      <c r="EF539" s="3"/>
      <c r="EG539" s="3"/>
      <c r="EH539" s="3"/>
      <c r="EI539" s="3"/>
      <c r="EJ539" s="3"/>
      <c r="EK539" s="3"/>
      <c r="EL539" s="3"/>
      <c r="EM539" s="3"/>
      <c r="EN539" s="3"/>
      <c r="EO539" s="3"/>
      <c r="EP539" s="3"/>
      <c r="EQ539" s="3"/>
      <c r="ER539" s="3"/>
      <c r="ES539" s="3"/>
      <c r="ET539" s="3"/>
      <c r="EU539" s="3"/>
      <c r="EV539" s="3"/>
      <c r="EW539" s="3"/>
      <c r="EX539" s="3"/>
      <c r="EY539" s="3"/>
      <c r="EZ539" s="3"/>
      <c r="FA539" s="3"/>
      <c r="FB539" s="3"/>
      <c r="FC539" s="3"/>
      <c r="FD539" s="3"/>
      <c r="FE539" s="3"/>
      <c r="FF539" s="3"/>
      <c r="FG539" s="3"/>
      <c r="FH539" s="3"/>
      <c r="FI539" s="3"/>
      <c r="FJ539" s="3"/>
      <c r="FK539" s="3"/>
      <c r="FL539" s="3"/>
      <c r="FM539" s="3"/>
      <c r="FN539" s="3"/>
      <c r="FO539" s="3"/>
      <c r="FP539" s="3"/>
      <c r="FQ539" s="3"/>
      <c r="FR539" s="3"/>
      <c r="FS539" s="3"/>
      <c r="FT539" s="3"/>
      <c r="FU539" s="3"/>
      <c r="FV539" s="3"/>
      <c r="FW539" s="3"/>
      <c r="FX539" s="3"/>
      <c r="FY539" s="3"/>
      <c r="FZ539" s="3"/>
      <c r="GA539" s="3"/>
      <c r="GB539" s="3"/>
      <c r="GC539" s="3"/>
      <c r="GD539" s="3"/>
      <c r="GE539" s="3"/>
      <c r="GF539" s="3"/>
      <c r="GG539" s="3"/>
      <c r="GH539" s="3"/>
      <c r="GI539" s="3"/>
      <c r="GJ539" s="3"/>
      <c r="GK539" s="3"/>
      <c r="GL539" s="3"/>
      <c r="GM539" s="3"/>
      <c r="GN539" s="3"/>
      <c r="GO539" s="3"/>
      <c r="GP539" s="3"/>
      <c r="GQ539" s="3"/>
      <c r="GR539" s="3"/>
      <c r="GS539" s="3"/>
      <c r="GT539" s="3"/>
      <c r="GU539" s="3"/>
      <c r="GV539" s="3"/>
      <c r="GW539" s="3"/>
      <c r="GX539" s="3">
        <v>0</v>
      </c>
    </row>
    <row r="541" spans="1:245" x14ac:dyDescent="0.2">
      <c r="A541" s="4">
        <v>50</v>
      </c>
      <c r="B541" s="4">
        <v>0</v>
      </c>
      <c r="C541" s="4">
        <v>0</v>
      </c>
      <c r="D541" s="4">
        <v>1</v>
      </c>
      <c r="E541" s="4">
        <v>201</v>
      </c>
      <c r="F541" s="4">
        <f>ROUND(Source!O539,O541)</f>
        <v>33117.120000000003</v>
      </c>
      <c r="G541" s="4" t="s">
        <v>130</v>
      </c>
      <c r="H541" s="4" t="s">
        <v>131</v>
      </c>
      <c r="I541" s="4"/>
      <c r="J541" s="4"/>
      <c r="K541" s="4">
        <v>201</v>
      </c>
      <c r="L541" s="4">
        <v>1</v>
      </c>
      <c r="M541" s="4">
        <v>3</v>
      </c>
      <c r="N541" s="4" t="s">
        <v>6</v>
      </c>
      <c r="O541" s="4">
        <v>2</v>
      </c>
      <c r="P541" s="4"/>
      <c r="Q541" s="4"/>
      <c r="R541" s="4"/>
      <c r="S541" s="4"/>
      <c r="T541" s="4"/>
      <c r="U541" s="4"/>
      <c r="V541" s="4"/>
      <c r="W541" s="4"/>
    </row>
    <row r="542" spans="1:245" x14ac:dyDescent="0.2">
      <c r="A542" s="4">
        <v>50</v>
      </c>
      <c r="B542" s="4">
        <v>0</v>
      </c>
      <c r="C542" s="4">
        <v>0</v>
      </c>
      <c r="D542" s="4">
        <v>1</v>
      </c>
      <c r="E542" s="4">
        <v>202</v>
      </c>
      <c r="F542" s="4">
        <f>ROUND(Source!P539,O542)</f>
        <v>10979.55</v>
      </c>
      <c r="G542" s="4" t="s">
        <v>132</v>
      </c>
      <c r="H542" s="4" t="s">
        <v>133</v>
      </c>
      <c r="I542" s="4"/>
      <c r="J542" s="4"/>
      <c r="K542" s="4">
        <v>202</v>
      </c>
      <c r="L542" s="4">
        <v>2</v>
      </c>
      <c r="M542" s="4">
        <v>3</v>
      </c>
      <c r="N542" s="4" t="s">
        <v>6</v>
      </c>
      <c r="O542" s="4">
        <v>2</v>
      </c>
      <c r="P542" s="4"/>
      <c r="Q542" s="4"/>
      <c r="R542" s="4"/>
      <c r="S542" s="4"/>
      <c r="T542" s="4"/>
      <c r="U542" s="4"/>
      <c r="V542" s="4"/>
      <c r="W542" s="4"/>
    </row>
    <row r="543" spans="1:245" x14ac:dyDescent="0.2">
      <c r="A543" s="4">
        <v>50</v>
      </c>
      <c r="B543" s="4">
        <v>0</v>
      </c>
      <c r="C543" s="4">
        <v>0</v>
      </c>
      <c r="D543" s="4">
        <v>1</v>
      </c>
      <c r="E543" s="4">
        <v>222</v>
      </c>
      <c r="F543" s="4">
        <f>ROUND(Source!AO539,O543)</f>
        <v>0</v>
      </c>
      <c r="G543" s="4" t="s">
        <v>134</v>
      </c>
      <c r="H543" s="4" t="s">
        <v>135</v>
      </c>
      <c r="I543" s="4"/>
      <c r="J543" s="4"/>
      <c r="K543" s="4">
        <v>222</v>
      </c>
      <c r="L543" s="4">
        <v>3</v>
      </c>
      <c r="M543" s="4">
        <v>3</v>
      </c>
      <c r="N543" s="4" t="s">
        <v>6</v>
      </c>
      <c r="O543" s="4">
        <v>2</v>
      </c>
      <c r="P543" s="4"/>
      <c r="Q543" s="4"/>
      <c r="R543" s="4"/>
      <c r="S543" s="4"/>
      <c r="T543" s="4"/>
      <c r="U543" s="4"/>
      <c r="V543" s="4"/>
      <c r="W543" s="4"/>
    </row>
    <row r="544" spans="1:245" x14ac:dyDescent="0.2">
      <c r="A544" s="4">
        <v>50</v>
      </c>
      <c r="B544" s="4">
        <v>0</v>
      </c>
      <c r="C544" s="4">
        <v>0</v>
      </c>
      <c r="D544" s="4">
        <v>1</v>
      </c>
      <c r="E544" s="4">
        <v>225</v>
      </c>
      <c r="F544" s="4">
        <f>ROUND(Source!AV539,O544)</f>
        <v>10979.55</v>
      </c>
      <c r="G544" s="4" t="s">
        <v>136</v>
      </c>
      <c r="H544" s="4" t="s">
        <v>137</v>
      </c>
      <c r="I544" s="4"/>
      <c r="J544" s="4"/>
      <c r="K544" s="4">
        <v>225</v>
      </c>
      <c r="L544" s="4">
        <v>4</v>
      </c>
      <c r="M544" s="4">
        <v>3</v>
      </c>
      <c r="N544" s="4" t="s">
        <v>6</v>
      </c>
      <c r="O544" s="4">
        <v>2</v>
      </c>
      <c r="P544" s="4"/>
      <c r="Q544" s="4"/>
      <c r="R544" s="4"/>
      <c r="S544" s="4"/>
      <c r="T544" s="4"/>
      <c r="U544" s="4"/>
      <c r="V544" s="4"/>
      <c r="W544" s="4"/>
    </row>
    <row r="545" spans="1:23" x14ac:dyDescent="0.2">
      <c r="A545" s="4">
        <v>50</v>
      </c>
      <c r="B545" s="4">
        <v>0</v>
      </c>
      <c r="C545" s="4">
        <v>0</v>
      </c>
      <c r="D545" s="4">
        <v>1</v>
      </c>
      <c r="E545" s="4">
        <v>226</v>
      </c>
      <c r="F545" s="4">
        <f>ROUND(Source!AW539,O545)</f>
        <v>10979.55</v>
      </c>
      <c r="G545" s="4" t="s">
        <v>138</v>
      </c>
      <c r="H545" s="4" t="s">
        <v>139</v>
      </c>
      <c r="I545" s="4"/>
      <c r="J545" s="4"/>
      <c r="K545" s="4">
        <v>226</v>
      </c>
      <c r="L545" s="4">
        <v>5</v>
      </c>
      <c r="M545" s="4">
        <v>3</v>
      </c>
      <c r="N545" s="4" t="s">
        <v>6</v>
      </c>
      <c r="O545" s="4">
        <v>2</v>
      </c>
      <c r="P545" s="4"/>
      <c r="Q545" s="4"/>
      <c r="R545" s="4"/>
      <c r="S545" s="4"/>
      <c r="T545" s="4"/>
      <c r="U545" s="4"/>
      <c r="V545" s="4"/>
      <c r="W545" s="4"/>
    </row>
    <row r="546" spans="1:23" x14ac:dyDescent="0.2">
      <c r="A546" s="4">
        <v>50</v>
      </c>
      <c r="B546" s="4">
        <v>0</v>
      </c>
      <c r="C546" s="4">
        <v>0</v>
      </c>
      <c r="D546" s="4">
        <v>1</v>
      </c>
      <c r="E546" s="4">
        <v>227</v>
      </c>
      <c r="F546" s="4">
        <f>ROUND(Source!AX539,O546)</f>
        <v>0</v>
      </c>
      <c r="G546" s="4" t="s">
        <v>140</v>
      </c>
      <c r="H546" s="4" t="s">
        <v>141</v>
      </c>
      <c r="I546" s="4"/>
      <c r="J546" s="4"/>
      <c r="K546" s="4">
        <v>227</v>
      </c>
      <c r="L546" s="4">
        <v>6</v>
      </c>
      <c r="M546" s="4">
        <v>3</v>
      </c>
      <c r="N546" s="4" t="s">
        <v>6</v>
      </c>
      <c r="O546" s="4">
        <v>2</v>
      </c>
      <c r="P546" s="4"/>
      <c r="Q546" s="4"/>
      <c r="R546" s="4"/>
      <c r="S546" s="4"/>
      <c r="T546" s="4"/>
      <c r="U546" s="4"/>
      <c r="V546" s="4"/>
      <c r="W546" s="4"/>
    </row>
    <row r="547" spans="1:23" x14ac:dyDescent="0.2">
      <c r="A547" s="4">
        <v>50</v>
      </c>
      <c r="B547" s="4">
        <v>0</v>
      </c>
      <c r="C547" s="4">
        <v>0</v>
      </c>
      <c r="D547" s="4">
        <v>1</v>
      </c>
      <c r="E547" s="4">
        <v>228</v>
      </c>
      <c r="F547" s="4">
        <f>ROUND(Source!AY539,O547)</f>
        <v>10979.55</v>
      </c>
      <c r="G547" s="4" t="s">
        <v>142</v>
      </c>
      <c r="H547" s="4" t="s">
        <v>143</v>
      </c>
      <c r="I547" s="4"/>
      <c r="J547" s="4"/>
      <c r="K547" s="4">
        <v>228</v>
      </c>
      <c r="L547" s="4">
        <v>7</v>
      </c>
      <c r="M547" s="4">
        <v>3</v>
      </c>
      <c r="N547" s="4" t="s">
        <v>6</v>
      </c>
      <c r="O547" s="4">
        <v>2</v>
      </c>
      <c r="P547" s="4"/>
      <c r="Q547" s="4"/>
      <c r="R547" s="4"/>
      <c r="S547" s="4"/>
      <c r="T547" s="4"/>
      <c r="U547" s="4"/>
      <c r="V547" s="4"/>
      <c r="W547" s="4"/>
    </row>
    <row r="548" spans="1:23" x14ac:dyDescent="0.2">
      <c r="A548" s="4">
        <v>50</v>
      </c>
      <c r="B548" s="4">
        <v>0</v>
      </c>
      <c r="C548" s="4">
        <v>0</v>
      </c>
      <c r="D548" s="4">
        <v>1</v>
      </c>
      <c r="E548" s="4">
        <v>216</v>
      </c>
      <c r="F548" s="4">
        <f>ROUND(Source!AP539,O548)</f>
        <v>0</v>
      </c>
      <c r="G548" s="4" t="s">
        <v>144</v>
      </c>
      <c r="H548" s="4" t="s">
        <v>145</v>
      </c>
      <c r="I548" s="4"/>
      <c r="J548" s="4"/>
      <c r="K548" s="4">
        <v>216</v>
      </c>
      <c r="L548" s="4">
        <v>8</v>
      </c>
      <c r="M548" s="4">
        <v>3</v>
      </c>
      <c r="N548" s="4" t="s">
        <v>6</v>
      </c>
      <c r="O548" s="4">
        <v>2</v>
      </c>
      <c r="P548" s="4"/>
      <c r="Q548" s="4"/>
      <c r="R548" s="4"/>
      <c r="S548" s="4"/>
      <c r="T548" s="4"/>
      <c r="U548" s="4"/>
      <c r="V548" s="4"/>
      <c r="W548" s="4"/>
    </row>
    <row r="549" spans="1:23" x14ac:dyDescent="0.2">
      <c r="A549" s="4">
        <v>50</v>
      </c>
      <c r="B549" s="4">
        <v>0</v>
      </c>
      <c r="C549" s="4">
        <v>0</v>
      </c>
      <c r="D549" s="4">
        <v>1</v>
      </c>
      <c r="E549" s="4">
        <v>223</v>
      </c>
      <c r="F549" s="4">
        <f>ROUND(Source!AQ539,O549)</f>
        <v>0</v>
      </c>
      <c r="G549" s="4" t="s">
        <v>146</v>
      </c>
      <c r="H549" s="4" t="s">
        <v>147</v>
      </c>
      <c r="I549" s="4"/>
      <c r="J549" s="4"/>
      <c r="K549" s="4">
        <v>223</v>
      </c>
      <c r="L549" s="4">
        <v>9</v>
      </c>
      <c r="M549" s="4">
        <v>3</v>
      </c>
      <c r="N549" s="4" t="s">
        <v>6</v>
      </c>
      <c r="O549" s="4">
        <v>2</v>
      </c>
      <c r="P549" s="4"/>
      <c r="Q549" s="4"/>
      <c r="R549" s="4"/>
      <c r="S549" s="4"/>
      <c r="T549" s="4"/>
      <c r="U549" s="4"/>
      <c r="V549" s="4"/>
      <c r="W549" s="4"/>
    </row>
    <row r="550" spans="1:23" x14ac:dyDescent="0.2">
      <c r="A550" s="4">
        <v>50</v>
      </c>
      <c r="B550" s="4">
        <v>0</v>
      </c>
      <c r="C550" s="4">
        <v>0</v>
      </c>
      <c r="D550" s="4">
        <v>1</v>
      </c>
      <c r="E550" s="4">
        <v>229</v>
      </c>
      <c r="F550" s="4">
        <f>ROUND(Source!AZ539,O550)</f>
        <v>0</v>
      </c>
      <c r="G550" s="4" t="s">
        <v>148</v>
      </c>
      <c r="H550" s="4" t="s">
        <v>149</v>
      </c>
      <c r="I550" s="4"/>
      <c r="J550" s="4"/>
      <c r="K550" s="4">
        <v>229</v>
      </c>
      <c r="L550" s="4">
        <v>10</v>
      </c>
      <c r="M550" s="4">
        <v>3</v>
      </c>
      <c r="N550" s="4" t="s">
        <v>6</v>
      </c>
      <c r="O550" s="4">
        <v>2</v>
      </c>
      <c r="P550" s="4"/>
      <c r="Q550" s="4"/>
      <c r="R550" s="4"/>
      <c r="S550" s="4"/>
      <c r="T550" s="4"/>
      <c r="U550" s="4"/>
      <c r="V550" s="4"/>
      <c r="W550" s="4"/>
    </row>
    <row r="551" spans="1:23" x14ac:dyDescent="0.2">
      <c r="A551" s="4">
        <v>50</v>
      </c>
      <c r="B551" s="4">
        <v>0</v>
      </c>
      <c r="C551" s="4">
        <v>0</v>
      </c>
      <c r="D551" s="4">
        <v>1</v>
      </c>
      <c r="E551" s="4">
        <v>203</v>
      </c>
      <c r="F551" s="4">
        <f>ROUND(Source!Q539,O551)</f>
        <v>11.18</v>
      </c>
      <c r="G551" s="4" t="s">
        <v>150</v>
      </c>
      <c r="H551" s="4" t="s">
        <v>151</v>
      </c>
      <c r="I551" s="4"/>
      <c r="J551" s="4"/>
      <c r="K551" s="4">
        <v>203</v>
      </c>
      <c r="L551" s="4">
        <v>11</v>
      </c>
      <c r="M551" s="4">
        <v>3</v>
      </c>
      <c r="N551" s="4" t="s">
        <v>6</v>
      </c>
      <c r="O551" s="4">
        <v>2</v>
      </c>
      <c r="P551" s="4"/>
      <c r="Q551" s="4"/>
      <c r="R551" s="4"/>
      <c r="S551" s="4"/>
      <c r="T551" s="4"/>
      <c r="U551" s="4"/>
      <c r="V551" s="4"/>
      <c r="W551" s="4"/>
    </row>
    <row r="552" spans="1:23" x14ac:dyDescent="0.2">
      <c r="A552" s="4">
        <v>50</v>
      </c>
      <c r="B552" s="4">
        <v>0</v>
      </c>
      <c r="C552" s="4">
        <v>0</v>
      </c>
      <c r="D552" s="4">
        <v>1</v>
      </c>
      <c r="E552" s="4">
        <v>231</v>
      </c>
      <c r="F552" s="4">
        <f>ROUND(Source!BB539,O552)</f>
        <v>0</v>
      </c>
      <c r="G552" s="4" t="s">
        <v>152</v>
      </c>
      <c r="H552" s="4" t="s">
        <v>153</v>
      </c>
      <c r="I552" s="4"/>
      <c r="J552" s="4"/>
      <c r="K552" s="4">
        <v>231</v>
      </c>
      <c r="L552" s="4">
        <v>12</v>
      </c>
      <c r="M552" s="4">
        <v>3</v>
      </c>
      <c r="N552" s="4" t="s">
        <v>6</v>
      </c>
      <c r="O552" s="4">
        <v>2</v>
      </c>
      <c r="P552" s="4"/>
      <c r="Q552" s="4"/>
      <c r="R552" s="4"/>
      <c r="S552" s="4"/>
      <c r="T552" s="4"/>
      <c r="U552" s="4"/>
      <c r="V552" s="4"/>
      <c r="W552" s="4"/>
    </row>
    <row r="553" spans="1:23" x14ac:dyDescent="0.2">
      <c r="A553" s="4">
        <v>50</v>
      </c>
      <c r="B553" s="4">
        <v>0</v>
      </c>
      <c r="C553" s="4">
        <v>0</v>
      </c>
      <c r="D553" s="4">
        <v>1</v>
      </c>
      <c r="E553" s="4">
        <v>204</v>
      </c>
      <c r="F553" s="4">
        <f>ROUND(Source!R539,O553)</f>
        <v>1.57</v>
      </c>
      <c r="G553" s="4" t="s">
        <v>154</v>
      </c>
      <c r="H553" s="4" t="s">
        <v>155</v>
      </c>
      <c r="I553" s="4"/>
      <c r="J553" s="4"/>
      <c r="K553" s="4">
        <v>204</v>
      </c>
      <c r="L553" s="4">
        <v>13</v>
      </c>
      <c r="M553" s="4">
        <v>3</v>
      </c>
      <c r="N553" s="4" t="s">
        <v>6</v>
      </c>
      <c r="O553" s="4">
        <v>2</v>
      </c>
      <c r="P553" s="4"/>
      <c r="Q553" s="4"/>
      <c r="R553" s="4"/>
      <c r="S553" s="4"/>
      <c r="T553" s="4"/>
      <c r="U553" s="4"/>
      <c r="V553" s="4"/>
      <c r="W553" s="4"/>
    </row>
    <row r="554" spans="1:23" x14ac:dyDescent="0.2">
      <c r="A554" s="4">
        <v>50</v>
      </c>
      <c r="B554" s="4">
        <v>0</v>
      </c>
      <c r="C554" s="4">
        <v>0</v>
      </c>
      <c r="D554" s="4">
        <v>1</v>
      </c>
      <c r="E554" s="4">
        <v>205</v>
      </c>
      <c r="F554" s="4">
        <f>ROUND(Source!S539,O554)</f>
        <v>22126.39</v>
      </c>
      <c r="G554" s="4" t="s">
        <v>156</v>
      </c>
      <c r="H554" s="4" t="s">
        <v>157</v>
      </c>
      <c r="I554" s="4"/>
      <c r="J554" s="4"/>
      <c r="K554" s="4">
        <v>205</v>
      </c>
      <c r="L554" s="4">
        <v>14</v>
      </c>
      <c r="M554" s="4">
        <v>3</v>
      </c>
      <c r="N554" s="4" t="s">
        <v>6</v>
      </c>
      <c r="O554" s="4">
        <v>2</v>
      </c>
      <c r="P554" s="4"/>
      <c r="Q554" s="4"/>
      <c r="R554" s="4"/>
      <c r="S554" s="4"/>
      <c r="T554" s="4"/>
      <c r="U554" s="4"/>
      <c r="V554" s="4"/>
      <c r="W554" s="4"/>
    </row>
    <row r="555" spans="1:23" x14ac:dyDescent="0.2">
      <c r="A555" s="4">
        <v>50</v>
      </c>
      <c r="B555" s="4">
        <v>0</v>
      </c>
      <c r="C555" s="4">
        <v>0</v>
      </c>
      <c r="D555" s="4">
        <v>1</v>
      </c>
      <c r="E555" s="4">
        <v>232</v>
      </c>
      <c r="F555" s="4">
        <f>ROUND(Source!BC539,O555)</f>
        <v>0</v>
      </c>
      <c r="G555" s="4" t="s">
        <v>158</v>
      </c>
      <c r="H555" s="4" t="s">
        <v>159</v>
      </c>
      <c r="I555" s="4"/>
      <c r="J555" s="4"/>
      <c r="K555" s="4">
        <v>232</v>
      </c>
      <c r="L555" s="4">
        <v>15</v>
      </c>
      <c r="M555" s="4">
        <v>3</v>
      </c>
      <c r="N555" s="4" t="s">
        <v>6</v>
      </c>
      <c r="O555" s="4">
        <v>2</v>
      </c>
      <c r="P555" s="4"/>
      <c r="Q555" s="4"/>
      <c r="R555" s="4"/>
      <c r="S555" s="4"/>
      <c r="T555" s="4"/>
      <c r="U555" s="4"/>
      <c r="V555" s="4"/>
      <c r="W555" s="4"/>
    </row>
    <row r="556" spans="1:23" x14ac:dyDescent="0.2">
      <c r="A556" s="4">
        <v>50</v>
      </c>
      <c r="B556" s="4">
        <v>0</v>
      </c>
      <c r="C556" s="4">
        <v>0</v>
      </c>
      <c r="D556" s="4">
        <v>1</v>
      </c>
      <c r="E556" s="4">
        <v>214</v>
      </c>
      <c r="F556" s="4">
        <f>ROUND(Source!AS539,O556)</f>
        <v>0</v>
      </c>
      <c r="G556" s="4" t="s">
        <v>160</v>
      </c>
      <c r="H556" s="4" t="s">
        <v>161</v>
      </c>
      <c r="I556" s="4"/>
      <c r="J556" s="4"/>
      <c r="K556" s="4">
        <v>214</v>
      </c>
      <c r="L556" s="4">
        <v>16</v>
      </c>
      <c r="M556" s="4">
        <v>3</v>
      </c>
      <c r="N556" s="4" t="s">
        <v>6</v>
      </c>
      <c r="O556" s="4">
        <v>2</v>
      </c>
      <c r="P556" s="4"/>
      <c r="Q556" s="4"/>
      <c r="R556" s="4"/>
      <c r="S556" s="4"/>
      <c r="T556" s="4"/>
      <c r="U556" s="4"/>
      <c r="V556" s="4"/>
      <c r="W556" s="4"/>
    </row>
    <row r="557" spans="1:23" x14ac:dyDescent="0.2">
      <c r="A557" s="4">
        <v>50</v>
      </c>
      <c r="B557" s="4">
        <v>0</v>
      </c>
      <c r="C557" s="4">
        <v>0</v>
      </c>
      <c r="D557" s="4">
        <v>1</v>
      </c>
      <c r="E557" s="4">
        <v>215</v>
      </c>
      <c r="F557" s="4">
        <f>ROUND(Source!AT539,O557)</f>
        <v>64190.74</v>
      </c>
      <c r="G557" s="4" t="s">
        <v>162</v>
      </c>
      <c r="H557" s="4" t="s">
        <v>163</v>
      </c>
      <c r="I557" s="4"/>
      <c r="J557" s="4"/>
      <c r="K557" s="4">
        <v>215</v>
      </c>
      <c r="L557" s="4">
        <v>17</v>
      </c>
      <c r="M557" s="4">
        <v>3</v>
      </c>
      <c r="N557" s="4" t="s">
        <v>6</v>
      </c>
      <c r="O557" s="4">
        <v>2</v>
      </c>
      <c r="P557" s="4"/>
      <c r="Q557" s="4"/>
      <c r="R557" s="4"/>
      <c r="S557" s="4"/>
      <c r="T557" s="4"/>
      <c r="U557" s="4"/>
      <c r="V557" s="4"/>
      <c r="W557" s="4"/>
    </row>
    <row r="558" spans="1:23" x14ac:dyDescent="0.2">
      <c r="A558" s="4">
        <v>50</v>
      </c>
      <c r="B558" s="4">
        <v>0</v>
      </c>
      <c r="C558" s="4">
        <v>0</v>
      </c>
      <c r="D558" s="4">
        <v>1</v>
      </c>
      <c r="E558" s="4">
        <v>217</v>
      </c>
      <c r="F558" s="4">
        <f>ROUND(Source!AU539,O558)</f>
        <v>0</v>
      </c>
      <c r="G558" s="4" t="s">
        <v>164</v>
      </c>
      <c r="H558" s="4" t="s">
        <v>165</v>
      </c>
      <c r="I558" s="4"/>
      <c r="J558" s="4"/>
      <c r="K558" s="4">
        <v>217</v>
      </c>
      <c r="L558" s="4">
        <v>18</v>
      </c>
      <c r="M558" s="4">
        <v>3</v>
      </c>
      <c r="N558" s="4" t="s">
        <v>6</v>
      </c>
      <c r="O558" s="4">
        <v>2</v>
      </c>
      <c r="P558" s="4"/>
      <c r="Q558" s="4"/>
      <c r="R558" s="4"/>
      <c r="S558" s="4"/>
      <c r="T558" s="4"/>
      <c r="U558" s="4"/>
      <c r="V558" s="4"/>
      <c r="W558" s="4"/>
    </row>
    <row r="559" spans="1:23" x14ac:dyDescent="0.2">
      <c r="A559" s="4">
        <v>50</v>
      </c>
      <c r="B559" s="4">
        <v>0</v>
      </c>
      <c r="C559" s="4">
        <v>0</v>
      </c>
      <c r="D559" s="4">
        <v>1</v>
      </c>
      <c r="E559" s="4">
        <v>230</v>
      </c>
      <c r="F559" s="4">
        <f>ROUND(Source!BA539,O559)</f>
        <v>0</v>
      </c>
      <c r="G559" s="4" t="s">
        <v>166</v>
      </c>
      <c r="H559" s="4" t="s">
        <v>167</v>
      </c>
      <c r="I559" s="4"/>
      <c r="J559" s="4"/>
      <c r="K559" s="4">
        <v>230</v>
      </c>
      <c r="L559" s="4">
        <v>19</v>
      </c>
      <c r="M559" s="4">
        <v>3</v>
      </c>
      <c r="N559" s="4" t="s">
        <v>6</v>
      </c>
      <c r="O559" s="4">
        <v>2</v>
      </c>
      <c r="P559" s="4"/>
      <c r="Q559" s="4"/>
      <c r="R559" s="4"/>
      <c r="S559" s="4"/>
      <c r="T559" s="4"/>
      <c r="U559" s="4"/>
      <c r="V559" s="4"/>
      <c r="W559" s="4"/>
    </row>
    <row r="560" spans="1:23" x14ac:dyDescent="0.2">
      <c r="A560" s="4">
        <v>50</v>
      </c>
      <c r="B560" s="4">
        <v>0</v>
      </c>
      <c r="C560" s="4">
        <v>0</v>
      </c>
      <c r="D560" s="4">
        <v>1</v>
      </c>
      <c r="E560" s="4">
        <v>206</v>
      </c>
      <c r="F560" s="4">
        <f>ROUND(Source!T539,O560)</f>
        <v>0</v>
      </c>
      <c r="G560" s="4" t="s">
        <v>168</v>
      </c>
      <c r="H560" s="4" t="s">
        <v>169</v>
      </c>
      <c r="I560" s="4"/>
      <c r="J560" s="4"/>
      <c r="K560" s="4">
        <v>206</v>
      </c>
      <c r="L560" s="4">
        <v>20</v>
      </c>
      <c r="M560" s="4">
        <v>3</v>
      </c>
      <c r="N560" s="4" t="s">
        <v>6</v>
      </c>
      <c r="O560" s="4">
        <v>2</v>
      </c>
      <c r="P560" s="4"/>
      <c r="Q560" s="4"/>
      <c r="R560" s="4"/>
      <c r="S560" s="4"/>
      <c r="T560" s="4"/>
      <c r="U560" s="4"/>
      <c r="V560" s="4"/>
      <c r="W560" s="4"/>
    </row>
    <row r="561" spans="1:245" x14ac:dyDescent="0.2">
      <c r="A561" s="4">
        <v>50</v>
      </c>
      <c r="B561" s="4">
        <v>0</v>
      </c>
      <c r="C561" s="4">
        <v>0</v>
      </c>
      <c r="D561" s="4">
        <v>1</v>
      </c>
      <c r="E561" s="4">
        <v>207</v>
      </c>
      <c r="F561" s="4">
        <f>Source!U539</f>
        <v>267.55520000000001</v>
      </c>
      <c r="G561" s="4" t="s">
        <v>170</v>
      </c>
      <c r="H561" s="4" t="s">
        <v>171</v>
      </c>
      <c r="I561" s="4"/>
      <c r="J561" s="4"/>
      <c r="K561" s="4">
        <v>207</v>
      </c>
      <c r="L561" s="4">
        <v>21</v>
      </c>
      <c r="M561" s="4">
        <v>3</v>
      </c>
      <c r="N561" s="4" t="s">
        <v>6</v>
      </c>
      <c r="O561" s="4">
        <v>-1</v>
      </c>
      <c r="P561" s="4"/>
      <c r="Q561" s="4"/>
      <c r="R561" s="4"/>
      <c r="S561" s="4"/>
      <c r="T561" s="4"/>
      <c r="U561" s="4"/>
      <c r="V561" s="4"/>
      <c r="W561" s="4"/>
    </row>
    <row r="562" spans="1:245" x14ac:dyDescent="0.2">
      <c r="A562" s="4">
        <v>50</v>
      </c>
      <c r="B562" s="4">
        <v>0</v>
      </c>
      <c r="C562" s="4">
        <v>0</v>
      </c>
      <c r="D562" s="4">
        <v>1</v>
      </c>
      <c r="E562" s="4">
        <v>208</v>
      </c>
      <c r="F562" s="4">
        <f>Source!V539</f>
        <v>1.9199999999999998E-2</v>
      </c>
      <c r="G562" s="4" t="s">
        <v>172</v>
      </c>
      <c r="H562" s="4" t="s">
        <v>173</v>
      </c>
      <c r="I562" s="4"/>
      <c r="J562" s="4"/>
      <c r="K562" s="4">
        <v>208</v>
      </c>
      <c r="L562" s="4">
        <v>22</v>
      </c>
      <c r="M562" s="4">
        <v>3</v>
      </c>
      <c r="N562" s="4" t="s">
        <v>6</v>
      </c>
      <c r="O562" s="4">
        <v>-1</v>
      </c>
      <c r="P562" s="4"/>
      <c r="Q562" s="4"/>
      <c r="R562" s="4"/>
      <c r="S562" s="4"/>
      <c r="T562" s="4"/>
      <c r="U562" s="4"/>
      <c r="V562" s="4"/>
      <c r="W562" s="4"/>
    </row>
    <row r="563" spans="1:245" x14ac:dyDescent="0.2">
      <c r="A563" s="4">
        <v>50</v>
      </c>
      <c r="B563" s="4">
        <v>0</v>
      </c>
      <c r="C563" s="4">
        <v>0</v>
      </c>
      <c r="D563" s="4">
        <v>1</v>
      </c>
      <c r="E563" s="4">
        <v>209</v>
      </c>
      <c r="F563" s="4">
        <f>ROUND(Source!W539,O563)</f>
        <v>0</v>
      </c>
      <c r="G563" s="4" t="s">
        <v>174</v>
      </c>
      <c r="H563" s="4" t="s">
        <v>175</v>
      </c>
      <c r="I563" s="4"/>
      <c r="J563" s="4"/>
      <c r="K563" s="4">
        <v>209</v>
      </c>
      <c r="L563" s="4">
        <v>23</v>
      </c>
      <c r="M563" s="4">
        <v>3</v>
      </c>
      <c r="N563" s="4" t="s">
        <v>6</v>
      </c>
      <c r="O563" s="4">
        <v>2</v>
      </c>
      <c r="P563" s="4"/>
      <c r="Q563" s="4"/>
      <c r="R563" s="4"/>
      <c r="S563" s="4"/>
      <c r="T563" s="4"/>
      <c r="U563" s="4"/>
      <c r="V563" s="4"/>
      <c r="W563" s="4"/>
    </row>
    <row r="564" spans="1:245" x14ac:dyDescent="0.2">
      <c r="A564" s="4">
        <v>50</v>
      </c>
      <c r="B564" s="4">
        <v>0</v>
      </c>
      <c r="C564" s="4">
        <v>0</v>
      </c>
      <c r="D564" s="4">
        <v>1</v>
      </c>
      <c r="E564" s="4">
        <v>210</v>
      </c>
      <c r="F564" s="4">
        <f>ROUND(Source!X539,O564)</f>
        <v>17773.22</v>
      </c>
      <c r="G564" s="4" t="s">
        <v>176</v>
      </c>
      <c r="H564" s="4" t="s">
        <v>177</v>
      </c>
      <c r="I564" s="4"/>
      <c r="J564" s="4"/>
      <c r="K564" s="4">
        <v>210</v>
      </c>
      <c r="L564" s="4">
        <v>24</v>
      </c>
      <c r="M564" s="4">
        <v>3</v>
      </c>
      <c r="N564" s="4" t="s">
        <v>6</v>
      </c>
      <c r="O564" s="4">
        <v>2</v>
      </c>
      <c r="P564" s="4"/>
      <c r="Q564" s="4"/>
      <c r="R564" s="4"/>
      <c r="S564" s="4"/>
      <c r="T564" s="4"/>
      <c r="U564" s="4"/>
      <c r="V564" s="4"/>
      <c r="W564" s="4"/>
    </row>
    <row r="565" spans="1:245" x14ac:dyDescent="0.2">
      <c r="A565" s="4">
        <v>50</v>
      </c>
      <c r="B565" s="4">
        <v>0</v>
      </c>
      <c r="C565" s="4">
        <v>0</v>
      </c>
      <c r="D565" s="4">
        <v>1</v>
      </c>
      <c r="E565" s="4">
        <v>211</v>
      </c>
      <c r="F565" s="4">
        <f>ROUND(Source!Y539,O565)</f>
        <v>13300.4</v>
      </c>
      <c r="G565" s="4" t="s">
        <v>178</v>
      </c>
      <c r="H565" s="4" t="s">
        <v>179</v>
      </c>
      <c r="I565" s="4"/>
      <c r="J565" s="4"/>
      <c r="K565" s="4">
        <v>211</v>
      </c>
      <c r="L565" s="4">
        <v>25</v>
      </c>
      <c r="M565" s="4">
        <v>3</v>
      </c>
      <c r="N565" s="4" t="s">
        <v>6</v>
      </c>
      <c r="O565" s="4">
        <v>2</v>
      </c>
      <c r="P565" s="4"/>
      <c r="Q565" s="4"/>
      <c r="R565" s="4"/>
      <c r="S565" s="4"/>
      <c r="T565" s="4"/>
      <c r="U565" s="4"/>
      <c r="V565" s="4"/>
      <c r="W565" s="4"/>
    </row>
    <row r="566" spans="1:245" x14ac:dyDescent="0.2">
      <c r="A566" s="4">
        <v>50</v>
      </c>
      <c r="B566" s="4">
        <v>0</v>
      </c>
      <c r="C566" s="4">
        <v>0</v>
      </c>
      <c r="D566" s="4">
        <v>1</v>
      </c>
      <c r="E566" s="4">
        <v>224</v>
      </c>
      <c r="F566" s="4">
        <f>ROUND(Source!AR539,O566)</f>
        <v>64190.74</v>
      </c>
      <c r="G566" s="4" t="s">
        <v>180</v>
      </c>
      <c r="H566" s="4" t="s">
        <v>181</v>
      </c>
      <c r="I566" s="4"/>
      <c r="J566" s="4"/>
      <c r="K566" s="4">
        <v>224</v>
      </c>
      <c r="L566" s="4">
        <v>26</v>
      </c>
      <c r="M566" s="4">
        <v>3</v>
      </c>
      <c r="N566" s="4" t="s">
        <v>6</v>
      </c>
      <c r="O566" s="4">
        <v>2</v>
      </c>
      <c r="P566" s="4"/>
      <c r="Q566" s="4"/>
      <c r="R566" s="4"/>
      <c r="S566" s="4"/>
      <c r="T566" s="4"/>
      <c r="U566" s="4"/>
      <c r="V566" s="4"/>
      <c r="W566" s="4"/>
    </row>
    <row r="568" spans="1:245" x14ac:dyDescent="0.2">
      <c r="A568" s="1">
        <v>4</v>
      </c>
      <c r="B568" s="1">
        <v>1</v>
      </c>
      <c r="C568" s="1"/>
      <c r="D568" s="1">
        <f>ROW(A582)</f>
        <v>582</v>
      </c>
      <c r="E568" s="1"/>
      <c r="F568" s="1" t="s">
        <v>13</v>
      </c>
      <c r="G568" s="1" t="s">
        <v>1006</v>
      </c>
      <c r="H568" s="1" t="s">
        <v>6</v>
      </c>
      <c r="I568" s="1">
        <v>0</v>
      </c>
      <c r="J568" s="1"/>
      <c r="K568" s="1">
        <v>0</v>
      </c>
      <c r="L568" s="1"/>
      <c r="M568" s="1"/>
      <c r="N568" s="1"/>
      <c r="O568" s="1"/>
      <c r="P568" s="1"/>
      <c r="Q568" s="1"/>
      <c r="R568" s="1"/>
      <c r="S568" s="1"/>
      <c r="T568" s="1"/>
      <c r="U568" s="1" t="s">
        <v>6</v>
      </c>
      <c r="V568" s="1">
        <v>0</v>
      </c>
      <c r="W568" s="1"/>
      <c r="X568" s="1"/>
      <c r="Y568" s="1"/>
      <c r="Z568" s="1"/>
      <c r="AA568" s="1"/>
      <c r="AB568" s="1" t="s">
        <v>6</v>
      </c>
      <c r="AC568" s="1" t="s">
        <v>6</v>
      </c>
      <c r="AD568" s="1" t="s">
        <v>6</v>
      </c>
      <c r="AE568" s="1" t="s">
        <v>6</v>
      </c>
      <c r="AF568" s="1" t="s">
        <v>6</v>
      </c>
      <c r="AG568" s="1" t="s">
        <v>6</v>
      </c>
      <c r="AH568" s="1"/>
      <c r="AI568" s="1"/>
      <c r="AJ568" s="1"/>
      <c r="AK568" s="1"/>
      <c r="AL568" s="1"/>
      <c r="AM568" s="1"/>
      <c r="AN568" s="1"/>
      <c r="AO568" s="1"/>
      <c r="AP568" s="1" t="s">
        <v>6</v>
      </c>
      <c r="AQ568" s="1" t="s">
        <v>6</v>
      </c>
      <c r="AR568" s="1" t="s">
        <v>6</v>
      </c>
      <c r="AS568" s="1"/>
      <c r="AT568" s="1"/>
      <c r="AU568" s="1"/>
      <c r="AV568" s="1"/>
      <c r="AW568" s="1"/>
      <c r="AX568" s="1"/>
      <c r="AY568" s="1"/>
      <c r="AZ568" s="1" t="s">
        <v>6</v>
      </c>
      <c r="BA568" s="1"/>
      <c r="BB568" s="1" t="s">
        <v>6</v>
      </c>
      <c r="BC568" s="1" t="s">
        <v>6</v>
      </c>
      <c r="BD568" s="1" t="s">
        <v>6</v>
      </c>
      <c r="BE568" s="1" t="s">
        <v>6</v>
      </c>
      <c r="BF568" s="1" t="s">
        <v>6</v>
      </c>
      <c r="BG568" s="1" t="s">
        <v>6</v>
      </c>
      <c r="BH568" s="1" t="s">
        <v>6</v>
      </c>
      <c r="BI568" s="1" t="s">
        <v>6</v>
      </c>
      <c r="BJ568" s="1" t="s">
        <v>6</v>
      </c>
      <c r="BK568" s="1" t="s">
        <v>6</v>
      </c>
      <c r="BL568" s="1" t="s">
        <v>6</v>
      </c>
      <c r="BM568" s="1" t="s">
        <v>6</v>
      </c>
      <c r="BN568" s="1" t="s">
        <v>6</v>
      </c>
      <c r="BO568" s="1" t="s">
        <v>6</v>
      </c>
      <c r="BP568" s="1" t="s">
        <v>6</v>
      </c>
      <c r="BQ568" s="1"/>
      <c r="BR568" s="1"/>
      <c r="BS568" s="1"/>
      <c r="BT568" s="1"/>
      <c r="BU568" s="1"/>
      <c r="BV568" s="1"/>
      <c r="BW568" s="1"/>
      <c r="BX568" s="1">
        <v>0</v>
      </c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>
        <v>0</v>
      </c>
    </row>
    <row r="570" spans="1:245" x14ac:dyDescent="0.2">
      <c r="A570" s="2">
        <v>52</v>
      </c>
      <c r="B570" s="2">
        <f t="shared" ref="B570:G570" si="418">B582</f>
        <v>1</v>
      </c>
      <c r="C570" s="2">
        <f t="shared" si="418"/>
        <v>4</v>
      </c>
      <c r="D570" s="2">
        <f t="shared" si="418"/>
        <v>568</v>
      </c>
      <c r="E570" s="2">
        <f t="shared" si="418"/>
        <v>0</v>
      </c>
      <c r="F570" s="2" t="str">
        <f t="shared" si="418"/>
        <v>Новый раздел</v>
      </c>
      <c r="G570" s="2" t="str">
        <f t="shared" si="418"/>
        <v>5 Сети СКС</v>
      </c>
      <c r="H570" s="2"/>
      <c r="I570" s="2"/>
      <c r="J570" s="2"/>
      <c r="K570" s="2"/>
      <c r="L570" s="2"/>
      <c r="M570" s="2"/>
      <c r="N570" s="2"/>
      <c r="O570" s="2">
        <f t="shared" ref="O570:AT570" si="419">O582</f>
        <v>25109.119999999999</v>
      </c>
      <c r="P570" s="2">
        <f t="shared" si="419"/>
        <v>16564.66</v>
      </c>
      <c r="Q570" s="2">
        <f t="shared" si="419"/>
        <v>2373.41</v>
      </c>
      <c r="R570" s="2">
        <f t="shared" si="419"/>
        <v>314.14999999999998</v>
      </c>
      <c r="S570" s="2">
        <f t="shared" si="419"/>
        <v>6171.05</v>
      </c>
      <c r="T570" s="2">
        <f t="shared" si="419"/>
        <v>0</v>
      </c>
      <c r="U570" s="2">
        <f t="shared" si="419"/>
        <v>97.812699999999992</v>
      </c>
      <c r="V570" s="2">
        <f t="shared" si="419"/>
        <v>4.7263000000000002</v>
      </c>
      <c r="W570" s="2">
        <f t="shared" si="419"/>
        <v>0</v>
      </c>
      <c r="X570" s="2">
        <f t="shared" si="419"/>
        <v>5313.8</v>
      </c>
      <c r="Y570" s="2">
        <f t="shared" si="419"/>
        <v>3928.7</v>
      </c>
      <c r="Z570" s="2">
        <f t="shared" si="419"/>
        <v>0</v>
      </c>
      <c r="AA570" s="2">
        <f t="shared" si="419"/>
        <v>0</v>
      </c>
      <c r="AB570" s="2">
        <f t="shared" si="419"/>
        <v>25109.119999999999</v>
      </c>
      <c r="AC570" s="2">
        <f t="shared" si="419"/>
        <v>16564.66</v>
      </c>
      <c r="AD570" s="2">
        <f t="shared" si="419"/>
        <v>2373.41</v>
      </c>
      <c r="AE570" s="2">
        <f t="shared" si="419"/>
        <v>314.14999999999998</v>
      </c>
      <c r="AF570" s="2">
        <f t="shared" si="419"/>
        <v>6171.05</v>
      </c>
      <c r="AG570" s="2">
        <f t="shared" si="419"/>
        <v>0</v>
      </c>
      <c r="AH570" s="2">
        <f t="shared" si="419"/>
        <v>97.812699999999992</v>
      </c>
      <c r="AI570" s="2">
        <f t="shared" si="419"/>
        <v>4.7263000000000002</v>
      </c>
      <c r="AJ570" s="2">
        <f t="shared" si="419"/>
        <v>0</v>
      </c>
      <c r="AK570" s="2">
        <f t="shared" si="419"/>
        <v>5313.8</v>
      </c>
      <c r="AL570" s="2">
        <f t="shared" si="419"/>
        <v>3928.7</v>
      </c>
      <c r="AM570" s="2">
        <f t="shared" si="419"/>
        <v>0</v>
      </c>
      <c r="AN570" s="2">
        <f t="shared" si="419"/>
        <v>0</v>
      </c>
      <c r="AO570" s="2">
        <f t="shared" si="419"/>
        <v>0</v>
      </c>
      <c r="AP570" s="2">
        <f t="shared" si="419"/>
        <v>0</v>
      </c>
      <c r="AQ570" s="2">
        <f t="shared" si="419"/>
        <v>0</v>
      </c>
      <c r="AR570" s="2">
        <f t="shared" si="419"/>
        <v>34351.620000000003</v>
      </c>
      <c r="AS570" s="2">
        <f t="shared" si="419"/>
        <v>105.06</v>
      </c>
      <c r="AT570" s="2">
        <f t="shared" si="419"/>
        <v>34246.559999999998</v>
      </c>
      <c r="AU570" s="2">
        <f t="shared" ref="AU570:BZ570" si="420">AU582</f>
        <v>0</v>
      </c>
      <c r="AV570" s="2">
        <f t="shared" si="420"/>
        <v>16564.66</v>
      </c>
      <c r="AW570" s="2">
        <f t="shared" si="420"/>
        <v>16564.66</v>
      </c>
      <c r="AX570" s="2">
        <f t="shared" si="420"/>
        <v>0</v>
      </c>
      <c r="AY570" s="2">
        <f t="shared" si="420"/>
        <v>16564.66</v>
      </c>
      <c r="AZ570" s="2">
        <f t="shared" si="420"/>
        <v>0</v>
      </c>
      <c r="BA570" s="2">
        <f t="shared" si="420"/>
        <v>0</v>
      </c>
      <c r="BB570" s="2">
        <f t="shared" si="420"/>
        <v>0</v>
      </c>
      <c r="BC570" s="2">
        <f t="shared" si="420"/>
        <v>0</v>
      </c>
      <c r="BD570" s="2">
        <f t="shared" si="420"/>
        <v>0</v>
      </c>
      <c r="BE570" s="2">
        <f t="shared" si="420"/>
        <v>0</v>
      </c>
      <c r="BF570" s="2">
        <f t="shared" si="420"/>
        <v>0</v>
      </c>
      <c r="BG570" s="2">
        <f t="shared" si="420"/>
        <v>0</v>
      </c>
      <c r="BH570" s="2">
        <f t="shared" si="420"/>
        <v>0</v>
      </c>
      <c r="BI570" s="2">
        <f t="shared" si="420"/>
        <v>0</v>
      </c>
      <c r="BJ570" s="2">
        <f t="shared" si="420"/>
        <v>0</v>
      </c>
      <c r="BK570" s="2">
        <f t="shared" si="420"/>
        <v>0</v>
      </c>
      <c r="BL570" s="2">
        <f t="shared" si="420"/>
        <v>0</v>
      </c>
      <c r="BM570" s="2">
        <f t="shared" si="420"/>
        <v>0</v>
      </c>
      <c r="BN570" s="2">
        <f t="shared" si="420"/>
        <v>0</v>
      </c>
      <c r="BO570" s="2">
        <f t="shared" si="420"/>
        <v>0</v>
      </c>
      <c r="BP570" s="2">
        <f t="shared" si="420"/>
        <v>0</v>
      </c>
      <c r="BQ570" s="2">
        <f t="shared" si="420"/>
        <v>0</v>
      </c>
      <c r="BR570" s="2">
        <f t="shared" si="420"/>
        <v>0</v>
      </c>
      <c r="BS570" s="2">
        <f t="shared" si="420"/>
        <v>0</v>
      </c>
      <c r="BT570" s="2">
        <f t="shared" si="420"/>
        <v>0</v>
      </c>
      <c r="BU570" s="2">
        <f t="shared" si="420"/>
        <v>0</v>
      </c>
      <c r="BV570" s="2">
        <f t="shared" si="420"/>
        <v>0</v>
      </c>
      <c r="BW570" s="2">
        <f t="shared" si="420"/>
        <v>0</v>
      </c>
      <c r="BX570" s="2">
        <f t="shared" si="420"/>
        <v>0</v>
      </c>
      <c r="BY570" s="2">
        <f t="shared" si="420"/>
        <v>0</v>
      </c>
      <c r="BZ570" s="2">
        <f t="shared" si="420"/>
        <v>0</v>
      </c>
      <c r="CA570" s="2">
        <f t="shared" ref="CA570:DF570" si="421">CA582</f>
        <v>34351.620000000003</v>
      </c>
      <c r="CB570" s="2">
        <f t="shared" si="421"/>
        <v>105.06</v>
      </c>
      <c r="CC570" s="2">
        <f t="shared" si="421"/>
        <v>34246.559999999998</v>
      </c>
      <c r="CD570" s="2">
        <f t="shared" si="421"/>
        <v>0</v>
      </c>
      <c r="CE570" s="2">
        <f t="shared" si="421"/>
        <v>16564.66</v>
      </c>
      <c r="CF570" s="2">
        <f t="shared" si="421"/>
        <v>16564.66</v>
      </c>
      <c r="CG570" s="2">
        <f t="shared" si="421"/>
        <v>0</v>
      </c>
      <c r="CH570" s="2">
        <f t="shared" si="421"/>
        <v>16564.66</v>
      </c>
      <c r="CI570" s="2">
        <f t="shared" si="421"/>
        <v>0</v>
      </c>
      <c r="CJ570" s="2">
        <f t="shared" si="421"/>
        <v>0</v>
      </c>
      <c r="CK570" s="2">
        <f t="shared" si="421"/>
        <v>0</v>
      </c>
      <c r="CL570" s="2">
        <f t="shared" si="421"/>
        <v>0</v>
      </c>
      <c r="CM570" s="2">
        <f t="shared" si="421"/>
        <v>0</v>
      </c>
      <c r="CN570" s="2">
        <f t="shared" si="421"/>
        <v>0</v>
      </c>
      <c r="CO570" s="2">
        <f t="shared" si="421"/>
        <v>0</v>
      </c>
      <c r="CP570" s="2">
        <f t="shared" si="421"/>
        <v>0</v>
      </c>
      <c r="CQ570" s="2">
        <f t="shared" si="421"/>
        <v>0</v>
      </c>
      <c r="CR570" s="2">
        <f t="shared" si="421"/>
        <v>0</v>
      </c>
      <c r="CS570" s="2">
        <f t="shared" si="421"/>
        <v>0</v>
      </c>
      <c r="CT570" s="2">
        <f t="shared" si="421"/>
        <v>0</v>
      </c>
      <c r="CU570" s="2">
        <f t="shared" si="421"/>
        <v>0</v>
      </c>
      <c r="CV570" s="2">
        <f t="shared" si="421"/>
        <v>0</v>
      </c>
      <c r="CW570" s="2">
        <f t="shared" si="421"/>
        <v>0</v>
      </c>
      <c r="CX570" s="2">
        <f t="shared" si="421"/>
        <v>0</v>
      </c>
      <c r="CY570" s="2">
        <f t="shared" si="421"/>
        <v>0</v>
      </c>
      <c r="CZ570" s="2">
        <f t="shared" si="421"/>
        <v>0</v>
      </c>
      <c r="DA570" s="2">
        <f t="shared" si="421"/>
        <v>0</v>
      </c>
      <c r="DB570" s="2">
        <f t="shared" si="421"/>
        <v>0</v>
      </c>
      <c r="DC570" s="2">
        <f t="shared" si="421"/>
        <v>0</v>
      </c>
      <c r="DD570" s="2">
        <f t="shared" si="421"/>
        <v>0</v>
      </c>
      <c r="DE570" s="2">
        <f t="shared" si="421"/>
        <v>0</v>
      </c>
      <c r="DF570" s="2">
        <f t="shared" si="421"/>
        <v>0</v>
      </c>
      <c r="DG570" s="3">
        <f t="shared" ref="DG570:EL570" si="422">DG582</f>
        <v>0</v>
      </c>
      <c r="DH570" s="3">
        <f t="shared" si="422"/>
        <v>0</v>
      </c>
      <c r="DI570" s="3">
        <f t="shared" si="422"/>
        <v>0</v>
      </c>
      <c r="DJ570" s="3">
        <f t="shared" si="422"/>
        <v>0</v>
      </c>
      <c r="DK570" s="3">
        <f t="shared" si="422"/>
        <v>0</v>
      </c>
      <c r="DL570" s="3">
        <f t="shared" si="422"/>
        <v>0</v>
      </c>
      <c r="DM570" s="3">
        <f t="shared" si="422"/>
        <v>0</v>
      </c>
      <c r="DN570" s="3">
        <f t="shared" si="422"/>
        <v>0</v>
      </c>
      <c r="DO570" s="3">
        <f t="shared" si="422"/>
        <v>0</v>
      </c>
      <c r="DP570" s="3">
        <f t="shared" si="422"/>
        <v>0</v>
      </c>
      <c r="DQ570" s="3">
        <f t="shared" si="422"/>
        <v>0</v>
      </c>
      <c r="DR570" s="3">
        <f t="shared" si="422"/>
        <v>0</v>
      </c>
      <c r="DS570" s="3">
        <f t="shared" si="422"/>
        <v>0</v>
      </c>
      <c r="DT570" s="3">
        <f t="shared" si="422"/>
        <v>0</v>
      </c>
      <c r="DU570" s="3">
        <f t="shared" si="422"/>
        <v>0</v>
      </c>
      <c r="DV570" s="3">
        <f t="shared" si="422"/>
        <v>0</v>
      </c>
      <c r="DW570" s="3">
        <f t="shared" si="422"/>
        <v>0</v>
      </c>
      <c r="DX570" s="3">
        <f t="shared" si="422"/>
        <v>0</v>
      </c>
      <c r="DY570" s="3">
        <f t="shared" si="422"/>
        <v>0</v>
      </c>
      <c r="DZ570" s="3">
        <f t="shared" si="422"/>
        <v>0</v>
      </c>
      <c r="EA570" s="3">
        <f t="shared" si="422"/>
        <v>0</v>
      </c>
      <c r="EB570" s="3">
        <f t="shared" si="422"/>
        <v>0</v>
      </c>
      <c r="EC570" s="3">
        <f t="shared" si="422"/>
        <v>0</v>
      </c>
      <c r="ED570" s="3">
        <f t="shared" si="422"/>
        <v>0</v>
      </c>
      <c r="EE570" s="3">
        <f t="shared" si="422"/>
        <v>0</v>
      </c>
      <c r="EF570" s="3">
        <f t="shared" si="422"/>
        <v>0</v>
      </c>
      <c r="EG570" s="3">
        <f t="shared" si="422"/>
        <v>0</v>
      </c>
      <c r="EH570" s="3">
        <f t="shared" si="422"/>
        <v>0</v>
      </c>
      <c r="EI570" s="3">
        <f t="shared" si="422"/>
        <v>0</v>
      </c>
      <c r="EJ570" s="3">
        <f t="shared" si="422"/>
        <v>0</v>
      </c>
      <c r="EK570" s="3">
        <f t="shared" si="422"/>
        <v>0</v>
      </c>
      <c r="EL570" s="3">
        <f t="shared" si="422"/>
        <v>0</v>
      </c>
      <c r="EM570" s="3">
        <f t="shared" ref="EM570:FR570" si="423">EM582</f>
        <v>0</v>
      </c>
      <c r="EN570" s="3">
        <f t="shared" si="423"/>
        <v>0</v>
      </c>
      <c r="EO570" s="3">
        <f t="shared" si="423"/>
        <v>0</v>
      </c>
      <c r="EP570" s="3">
        <f t="shared" si="423"/>
        <v>0</v>
      </c>
      <c r="EQ570" s="3">
        <f t="shared" si="423"/>
        <v>0</v>
      </c>
      <c r="ER570" s="3">
        <f t="shared" si="423"/>
        <v>0</v>
      </c>
      <c r="ES570" s="3">
        <f t="shared" si="423"/>
        <v>0</v>
      </c>
      <c r="ET570" s="3">
        <f t="shared" si="423"/>
        <v>0</v>
      </c>
      <c r="EU570" s="3">
        <f t="shared" si="423"/>
        <v>0</v>
      </c>
      <c r="EV570" s="3">
        <f t="shared" si="423"/>
        <v>0</v>
      </c>
      <c r="EW570" s="3">
        <f t="shared" si="423"/>
        <v>0</v>
      </c>
      <c r="EX570" s="3">
        <f t="shared" si="423"/>
        <v>0</v>
      </c>
      <c r="EY570" s="3">
        <f t="shared" si="423"/>
        <v>0</v>
      </c>
      <c r="EZ570" s="3">
        <f t="shared" si="423"/>
        <v>0</v>
      </c>
      <c r="FA570" s="3">
        <f t="shared" si="423"/>
        <v>0</v>
      </c>
      <c r="FB570" s="3">
        <f t="shared" si="423"/>
        <v>0</v>
      </c>
      <c r="FC570" s="3">
        <f t="shared" si="423"/>
        <v>0</v>
      </c>
      <c r="FD570" s="3">
        <f t="shared" si="423"/>
        <v>0</v>
      </c>
      <c r="FE570" s="3">
        <f t="shared" si="423"/>
        <v>0</v>
      </c>
      <c r="FF570" s="3">
        <f t="shared" si="423"/>
        <v>0</v>
      </c>
      <c r="FG570" s="3">
        <f t="shared" si="423"/>
        <v>0</v>
      </c>
      <c r="FH570" s="3">
        <f t="shared" si="423"/>
        <v>0</v>
      </c>
      <c r="FI570" s="3">
        <f t="shared" si="423"/>
        <v>0</v>
      </c>
      <c r="FJ570" s="3">
        <f t="shared" si="423"/>
        <v>0</v>
      </c>
      <c r="FK570" s="3">
        <f t="shared" si="423"/>
        <v>0</v>
      </c>
      <c r="FL570" s="3">
        <f t="shared" si="423"/>
        <v>0</v>
      </c>
      <c r="FM570" s="3">
        <f t="shared" si="423"/>
        <v>0</v>
      </c>
      <c r="FN570" s="3">
        <f t="shared" si="423"/>
        <v>0</v>
      </c>
      <c r="FO570" s="3">
        <f t="shared" si="423"/>
        <v>0</v>
      </c>
      <c r="FP570" s="3">
        <f t="shared" si="423"/>
        <v>0</v>
      </c>
      <c r="FQ570" s="3">
        <f t="shared" si="423"/>
        <v>0</v>
      </c>
      <c r="FR570" s="3">
        <f t="shared" si="423"/>
        <v>0</v>
      </c>
      <c r="FS570" s="3">
        <f t="shared" ref="FS570:GX570" si="424">FS582</f>
        <v>0</v>
      </c>
      <c r="FT570" s="3">
        <f t="shared" si="424"/>
        <v>0</v>
      </c>
      <c r="FU570" s="3">
        <f t="shared" si="424"/>
        <v>0</v>
      </c>
      <c r="FV570" s="3">
        <f t="shared" si="424"/>
        <v>0</v>
      </c>
      <c r="FW570" s="3">
        <f t="shared" si="424"/>
        <v>0</v>
      </c>
      <c r="FX570" s="3">
        <f t="shared" si="424"/>
        <v>0</v>
      </c>
      <c r="FY570" s="3">
        <f t="shared" si="424"/>
        <v>0</v>
      </c>
      <c r="FZ570" s="3">
        <f t="shared" si="424"/>
        <v>0</v>
      </c>
      <c r="GA570" s="3">
        <f t="shared" si="424"/>
        <v>0</v>
      </c>
      <c r="GB570" s="3">
        <f t="shared" si="424"/>
        <v>0</v>
      </c>
      <c r="GC570" s="3">
        <f t="shared" si="424"/>
        <v>0</v>
      </c>
      <c r="GD570" s="3">
        <f t="shared" si="424"/>
        <v>0</v>
      </c>
      <c r="GE570" s="3">
        <f t="shared" si="424"/>
        <v>0</v>
      </c>
      <c r="GF570" s="3">
        <f t="shared" si="424"/>
        <v>0</v>
      </c>
      <c r="GG570" s="3">
        <f t="shared" si="424"/>
        <v>0</v>
      </c>
      <c r="GH570" s="3">
        <f t="shared" si="424"/>
        <v>0</v>
      </c>
      <c r="GI570" s="3">
        <f t="shared" si="424"/>
        <v>0</v>
      </c>
      <c r="GJ570" s="3">
        <f t="shared" si="424"/>
        <v>0</v>
      </c>
      <c r="GK570" s="3">
        <f t="shared" si="424"/>
        <v>0</v>
      </c>
      <c r="GL570" s="3">
        <f t="shared" si="424"/>
        <v>0</v>
      </c>
      <c r="GM570" s="3">
        <f t="shared" si="424"/>
        <v>0</v>
      </c>
      <c r="GN570" s="3">
        <f t="shared" si="424"/>
        <v>0</v>
      </c>
      <c r="GO570" s="3">
        <f t="shared" si="424"/>
        <v>0</v>
      </c>
      <c r="GP570" s="3">
        <f t="shared" si="424"/>
        <v>0</v>
      </c>
      <c r="GQ570" s="3">
        <f t="shared" si="424"/>
        <v>0</v>
      </c>
      <c r="GR570" s="3">
        <f t="shared" si="424"/>
        <v>0</v>
      </c>
      <c r="GS570" s="3">
        <f t="shared" si="424"/>
        <v>0</v>
      </c>
      <c r="GT570" s="3">
        <f t="shared" si="424"/>
        <v>0</v>
      </c>
      <c r="GU570" s="3">
        <f t="shared" si="424"/>
        <v>0</v>
      </c>
      <c r="GV570" s="3">
        <f t="shared" si="424"/>
        <v>0</v>
      </c>
      <c r="GW570" s="3">
        <f t="shared" si="424"/>
        <v>0</v>
      </c>
      <c r="GX570" s="3">
        <f t="shared" si="424"/>
        <v>0</v>
      </c>
    </row>
    <row r="572" spans="1:245" x14ac:dyDescent="0.2">
      <c r="A572">
        <v>17</v>
      </c>
      <c r="B572">
        <v>1</v>
      </c>
      <c r="C572">
        <f>ROW(SmtRes!A801)</f>
        <v>801</v>
      </c>
      <c r="D572">
        <f>ROW(EtalonRes!A732)</f>
        <v>732</v>
      </c>
      <c r="E572" t="s">
        <v>1007</v>
      </c>
      <c r="F572" t="s">
        <v>837</v>
      </c>
      <c r="G572" t="s">
        <v>838</v>
      </c>
      <c r="H572" t="s">
        <v>66</v>
      </c>
      <c r="I572">
        <f>ROUND(18/100,9)</f>
        <v>0.18</v>
      </c>
      <c r="J572">
        <v>0</v>
      </c>
      <c r="O572">
        <f t="shared" ref="O572:O580" si="425">ROUND(CP572,2)</f>
        <v>536</v>
      </c>
      <c r="P572">
        <f t="shared" ref="P572:P580" si="426">ROUND(CQ572*I572,2)</f>
        <v>125.66</v>
      </c>
      <c r="Q572">
        <f t="shared" ref="Q572:Q580" si="427">ROUND(CR572*I572,2)</f>
        <v>5.51</v>
      </c>
      <c r="R572">
        <f t="shared" ref="R572:R580" si="428">ROUND(CS572*I572,2)</f>
        <v>0.76</v>
      </c>
      <c r="S572">
        <f t="shared" ref="S572:S580" si="429">ROUND(CT572*I572,2)</f>
        <v>404.83</v>
      </c>
      <c r="T572">
        <f t="shared" ref="T572:T580" si="430">ROUND(CU572*I572,2)</f>
        <v>0</v>
      </c>
      <c r="U572">
        <f t="shared" ref="U572:U580" si="431">CV572*I572</f>
        <v>6.2208000000000006</v>
      </c>
      <c r="V572">
        <f t="shared" ref="V572:V580" si="432">CW572*I572</f>
        <v>8.9999999999999993E-3</v>
      </c>
      <c r="W572">
        <f t="shared" ref="W572:W580" si="433">ROUND(CX572*I572,2)</f>
        <v>0</v>
      </c>
      <c r="X572">
        <f t="shared" ref="X572:X580" si="434">ROUND(CY572,2)</f>
        <v>385.31</v>
      </c>
      <c r="Y572">
        <f t="shared" ref="Y572:Y580" si="435">ROUND(CZ572,2)</f>
        <v>263.63</v>
      </c>
      <c r="AA572">
        <v>16742901</v>
      </c>
      <c r="AB572">
        <f t="shared" ref="AB572:AB580" si="436">ROUND((AC572+AD572+AF572),2)</f>
        <v>453.93</v>
      </c>
      <c r="AC572">
        <f t="shared" ref="AC572:AC580" si="437">ROUND((ES572),2)</f>
        <v>106.42</v>
      </c>
      <c r="AD572">
        <f t="shared" ref="AD572:AD580" si="438">ROUND((((ET572)-(EU572))+AE572),2)</f>
        <v>4.67</v>
      </c>
      <c r="AE572">
        <f t="shared" ref="AE572:AE580" si="439">ROUND((EU572),2)</f>
        <v>0.64</v>
      </c>
      <c r="AF572">
        <f t="shared" ref="AF572:AF580" si="440">ROUND((EV572),2)</f>
        <v>342.84</v>
      </c>
      <c r="AG572">
        <f t="shared" ref="AG572:AG580" si="441">ROUND((AP572),2)</f>
        <v>0</v>
      </c>
      <c r="AH572">
        <f t="shared" ref="AH572:AH580" si="442">(EW572)</f>
        <v>34.56</v>
      </c>
      <c r="AI572">
        <f t="shared" ref="AI572:AI580" si="443">(EX572)</f>
        <v>0.05</v>
      </c>
      <c r="AJ572">
        <f t="shared" ref="AJ572:AJ580" si="444">ROUND((AS572),2)</f>
        <v>0</v>
      </c>
      <c r="AK572">
        <v>453.93</v>
      </c>
      <c r="AL572">
        <v>106.42</v>
      </c>
      <c r="AM572">
        <v>4.67</v>
      </c>
      <c r="AN572">
        <v>0.64</v>
      </c>
      <c r="AO572">
        <v>342.84</v>
      </c>
      <c r="AP572">
        <v>0</v>
      </c>
      <c r="AQ572">
        <v>34.56</v>
      </c>
      <c r="AR572">
        <v>0.05</v>
      </c>
      <c r="AS572">
        <v>0</v>
      </c>
      <c r="AT572">
        <v>95</v>
      </c>
      <c r="AU572">
        <v>65</v>
      </c>
      <c r="AV572">
        <v>1</v>
      </c>
      <c r="AW572">
        <v>1</v>
      </c>
      <c r="AZ572">
        <v>6.56</v>
      </c>
      <c r="BA572">
        <v>6.56</v>
      </c>
      <c r="BB572">
        <v>6.56</v>
      </c>
      <c r="BC572">
        <v>6.56</v>
      </c>
      <c r="BD572" t="s">
        <v>6</v>
      </c>
      <c r="BE572" t="s">
        <v>6</v>
      </c>
      <c r="BF572" t="s">
        <v>6</v>
      </c>
      <c r="BG572" t="s">
        <v>6</v>
      </c>
      <c r="BH572">
        <v>0</v>
      </c>
      <c r="BI572">
        <v>2</v>
      </c>
      <c r="BJ572" t="s">
        <v>839</v>
      </c>
      <c r="BM572">
        <v>108001</v>
      </c>
      <c r="BN572">
        <v>0</v>
      </c>
      <c r="BO572" t="s">
        <v>6</v>
      </c>
      <c r="BP572">
        <v>0</v>
      </c>
      <c r="BQ572">
        <v>3</v>
      </c>
      <c r="BR572">
        <v>0</v>
      </c>
      <c r="BS572">
        <v>6.56</v>
      </c>
      <c r="BT572">
        <v>1</v>
      </c>
      <c r="BU572">
        <v>1</v>
      </c>
      <c r="BV572">
        <v>1</v>
      </c>
      <c r="BW572">
        <v>1</v>
      </c>
      <c r="BX572">
        <v>1</v>
      </c>
      <c r="BY572" t="s">
        <v>6</v>
      </c>
      <c r="BZ572">
        <v>95</v>
      </c>
      <c r="CA572">
        <v>65</v>
      </c>
      <c r="CF572">
        <v>0</v>
      </c>
      <c r="CG572">
        <v>0</v>
      </c>
      <c r="CM572">
        <v>0</v>
      </c>
      <c r="CN572" t="s">
        <v>6</v>
      </c>
      <c r="CO572">
        <v>0</v>
      </c>
      <c r="CP572">
        <f t="shared" ref="CP572:CP580" si="445">(P572+Q572+S572)</f>
        <v>536</v>
      </c>
      <c r="CQ572">
        <f t="shared" ref="CQ572:CQ580" si="446">AC572*BC572</f>
        <v>698.11519999999996</v>
      </c>
      <c r="CR572">
        <f t="shared" ref="CR572:CR580" si="447">AD572*BB572</f>
        <v>30.635199999999998</v>
      </c>
      <c r="CS572">
        <f t="shared" ref="CS572:CS580" si="448">AE572*BS572</f>
        <v>4.1983999999999995</v>
      </c>
      <c r="CT572">
        <f t="shared" ref="CT572:CT580" si="449">AF572*BA572</f>
        <v>2249.0303999999996</v>
      </c>
      <c r="CU572">
        <f t="shared" ref="CU572:CU580" si="450">AG572</f>
        <v>0</v>
      </c>
      <c r="CV572">
        <f t="shared" ref="CV572:CV580" si="451">AH572</f>
        <v>34.56</v>
      </c>
      <c r="CW572">
        <f t="shared" ref="CW572:CW580" si="452">AI572</f>
        <v>0.05</v>
      </c>
      <c r="CX572">
        <f t="shared" ref="CX572:CX580" si="453">AJ572</f>
        <v>0</v>
      </c>
      <c r="CY572">
        <f t="shared" ref="CY572:CY580" si="454">(((S572+R572)*AT572)/100)</f>
        <v>385.31049999999993</v>
      </c>
      <c r="CZ572">
        <f t="shared" ref="CZ572:CZ580" si="455">(((S572+R572)*AU572)/100)</f>
        <v>263.63349999999997</v>
      </c>
      <c r="DC572" t="s">
        <v>6</v>
      </c>
      <c r="DD572" t="s">
        <v>6</v>
      </c>
      <c r="DE572" t="s">
        <v>6</v>
      </c>
      <c r="DF572" t="s">
        <v>6</v>
      </c>
      <c r="DG572" t="s">
        <v>6</v>
      </c>
      <c r="DH572" t="s">
        <v>6</v>
      </c>
      <c r="DI572" t="s">
        <v>6</v>
      </c>
      <c r="DJ572" t="s">
        <v>6</v>
      </c>
      <c r="DK572" t="s">
        <v>6</v>
      </c>
      <c r="DL572" t="s">
        <v>6</v>
      </c>
      <c r="DM572" t="s">
        <v>6</v>
      </c>
      <c r="DN572">
        <v>0</v>
      </c>
      <c r="DO572">
        <v>0</v>
      </c>
      <c r="DP572">
        <v>1</v>
      </c>
      <c r="DQ572">
        <v>1</v>
      </c>
      <c r="DU572">
        <v>1013</v>
      </c>
      <c r="DV572" t="s">
        <v>66</v>
      </c>
      <c r="DW572" t="s">
        <v>66</v>
      </c>
      <c r="DX572">
        <v>1</v>
      </c>
      <c r="EE572">
        <v>16510370</v>
      </c>
      <c r="EF572">
        <v>3</v>
      </c>
      <c r="EG572" t="s">
        <v>83</v>
      </c>
      <c r="EH572">
        <v>0</v>
      </c>
      <c r="EI572" t="s">
        <v>6</v>
      </c>
      <c r="EJ572">
        <v>2</v>
      </c>
      <c r="EK572">
        <v>108001</v>
      </c>
      <c r="EL572" t="s">
        <v>84</v>
      </c>
      <c r="EM572" t="s">
        <v>85</v>
      </c>
      <c r="EO572" t="s">
        <v>6</v>
      </c>
      <c r="EQ572">
        <v>131072</v>
      </c>
      <c r="ER572">
        <v>453.93</v>
      </c>
      <c r="ES572">
        <v>106.42</v>
      </c>
      <c r="ET572">
        <v>4.67</v>
      </c>
      <c r="EU572">
        <v>0.64</v>
      </c>
      <c r="EV572">
        <v>342.84</v>
      </c>
      <c r="EW572">
        <v>34.56</v>
      </c>
      <c r="EX572">
        <v>0.05</v>
      </c>
      <c r="EY572">
        <v>0</v>
      </c>
      <c r="FQ572">
        <v>0</v>
      </c>
      <c r="FR572">
        <f t="shared" ref="FR572:FR580" si="456">ROUND(IF(AND(BH572=3,BI572=3),P572,0),2)</f>
        <v>0</v>
      </c>
      <c r="FS572">
        <v>0</v>
      </c>
      <c r="FX572">
        <v>95</v>
      </c>
      <c r="FY572">
        <v>65</v>
      </c>
      <c r="GA572" t="s">
        <v>6</v>
      </c>
      <c r="GD572">
        <v>0</v>
      </c>
      <c r="GF572">
        <v>1188648583</v>
      </c>
      <c r="GG572">
        <v>1</v>
      </c>
      <c r="GH572">
        <v>1</v>
      </c>
      <c r="GI572">
        <v>4</v>
      </c>
      <c r="GJ572">
        <v>0</v>
      </c>
      <c r="GK572">
        <f>ROUND(R572*(R12)/100,2)</f>
        <v>0</v>
      </c>
      <c r="GL572">
        <f t="shared" ref="GL572:GL580" si="457">ROUND(IF(AND(BH572=3,BI572=3,FS572&lt;&gt;0),P572,0),2)</f>
        <v>0</v>
      </c>
      <c r="GM572">
        <f t="shared" ref="GM572:GM580" si="458">ROUND(O572+X572+Y572+GK572,2)+GX572</f>
        <v>1184.94</v>
      </c>
      <c r="GN572">
        <f t="shared" ref="GN572:GN580" si="459">IF(OR(BI572=0,BI572=1),ROUND(O572+X572+Y572+GK572,2),0)</f>
        <v>0</v>
      </c>
      <c r="GO572">
        <f t="shared" ref="GO572:GO580" si="460">IF(BI572=2,ROUND(O572+X572+Y572+GK572,2),0)</f>
        <v>1184.94</v>
      </c>
      <c r="GP572">
        <f t="shared" ref="GP572:GP580" si="461">IF(BI572=4,ROUND(O572+X572+Y572+GK572,2)+GX572,0)</f>
        <v>0</v>
      </c>
      <c r="GR572">
        <v>0</v>
      </c>
      <c r="GS572">
        <v>3</v>
      </c>
      <c r="GT572">
        <v>0</v>
      </c>
      <c r="GU572" t="s">
        <v>6</v>
      </c>
      <c r="GV572">
        <f t="shared" ref="GV572:GV580" si="462">ROUND(GT572,2)</f>
        <v>0</v>
      </c>
      <c r="GW572">
        <v>1</v>
      </c>
      <c r="GX572">
        <f t="shared" ref="GX572:GX580" si="463">ROUND(GV572*GW572*I572,2)</f>
        <v>0</v>
      </c>
      <c r="HA572">
        <v>0</v>
      </c>
      <c r="HB572">
        <v>0</v>
      </c>
      <c r="IK572">
        <v>0</v>
      </c>
    </row>
    <row r="573" spans="1:245" x14ac:dyDescent="0.2">
      <c r="A573">
        <v>18</v>
      </c>
      <c r="B573">
        <v>1</v>
      </c>
      <c r="C573">
        <v>800</v>
      </c>
      <c r="E573" t="s">
        <v>1008</v>
      </c>
      <c r="F573" t="s">
        <v>841</v>
      </c>
      <c r="G573" t="s">
        <v>1009</v>
      </c>
      <c r="H573" t="s">
        <v>843</v>
      </c>
      <c r="I573">
        <f>I572*J573</f>
        <v>0.18</v>
      </c>
      <c r="J573">
        <v>1</v>
      </c>
      <c r="O573">
        <f t="shared" si="425"/>
        <v>681.32</v>
      </c>
      <c r="P573">
        <f t="shared" si="426"/>
        <v>681.32</v>
      </c>
      <c r="Q573">
        <f t="shared" si="427"/>
        <v>0</v>
      </c>
      <c r="R573">
        <f t="shared" si="428"/>
        <v>0</v>
      </c>
      <c r="S573">
        <f t="shared" si="429"/>
        <v>0</v>
      </c>
      <c r="T573">
        <f t="shared" si="430"/>
        <v>0</v>
      </c>
      <c r="U573">
        <f t="shared" si="431"/>
        <v>0</v>
      </c>
      <c r="V573">
        <f t="shared" si="432"/>
        <v>0</v>
      </c>
      <c r="W573">
        <f t="shared" si="433"/>
        <v>0</v>
      </c>
      <c r="X573">
        <f t="shared" si="434"/>
        <v>0</v>
      </c>
      <c r="Y573">
        <f t="shared" si="435"/>
        <v>0</v>
      </c>
      <c r="AA573">
        <v>16742901</v>
      </c>
      <c r="AB573">
        <f t="shared" si="436"/>
        <v>577</v>
      </c>
      <c r="AC573">
        <f t="shared" si="437"/>
        <v>577</v>
      </c>
      <c r="AD573">
        <f t="shared" si="438"/>
        <v>0</v>
      </c>
      <c r="AE573">
        <f t="shared" si="439"/>
        <v>0</v>
      </c>
      <c r="AF573">
        <f t="shared" si="440"/>
        <v>0</v>
      </c>
      <c r="AG573">
        <f t="shared" si="441"/>
        <v>0</v>
      </c>
      <c r="AH573">
        <f t="shared" si="442"/>
        <v>0</v>
      </c>
      <c r="AI573">
        <f t="shared" si="443"/>
        <v>0</v>
      </c>
      <c r="AJ573">
        <f t="shared" si="444"/>
        <v>0</v>
      </c>
      <c r="AK573">
        <v>577</v>
      </c>
      <c r="AL573">
        <v>577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95</v>
      </c>
      <c r="AU573">
        <v>65</v>
      </c>
      <c r="AV573">
        <v>1</v>
      </c>
      <c r="AW573">
        <v>1</v>
      </c>
      <c r="AZ573">
        <v>6.56</v>
      </c>
      <c r="BA573">
        <v>1</v>
      </c>
      <c r="BB573">
        <v>1</v>
      </c>
      <c r="BC573">
        <v>6.56</v>
      </c>
      <c r="BD573" t="s">
        <v>6</v>
      </c>
      <c r="BE573" t="s">
        <v>6</v>
      </c>
      <c r="BF573" t="s">
        <v>6</v>
      </c>
      <c r="BG573" t="s">
        <v>6</v>
      </c>
      <c r="BH573">
        <v>3</v>
      </c>
      <c r="BI573">
        <v>2</v>
      </c>
      <c r="BJ573" t="s">
        <v>844</v>
      </c>
      <c r="BM573">
        <v>108001</v>
      </c>
      <c r="BN573">
        <v>0</v>
      </c>
      <c r="BO573" t="s">
        <v>6</v>
      </c>
      <c r="BP573">
        <v>0</v>
      </c>
      <c r="BQ573">
        <v>3</v>
      </c>
      <c r="BR573">
        <v>0</v>
      </c>
      <c r="BS573">
        <v>1</v>
      </c>
      <c r="BT573">
        <v>1</v>
      </c>
      <c r="BU573">
        <v>1</v>
      </c>
      <c r="BV573">
        <v>1</v>
      </c>
      <c r="BW573">
        <v>1</v>
      </c>
      <c r="BX573">
        <v>1</v>
      </c>
      <c r="BY573" t="s">
        <v>6</v>
      </c>
      <c r="BZ573">
        <v>95</v>
      </c>
      <c r="CA573">
        <v>65</v>
      </c>
      <c r="CF573">
        <v>0</v>
      </c>
      <c r="CG573">
        <v>0</v>
      </c>
      <c r="CM573">
        <v>0</v>
      </c>
      <c r="CN573" t="s">
        <v>6</v>
      </c>
      <c r="CO573">
        <v>0</v>
      </c>
      <c r="CP573">
        <f t="shared" si="445"/>
        <v>681.32</v>
      </c>
      <c r="CQ573">
        <f t="shared" si="446"/>
        <v>3785.12</v>
      </c>
      <c r="CR573">
        <f t="shared" si="447"/>
        <v>0</v>
      </c>
      <c r="CS573">
        <f t="shared" si="448"/>
        <v>0</v>
      </c>
      <c r="CT573">
        <f t="shared" si="449"/>
        <v>0</v>
      </c>
      <c r="CU573">
        <f t="shared" si="450"/>
        <v>0</v>
      </c>
      <c r="CV573">
        <f t="shared" si="451"/>
        <v>0</v>
      </c>
      <c r="CW573">
        <f t="shared" si="452"/>
        <v>0</v>
      </c>
      <c r="CX573">
        <f t="shared" si="453"/>
        <v>0</v>
      </c>
      <c r="CY573">
        <f t="shared" si="454"/>
        <v>0</v>
      </c>
      <c r="CZ573">
        <f t="shared" si="455"/>
        <v>0</v>
      </c>
      <c r="DC573" t="s">
        <v>6</v>
      </c>
      <c r="DD573" t="s">
        <v>6</v>
      </c>
      <c r="DE573" t="s">
        <v>6</v>
      </c>
      <c r="DF573" t="s">
        <v>6</v>
      </c>
      <c r="DG573" t="s">
        <v>6</v>
      </c>
      <c r="DH573" t="s">
        <v>6</v>
      </c>
      <c r="DI573" t="s">
        <v>6</v>
      </c>
      <c r="DJ573" t="s">
        <v>6</v>
      </c>
      <c r="DK573" t="s">
        <v>6</v>
      </c>
      <c r="DL573" t="s">
        <v>6</v>
      </c>
      <c r="DM573" t="s">
        <v>6</v>
      </c>
      <c r="DN573">
        <v>0</v>
      </c>
      <c r="DO573">
        <v>0</v>
      </c>
      <c r="DP573">
        <v>1</v>
      </c>
      <c r="DQ573">
        <v>1</v>
      </c>
      <c r="DU573">
        <v>1010</v>
      </c>
      <c r="DV573" t="s">
        <v>843</v>
      </c>
      <c r="DW573" t="s">
        <v>843</v>
      </c>
      <c r="DX573">
        <v>100</v>
      </c>
      <c r="EE573">
        <v>16510370</v>
      </c>
      <c r="EF573">
        <v>3</v>
      </c>
      <c r="EG573" t="s">
        <v>83</v>
      </c>
      <c r="EH573">
        <v>0</v>
      </c>
      <c r="EI573" t="s">
        <v>6</v>
      </c>
      <c r="EJ573">
        <v>2</v>
      </c>
      <c r="EK573">
        <v>108001</v>
      </c>
      <c r="EL573" t="s">
        <v>84</v>
      </c>
      <c r="EM573" t="s">
        <v>85</v>
      </c>
      <c r="EO573" t="s">
        <v>6</v>
      </c>
      <c r="EQ573">
        <v>0</v>
      </c>
      <c r="ER573">
        <v>577</v>
      </c>
      <c r="ES573">
        <v>577</v>
      </c>
      <c r="ET573">
        <v>0</v>
      </c>
      <c r="EU573">
        <v>0</v>
      </c>
      <c r="EV573">
        <v>0</v>
      </c>
      <c r="EW573">
        <v>0</v>
      </c>
      <c r="EX573">
        <v>0</v>
      </c>
      <c r="FQ573">
        <v>0</v>
      </c>
      <c r="FR573">
        <f t="shared" si="456"/>
        <v>0</v>
      </c>
      <c r="FS573">
        <v>0</v>
      </c>
      <c r="FX573">
        <v>95</v>
      </c>
      <c r="FY573">
        <v>65</v>
      </c>
      <c r="GA573" t="s">
        <v>6</v>
      </c>
      <c r="GD573">
        <v>0</v>
      </c>
      <c r="GF573">
        <v>1169296768</v>
      </c>
      <c r="GG573">
        <v>1</v>
      </c>
      <c r="GH573">
        <v>1</v>
      </c>
      <c r="GI573">
        <v>4</v>
      </c>
      <c r="GJ573">
        <v>0</v>
      </c>
      <c r="GK573">
        <f>ROUND(R573*(R12)/100,2)</f>
        <v>0</v>
      </c>
      <c r="GL573">
        <f t="shared" si="457"/>
        <v>0</v>
      </c>
      <c r="GM573">
        <f t="shared" si="458"/>
        <v>681.32</v>
      </c>
      <c r="GN573">
        <f t="shared" si="459"/>
        <v>0</v>
      </c>
      <c r="GO573">
        <f t="shared" si="460"/>
        <v>681.32</v>
      </c>
      <c r="GP573">
        <f t="shared" si="461"/>
        <v>0</v>
      </c>
      <c r="GR573">
        <v>0</v>
      </c>
      <c r="GS573">
        <v>3</v>
      </c>
      <c r="GT573">
        <v>0</v>
      </c>
      <c r="GU573" t="s">
        <v>6</v>
      </c>
      <c r="GV573">
        <f t="shared" si="462"/>
        <v>0</v>
      </c>
      <c r="GW573">
        <v>1</v>
      </c>
      <c r="GX573">
        <f t="shared" si="463"/>
        <v>0</v>
      </c>
      <c r="HA573">
        <v>0</v>
      </c>
      <c r="HB573">
        <v>0</v>
      </c>
      <c r="IK573">
        <v>0</v>
      </c>
    </row>
    <row r="574" spans="1:245" x14ac:dyDescent="0.2">
      <c r="A574">
        <v>17</v>
      </c>
      <c r="B574">
        <v>1</v>
      </c>
      <c r="C574">
        <f>ROW(SmtRes!A808)</f>
        <v>808</v>
      </c>
      <c r="D574">
        <f>ROW(EtalonRes!A738)</f>
        <v>738</v>
      </c>
      <c r="E574" t="s">
        <v>1010</v>
      </c>
      <c r="F574" t="s">
        <v>1011</v>
      </c>
      <c r="G574" t="s">
        <v>1012</v>
      </c>
      <c r="H574" t="s">
        <v>34</v>
      </c>
      <c r="I574">
        <f>ROUND(692/100,9)</f>
        <v>6.92</v>
      </c>
      <c r="J574">
        <v>0</v>
      </c>
      <c r="O574">
        <f t="shared" si="425"/>
        <v>7534.24</v>
      </c>
      <c r="P574">
        <f t="shared" si="426"/>
        <v>160.69999999999999</v>
      </c>
      <c r="Q574">
        <f t="shared" si="427"/>
        <v>2001.93</v>
      </c>
      <c r="R574">
        <f t="shared" si="428"/>
        <v>223.8</v>
      </c>
      <c r="S574">
        <f t="shared" si="429"/>
        <v>5371.61</v>
      </c>
      <c r="T574">
        <f t="shared" si="430"/>
        <v>0</v>
      </c>
      <c r="U574">
        <f t="shared" si="431"/>
        <v>85.116</v>
      </c>
      <c r="V574">
        <f t="shared" si="432"/>
        <v>3.3908</v>
      </c>
      <c r="W574">
        <f t="shared" si="433"/>
        <v>0</v>
      </c>
      <c r="X574">
        <f t="shared" si="434"/>
        <v>4476.33</v>
      </c>
      <c r="Y574">
        <f t="shared" si="435"/>
        <v>3357.25</v>
      </c>
      <c r="AA574">
        <v>16742901</v>
      </c>
      <c r="AB574">
        <f t="shared" si="436"/>
        <v>165.97</v>
      </c>
      <c r="AC574">
        <f t="shared" si="437"/>
        <v>3.54</v>
      </c>
      <c r="AD574">
        <f t="shared" si="438"/>
        <v>44.1</v>
      </c>
      <c r="AE574">
        <f t="shared" si="439"/>
        <v>4.93</v>
      </c>
      <c r="AF574">
        <f t="shared" si="440"/>
        <v>118.33</v>
      </c>
      <c r="AG574">
        <f t="shared" si="441"/>
        <v>0</v>
      </c>
      <c r="AH574">
        <f t="shared" si="442"/>
        <v>12.3</v>
      </c>
      <c r="AI574">
        <f t="shared" si="443"/>
        <v>0.49</v>
      </c>
      <c r="AJ574">
        <f t="shared" si="444"/>
        <v>0</v>
      </c>
      <c r="AK574">
        <v>165.97</v>
      </c>
      <c r="AL574">
        <v>3.54</v>
      </c>
      <c r="AM574">
        <v>44.1</v>
      </c>
      <c r="AN574">
        <v>4.93</v>
      </c>
      <c r="AO574">
        <v>118.33</v>
      </c>
      <c r="AP574">
        <v>0</v>
      </c>
      <c r="AQ574">
        <v>12.3</v>
      </c>
      <c r="AR574">
        <v>0.49</v>
      </c>
      <c r="AS574">
        <v>0</v>
      </c>
      <c r="AT574">
        <v>80</v>
      </c>
      <c r="AU574">
        <v>60</v>
      </c>
      <c r="AV574">
        <v>1</v>
      </c>
      <c r="AW574">
        <v>1</v>
      </c>
      <c r="AZ574">
        <v>6.56</v>
      </c>
      <c r="BA574">
        <v>6.56</v>
      </c>
      <c r="BB574">
        <v>6.56</v>
      </c>
      <c r="BC574">
        <v>6.56</v>
      </c>
      <c r="BD574" t="s">
        <v>6</v>
      </c>
      <c r="BE574" t="s">
        <v>6</v>
      </c>
      <c r="BF574" t="s">
        <v>6</v>
      </c>
      <c r="BG574" t="s">
        <v>6</v>
      </c>
      <c r="BH574">
        <v>0</v>
      </c>
      <c r="BI574">
        <v>2</v>
      </c>
      <c r="BJ574" t="s">
        <v>1013</v>
      </c>
      <c r="BM574">
        <v>110001</v>
      </c>
      <c r="BN574">
        <v>0</v>
      </c>
      <c r="BO574" t="s">
        <v>6</v>
      </c>
      <c r="BP574">
        <v>0</v>
      </c>
      <c r="BQ574">
        <v>3</v>
      </c>
      <c r="BR574">
        <v>0</v>
      </c>
      <c r="BS574">
        <v>6.56</v>
      </c>
      <c r="BT574">
        <v>1</v>
      </c>
      <c r="BU574">
        <v>1</v>
      </c>
      <c r="BV574">
        <v>1</v>
      </c>
      <c r="BW574">
        <v>1</v>
      </c>
      <c r="BX574">
        <v>1</v>
      </c>
      <c r="BY574" t="s">
        <v>6</v>
      </c>
      <c r="BZ574">
        <v>80</v>
      </c>
      <c r="CA574">
        <v>60</v>
      </c>
      <c r="CF574">
        <v>0</v>
      </c>
      <c r="CG574">
        <v>0</v>
      </c>
      <c r="CM574">
        <v>0</v>
      </c>
      <c r="CN574" t="s">
        <v>6</v>
      </c>
      <c r="CO574">
        <v>0</v>
      </c>
      <c r="CP574">
        <f t="shared" si="445"/>
        <v>7534.24</v>
      </c>
      <c r="CQ574">
        <f t="shared" si="446"/>
        <v>23.2224</v>
      </c>
      <c r="CR574">
        <f t="shared" si="447"/>
        <v>289.29599999999999</v>
      </c>
      <c r="CS574">
        <f t="shared" si="448"/>
        <v>32.340799999999994</v>
      </c>
      <c r="CT574">
        <f t="shared" si="449"/>
        <v>776.24479999999994</v>
      </c>
      <c r="CU574">
        <f t="shared" si="450"/>
        <v>0</v>
      </c>
      <c r="CV574">
        <f t="shared" si="451"/>
        <v>12.3</v>
      </c>
      <c r="CW574">
        <f t="shared" si="452"/>
        <v>0.49</v>
      </c>
      <c r="CX574">
        <f t="shared" si="453"/>
        <v>0</v>
      </c>
      <c r="CY574">
        <f t="shared" si="454"/>
        <v>4476.3279999999995</v>
      </c>
      <c r="CZ574">
        <f t="shared" si="455"/>
        <v>3357.2459999999996</v>
      </c>
      <c r="DC574" t="s">
        <v>6</v>
      </c>
      <c r="DD574" t="s">
        <v>6</v>
      </c>
      <c r="DE574" t="s">
        <v>6</v>
      </c>
      <c r="DF574" t="s">
        <v>6</v>
      </c>
      <c r="DG574" t="s">
        <v>6</v>
      </c>
      <c r="DH574" t="s">
        <v>6</v>
      </c>
      <c r="DI574" t="s">
        <v>6</v>
      </c>
      <c r="DJ574" t="s">
        <v>6</v>
      </c>
      <c r="DK574" t="s">
        <v>6</v>
      </c>
      <c r="DL574" t="s">
        <v>6</v>
      </c>
      <c r="DM574" t="s">
        <v>6</v>
      </c>
      <c r="DN574">
        <v>0</v>
      </c>
      <c r="DO574">
        <v>0</v>
      </c>
      <c r="DP574">
        <v>1</v>
      </c>
      <c r="DQ574">
        <v>1</v>
      </c>
      <c r="DU574">
        <v>1003</v>
      </c>
      <c r="DV574" t="s">
        <v>34</v>
      </c>
      <c r="DW574" t="s">
        <v>34</v>
      </c>
      <c r="DX574">
        <v>100</v>
      </c>
      <c r="EE574">
        <v>16510373</v>
      </c>
      <c r="EF574">
        <v>3</v>
      </c>
      <c r="EG574" t="s">
        <v>83</v>
      </c>
      <c r="EH574">
        <v>0</v>
      </c>
      <c r="EI574" t="s">
        <v>6</v>
      </c>
      <c r="EJ574">
        <v>2</v>
      </c>
      <c r="EK574">
        <v>110001</v>
      </c>
      <c r="EL574" t="s">
        <v>1005</v>
      </c>
      <c r="EM574" t="s">
        <v>768</v>
      </c>
      <c r="EO574" t="s">
        <v>6</v>
      </c>
      <c r="EQ574">
        <v>131072</v>
      </c>
      <c r="ER574">
        <v>165.97</v>
      </c>
      <c r="ES574">
        <v>3.54</v>
      </c>
      <c r="ET574">
        <v>44.1</v>
      </c>
      <c r="EU574">
        <v>4.93</v>
      </c>
      <c r="EV574">
        <v>118.33</v>
      </c>
      <c r="EW574">
        <v>12.3</v>
      </c>
      <c r="EX574">
        <v>0.49</v>
      </c>
      <c r="EY574">
        <v>0</v>
      </c>
      <c r="FQ574">
        <v>0</v>
      </c>
      <c r="FR574">
        <f t="shared" si="456"/>
        <v>0</v>
      </c>
      <c r="FS574">
        <v>0</v>
      </c>
      <c r="FX574">
        <v>80</v>
      </c>
      <c r="FY574">
        <v>60</v>
      </c>
      <c r="GA574" t="s">
        <v>6</v>
      </c>
      <c r="GD574">
        <v>0</v>
      </c>
      <c r="GF574">
        <v>1160083014</v>
      </c>
      <c r="GG574">
        <v>1</v>
      </c>
      <c r="GH574">
        <v>1</v>
      </c>
      <c r="GI574">
        <v>4</v>
      </c>
      <c r="GJ574">
        <v>0</v>
      </c>
      <c r="GK574">
        <f>ROUND(R574*(R12)/100,2)</f>
        <v>0</v>
      </c>
      <c r="GL574">
        <f t="shared" si="457"/>
        <v>0</v>
      </c>
      <c r="GM574">
        <f t="shared" si="458"/>
        <v>15367.82</v>
      </c>
      <c r="GN574">
        <f t="shared" si="459"/>
        <v>0</v>
      </c>
      <c r="GO574">
        <f t="shared" si="460"/>
        <v>15367.82</v>
      </c>
      <c r="GP574">
        <f t="shared" si="461"/>
        <v>0</v>
      </c>
      <c r="GR574">
        <v>0</v>
      </c>
      <c r="GS574">
        <v>3</v>
      </c>
      <c r="GT574">
        <v>0</v>
      </c>
      <c r="GU574" t="s">
        <v>6</v>
      </c>
      <c r="GV574">
        <f t="shared" si="462"/>
        <v>0</v>
      </c>
      <c r="GW574">
        <v>1</v>
      </c>
      <c r="GX574">
        <f t="shared" si="463"/>
        <v>0</v>
      </c>
      <c r="HA574">
        <v>0</v>
      </c>
      <c r="HB574">
        <v>0</v>
      </c>
      <c r="IK574">
        <v>0</v>
      </c>
    </row>
    <row r="575" spans="1:245" x14ac:dyDescent="0.2">
      <c r="A575">
        <v>18</v>
      </c>
      <c r="B575">
        <v>1</v>
      </c>
      <c r="C575">
        <v>807</v>
      </c>
      <c r="E575" t="s">
        <v>1014</v>
      </c>
      <c r="F575" t="s">
        <v>1015</v>
      </c>
      <c r="G575" t="s">
        <v>1016</v>
      </c>
      <c r="H575" t="s">
        <v>749</v>
      </c>
      <c r="I575">
        <f>I574*J575</f>
        <v>0.69199999999999995</v>
      </c>
      <c r="J575">
        <v>9.9999999999999992E-2</v>
      </c>
      <c r="O575">
        <f t="shared" si="425"/>
        <v>5221.3100000000004</v>
      </c>
      <c r="P575">
        <f t="shared" si="426"/>
        <v>5221.3100000000004</v>
      </c>
      <c r="Q575">
        <f t="shared" si="427"/>
        <v>0</v>
      </c>
      <c r="R575">
        <f t="shared" si="428"/>
        <v>0</v>
      </c>
      <c r="S575">
        <f t="shared" si="429"/>
        <v>0</v>
      </c>
      <c r="T575">
        <f t="shared" si="430"/>
        <v>0</v>
      </c>
      <c r="U575">
        <f t="shared" si="431"/>
        <v>0</v>
      </c>
      <c r="V575">
        <f t="shared" si="432"/>
        <v>0</v>
      </c>
      <c r="W575">
        <f t="shared" si="433"/>
        <v>0</v>
      </c>
      <c r="X575">
        <f t="shared" si="434"/>
        <v>0</v>
      </c>
      <c r="Y575">
        <f t="shared" si="435"/>
        <v>0</v>
      </c>
      <c r="AA575">
        <v>16742901</v>
      </c>
      <c r="AB575">
        <f t="shared" si="436"/>
        <v>1150.19</v>
      </c>
      <c r="AC575">
        <f t="shared" si="437"/>
        <v>1150.19</v>
      </c>
      <c r="AD575">
        <f t="shared" si="438"/>
        <v>0</v>
      </c>
      <c r="AE575">
        <f t="shared" si="439"/>
        <v>0</v>
      </c>
      <c r="AF575">
        <f t="shared" si="440"/>
        <v>0</v>
      </c>
      <c r="AG575">
        <f t="shared" si="441"/>
        <v>0</v>
      </c>
      <c r="AH575">
        <f t="shared" si="442"/>
        <v>0</v>
      </c>
      <c r="AI575">
        <f t="shared" si="443"/>
        <v>0</v>
      </c>
      <c r="AJ575">
        <f t="shared" si="444"/>
        <v>0</v>
      </c>
      <c r="AK575">
        <v>1150.19</v>
      </c>
      <c r="AL575">
        <v>1150.19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80</v>
      </c>
      <c r="AU575">
        <v>60</v>
      </c>
      <c r="AV575">
        <v>1</v>
      </c>
      <c r="AW575">
        <v>1</v>
      </c>
      <c r="AZ575">
        <v>6.56</v>
      </c>
      <c r="BA575">
        <v>1</v>
      </c>
      <c r="BB575">
        <v>1</v>
      </c>
      <c r="BC575">
        <v>6.56</v>
      </c>
      <c r="BD575" t="s">
        <v>6</v>
      </c>
      <c r="BE575" t="s">
        <v>6</v>
      </c>
      <c r="BF575" t="s">
        <v>6</v>
      </c>
      <c r="BG575" t="s">
        <v>6</v>
      </c>
      <c r="BH575">
        <v>3</v>
      </c>
      <c r="BI575">
        <v>2</v>
      </c>
      <c r="BJ575" t="s">
        <v>1017</v>
      </c>
      <c r="BM575">
        <v>110001</v>
      </c>
      <c r="BN575">
        <v>0</v>
      </c>
      <c r="BO575" t="s">
        <v>6</v>
      </c>
      <c r="BP575">
        <v>0</v>
      </c>
      <c r="BQ575">
        <v>3</v>
      </c>
      <c r="BR575">
        <v>0</v>
      </c>
      <c r="BS575">
        <v>1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6</v>
      </c>
      <c r="BZ575">
        <v>80</v>
      </c>
      <c r="CA575">
        <v>60</v>
      </c>
      <c r="CF575">
        <v>0</v>
      </c>
      <c r="CG575">
        <v>0</v>
      </c>
      <c r="CM575">
        <v>0</v>
      </c>
      <c r="CN575" t="s">
        <v>6</v>
      </c>
      <c r="CO575">
        <v>0</v>
      </c>
      <c r="CP575">
        <f t="shared" si="445"/>
        <v>5221.3100000000004</v>
      </c>
      <c r="CQ575">
        <f t="shared" si="446"/>
        <v>7545.2464</v>
      </c>
      <c r="CR575">
        <f t="shared" si="447"/>
        <v>0</v>
      </c>
      <c r="CS575">
        <f t="shared" si="448"/>
        <v>0</v>
      </c>
      <c r="CT575">
        <f t="shared" si="449"/>
        <v>0</v>
      </c>
      <c r="CU575">
        <f t="shared" si="450"/>
        <v>0</v>
      </c>
      <c r="CV575">
        <f t="shared" si="451"/>
        <v>0</v>
      </c>
      <c r="CW575">
        <f t="shared" si="452"/>
        <v>0</v>
      </c>
      <c r="CX575">
        <f t="shared" si="453"/>
        <v>0</v>
      </c>
      <c r="CY575">
        <f t="shared" si="454"/>
        <v>0</v>
      </c>
      <c r="CZ575">
        <f t="shared" si="455"/>
        <v>0</v>
      </c>
      <c r="DC575" t="s">
        <v>6</v>
      </c>
      <c r="DD575" t="s">
        <v>6</v>
      </c>
      <c r="DE575" t="s">
        <v>6</v>
      </c>
      <c r="DF575" t="s">
        <v>6</v>
      </c>
      <c r="DG575" t="s">
        <v>6</v>
      </c>
      <c r="DH575" t="s">
        <v>6</v>
      </c>
      <c r="DI575" t="s">
        <v>6</v>
      </c>
      <c r="DJ575" t="s">
        <v>6</v>
      </c>
      <c r="DK575" t="s">
        <v>6</v>
      </c>
      <c r="DL575" t="s">
        <v>6</v>
      </c>
      <c r="DM575" t="s">
        <v>6</v>
      </c>
      <c r="DN575">
        <v>0</v>
      </c>
      <c r="DO575">
        <v>0</v>
      </c>
      <c r="DP575">
        <v>1</v>
      </c>
      <c r="DQ575">
        <v>1</v>
      </c>
      <c r="DU575">
        <v>1013</v>
      </c>
      <c r="DV575" t="s">
        <v>749</v>
      </c>
      <c r="DW575" t="s">
        <v>751</v>
      </c>
      <c r="DX575">
        <v>1</v>
      </c>
      <c r="EE575">
        <v>16510373</v>
      </c>
      <c r="EF575">
        <v>3</v>
      </c>
      <c r="EG575" t="s">
        <v>83</v>
      </c>
      <c r="EH575">
        <v>0</v>
      </c>
      <c r="EI575" t="s">
        <v>6</v>
      </c>
      <c r="EJ575">
        <v>2</v>
      </c>
      <c r="EK575">
        <v>110001</v>
      </c>
      <c r="EL575" t="s">
        <v>1005</v>
      </c>
      <c r="EM575" t="s">
        <v>768</v>
      </c>
      <c r="EO575" t="s">
        <v>6</v>
      </c>
      <c r="EQ575">
        <v>0</v>
      </c>
      <c r="ER575">
        <v>1150.19</v>
      </c>
      <c r="ES575">
        <v>1150.19</v>
      </c>
      <c r="ET575">
        <v>0</v>
      </c>
      <c r="EU575">
        <v>0</v>
      </c>
      <c r="EV575">
        <v>0</v>
      </c>
      <c r="EW575">
        <v>0</v>
      </c>
      <c r="EX575">
        <v>0</v>
      </c>
      <c r="FQ575">
        <v>0</v>
      </c>
      <c r="FR575">
        <f t="shared" si="456"/>
        <v>0</v>
      </c>
      <c r="FS575">
        <v>0</v>
      </c>
      <c r="FX575">
        <v>80</v>
      </c>
      <c r="FY575">
        <v>60</v>
      </c>
      <c r="GA575" t="s">
        <v>6</v>
      </c>
      <c r="GD575">
        <v>0</v>
      </c>
      <c r="GF575">
        <v>1306444111</v>
      </c>
      <c r="GG575">
        <v>1</v>
      </c>
      <c r="GH575">
        <v>1</v>
      </c>
      <c r="GI575">
        <v>4</v>
      </c>
      <c r="GJ575">
        <v>0</v>
      </c>
      <c r="GK575">
        <f>ROUND(R575*(R12)/100,2)</f>
        <v>0</v>
      </c>
      <c r="GL575">
        <f t="shared" si="457"/>
        <v>0</v>
      </c>
      <c r="GM575">
        <f t="shared" si="458"/>
        <v>5221.3100000000004</v>
      </c>
      <c r="GN575">
        <f t="shared" si="459"/>
        <v>0</v>
      </c>
      <c r="GO575">
        <f t="shared" si="460"/>
        <v>5221.3100000000004</v>
      </c>
      <c r="GP575">
        <f t="shared" si="461"/>
        <v>0</v>
      </c>
      <c r="GR575">
        <v>0</v>
      </c>
      <c r="GS575">
        <v>3</v>
      </c>
      <c r="GT575">
        <v>0</v>
      </c>
      <c r="GU575" t="s">
        <v>6</v>
      </c>
      <c r="GV575">
        <f t="shared" si="462"/>
        <v>0</v>
      </c>
      <c r="GW575">
        <v>1</v>
      </c>
      <c r="GX575">
        <f t="shared" si="463"/>
        <v>0</v>
      </c>
      <c r="HA575">
        <v>0</v>
      </c>
      <c r="HB575">
        <v>0</v>
      </c>
      <c r="IK575">
        <v>0</v>
      </c>
    </row>
    <row r="576" spans="1:245" x14ac:dyDescent="0.2">
      <c r="A576">
        <v>17</v>
      </c>
      <c r="B576">
        <v>1</v>
      </c>
      <c r="C576">
        <f>ROW(SmtRes!A809)</f>
        <v>809</v>
      </c>
      <c r="D576">
        <f>ROW(EtalonRes!A740)</f>
        <v>740</v>
      </c>
      <c r="E576" t="s">
        <v>1018</v>
      </c>
      <c r="F576" t="s">
        <v>774</v>
      </c>
      <c r="G576" t="s">
        <v>775</v>
      </c>
      <c r="H576" t="s">
        <v>66</v>
      </c>
      <c r="I576">
        <f>ROUND(15/100,9)</f>
        <v>0.15</v>
      </c>
      <c r="J576">
        <v>0</v>
      </c>
      <c r="O576">
        <f t="shared" si="425"/>
        <v>46.08</v>
      </c>
      <c r="P576">
        <f t="shared" si="426"/>
        <v>0</v>
      </c>
      <c r="Q576">
        <f t="shared" si="427"/>
        <v>0</v>
      </c>
      <c r="R576">
        <f t="shared" si="428"/>
        <v>0</v>
      </c>
      <c r="S576">
        <f t="shared" si="429"/>
        <v>46.08</v>
      </c>
      <c r="T576">
        <f t="shared" si="430"/>
        <v>0</v>
      </c>
      <c r="U576">
        <f t="shared" si="431"/>
        <v>0.82350000000000001</v>
      </c>
      <c r="V576">
        <f t="shared" si="432"/>
        <v>0</v>
      </c>
      <c r="W576">
        <f t="shared" si="433"/>
        <v>0</v>
      </c>
      <c r="X576">
        <f t="shared" si="434"/>
        <v>35.94</v>
      </c>
      <c r="Y576">
        <f t="shared" si="435"/>
        <v>23.04</v>
      </c>
      <c r="AA576">
        <v>16742901</v>
      </c>
      <c r="AB576">
        <f t="shared" si="436"/>
        <v>46.83</v>
      </c>
      <c r="AC576">
        <f t="shared" si="437"/>
        <v>0</v>
      </c>
      <c r="AD576">
        <f t="shared" si="438"/>
        <v>0</v>
      </c>
      <c r="AE576">
        <f t="shared" si="439"/>
        <v>0</v>
      </c>
      <c r="AF576">
        <f t="shared" si="440"/>
        <v>46.83</v>
      </c>
      <c r="AG576">
        <f t="shared" si="441"/>
        <v>0</v>
      </c>
      <c r="AH576">
        <f t="shared" si="442"/>
        <v>5.49</v>
      </c>
      <c r="AI576">
        <f t="shared" si="443"/>
        <v>0</v>
      </c>
      <c r="AJ576">
        <f t="shared" si="444"/>
        <v>0</v>
      </c>
      <c r="AK576">
        <v>46.83</v>
      </c>
      <c r="AL576">
        <v>0</v>
      </c>
      <c r="AM576">
        <v>0</v>
      </c>
      <c r="AN576">
        <v>0</v>
      </c>
      <c r="AO576">
        <v>46.83</v>
      </c>
      <c r="AP576">
        <v>0</v>
      </c>
      <c r="AQ576">
        <v>5.49</v>
      </c>
      <c r="AR576">
        <v>0</v>
      </c>
      <c r="AS576">
        <v>0</v>
      </c>
      <c r="AT576">
        <v>78</v>
      </c>
      <c r="AU576">
        <v>50</v>
      </c>
      <c r="AV576">
        <v>1</v>
      </c>
      <c r="AW576">
        <v>1</v>
      </c>
      <c r="AZ576">
        <v>6.56</v>
      </c>
      <c r="BA576">
        <v>6.56</v>
      </c>
      <c r="BB576">
        <v>6.56</v>
      </c>
      <c r="BC576">
        <v>6.56</v>
      </c>
      <c r="BD576" t="s">
        <v>6</v>
      </c>
      <c r="BE576" t="s">
        <v>6</v>
      </c>
      <c r="BF576" t="s">
        <v>6</v>
      </c>
      <c r="BG576" t="s">
        <v>6</v>
      </c>
      <c r="BH576">
        <v>0</v>
      </c>
      <c r="BI576">
        <v>1</v>
      </c>
      <c r="BJ576" t="s">
        <v>776</v>
      </c>
      <c r="BM576">
        <v>69001</v>
      </c>
      <c r="BN576">
        <v>0</v>
      </c>
      <c r="BO576" t="s">
        <v>6</v>
      </c>
      <c r="BP576">
        <v>0</v>
      </c>
      <c r="BQ576">
        <v>6</v>
      </c>
      <c r="BR576">
        <v>0</v>
      </c>
      <c r="BS576">
        <v>6.56</v>
      </c>
      <c r="BT576">
        <v>1</v>
      </c>
      <c r="BU576">
        <v>1</v>
      </c>
      <c r="BV576">
        <v>1</v>
      </c>
      <c r="BW576">
        <v>1</v>
      </c>
      <c r="BX576">
        <v>1</v>
      </c>
      <c r="BY576" t="s">
        <v>6</v>
      </c>
      <c r="BZ576">
        <v>78</v>
      </c>
      <c r="CA576">
        <v>50</v>
      </c>
      <c r="CF576">
        <v>0</v>
      </c>
      <c r="CG576">
        <v>0</v>
      </c>
      <c r="CM576">
        <v>0</v>
      </c>
      <c r="CN576" t="s">
        <v>6</v>
      </c>
      <c r="CO576">
        <v>0</v>
      </c>
      <c r="CP576">
        <f t="shared" si="445"/>
        <v>46.08</v>
      </c>
      <c r="CQ576">
        <f t="shared" si="446"/>
        <v>0</v>
      </c>
      <c r="CR576">
        <f t="shared" si="447"/>
        <v>0</v>
      </c>
      <c r="CS576">
        <f t="shared" si="448"/>
        <v>0</v>
      </c>
      <c r="CT576">
        <f t="shared" si="449"/>
        <v>307.20479999999998</v>
      </c>
      <c r="CU576">
        <f t="shared" si="450"/>
        <v>0</v>
      </c>
      <c r="CV576">
        <f t="shared" si="451"/>
        <v>5.49</v>
      </c>
      <c r="CW576">
        <f t="shared" si="452"/>
        <v>0</v>
      </c>
      <c r="CX576">
        <f t="shared" si="453"/>
        <v>0</v>
      </c>
      <c r="CY576">
        <f t="shared" si="454"/>
        <v>35.942399999999999</v>
      </c>
      <c r="CZ576">
        <f t="shared" si="455"/>
        <v>23.04</v>
      </c>
      <c r="DC576" t="s">
        <v>6</v>
      </c>
      <c r="DD576" t="s">
        <v>6</v>
      </c>
      <c r="DE576" t="s">
        <v>6</v>
      </c>
      <c r="DF576" t="s">
        <v>6</v>
      </c>
      <c r="DG576" t="s">
        <v>6</v>
      </c>
      <c r="DH576" t="s">
        <v>6</v>
      </c>
      <c r="DI576" t="s">
        <v>6</v>
      </c>
      <c r="DJ576" t="s">
        <v>6</v>
      </c>
      <c r="DK576" t="s">
        <v>6</v>
      </c>
      <c r="DL576" t="s">
        <v>6</v>
      </c>
      <c r="DM576" t="s">
        <v>6</v>
      </c>
      <c r="DN576">
        <v>0</v>
      </c>
      <c r="DO576">
        <v>0</v>
      </c>
      <c r="DP576">
        <v>1</v>
      </c>
      <c r="DQ576">
        <v>1</v>
      </c>
      <c r="DU576">
        <v>1013</v>
      </c>
      <c r="DV576" t="s">
        <v>66</v>
      </c>
      <c r="DW576" t="s">
        <v>66</v>
      </c>
      <c r="DX576">
        <v>1</v>
      </c>
      <c r="EE576">
        <v>16510614</v>
      </c>
      <c r="EF576">
        <v>6</v>
      </c>
      <c r="EG576" t="s">
        <v>36</v>
      </c>
      <c r="EH576">
        <v>0</v>
      </c>
      <c r="EI576" t="s">
        <v>6</v>
      </c>
      <c r="EJ576">
        <v>1</v>
      </c>
      <c r="EK576">
        <v>69001</v>
      </c>
      <c r="EL576" t="s">
        <v>660</v>
      </c>
      <c r="EM576" t="s">
        <v>661</v>
      </c>
      <c r="EO576" t="s">
        <v>6</v>
      </c>
      <c r="EQ576">
        <v>131072</v>
      </c>
      <c r="ER576">
        <v>46.83</v>
      </c>
      <c r="ES576">
        <v>0</v>
      </c>
      <c r="ET576">
        <v>0</v>
      </c>
      <c r="EU576">
        <v>0</v>
      </c>
      <c r="EV576">
        <v>46.83</v>
      </c>
      <c r="EW576">
        <v>5.49</v>
      </c>
      <c r="EX576">
        <v>0</v>
      </c>
      <c r="EY576">
        <v>0</v>
      </c>
      <c r="FQ576">
        <v>0</v>
      </c>
      <c r="FR576">
        <f t="shared" si="456"/>
        <v>0</v>
      </c>
      <c r="FS576">
        <v>0</v>
      </c>
      <c r="FX576">
        <v>78</v>
      </c>
      <c r="FY576">
        <v>50</v>
      </c>
      <c r="GA576" t="s">
        <v>6</v>
      </c>
      <c r="GD576">
        <v>0</v>
      </c>
      <c r="GF576">
        <v>-746968197</v>
      </c>
      <c r="GG576">
        <v>1</v>
      </c>
      <c r="GH576">
        <v>1</v>
      </c>
      <c r="GI576">
        <v>4</v>
      </c>
      <c r="GJ576">
        <v>0</v>
      </c>
      <c r="GK576">
        <f>ROUND(R576*(R12)/100,2)</f>
        <v>0</v>
      </c>
      <c r="GL576">
        <f t="shared" si="457"/>
        <v>0</v>
      </c>
      <c r="GM576">
        <f t="shared" si="458"/>
        <v>105.06</v>
      </c>
      <c r="GN576">
        <f t="shared" si="459"/>
        <v>105.06</v>
      </c>
      <c r="GO576">
        <f t="shared" si="460"/>
        <v>0</v>
      </c>
      <c r="GP576">
        <f t="shared" si="461"/>
        <v>0</v>
      </c>
      <c r="GR576">
        <v>0</v>
      </c>
      <c r="GS576">
        <v>3</v>
      </c>
      <c r="GT576">
        <v>0</v>
      </c>
      <c r="GU576" t="s">
        <v>6</v>
      </c>
      <c r="GV576">
        <f t="shared" si="462"/>
        <v>0</v>
      </c>
      <c r="GW576">
        <v>1</v>
      </c>
      <c r="GX576">
        <f t="shared" si="463"/>
        <v>0</v>
      </c>
      <c r="HA576">
        <v>0</v>
      </c>
      <c r="HB576">
        <v>0</v>
      </c>
      <c r="IK576">
        <v>0</v>
      </c>
    </row>
    <row r="577" spans="1:245" x14ac:dyDescent="0.2">
      <c r="A577">
        <v>17</v>
      </c>
      <c r="B577">
        <v>1</v>
      </c>
      <c r="C577">
        <f>ROW(SmtRes!A820)</f>
        <v>820</v>
      </c>
      <c r="D577">
        <f>ROW(EtalonRes!A750)</f>
        <v>750</v>
      </c>
      <c r="E577" t="s">
        <v>1019</v>
      </c>
      <c r="F577" t="s">
        <v>778</v>
      </c>
      <c r="G577" t="s">
        <v>779</v>
      </c>
      <c r="H577" t="s">
        <v>34</v>
      </c>
      <c r="I577">
        <f>ROUND(4.5/100,9)</f>
        <v>4.4999999999999998E-2</v>
      </c>
      <c r="J577">
        <v>0</v>
      </c>
      <c r="O577">
        <f t="shared" si="425"/>
        <v>74.069999999999993</v>
      </c>
      <c r="P577">
        <f t="shared" si="426"/>
        <v>25.9</v>
      </c>
      <c r="Q577">
        <f t="shared" si="427"/>
        <v>5.77</v>
      </c>
      <c r="R577">
        <f t="shared" si="428"/>
        <v>0.82</v>
      </c>
      <c r="S577">
        <f t="shared" si="429"/>
        <v>42.4</v>
      </c>
      <c r="T577">
        <f t="shared" si="430"/>
        <v>0</v>
      </c>
      <c r="U577">
        <f t="shared" si="431"/>
        <v>0.68759999999999999</v>
      </c>
      <c r="V577">
        <f t="shared" si="432"/>
        <v>9.8999999999999991E-3</v>
      </c>
      <c r="W577">
        <f t="shared" si="433"/>
        <v>0</v>
      </c>
      <c r="X577">
        <f t="shared" si="434"/>
        <v>41.06</v>
      </c>
      <c r="Y577">
        <f t="shared" si="435"/>
        <v>28.09</v>
      </c>
      <c r="AA577">
        <v>16742901</v>
      </c>
      <c r="AB577">
        <f t="shared" si="436"/>
        <v>250.92</v>
      </c>
      <c r="AC577">
        <f t="shared" si="437"/>
        <v>87.74</v>
      </c>
      <c r="AD577">
        <f t="shared" si="438"/>
        <v>19.55</v>
      </c>
      <c r="AE577">
        <f t="shared" si="439"/>
        <v>2.77</v>
      </c>
      <c r="AF577">
        <f t="shared" si="440"/>
        <v>143.63</v>
      </c>
      <c r="AG577">
        <f t="shared" si="441"/>
        <v>0</v>
      </c>
      <c r="AH577">
        <f t="shared" si="442"/>
        <v>15.28</v>
      </c>
      <c r="AI577">
        <f t="shared" si="443"/>
        <v>0.22</v>
      </c>
      <c r="AJ577">
        <f t="shared" si="444"/>
        <v>0</v>
      </c>
      <c r="AK577">
        <v>250.92</v>
      </c>
      <c r="AL577">
        <v>87.74</v>
      </c>
      <c r="AM577">
        <v>19.55</v>
      </c>
      <c r="AN577">
        <v>2.77</v>
      </c>
      <c r="AO577">
        <v>143.63</v>
      </c>
      <c r="AP577">
        <v>0</v>
      </c>
      <c r="AQ577">
        <v>15.28</v>
      </c>
      <c r="AR577">
        <v>0.22</v>
      </c>
      <c r="AS577">
        <v>0</v>
      </c>
      <c r="AT577">
        <v>95</v>
      </c>
      <c r="AU577">
        <v>65</v>
      </c>
      <c r="AV577">
        <v>1</v>
      </c>
      <c r="AW577">
        <v>1</v>
      </c>
      <c r="AZ577">
        <v>6.56</v>
      </c>
      <c r="BA577">
        <v>6.56</v>
      </c>
      <c r="BB577">
        <v>6.56</v>
      </c>
      <c r="BC577">
        <v>6.56</v>
      </c>
      <c r="BD577" t="s">
        <v>6</v>
      </c>
      <c r="BE577" t="s">
        <v>6</v>
      </c>
      <c r="BF577" t="s">
        <v>6</v>
      </c>
      <c r="BG577" t="s">
        <v>6</v>
      </c>
      <c r="BH577">
        <v>0</v>
      </c>
      <c r="BI577">
        <v>2</v>
      </c>
      <c r="BJ577" t="s">
        <v>780</v>
      </c>
      <c r="BM577">
        <v>108001</v>
      </c>
      <c r="BN577">
        <v>0</v>
      </c>
      <c r="BO577" t="s">
        <v>6</v>
      </c>
      <c r="BP577">
        <v>0</v>
      </c>
      <c r="BQ577">
        <v>3</v>
      </c>
      <c r="BR577">
        <v>0</v>
      </c>
      <c r="BS577">
        <v>6.56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6</v>
      </c>
      <c r="BZ577">
        <v>95</v>
      </c>
      <c r="CA577">
        <v>65</v>
      </c>
      <c r="CF577">
        <v>0</v>
      </c>
      <c r="CG577">
        <v>0</v>
      </c>
      <c r="CM577">
        <v>0</v>
      </c>
      <c r="CN577" t="s">
        <v>6</v>
      </c>
      <c r="CO577">
        <v>0</v>
      </c>
      <c r="CP577">
        <f t="shared" si="445"/>
        <v>74.069999999999993</v>
      </c>
      <c r="CQ577">
        <f t="shared" si="446"/>
        <v>575.57439999999997</v>
      </c>
      <c r="CR577">
        <f t="shared" si="447"/>
        <v>128.24799999999999</v>
      </c>
      <c r="CS577">
        <f t="shared" si="448"/>
        <v>18.171199999999999</v>
      </c>
      <c r="CT577">
        <f t="shared" si="449"/>
        <v>942.2127999999999</v>
      </c>
      <c r="CU577">
        <f t="shared" si="450"/>
        <v>0</v>
      </c>
      <c r="CV577">
        <f t="shared" si="451"/>
        <v>15.28</v>
      </c>
      <c r="CW577">
        <f t="shared" si="452"/>
        <v>0.22</v>
      </c>
      <c r="CX577">
        <f t="shared" si="453"/>
        <v>0</v>
      </c>
      <c r="CY577">
        <f t="shared" si="454"/>
        <v>41.058999999999997</v>
      </c>
      <c r="CZ577">
        <f t="shared" si="455"/>
        <v>28.092999999999996</v>
      </c>
      <c r="DC577" t="s">
        <v>6</v>
      </c>
      <c r="DD577" t="s">
        <v>6</v>
      </c>
      <c r="DE577" t="s">
        <v>6</v>
      </c>
      <c r="DF577" t="s">
        <v>6</v>
      </c>
      <c r="DG577" t="s">
        <v>6</v>
      </c>
      <c r="DH577" t="s">
        <v>6</v>
      </c>
      <c r="DI577" t="s">
        <v>6</v>
      </c>
      <c r="DJ577" t="s">
        <v>6</v>
      </c>
      <c r="DK577" t="s">
        <v>6</v>
      </c>
      <c r="DL577" t="s">
        <v>6</v>
      </c>
      <c r="DM577" t="s">
        <v>6</v>
      </c>
      <c r="DN577">
        <v>0</v>
      </c>
      <c r="DO577">
        <v>0</v>
      </c>
      <c r="DP577">
        <v>1</v>
      </c>
      <c r="DQ577">
        <v>1</v>
      </c>
      <c r="DU577">
        <v>1003</v>
      </c>
      <c r="DV577" t="s">
        <v>34</v>
      </c>
      <c r="DW577" t="s">
        <v>34</v>
      </c>
      <c r="DX577">
        <v>100</v>
      </c>
      <c r="EE577">
        <v>16510370</v>
      </c>
      <c r="EF577">
        <v>3</v>
      </c>
      <c r="EG577" t="s">
        <v>83</v>
      </c>
      <c r="EH577">
        <v>0</v>
      </c>
      <c r="EI577" t="s">
        <v>6</v>
      </c>
      <c r="EJ577">
        <v>2</v>
      </c>
      <c r="EK577">
        <v>108001</v>
      </c>
      <c r="EL577" t="s">
        <v>84</v>
      </c>
      <c r="EM577" t="s">
        <v>85</v>
      </c>
      <c r="EO577" t="s">
        <v>6</v>
      </c>
      <c r="EQ577">
        <v>131072</v>
      </c>
      <c r="ER577">
        <v>250.92</v>
      </c>
      <c r="ES577">
        <v>87.74</v>
      </c>
      <c r="ET577">
        <v>19.55</v>
      </c>
      <c r="EU577">
        <v>2.77</v>
      </c>
      <c r="EV577">
        <v>143.63</v>
      </c>
      <c r="EW577">
        <v>15.28</v>
      </c>
      <c r="EX577">
        <v>0.22</v>
      </c>
      <c r="EY577">
        <v>0</v>
      </c>
      <c r="FQ577">
        <v>0</v>
      </c>
      <c r="FR577">
        <f t="shared" si="456"/>
        <v>0</v>
      </c>
      <c r="FS577">
        <v>0</v>
      </c>
      <c r="FX577">
        <v>95</v>
      </c>
      <c r="FY577">
        <v>65</v>
      </c>
      <c r="GA577" t="s">
        <v>6</v>
      </c>
      <c r="GD577">
        <v>0</v>
      </c>
      <c r="GF577">
        <v>-137810929</v>
      </c>
      <c r="GG577">
        <v>1</v>
      </c>
      <c r="GH577">
        <v>1</v>
      </c>
      <c r="GI577">
        <v>4</v>
      </c>
      <c r="GJ577">
        <v>0</v>
      </c>
      <c r="GK577">
        <f>ROUND(R577*(R12)/100,2)</f>
        <v>0</v>
      </c>
      <c r="GL577">
        <f t="shared" si="457"/>
        <v>0</v>
      </c>
      <c r="GM577">
        <f t="shared" si="458"/>
        <v>143.22</v>
      </c>
      <c r="GN577">
        <f t="shared" si="459"/>
        <v>0</v>
      </c>
      <c r="GO577">
        <f t="shared" si="460"/>
        <v>143.22</v>
      </c>
      <c r="GP577">
        <f t="shared" si="461"/>
        <v>0</v>
      </c>
      <c r="GR577">
        <v>0</v>
      </c>
      <c r="GS577">
        <v>3</v>
      </c>
      <c r="GT577">
        <v>0</v>
      </c>
      <c r="GU577" t="s">
        <v>6</v>
      </c>
      <c r="GV577">
        <f t="shared" si="462"/>
        <v>0</v>
      </c>
      <c r="GW577">
        <v>1</v>
      </c>
      <c r="GX577">
        <f t="shared" si="463"/>
        <v>0</v>
      </c>
      <c r="HA577">
        <v>0</v>
      </c>
      <c r="HB577">
        <v>0</v>
      </c>
      <c r="IK577">
        <v>0</v>
      </c>
    </row>
    <row r="578" spans="1:245" x14ac:dyDescent="0.2">
      <c r="A578">
        <v>18</v>
      </c>
      <c r="B578">
        <v>1</v>
      </c>
      <c r="C578">
        <v>819</v>
      </c>
      <c r="E578" t="s">
        <v>1020</v>
      </c>
      <c r="F578" t="s">
        <v>782</v>
      </c>
      <c r="G578" t="s">
        <v>783</v>
      </c>
      <c r="H578" t="s">
        <v>740</v>
      </c>
      <c r="I578">
        <f>I577*J578</f>
        <v>0.44999999999999996</v>
      </c>
      <c r="J578">
        <v>10</v>
      </c>
      <c r="O578">
        <f t="shared" si="425"/>
        <v>234.6</v>
      </c>
      <c r="P578">
        <f t="shared" si="426"/>
        <v>234.6</v>
      </c>
      <c r="Q578">
        <f t="shared" si="427"/>
        <v>0</v>
      </c>
      <c r="R578">
        <f t="shared" si="428"/>
        <v>0</v>
      </c>
      <c r="S578">
        <f t="shared" si="429"/>
        <v>0</v>
      </c>
      <c r="T578">
        <f t="shared" si="430"/>
        <v>0</v>
      </c>
      <c r="U578">
        <f t="shared" si="431"/>
        <v>0</v>
      </c>
      <c r="V578">
        <f t="shared" si="432"/>
        <v>0</v>
      </c>
      <c r="W578">
        <f t="shared" si="433"/>
        <v>0</v>
      </c>
      <c r="X578">
        <f t="shared" si="434"/>
        <v>0</v>
      </c>
      <c r="Y578">
        <f t="shared" si="435"/>
        <v>0</v>
      </c>
      <c r="AA578">
        <v>16742901</v>
      </c>
      <c r="AB578">
        <f t="shared" si="436"/>
        <v>79.47</v>
      </c>
      <c r="AC578">
        <f t="shared" si="437"/>
        <v>79.47</v>
      </c>
      <c r="AD578">
        <f t="shared" si="438"/>
        <v>0</v>
      </c>
      <c r="AE578">
        <f t="shared" si="439"/>
        <v>0</v>
      </c>
      <c r="AF578">
        <f t="shared" si="440"/>
        <v>0</v>
      </c>
      <c r="AG578">
        <f t="shared" si="441"/>
        <v>0</v>
      </c>
      <c r="AH578">
        <f t="shared" si="442"/>
        <v>0</v>
      </c>
      <c r="AI578">
        <f t="shared" si="443"/>
        <v>0</v>
      </c>
      <c r="AJ578">
        <f t="shared" si="444"/>
        <v>0</v>
      </c>
      <c r="AK578">
        <v>79.47</v>
      </c>
      <c r="AL578">
        <v>79.47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95</v>
      </c>
      <c r="AU578">
        <v>65</v>
      </c>
      <c r="AV578">
        <v>1</v>
      </c>
      <c r="AW578">
        <v>1</v>
      </c>
      <c r="AZ578">
        <v>6.56</v>
      </c>
      <c r="BA578">
        <v>1</v>
      </c>
      <c r="BB578">
        <v>1</v>
      </c>
      <c r="BC578">
        <v>6.56</v>
      </c>
      <c r="BD578" t="s">
        <v>6</v>
      </c>
      <c r="BE578" t="s">
        <v>6</v>
      </c>
      <c r="BF578" t="s">
        <v>6</v>
      </c>
      <c r="BG578" t="s">
        <v>6</v>
      </c>
      <c r="BH578">
        <v>3</v>
      </c>
      <c r="BI578">
        <v>2</v>
      </c>
      <c r="BJ578" t="s">
        <v>784</v>
      </c>
      <c r="BM578">
        <v>108001</v>
      </c>
      <c r="BN578">
        <v>0</v>
      </c>
      <c r="BO578" t="s">
        <v>6</v>
      </c>
      <c r="BP578">
        <v>0</v>
      </c>
      <c r="BQ578">
        <v>3</v>
      </c>
      <c r="BR578">
        <v>0</v>
      </c>
      <c r="BS578">
        <v>1</v>
      </c>
      <c r="BT578">
        <v>1</v>
      </c>
      <c r="BU578">
        <v>1</v>
      </c>
      <c r="BV578">
        <v>1</v>
      </c>
      <c r="BW578">
        <v>1</v>
      </c>
      <c r="BX578">
        <v>1</v>
      </c>
      <c r="BY578" t="s">
        <v>6</v>
      </c>
      <c r="BZ578">
        <v>95</v>
      </c>
      <c r="CA578">
        <v>65</v>
      </c>
      <c r="CF578">
        <v>0</v>
      </c>
      <c r="CG578">
        <v>0</v>
      </c>
      <c r="CM578">
        <v>0</v>
      </c>
      <c r="CN578" t="s">
        <v>6</v>
      </c>
      <c r="CO578">
        <v>0</v>
      </c>
      <c r="CP578">
        <f t="shared" si="445"/>
        <v>234.6</v>
      </c>
      <c r="CQ578">
        <f t="shared" si="446"/>
        <v>521.32319999999993</v>
      </c>
      <c r="CR578">
        <f t="shared" si="447"/>
        <v>0</v>
      </c>
      <c r="CS578">
        <f t="shared" si="448"/>
        <v>0</v>
      </c>
      <c r="CT578">
        <f t="shared" si="449"/>
        <v>0</v>
      </c>
      <c r="CU578">
        <f t="shared" si="450"/>
        <v>0</v>
      </c>
      <c r="CV578">
        <f t="shared" si="451"/>
        <v>0</v>
      </c>
      <c r="CW578">
        <f t="shared" si="452"/>
        <v>0</v>
      </c>
      <c r="CX578">
        <f t="shared" si="453"/>
        <v>0</v>
      </c>
      <c r="CY578">
        <f t="shared" si="454"/>
        <v>0</v>
      </c>
      <c r="CZ578">
        <f t="shared" si="455"/>
        <v>0</v>
      </c>
      <c r="DC578" t="s">
        <v>6</v>
      </c>
      <c r="DD578" t="s">
        <v>6</v>
      </c>
      <c r="DE578" t="s">
        <v>6</v>
      </c>
      <c r="DF578" t="s">
        <v>6</v>
      </c>
      <c r="DG578" t="s">
        <v>6</v>
      </c>
      <c r="DH578" t="s">
        <v>6</v>
      </c>
      <c r="DI578" t="s">
        <v>6</v>
      </c>
      <c r="DJ578" t="s">
        <v>6</v>
      </c>
      <c r="DK578" t="s">
        <v>6</v>
      </c>
      <c r="DL578" t="s">
        <v>6</v>
      </c>
      <c r="DM578" t="s">
        <v>6</v>
      </c>
      <c r="DN578">
        <v>0</v>
      </c>
      <c r="DO578">
        <v>0</v>
      </c>
      <c r="DP578">
        <v>1</v>
      </c>
      <c r="DQ578">
        <v>1</v>
      </c>
      <c r="DU578">
        <v>1003</v>
      </c>
      <c r="DV578" t="s">
        <v>740</v>
      </c>
      <c r="DW578" t="s">
        <v>740</v>
      </c>
      <c r="DX578">
        <v>10</v>
      </c>
      <c r="EE578">
        <v>16510370</v>
      </c>
      <c r="EF578">
        <v>3</v>
      </c>
      <c r="EG578" t="s">
        <v>83</v>
      </c>
      <c r="EH578">
        <v>0</v>
      </c>
      <c r="EI578" t="s">
        <v>6</v>
      </c>
      <c r="EJ578">
        <v>2</v>
      </c>
      <c r="EK578">
        <v>108001</v>
      </c>
      <c r="EL578" t="s">
        <v>84</v>
      </c>
      <c r="EM578" t="s">
        <v>85</v>
      </c>
      <c r="EO578" t="s">
        <v>6</v>
      </c>
      <c r="EQ578">
        <v>0</v>
      </c>
      <c r="ER578">
        <v>79.47</v>
      </c>
      <c r="ES578">
        <v>79.47</v>
      </c>
      <c r="ET578">
        <v>0</v>
      </c>
      <c r="EU578">
        <v>0</v>
      </c>
      <c r="EV578">
        <v>0</v>
      </c>
      <c r="EW578">
        <v>0</v>
      </c>
      <c r="EX578">
        <v>0</v>
      </c>
      <c r="FQ578">
        <v>0</v>
      </c>
      <c r="FR578">
        <f t="shared" si="456"/>
        <v>0</v>
      </c>
      <c r="FS578">
        <v>0</v>
      </c>
      <c r="FX578">
        <v>95</v>
      </c>
      <c r="FY578">
        <v>65</v>
      </c>
      <c r="GA578" t="s">
        <v>6</v>
      </c>
      <c r="GD578">
        <v>0</v>
      </c>
      <c r="GF578">
        <v>1974421767</v>
      </c>
      <c r="GG578">
        <v>1</v>
      </c>
      <c r="GH578">
        <v>1</v>
      </c>
      <c r="GI578">
        <v>4</v>
      </c>
      <c r="GJ578">
        <v>0</v>
      </c>
      <c r="GK578">
        <f>ROUND(R578*(R12)/100,2)</f>
        <v>0</v>
      </c>
      <c r="GL578">
        <f t="shared" si="457"/>
        <v>0</v>
      </c>
      <c r="GM578">
        <f t="shared" si="458"/>
        <v>234.6</v>
      </c>
      <c r="GN578">
        <f t="shared" si="459"/>
        <v>0</v>
      </c>
      <c r="GO578">
        <f t="shared" si="460"/>
        <v>234.6</v>
      </c>
      <c r="GP578">
        <f t="shared" si="461"/>
        <v>0</v>
      </c>
      <c r="GR578">
        <v>0</v>
      </c>
      <c r="GS578">
        <v>3</v>
      </c>
      <c r="GT578">
        <v>0</v>
      </c>
      <c r="GU578" t="s">
        <v>6</v>
      </c>
      <c r="GV578">
        <f t="shared" si="462"/>
        <v>0</v>
      </c>
      <c r="GW578">
        <v>1</v>
      </c>
      <c r="GX578">
        <f t="shared" si="463"/>
        <v>0</v>
      </c>
      <c r="HA578">
        <v>0</v>
      </c>
      <c r="HB578">
        <v>0</v>
      </c>
      <c r="IK578">
        <v>0</v>
      </c>
    </row>
    <row r="579" spans="1:245" x14ac:dyDescent="0.2">
      <c r="A579">
        <v>17</v>
      </c>
      <c r="B579">
        <v>1</v>
      </c>
      <c r="C579">
        <f>ROW(SmtRes!A833)</f>
        <v>833</v>
      </c>
      <c r="D579">
        <f>ROW(EtalonRes!A762)</f>
        <v>762</v>
      </c>
      <c r="E579" t="s">
        <v>1021</v>
      </c>
      <c r="F579" t="s">
        <v>812</v>
      </c>
      <c r="G579" t="s">
        <v>813</v>
      </c>
      <c r="H579" t="s">
        <v>34</v>
      </c>
      <c r="I579">
        <f>ROUND(58/100,9)</f>
        <v>0.57999999999999996</v>
      </c>
      <c r="J579">
        <v>0</v>
      </c>
      <c r="O579">
        <f t="shared" si="425"/>
        <v>2216.9</v>
      </c>
      <c r="P579">
        <f t="shared" si="426"/>
        <v>1550.57</v>
      </c>
      <c r="Q579">
        <f t="shared" si="427"/>
        <v>360.2</v>
      </c>
      <c r="R579">
        <f t="shared" si="428"/>
        <v>88.77</v>
      </c>
      <c r="S579">
        <f t="shared" si="429"/>
        <v>306.13</v>
      </c>
      <c r="T579">
        <f t="shared" si="430"/>
        <v>0</v>
      </c>
      <c r="U579">
        <f t="shared" si="431"/>
        <v>4.9648000000000003</v>
      </c>
      <c r="V579">
        <f t="shared" si="432"/>
        <v>1.3166</v>
      </c>
      <c r="W579">
        <f t="shared" si="433"/>
        <v>0</v>
      </c>
      <c r="X579">
        <f t="shared" si="434"/>
        <v>375.16</v>
      </c>
      <c r="Y579">
        <f t="shared" si="435"/>
        <v>256.69</v>
      </c>
      <c r="AA579">
        <v>16742901</v>
      </c>
      <c r="AB579">
        <f t="shared" si="436"/>
        <v>582.66</v>
      </c>
      <c r="AC579">
        <f t="shared" si="437"/>
        <v>407.53</v>
      </c>
      <c r="AD579">
        <f t="shared" si="438"/>
        <v>94.67</v>
      </c>
      <c r="AE579">
        <f t="shared" si="439"/>
        <v>23.33</v>
      </c>
      <c r="AF579">
        <f t="shared" si="440"/>
        <v>80.459999999999994</v>
      </c>
      <c r="AG579">
        <f t="shared" si="441"/>
        <v>0</v>
      </c>
      <c r="AH579">
        <f t="shared" si="442"/>
        <v>8.56</v>
      </c>
      <c r="AI579">
        <f t="shared" si="443"/>
        <v>2.27</v>
      </c>
      <c r="AJ579">
        <f t="shared" si="444"/>
        <v>0</v>
      </c>
      <c r="AK579">
        <v>582.66</v>
      </c>
      <c r="AL579">
        <v>407.53</v>
      </c>
      <c r="AM579">
        <v>94.67</v>
      </c>
      <c r="AN579">
        <v>23.33</v>
      </c>
      <c r="AO579">
        <v>80.459999999999994</v>
      </c>
      <c r="AP579">
        <v>0</v>
      </c>
      <c r="AQ579">
        <v>8.56</v>
      </c>
      <c r="AR579">
        <v>2.27</v>
      </c>
      <c r="AS579">
        <v>0</v>
      </c>
      <c r="AT579">
        <v>95</v>
      </c>
      <c r="AU579">
        <v>65</v>
      </c>
      <c r="AV579">
        <v>1</v>
      </c>
      <c r="AW579">
        <v>1</v>
      </c>
      <c r="AZ579">
        <v>6.56</v>
      </c>
      <c r="BA579">
        <v>6.56</v>
      </c>
      <c r="BB579">
        <v>6.56</v>
      </c>
      <c r="BC579">
        <v>6.56</v>
      </c>
      <c r="BD579" t="s">
        <v>6</v>
      </c>
      <c r="BE579" t="s">
        <v>6</v>
      </c>
      <c r="BF579" t="s">
        <v>6</v>
      </c>
      <c r="BG579" t="s">
        <v>6</v>
      </c>
      <c r="BH579">
        <v>0</v>
      </c>
      <c r="BI579">
        <v>2</v>
      </c>
      <c r="BJ579" t="s">
        <v>814</v>
      </c>
      <c r="BM579">
        <v>108001</v>
      </c>
      <c r="BN579">
        <v>0</v>
      </c>
      <c r="BO579" t="s">
        <v>6</v>
      </c>
      <c r="BP579">
        <v>0</v>
      </c>
      <c r="BQ579">
        <v>3</v>
      </c>
      <c r="BR579">
        <v>0</v>
      </c>
      <c r="BS579">
        <v>6.56</v>
      </c>
      <c r="BT579">
        <v>1</v>
      </c>
      <c r="BU579">
        <v>1</v>
      </c>
      <c r="BV579">
        <v>1</v>
      </c>
      <c r="BW579">
        <v>1</v>
      </c>
      <c r="BX579">
        <v>1</v>
      </c>
      <c r="BY579" t="s">
        <v>6</v>
      </c>
      <c r="BZ579">
        <v>95</v>
      </c>
      <c r="CA579">
        <v>65</v>
      </c>
      <c r="CF579">
        <v>0</v>
      </c>
      <c r="CG579">
        <v>0</v>
      </c>
      <c r="CM579">
        <v>0</v>
      </c>
      <c r="CN579" t="s">
        <v>6</v>
      </c>
      <c r="CO579">
        <v>0</v>
      </c>
      <c r="CP579">
        <f t="shared" si="445"/>
        <v>2216.9</v>
      </c>
      <c r="CQ579">
        <f t="shared" si="446"/>
        <v>2673.3967999999995</v>
      </c>
      <c r="CR579">
        <f t="shared" si="447"/>
        <v>621.03519999999992</v>
      </c>
      <c r="CS579">
        <f t="shared" si="448"/>
        <v>153.04479999999998</v>
      </c>
      <c r="CT579">
        <f t="shared" si="449"/>
        <v>527.81759999999997</v>
      </c>
      <c r="CU579">
        <f t="shared" si="450"/>
        <v>0</v>
      </c>
      <c r="CV579">
        <f t="shared" si="451"/>
        <v>8.56</v>
      </c>
      <c r="CW579">
        <f t="shared" si="452"/>
        <v>2.27</v>
      </c>
      <c r="CX579">
        <f t="shared" si="453"/>
        <v>0</v>
      </c>
      <c r="CY579">
        <f t="shared" si="454"/>
        <v>375.15499999999997</v>
      </c>
      <c r="CZ579">
        <f t="shared" si="455"/>
        <v>256.685</v>
      </c>
      <c r="DC579" t="s">
        <v>6</v>
      </c>
      <c r="DD579" t="s">
        <v>6</v>
      </c>
      <c r="DE579" t="s">
        <v>6</v>
      </c>
      <c r="DF579" t="s">
        <v>6</v>
      </c>
      <c r="DG579" t="s">
        <v>6</v>
      </c>
      <c r="DH579" t="s">
        <v>6</v>
      </c>
      <c r="DI579" t="s">
        <v>6</v>
      </c>
      <c r="DJ579" t="s">
        <v>6</v>
      </c>
      <c r="DK579" t="s">
        <v>6</v>
      </c>
      <c r="DL579" t="s">
        <v>6</v>
      </c>
      <c r="DM579" t="s">
        <v>6</v>
      </c>
      <c r="DN579">
        <v>0</v>
      </c>
      <c r="DO579">
        <v>0</v>
      </c>
      <c r="DP579">
        <v>1</v>
      </c>
      <c r="DQ579">
        <v>1</v>
      </c>
      <c r="DU579">
        <v>1003</v>
      </c>
      <c r="DV579" t="s">
        <v>34</v>
      </c>
      <c r="DW579" t="s">
        <v>34</v>
      </c>
      <c r="DX579">
        <v>100</v>
      </c>
      <c r="EE579">
        <v>16510370</v>
      </c>
      <c r="EF579">
        <v>3</v>
      </c>
      <c r="EG579" t="s">
        <v>83</v>
      </c>
      <c r="EH579">
        <v>0</v>
      </c>
      <c r="EI579" t="s">
        <v>6</v>
      </c>
      <c r="EJ579">
        <v>2</v>
      </c>
      <c r="EK579">
        <v>108001</v>
      </c>
      <c r="EL579" t="s">
        <v>84</v>
      </c>
      <c r="EM579" t="s">
        <v>85</v>
      </c>
      <c r="EO579" t="s">
        <v>6</v>
      </c>
      <c r="EQ579">
        <v>131072</v>
      </c>
      <c r="ER579">
        <v>582.66</v>
      </c>
      <c r="ES579">
        <v>407.53</v>
      </c>
      <c r="ET579">
        <v>94.67</v>
      </c>
      <c r="EU579">
        <v>23.33</v>
      </c>
      <c r="EV579">
        <v>80.459999999999994</v>
      </c>
      <c r="EW579">
        <v>8.56</v>
      </c>
      <c r="EX579">
        <v>2.27</v>
      </c>
      <c r="EY579">
        <v>0</v>
      </c>
      <c r="FQ579">
        <v>0</v>
      </c>
      <c r="FR579">
        <f t="shared" si="456"/>
        <v>0</v>
      </c>
      <c r="FS579">
        <v>0</v>
      </c>
      <c r="FX579">
        <v>95</v>
      </c>
      <c r="FY579">
        <v>65</v>
      </c>
      <c r="GA579" t="s">
        <v>6</v>
      </c>
      <c r="GD579">
        <v>0</v>
      </c>
      <c r="GF579">
        <v>-1279751464</v>
      </c>
      <c r="GG579">
        <v>1</v>
      </c>
      <c r="GH579">
        <v>1</v>
      </c>
      <c r="GI579">
        <v>4</v>
      </c>
      <c r="GJ579">
        <v>0</v>
      </c>
      <c r="GK579">
        <f>ROUND(R579*(R12)/100,2)</f>
        <v>0</v>
      </c>
      <c r="GL579">
        <f t="shared" si="457"/>
        <v>0</v>
      </c>
      <c r="GM579">
        <f t="shared" si="458"/>
        <v>2848.75</v>
      </c>
      <c r="GN579">
        <f t="shared" si="459"/>
        <v>0</v>
      </c>
      <c r="GO579">
        <f t="shared" si="460"/>
        <v>2848.75</v>
      </c>
      <c r="GP579">
        <f t="shared" si="461"/>
        <v>0</v>
      </c>
      <c r="GR579">
        <v>0</v>
      </c>
      <c r="GS579">
        <v>3</v>
      </c>
      <c r="GT579">
        <v>0</v>
      </c>
      <c r="GU579" t="s">
        <v>6</v>
      </c>
      <c r="GV579">
        <f t="shared" si="462"/>
        <v>0</v>
      </c>
      <c r="GW579">
        <v>1</v>
      </c>
      <c r="GX579">
        <f t="shared" si="463"/>
        <v>0</v>
      </c>
      <c r="HA579">
        <v>0</v>
      </c>
      <c r="HB579">
        <v>0</v>
      </c>
      <c r="IK579">
        <v>0</v>
      </c>
    </row>
    <row r="580" spans="1:245" x14ac:dyDescent="0.2">
      <c r="A580">
        <v>18</v>
      </c>
      <c r="B580">
        <v>1</v>
      </c>
      <c r="C580">
        <v>831</v>
      </c>
      <c r="E580" t="s">
        <v>1022</v>
      </c>
      <c r="F580" t="s">
        <v>1023</v>
      </c>
      <c r="G580" t="s">
        <v>1024</v>
      </c>
      <c r="H580" t="s">
        <v>220</v>
      </c>
      <c r="I580">
        <f>I579*J580</f>
        <v>57.999999999999993</v>
      </c>
      <c r="J580">
        <v>100</v>
      </c>
      <c r="O580">
        <f t="shared" si="425"/>
        <v>8564.6</v>
      </c>
      <c r="P580">
        <f t="shared" si="426"/>
        <v>8564.6</v>
      </c>
      <c r="Q580">
        <f t="shared" si="427"/>
        <v>0</v>
      </c>
      <c r="R580">
        <f t="shared" si="428"/>
        <v>0</v>
      </c>
      <c r="S580">
        <f t="shared" si="429"/>
        <v>0</v>
      </c>
      <c r="T580">
        <f t="shared" si="430"/>
        <v>0</v>
      </c>
      <c r="U580">
        <f t="shared" si="431"/>
        <v>0</v>
      </c>
      <c r="V580">
        <f t="shared" si="432"/>
        <v>0</v>
      </c>
      <c r="W580">
        <f t="shared" si="433"/>
        <v>0</v>
      </c>
      <c r="X580">
        <f t="shared" si="434"/>
        <v>0</v>
      </c>
      <c r="Y580">
        <f t="shared" si="435"/>
        <v>0</v>
      </c>
      <c r="AA580">
        <v>16742901</v>
      </c>
      <c r="AB580">
        <f t="shared" si="436"/>
        <v>22.51</v>
      </c>
      <c r="AC580">
        <f t="shared" si="437"/>
        <v>22.51</v>
      </c>
      <c r="AD580">
        <f t="shared" si="438"/>
        <v>0</v>
      </c>
      <c r="AE580">
        <f t="shared" si="439"/>
        <v>0</v>
      </c>
      <c r="AF580">
        <f t="shared" si="440"/>
        <v>0</v>
      </c>
      <c r="AG580">
        <f t="shared" si="441"/>
        <v>0</v>
      </c>
      <c r="AH580">
        <f t="shared" si="442"/>
        <v>0</v>
      </c>
      <c r="AI580">
        <f t="shared" si="443"/>
        <v>0</v>
      </c>
      <c r="AJ580">
        <f t="shared" si="444"/>
        <v>0</v>
      </c>
      <c r="AK580">
        <v>22.51</v>
      </c>
      <c r="AL580">
        <v>22.51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95</v>
      </c>
      <c r="AU580">
        <v>65</v>
      </c>
      <c r="AV580">
        <v>1</v>
      </c>
      <c r="AW580">
        <v>1</v>
      </c>
      <c r="AZ580">
        <v>6.56</v>
      </c>
      <c r="BA580">
        <v>1</v>
      </c>
      <c r="BB580">
        <v>1</v>
      </c>
      <c r="BC580">
        <v>6.56</v>
      </c>
      <c r="BD580" t="s">
        <v>6</v>
      </c>
      <c r="BE580" t="s">
        <v>6</v>
      </c>
      <c r="BF580" t="s">
        <v>6</v>
      </c>
      <c r="BG580" t="s">
        <v>6</v>
      </c>
      <c r="BH580">
        <v>3</v>
      </c>
      <c r="BI580">
        <v>2</v>
      </c>
      <c r="BJ580" t="s">
        <v>1025</v>
      </c>
      <c r="BM580">
        <v>108001</v>
      </c>
      <c r="BN580">
        <v>0</v>
      </c>
      <c r="BO580" t="s">
        <v>6</v>
      </c>
      <c r="BP580">
        <v>0</v>
      </c>
      <c r="BQ580">
        <v>3</v>
      </c>
      <c r="BR580">
        <v>0</v>
      </c>
      <c r="BS580">
        <v>1</v>
      </c>
      <c r="BT580">
        <v>1</v>
      </c>
      <c r="BU580">
        <v>1</v>
      </c>
      <c r="BV580">
        <v>1</v>
      </c>
      <c r="BW580">
        <v>1</v>
      </c>
      <c r="BX580">
        <v>1</v>
      </c>
      <c r="BY580" t="s">
        <v>6</v>
      </c>
      <c r="BZ580">
        <v>95</v>
      </c>
      <c r="CA580">
        <v>65</v>
      </c>
      <c r="CF580">
        <v>0</v>
      </c>
      <c r="CG580">
        <v>0</v>
      </c>
      <c r="CM580">
        <v>0</v>
      </c>
      <c r="CN580" t="s">
        <v>6</v>
      </c>
      <c r="CO580">
        <v>0</v>
      </c>
      <c r="CP580">
        <f t="shared" si="445"/>
        <v>8564.6</v>
      </c>
      <c r="CQ580">
        <f t="shared" si="446"/>
        <v>147.66560000000001</v>
      </c>
      <c r="CR580">
        <f t="shared" si="447"/>
        <v>0</v>
      </c>
      <c r="CS580">
        <f t="shared" si="448"/>
        <v>0</v>
      </c>
      <c r="CT580">
        <f t="shared" si="449"/>
        <v>0</v>
      </c>
      <c r="CU580">
        <f t="shared" si="450"/>
        <v>0</v>
      </c>
      <c r="CV580">
        <f t="shared" si="451"/>
        <v>0</v>
      </c>
      <c r="CW580">
        <f t="shared" si="452"/>
        <v>0</v>
      </c>
      <c r="CX580">
        <f t="shared" si="453"/>
        <v>0</v>
      </c>
      <c r="CY580">
        <f t="shared" si="454"/>
        <v>0</v>
      </c>
      <c r="CZ580">
        <f t="shared" si="455"/>
        <v>0</v>
      </c>
      <c r="DC580" t="s">
        <v>6</v>
      </c>
      <c r="DD580" t="s">
        <v>6</v>
      </c>
      <c r="DE580" t="s">
        <v>6</v>
      </c>
      <c r="DF580" t="s">
        <v>6</v>
      </c>
      <c r="DG580" t="s">
        <v>6</v>
      </c>
      <c r="DH580" t="s">
        <v>6</v>
      </c>
      <c r="DI580" t="s">
        <v>6</v>
      </c>
      <c r="DJ580" t="s">
        <v>6</v>
      </c>
      <c r="DK580" t="s">
        <v>6</v>
      </c>
      <c r="DL580" t="s">
        <v>6</v>
      </c>
      <c r="DM580" t="s">
        <v>6</v>
      </c>
      <c r="DN580">
        <v>0</v>
      </c>
      <c r="DO580">
        <v>0</v>
      </c>
      <c r="DP580">
        <v>1</v>
      </c>
      <c r="DQ580">
        <v>1</v>
      </c>
      <c r="DU580">
        <v>1003</v>
      </c>
      <c r="DV580" t="s">
        <v>220</v>
      </c>
      <c r="DW580" t="s">
        <v>220</v>
      </c>
      <c r="DX580">
        <v>1</v>
      </c>
      <c r="EE580">
        <v>16510370</v>
      </c>
      <c r="EF580">
        <v>3</v>
      </c>
      <c r="EG580" t="s">
        <v>83</v>
      </c>
      <c r="EH580">
        <v>0</v>
      </c>
      <c r="EI580" t="s">
        <v>6</v>
      </c>
      <c r="EJ580">
        <v>2</v>
      </c>
      <c r="EK580">
        <v>108001</v>
      </c>
      <c r="EL580" t="s">
        <v>84</v>
      </c>
      <c r="EM580" t="s">
        <v>85</v>
      </c>
      <c r="EO580" t="s">
        <v>6</v>
      </c>
      <c r="EQ580">
        <v>0</v>
      </c>
      <c r="ER580">
        <v>22.51</v>
      </c>
      <c r="ES580">
        <v>22.51</v>
      </c>
      <c r="ET580">
        <v>0</v>
      </c>
      <c r="EU580">
        <v>0</v>
      </c>
      <c r="EV580">
        <v>0</v>
      </c>
      <c r="EW580">
        <v>0</v>
      </c>
      <c r="EX580">
        <v>0</v>
      </c>
      <c r="FQ580">
        <v>0</v>
      </c>
      <c r="FR580">
        <f t="shared" si="456"/>
        <v>0</v>
      </c>
      <c r="FS580">
        <v>0</v>
      </c>
      <c r="FX580">
        <v>95</v>
      </c>
      <c r="FY580">
        <v>65</v>
      </c>
      <c r="GA580" t="s">
        <v>6</v>
      </c>
      <c r="GD580">
        <v>0</v>
      </c>
      <c r="GF580">
        <v>-45038658</v>
      </c>
      <c r="GG580">
        <v>1</v>
      </c>
      <c r="GH580">
        <v>1</v>
      </c>
      <c r="GI580">
        <v>4</v>
      </c>
      <c r="GJ580">
        <v>0</v>
      </c>
      <c r="GK580">
        <f>ROUND(R580*(R12)/100,2)</f>
        <v>0</v>
      </c>
      <c r="GL580">
        <f t="shared" si="457"/>
        <v>0</v>
      </c>
      <c r="GM580">
        <f t="shared" si="458"/>
        <v>8564.6</v>
      </c>
      <c r="GN580">
        <f t="shared" si="459"/>
        <v>0</v>
      </c>
      <c r="GO580">
        <f t="shared" si="460"/>
        <v>8564.6</v>
      </c>
      <c r="GP580">
        <f t="shared" si="461"/>
        <v>0</v>
      </c>
      <c r="GR580">
        <v>0</v>
      </c>
      <c r="GS580">
        <v>3</v>
      </c>
      <c r="GT580">
        <v>0</v>
      </c>
      <c r="GU580" t="s">
        <v>6</v>
      </c>
      <c r="GV580">
        <f t="shared" si="462"/>
        <v>0</v>
      </c>
      <c r="GW580">
        <v>1</v>
      </c>
      <c r="GX580">
        <f t="shared" si="463"/>
        <v>0</v>
      </c>
      <c r="HA580">
        <v>0</v>
      </c>
      <c r="HB580">
        <v>0</v>
      </c>
      <c r="IK580">
        <v>0</v>
      </c>
    </row>
    <row r="582" spans="1:245" x14ac:dyDescent="0.2">
      <c r="A582" s="2">
        <v>51</v>
      </c>
      <c r="B582" s="2">
        <f>B568</f>
        <v>1</v>
      </c>
      <c r="C582" s="2">
        <f>A568</f>
        <v>4</v>
      </c>
      <c r="D582" s="2">
        <f>ROW(A568)</f>
        <v>568</v>
      </c>
      <c r="E582" s="2"/>
      <c r="F582" s="2" t="str">
        <f>IF(F568&lt;&gt;"",F568,"")</f>
        <v>Новый раздел</v>
      </c>
      <c r="G582" s="2" t="str">
        <f>IF(G568&lt;&gt;"",G568,"")</f>
        <v>5 Сети СКС</v>
      </c>
      <c r="H582" s="2">
        <v>0</v>
      </c>
      <c r="I582" s="2"/>
      <c r="J582" s="2"/>
      <c r="K582" s="2"/>
      <c r="L582" s="2"/>
      <c r="M582" s="2"/>
      <c r="N582" s="2"/>
      <c r="O582" s="2">
        <f t="shared" ref="O582:T582" si="464">ROUND(AB582,2)</f>
        <v>25109.119999999999</v>
      </c>
      <c r="P582" s="2">
        <f t="shared" si="464"/>
        <v>16564.66</v>
      </c>
      <c r="Q582" s="2">
        <f t="shared" si="464"/>
        <v>2373.41</v>
      </c>
      <c r="R582" s="2">
        <f t="shared" si="464"/>
        <v>314.14999999999998</v>
      </c>
      <c r="S582" s="2">
        <f t="shared" si="464"/>
        <v>6171.05</v>
      </c>
      <c r="T582" s="2">
        <f t="shared" si="464"/>
        <v>0</v>
      </c>
      <c r="U582" s="2">
        <f>AH582</f>
        <v>97.812699999999992</v>
      </c>
      <c r="V582" s="2">
        <f>AI582</f>
        <v>4.7263000000000002</v>
      </c>
      <c r="W582" s="2">
        <f>ROUND(AJ582,2)</f>
        <v>0</v>
      </c>
      <c r="X582" s="2">
        <f>ROUND(AK582,2)</f>
        <v>5313.8</v>
      </c>
      <c r="Y582" s="2">
        <f>ROUND(AL582,2)</f>
        <v>3928.7</v>
      </c>
      <c r="Z582" s="2"/>
      <c r="AA582" s="2"/>
      <c r="AB582" s="2">
        <f>ROUND(SUMIF(AA572:AA580,"=16742901",O572:O580),2)</f>
        <v>25109.119999999999</v>
      </c>
      <c r="AC582" s="2">
        <f>ROUND(SUMIF(AA572:AA580,"=16742901",P572:P580),2)</f>
        <v>16564.66</v>
      </c>
      <c r="AD582" s="2">
        <f>ROUND(SUMIF(AA572:AA580,"=16742901",Q572:Q580),2)</f>
        <v>2373.41</v>
      </c>
      <c r="AE582" s="2">
        <f>ROUND(SUMIF(AA572:AA580,"=16742901",R572:R580),2)</f>
        <v>314.14999999999998</v>
      </c>
      <c r="AF582" s="2">
        <f>ROUND(SUMIF(AA572:AA580,"=16742901",S572:S580),2)</f>
        <v>6171.05</v>
      </c>
      <c r="AG582" s="2">
        <f>ROUND(SUMIF(AA572:AA580,"=16742901",T572:T580),2)</f>
        <v>0</v>
      </c>
      <c r="AH582" s="2">
        <f>SUMIF(AA572:AA580,"=16742901",U572:U580)</f>
        <v>97.812699999999992</v>
      </c>
      <c r="AI582" s="2">
        <f>SUMIF(AA572:AA580,"=16742901",V572:V580)</f>
        <v>4.7263000000000002</v>
      </c>
      <c r="AJ582" s="2">
        <f>ROUND(SUMIF(AA572:AA580,"=16742901",W572:W580),2)</f>
        <v>0</v>
      </c>
      <c r="AK582" s="2">
        <f>ROUND(SUMIF(AA572:AA580,"=16742901",X572:X580),2)</f>
        <v>5313.8</v>
      </c>
      <c r="AL582" s="2">
        <f>ROUND(SUMIF(AA572:AA580,"=16742901",Y572:Y580),2)</f>
        <v>3928.7</v>
      </c>
      <c r="AM582" s="2"/>
      <c r="AN582" s="2"/>
      <c r="AO582" s="2">
        <f t="shared" ref="AO582:BC582" si="465">ROUND(BX582,2)</f>
        <v>0</v>
      </c>
      <c r="AP582" s="2">
        <f t="shared" si="465"/>
        <v>0</v>
      </c>
      <c r="AQ582" s="2">
        <f t="shared" si="465"/>
        <v>0</v>
      </c>
      <c r="AR582" s="2">
        <f t="shared" si="465"/>
        <v>34351.620000000003</v>
      </c>
      <c r="AS582" s="2">
        <f t="shared" si="465"/>
        <v>105.06</v>
      </c>
      <c r="AT582" s="2">
        <f t="shared" si="465"/>
        <v>34246.559999999998</v>
      </c>
      <c r="AU582" s="2">
        <f t="shared" si="465"/>
        <v>0</v>
      </c>
      <c r="AV582" s="2">
        <f t="shared" si="465"/>
        <v>16564.66</v>
      </c>
      <c r="AW582" s="2">
        <f t="shared" si="465"/>
        <v>16564.66</v>
      </c>
      <c r="AX582" s="2">
        <f t="shared" si="465"/>
        <v>0</v>
      </c>
      <c r="AY582" s="2">
        <f t="shared" si="465"/>
        <v>16564.66</v>
      </c>
      <c r="AZ582" s="2">
        <f t="shared" si="465"/>
        <v>0</v>
      </c>
      <c r="BA582" s="2">
        <f t="shared" si="465"/>
        <v>0</v>
      </c>
      <c r="BB582" s="2">
        <f t="shared" si="465"/>
        <v>0</v>
      </c>
      <c r="BC582" s="2">
        <f t="shared" si="465"/>
        <v>0</v>
      </c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>
        <f>ROUND(SUMIF(AA572:AA580,"=16742901",FQ572:FQ580),2)</f>
        <v>0</v>
      </c>
      <c r="BY582" s="2">
        <f>ROUND(SUMIF(AA572:AA580,"=16742901",FR572:FR580),2)</f>
        <v>0</v>
      </c>
      <c r="BZ582" s="2">
        <f>ROUND(SUMIF(AA572:AA580,"=16742901",GL572:GL580),2)</f>
        <v>0</v>
      </c>
      <c r="CA582" s="2">
        <f>ROUND(SUMIF(AA572:AA580,"=16742901",GM572:GM580),2)</f>
        <v>34351.620000000003</v>
      </c>
      <c r="CB582" s="2">
        <f>ROUND(SUMIF(AA572:AA580,"=16742901",GN572:GN580),2)</f>
        <v>105.06</v>
      </c>
      <c r="CC582" s="2">
        <f>ROUND(SUMIF(AA572:AA580,"=16742901",GO572:GO580),2)</f>
        <v>34246.559999999998</v>
      </c>
      <c r="CD582" s="2">
        <f>ROUND(SUMIF(AA572:AA580,"=16742901",GP572:GP580),2)</f>
        <v>0</v>
      </c>
      <c r="CE582" s="2">
        <f>AC582-BX582</f>
        <v>16564.66</v>
      </c>
      <c r="CF582" s="2">
        <f>AC582-BY582</f>
        <v>16564.66</v>
      </c>
      <c r="CG582" s="2">
        <f>BX582-BZ582</f>
        <v>0</v>
      </c>
      <c r="CH582" s="2">
        <f>AC582-BX582-BY582+BZ582</f>
        <v>16564.66</v>
      </c>
      <c r="CI582" s="2">
        <f>BY582-BZ582</f>
        <v>0</v>
      </c>
      <c r="CJ582" s="2">
        <f>ROUND(SUMIF(AA572:AA580,"=16742901",GX572:GX580),2)</f>
        <v>0</v>
      </c>
      <c r="CK582" s="2">
        <f>ROUND(SUMIF(AA572:AA580,"=16742901",GY572:GY580),2)</f>
        <v>0</v>
      </c>
      <c r="CL582" s="2">
        <f>ROUND(SUMIF(AA572:AA580,"=16742901",GZ572:GZ580),2)</f>
        <v>0</v>
      </c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3"/>
      <c r="EF582" s="3"/>
      <c r="EG582" s="3"/>
      <c r="EH582" s="3"/>
      <c r="EI582" s="3"/>
      <c r="EJ582" s="3"/>
      <c r="EK582" s="3"/>
      <c r="EL582" s="3"/>
      <c r="EM582" s="3"/>
      <c r="EN582" s="3"/>
      <c r="EO582" s="3"/>
      <c r="EP582" s="3"/>
      <c r="EQ582" s="3"/>
      <c r="ER582" s="3"/>
      <c r="ES582" s="3"/>
      <c r="ET582" s="3"/>
      <c r="EU582" s="3"/>
      <c r="EV582" s="3"/>
      <c r="EW582" s="3"/>
      <c r="EX582" s="3"/>
      <c r="EY582" s="3"/>
      <c r="EZ582" s="3"/>
      <c r="FA582" s="3"/>
      <c r="FB582" s="3"/>
      <c r="FC582" s="3"/>
      <c r="FD582" s="3"/>
      <c r="FE582" s="3"/>
      <c r="FF582" s="3"/>
      <c r="FG582" s="3"/>
      <c r="FH582" s="3"/>
      <c r="FI582" s="3"/>
      <c r="FJ582" s="3"/>
      <c r="FK582" s="3"/>
      <c r="FL582" s="3"/>
      <c r="FM582" s="3"/>
      <c r="FN582" s="3"/>
      <c r="FO582" s="3"/>
      <c r="FP582" s="3"/>
      <c r="FQ582" s="3"/>
      <c r="FR582" s="3"/>
      <c r="FS582" s="3"/>
      <c r="FT582" s="3"/>
      <c r="FU582" s="3"/>
      <c r="FV582" s="3"/>
      <c r="FW582" s="3"/>
      <c r="FX582" s="3"/>
      <c r="FY582" s="3"/>
      <c r="FZ582" s="3"/>
      <c r="GA582" s="3"/>
      <c r="GB582" s="3"/>
      <c r="GC582" s="3"/>
      <c r="GD582" s="3"/>
      <c r="GE582" s="3"/>
      <c r="GF582" s="3"/>
      <c r="GG582" s="3"/>
      <c r="GH582" s="3"/>
      <c r="GI582" s="3"/>
      <c r="GJ582" s="3"/>
      <c r="GK582" s="3"/>
      <c r="GL582" s="3"/>
      <c r="GM582" s="3"/>
      <c r="GN582" s="3"/>
      <c r="GO582" s="3"/>
      <c r="GP582" s="3"/>
      <c r="GQ582" s="3"/>
      <c r="GR582" s="3"/>
      <c r="GS582" s="3"/>
      <c r="GT582" s="3"/>
      <c r="GU582" s="3"/>
      <c r="GV582" s="3"/>
      <c r="GW582" s="3"/>
      <c r="GX582" s="3">
        <v>0</v>
      </c>
    </row>
    <row r="584" spans="1:245" x14ac:dyDescent="0.2">
      <c r="A584" s="4">
        <v>50</v>
      </c>
      <c r="B584" s="4">
        <v>0</v>
      </c>
      <c r="C584" s="4">
        <v>0</v>
      </c>
      <c r="D584" s="4">
        <v>1</v>
      </c>
      <c r="E584" s="4">
        <v>201</v>
      </c>
      <c r="F584" s="4">
        <f>ROUND(Source!O582,O584)</f>
        <v>25109.119999999999</v>
      </c>
      <c r="G584" s="4" t="s">
        <v>130</v>
      </c>
      <c r="H584" s="4" t="s">
        <v>131</v>
      </c>
      <c r="I584" s="4"/>
      <c r="J584" s="4"/>
      <c r="K584" s="4">
        <v>201</v>
      </c>
      <c r="L584" s="4">
        <v>1</v>
      </c>
      <c r="M584" s="4">
        <v>3</v>
      </c>
      <c r="N584" s="4" t="s">
        <v>6</v>
      </c>
      <c r="O584" s="4">
        <v>2</v>
      </c>
      <c r="P584" s="4"/>
      <c r="Q584" s="4"/>
      <c r="R584" s="4"/>
      <c r="S584" s="4"/>
      <c r="T584" s="4"/>
      <c r="U584" s="4"/>
      <c r="V584" s="4"/>
      <c r="W584" s="4"/>
    </row>
    <row r="585" spans="1:245" x14ac:dyDescent="0.2">
      <c r="A585" s="4">
        <v>50</v>
      </c>
      <c r="B585" s="4">
        <v>0</v>
      </c>
      <c r="C585" s="4">
        <v>0</v>
      </c>
      <c r="D585" s="4">
        <v>1</v>
      </c>
      <c r="E585" s="4">
        <v>202</v>
      </c>
      <c r="F585" s="4">
        <f>ROUND(Source!P582,O585)</f>
        <v>16564.66</v>
      </c>
      <c r="G585" s="4" t="s">
        <v>132</v>
      </c>
      <c r="H585" s="4" t="s">
        <v>133</v>
      </c>
      <c r="I585" s="4"/>
      <c r="J585" s="4"/>
      <c r="K585" s="4">
        <v>202</v>
      </c>
      <c r="L585" s="4">
        <v>2</v>
      </c>
      <c r="M585" s="4">
        <v>3</v>
      </c>
      <c r="N585" s="4" t="s">
        <v>6</v>
      </c>
      <c r="O585" s="4">
        <v>2</v>
      </c>
      <c r="P585" s="4"/>
      <c r="Q585" s="4"/>
      <c r="R585" s="4"/>
      <c r="S585" s="4"/>
      <c r="T585" s="4"/>
      <c r="U585" s="4"/>
      <c r="V585" s="4"/>
      <c r="W585" s="4"/>
    </row>
    <row r="586" spans="1:245" x14ac:dyDescent="0.2">
      <c r="A586" s="4">
        <v>50</v>
      </c>
      <c r="B586" s="4">
        <v>0</v>
      </c>
      <c r="C586" s="4">
        <v>0</v>
      </c>
      <c r="D586" s="4">
        <v>1</v>
      </c>
      <c r="E586" s="4">
        <v>222</v>
      </c>
      <c r="F586" s="4">
        <f>ROUND(Source!AO582,O586)</f>
        <v>0</v>
      </c>
      <c r="G586" s="4" t="s">
        <v>134</v>
      </c>
      <c r="H586" s="4" t="s">
        <v>135</v>
      </c>
      <c r="I586" s="4"/>
      <c r="J586" s="4"/>
      <c r="K586" s="4">
        <v>222</v>
      </c>
      <c r="L586" s="4">
        <v>3</v>
      </c>
      <c r="M586" s="4">
        <v>3</v>
      </c>
      <c r="N586" s="4" t="s">
        <v>6</v>
      </c>
      <c r="O586" s="4">
        <v>2</v>
      </c>
      <c r="P586" s="4"/>
      <c r="Q586" s="4"/>
      <c r="R586" s="4"/>
      <c r="S586" s="4"/>
      <c r="T586" s="4"/>
      <c r="U586" s="4"/>
      <c r="V586" s="4"/>
      <c r="W586" s="4"/>
    </row>
    <row r="587" spans="1:245" x14ac:dyDescent="0.2">
      <c r="A587" s="4">
        <v>50</v>
      </c>
      <c r="B587" s="4">
        <v>0</v>
      </c>
      <c r="C587" s="4">
        <v>0</v>
      </c>
      <c r="D587" s="4">
        <v>1</v>
      </c>
      <c r="E587" s="4">
        <v>225</v>
      </c>
      <c r="F587" s="4">
        <f>ROUND(Source!AV582,O587)</f>
        <v>16564.66</v>
      </c>
      <c r="G587" s="4" t="s">
        <v>136</v>
      </c>
      <c r="H587" s="4" t="s">
        <v>137</v>
      </c>
      <c r="I587" s="4"/>
      <c r="J587" s="4"/>
      <c r="K587" s="4">
        <v>225</v>
      </c>
      <c r="L587" s="4">
        <v>4</v>
      </c>
      <c r="M587" s="4">
        <v>3</v>
      </c>
      <c r="N587" s="4" t="s">
        <v>6</v>
      </c>
      <c r="O587" s="4">
        <v>2</v>
      </c>
      <c r="P587" s="4"/>
      <c r="Q587" s="4"/>
      <c r="R587" s="4"/>
      <c r="S587" s="4"/>
      <c r="T587" s="4"/>
      <c r="U587" s="4"/>
      <c r="V587" s="4"/>
      <c r="W587" s="4"/>
    </row>
    <row r="588" spans="1:245" x14ac:dyDescent="0.2">
      <c r="A588" s="4">
        <v>50</v>
      </c>
      <c r="B588" s="4">
        <v>0</v>
      </c>
      <c r="C588" s="4">
        <v>0</v>
      </c>
      <c r="D588" s="4">
        <v>1</v>
      </c>
      <c r="E588" s="4">
        <v>226</v>
      </c>
      <c r="F588" s="4">
        <f>ROUND(Source!AW582,O588)</f>
        <v>16564.66</v>
      </c>
      <c r="G588" s="4" t="s">
        <v>138</v>
      </c>
      <c r="H588" s="4" t="s">
        <v>139</v>
      </c>
      <c r="I588" s="4"/>
      <c r="J588" s="4"/>
      <c r="K588" s="4">
        <v>226</v>
      </c>
      <c r="L588" s="4">
        <v>5</v>
      </c>
      <c r="M588" s="4">
        <v>3</v>
      </c>
      <c r="N588" s="4" t="s">
        <v>6</v>
      </c>
      <c r="O588" s="4">
        <v>2</v>
      </c>
      <c r="P588" s="4"/>
      <c r="Q588" s="4"/>
      <c r="R588" s="4"/>
      <c r="S588" s="4"/>
      <c r="T588" s="4"/>
      <c r="U588" s="4"/>
      <c r="V588" s="4"/>
      <c r="W588" s="4"/>
    </row>
    <row r="589" spans="1:245" x14ac:dyDescent="0.2">
      <c r="A589" s="4">
        <v>50</v>
      </c>
      <c r="B589" s="4">
        <v>0</v>
      </c>
      <c r="C589" s="4">
        <v>0</v>
      </c>
      <c r="D589" s="4">
        <v>1</v>
      </c>
      <c r="E589" s="4">
        <v>227</v>
      </c>
      <c r="F589" s="4">
        <f>ROUND(Source!AX582,O589)</f>
        <v>0</v>
      </c>
      <c r="G589" s="4" t="s">
        <v>140</v>
      </c>
      <c r="H589" s="4" t="s">
        <v>141</v>
      </c>
      <c r="I589" s="4"/>
      <c r="J589" s="4"/>
      <c r="K589" s="4">
        <v>227</v>
      </c>
      <c r="L589" s="4">
        <v>6</v>
      </c>
      <c r="M589" s="4">
        <v>3</v>
      </c>
      <c r="N589" s="4" t="s">
        <v>6</v>
      </c>
      <c r="O589" s="4">
        <v>2</v>
      </c>
      <c r="P589" s="4"/>
      <c r="Q589" s="4"/>
      <c r="R589" s="4"/>
      <c r="S589" s="4"/>
      <c r="T589" s="4"/>
      <c r="U589" s="4"/>
      <c r="V589" s="4"/>
      <c r="W589" s="4"/>
    </row>
    <row r="590" spans="1:245" x14ac:dyDescent="0.2">
      <c r="A590" s="4">
        <v>50</v>
      </c>
      <c r="B590" s="4">
        <v>0</v>
      </c>
      <c r="C590" s="4">
        <v>0</v>
      </c>
      <c r="D590" s="4">
        <v>1</v>
      </c>
      <c r="E590" s="4">
        <v>228</v>
      </c>
      <c r="F590" s="4">
        <f>ROUND(Source!AY582,O590)</f>
        <v>16564.66</v>
      </c>
      <c r="G590" s="4" t="s">
        <v>142</v>
      </c>
      <c r="H590" s="4" t="s">
        <v>143</v>
      </c>
      <c r="I590" s="4"/>
      <c r="J590" s="4"/>
      <c r="K590" s="4">
        <v>228</v>
      </c>
      <c r="L590" s="4">
        <v>7</v>
      </c>
      <c r="M590" s="4">
        <v>3</v>
      </c>
      <c r="N590" s="4" t="s">
        <v>6</v>
      </c>
      <c r="O590" s="4">
        <v>2</v>
      </c>
      <c r="P590" s="4"/>
      <c r="Q590" s="4"/>
      <c r="R590" s="4"/>
      <c r="S590" s="4"/>
      <c r="T590" s="4"/>
      <c r="U590" s="4"/>
      <c r="V590" s="4"/>
      <c r="W590" s="4"/>
    </row>
    <row r="591" spans="1:245" x14ac:dyDescent="0.2">
      <c r="A591" s="4">
        <v>50</v>
      </c>
      <c r="B591" s="4">
        <v>0</v>
      </c>
      <c r="C591" s="4">
        <v>0</v>
      </c>
      <c r="D591" s="4">
        <v>1</v>
      </c>
      <c r="E591" s="4">
        <v>216</v>
      </c>
      <c r="F591" s="4">
        <f>ROUND(Source!AP582,O591)</f>
        <v>0</v>
      </c>
      <c r="G591" s="4" t="s">
        <v>144</v>
      </c>
      <c r="H591" s="4" t="s">
        <v>145</v>
      </c>
      <c r="I591" s="4"/>
      <c r="J591" s="4"/>
      <c r="K591" s="4">
        <v>216</v>
      </c>
      <c r="L591" s="4">
        <v>8</v>
      </c>
      <c r="M591" s="4">
        <v>3</v>
      </c>
      <c r="N591" s="4" t="s">
        <v>6</v>
      </c>
      <c r="O591" s="4">
        <v>2</v>
      </c>
      <c r="P591" s="4"/>
      <c r="Q591" s="4"/>
      <c r="R591" s="4"/>
      <c r="S591" s="4"/>
      <c r="T591" s="4"/>
      <c r="U591" s="4"/>
      <c r="V591" s="4"/>
      <c r="W591" s="4"/>
    </row>
    <row r="592" spans="1:245" x14ac:dyDescent="0.2">
      <c r="A592" s="4">
        <v>50</v>
      </c>
      <c r="B592" s="4">
        <v>0</v>
      </c>
      <c r="C592" s="4">
        <v>0</v>
      </c>
      <c r="D592" s="4">
        <v>1</v>
      </c>
      <c r="E592" s="4">
        <v>223</v>
      </c>
      <c r="F592" s="4">
        <f>ROUND(Source!AQ582,O592)</f>
        <v>0</v>
      </c>
      <c r="G592" s="4" t="s">
        <v>146</v>
      </c>
      <c r="H592" s="4" t="s">
        <v>147</v>
      </c>
      <c r="I592" s="4"/>
      <c r="J592" s="4"/>
      <c r="K592" s="4">
        <v>223</v>
      </c>
      <c r="L592" s="4">
        <v>9</v>
      </c>
      <c r="M592" s="4">
        <v>3</v>
      </c>
      <c r="N592" s="4" t="s">
        <v>6</v>
      </c>
      <c r="O592" s="4">
        <v>2</v>
      </c>
      <c r="P592" s="4"/>
      <c r="Q592" s="4"/>
      <c r="R592" s="4"/>
      <c r="S592" s="4"/>
      <c r="T592" s="4"/>
      <c r="U592" s="4"/>
      <c r="V592" s="4"/>
      <c r="W592" s="4"/>
    </row>
    <row r="593" spans="1:23" x14ac:dyDescent="0.2">
      <c r="A593" s="4">
        <v>50</v>
      </c>
      <c r="B593" s="4">
        <v>0</v>
      </c>
      <c r="C593" s="4">
        <v>0</v>
      </c>
      <c r="D593" s="4">
        <v>1</v>
      </c>
      <c r="E593" s="4">
        <v>229</v>
      </c>
      <c r="F593" s="4">
        <f>ROUND(Source!AZ582,O593)</f>
        <v>0</v>
      </c>
      <c r="G593" s="4" t="s">
        <v>148</v>
      </c>
      <c r="H593" s="4" t="s">
        <v>149</v>
      </c>
      <c r="I593" s="4"/>
      <c r="J593" s="4"/>
      <c r="K593" s="4">
        <v>229</v>
      </c>
      <c r="L593" s="4">
        <v>10</v>
      </c>
      <c r="M593" s="4">
        <v>3</v>
      </c>
      <c r="N593" s="4" t="s">
        <v>6</v>
      </c>
      <c r="O593" s="4">
        <v>2</v>
      </c>
      <c r="P593" s="4"/>
      <c r="Q593" s="4"/>
      <c r="R593" s="4"/>
      <c r="S593" s="4"/>
      <c r="T593" s="4"/>
      <c r="U593" s="4"/>
      <c r="V593" s="4"/>
      <c r="W593" s="4"/>
    </row>
    <row r="594" spans="1:23" x14ac:dyDescent="0.2">
      <c r="A594" s="4">
        <v>50</v>
      </c>
      <c r="B594" s="4">
        <v>0</v>
      </c>
      <c r="C594" s="4">
        <v>0</v>
      </c>
      <c r="D594" s="4">
        <v>1</v>
      </c>
      <c r="E594" s="4">
        <v>203</v>
      </c>
      <c r="F594" s="4">
        <f>ROUND(Source!Q582,O594)</f>
        <v>2373.41</v>
      </c>
      <c r="G594" s="4" t="s">
        <v>150</v>
      </c>
      <c r="H594" s="4" t="s">
        <v>151</v>
      </c>
      <c r="I594" s="4"/>
      <c r="J594" s="4"/>
      <c r="K594" s="4">
        <v>203</v>
      </c>
      <c r="L594" s="4">
        <v>11</v>
      </c>
      <c r="M594" s="4">
        <v>3</v>
      </c>
      <c r="N594" s="4" t="s">
        <v>6</v>
      </c>
      <c r="O594" s="4">
        <v>2</v>
      </c>
      <c r="P594" s="4"/>
      <c r="Q594" s="4"/>
      <c r="R594" s="4"/>
      <c r="S594" s="4"/>
      <c r="T594" s="4"/>
      <c r="U594" s="4"/>
      <c r="V594" s="4"/>
      <c r="W594" s="4"/>
    </row>
    <row r="595" spans="1:23" x14ac:dyDescent="0.2">
      <c r="A595" s="4">
        <v>50</v>
      </c>
      <c r="B595" s="4">
        <v>0</v>
      </c>
      <c r="C595" s="4">
        <v>0</v>
      </c>
      <c r="D595" s="4">
        <v>1</v>
      </c>
      <c r="E595" s="4">
        <v>231</v>
      </c>
      <c r="F595" s="4">
        <f>ROUND(Source!BB582,O595)</f>
        <v>0</v>
      </c>
      <c r="G595" s="4" t="s">
        <v>152</v>
      </c>
      <c r="H595" s="4" t="s">
        <v>153</v>
      </c>
      <c r="I595" s="4"/>
      <c r="J595" s="4"/>
      <c r="K595" s="4">
        <v>231</v>
      </c>
      <c r="L595" s="4">
        <v>12</v>
      </c>
      <c r="M595" s="4">
        <v>3</v>
      </c>
      <c r="N595" s="4" t="s">
        <v>6</v>
      </c>
      <c r="O595" s="4">
        <v>2</v>
      </c>
      <c r="P595" s="4"/>
      <c r="Q595" s="4"/>
      <c r="R595" s="4"/>
      <c r="S595" s="4"/>
      <c r="T595" s="4"/>
      <c r="U595" s="4"/>
      <c r="V595" s="4"/>
      <c r="W595" s="4"/>
    </row>
    <row r="596" spans="1:23" x14ac:dyDescent="0.2">
      <c r="A596" s="4">
        <v>50</v>
      </c>
      <c r="B596" s="4">
        <v>0</v>
      </c>
      <c r="C596" s="4">
        <v>0</v>
      </c>
      <c r="D596" s="4">
        <v>1</v>
      </c>
      <c r="E596" s="4">
        <v>204</v>
      </c>
      <c r="F596" s="4">
        <f>ROUND(Source!R582,O596)</f>
        <v>314.14999999999998</v>
      </c>
      <c r="G596" s="4" t="s">
        <v>154</v>
      </c>
      <c r="H596" s="4" t="s">
        <v>155</v>
      </c>
      <c r="I596" s="4"/>
      <c r="J596" s="4"/>
      <c r="K596" s="4">
        <v>204</v>
      </c>
      <c r="L596" s="4">
        <v>13</v>
      </c>
      <c r="M596" s="4">
        <v>3</v>
      </c>
      <c r="N596" s="4" t="s">
        <v>6</v>
      </c>
      <c r="O596" s="4">
        <v>2</v>
      </c>
      <c r="P596" s="4"/>
      <c r="Q596" s="4"/>
      <c r="R596" s="4"/>
      <c r="S596" s="4"/>
      <c r="T596" s="4"/>
      <c r="U596" s="4"/>
      <c r="V596" s="4"/>
      <c r="W596" s="4"/>
    </row>
    <row r="597" spans="1:23" x14ac:dyDescent="0.2">
      <c r="A597" s="4">
        <v>50</v>
      </c>
      <c r="B597" s="4">
        <v>0</v>
      </c>
      <c r="C597" s="4">
        <v>0</v>
      </c>
      <c r="D597" s="4">
        <v>1</v>
      </c>
      <c r="E597" s="4">
        <v>205</v>
      </c>
      <c r="F597" s="4">
        <f>ROUND(Source!S582,O597)</f>
        <v>6171.05</v>
      </c>
      <c r="G597" s="4" t="s">
        <v>156</v>
      </c>
      <c r="H597" s="4" t="s">
        <v>157</v>
      </c>
      <c r="I597" s="4"/>
      <c r="J597" s="4"/>
      <c r="K597" s="4">
        <v>205</v>
      </c>
      <c r="L597" s="4">
        <v>14</v>
      </c>
      <c r="M597" s="4">
        <v>3</v>
      </c>
      <c r="N597" s="4" t="s">
        <v>6</v>
      </c>
      <c r="O597" s="4">
        <v>2</v>
      </c>
      <c r="P597" s="4"/>
      <c r="Q597" s="4"/>
      <c r="R597" s="4"/>
      <c r="S597" s="4"/>
      <c r="T597" s="4"/>
      <c r="U597" s="4"/>
      <c r="V597" s="4"/>
      <c r="W597" s="4"/>
    </row>
    <row r="598" spans="1:23" x14ac:dyDescent="0.2">
      <c r="A598" s="4">
        <v>50</v>
      </c>
      <c r="B598" s="4">
        <v>0</v>
      </c>
      <c r="C598" s="4">
        <v>0</v>
      </c>
      <c r="D598" s="4">
        <v>1</v>
      </c>
      <c r="E598" s="4">
        <v>232</v>
      </c>
      <c r="F598" s="4">
        <f>ROUND(Source!BC582,O598)</f>
        <v>0</v>
      </c>
      <c r="G598" s="4" t="s">
        <v>158</v>
      </c>
      <c r="H598" s="4" t="s">
        <v>159</v>
      </c>
      <c r="I598" s="4"/>
      <c r="J598" s="4"/>
      <c r="K598" s="4">
        <v>232</v>
      </c>
      <c r="L598" s="4">
        <v>15</v>
      </c>
      <c r="M598" s="4">
        <v>3</v>
      </c>
      <c r="N598" s="4" t="s">
        <v>6</v>
      </c>
      <c r="O598" s="4">
        <v>2</v>
      </c>
      <c r="P598" s="4"/>
      <c r="Q598" s="4"/>
      <c r="R598" s="4"/>
      <c r="S598" s="4"/>
      <c r="T598" s="4"/>
      <c r="U598" s="4"/>
      <c r="V598" s="4"/>
      <c r="W598" s="4"/>
    </row>
    <row r="599" spans="1:23" x14ac:dyDescent="0.2">
      <c r="A599" s="4">
        <v>50</v>
      </c>
      <c r="B599" s="4">
        <v>0</v>
      </c>
      <c r="C599" s="4">
        <v>0</v>
      </c>
      <c r="D599" s="4">
        <v>1</v>
      </c>
      <c r="E599" s="4">
        <v>214</v>
      </c>
      <c r="F599" s="4">
        <f>ROUND(Source!AS582,O599)</f>
        <v>105.06</v>
      </c>
      <c r="G599" s="4" t="s">
        <v>160</v>
      </c>
      <c r="H599" s="4" t="s">
        <v>161</v>
      </c>
      <c r="I599" s="4"/>
      <c r="J599" s="4"/>
      <c r="K599" s="4">
        <v>214</v>
      </c>
      <c r="L599" s="4">
        <v>16</v>
      </c>
      <c r="M599" s="4">
        <v>3</v>
      </c>
      <c r="N599" s="4" t="s">
        <v>6</v>
      </c>
      <c r="O599" s="4">
        <v>2</v>
      </c>
      <c r="P599" s="4"/>
      <c r="Q599" s="4"/>
      <c r="R599" s="4"/>
      <c r="S599" s="4"/>
      <c r="T599" s="4"/>
      <c r="U599" s="4"/>
      <c r="V599" s="4"/>
      <c r="W599" s="4"/>
    </row>
    <row r="600" spans="1:23" x14ac:dyDescent="0.2">
      <c r="A600" s="4">
        <v>50</v>
      </c>
      <c r="B600" s="4">
        <v>0</v>
      </c>
      <c r="C600" s="4">
        <v>0</v>
      </c>
      <c r="D600" s="4">
        <v>1</v>
      </c>
      <c r="E600" s="4">
        <v>215</v>
      </c>
      <c r="F600" s="4">
        <f>ROUND(Source!AT582,O600)</f>
        <v>34246.559999999998</v>
      </c>
      <c r="G600" s="4" t="s">
        <v>162</v>
      </c>
      <c r="H600" s="4" t="s">
        <v>163</v>
      </c>
      <c r="I600" s="4"/>
      <c r="J600" s="4"/>
      <c r="K600" s="4">
        <v>215</v>
      </c>
      <c r="L600" s="4">
        <v>17</v>
      </c>
      <c r="M600" s="4">
        <v>3</v>
      </c>
      <c r="N600" s="4" t="s">
        <v>6</v>
      </c>
      <c r="O600" s="4">
        <v>2</v>
      </c>
      <c r="P600" s="4"/>
      <c r="Q600" s="4"/>
      <c r="R600" s="4"/>
      <c r="S600" s="4"/>
      <c r="T600" s="4"/>
      <c r="U600" s="4"/>
      <c r="V600" s="4"/>
      <c r="W600" s="4"/>
    </row>
    <row r="601" spans="1:23" x14ac:dyDescent="0.2">
      <c r="A601" s="4">
        <v>50</v>
      </c>
      <c r="B601" s="4">
        <v>0</v>
      </c>
      <c r="C601" s="4">
        <v>0</v>
      </c>
      <c r="D601" s="4">
        <v>1</v>
      </c>
      <c r="E601" s="4">
        <v>217</v>
      </c>
      <c r="F601" s="4">
        <f>ROUND(Source!AU582,O601)</f>
        <v>0</v>
      </c>
      <c r="G601" s="4" t="s">
        <v>164</v>
      </c>
      <c r="H601" s="4" t="s">
        <v>165</v>
      </c>
      <c r="I601" s="4"/>
      <c r="J601" s="4"/>
      <c r="K601" s="4">
        <v>217</v>
      </c>
      <c r="L601" s="4">
        <v>18</v>
      </c>
      <c r="M601" s="4">
        <v>3</v>
      </c>
      <c r="N601" s="4" t="s">
        <v>6</v>
      </c>
      <c r="O601" s="4">
        <v>2</v>
      </c>
      <c r="P601" s="4"/>
      <c r="Q601" s="4"/>
      <c r="R601" s="4"/>
      <c r="S601" s="4"/>
      <c r="T601" s="4"/>
      <c r="U601" s="4"/>
      <c r="V601" s="4"/>
      <c r="W601" s="4"/>
    </row>
    <row r="602" spans="1:23" x14ac:dyDescent="0.2">
      <c r="A602" s="4">
        <v>50</v>
      </c>
      <c r="B602" s="4">
        <v>0</v>
      </c>
      <c r="C602" s="4">
        <v>0</v>
      </c>
      <c r="D602" s="4">
        <v>1</v>
      </c>
      <c r="E602" s="4">
        <v>230</v>
      </c>
      <c r="F602" s="4">
        <f>ROUND(Source!BA582,O602)</f>
        <v>0</v>
      </c>
      <c r="G602" s="4" t="s">
        <v>166</v>
      </c>
      <c r="H602" s="4" t="s">
        <v>167</v>
      </c>
      <c r="I602" s="4"/>
      <c r="J602" s="4"/>
      <c r="K602" s="4">
        <v>230</v>
      </c>
      <c r="L602" s="4">
        <v>19</v>
      </c>
      <c r="M602" s="4">
        <v>3</v>
      </c>
      <c r="N602" s="4" t="s">
        <v>6</v>
      </c>
      <c r="O602" s="4">
        <v>2</v>
      </c>
      <c r="P602" s="4"/>
      <c r="Q602" s="4"/>
      <c r="R602" s="4"/>
      <c r="S602" s="4"/>
      <c r="T602" s="4"/>
      <c r="U602" s="4"/>
      <c r="V602" s="4"/>
      <c r="W602" s="4"/>
    </row>
    <row r="603" spans="1:23" x14ac:dyDescent="0.2">
      <c r="A603" s="4">
        <v>50</v>
      </c>
      <c r="B603" s="4">
        <v>0</v>
      </c>
      <c r="C603" s="4">
        <v>0</v>
      </c>
      <c r="D603" s="4">
        <v>1</v>
      </c>
      <c r="E603" s="4">
        <v>206</v>
      </c>
      <c r="F603" s="4">
        <f>ROUND(Source!T582,O603)</f>
        <v>0</v>
      </c>
      <c r="G603" s="4" t="s">
        <v>168</v>
      </c>
      <c r="H603" s="4" t="s">
        <v>169</v>
      </c>
      <c r="I603" s="4"/>
      <c r="J603" s="4"/>
      <c r="K603" s="4">
        <v>206</v>
      </c>
      <c r="L603" s="4">
        <v>20</v>
      </c>
      <c r="M603" s="4">
        <v>3</v>
      </c>
      <c r="N603" s="4" t="s">
        <v>6</v>
      </c>
      <c r="O603" s="4">
        <v>2</v>
      </c>
      <c r="P603" s="4"/>
      <c r="Q603" s="4"/>
      <c r="R603" s="4"/>
      <c r="S603" s="4"/>
      <c r="T603" s="4"/>
      <c r="U603" s="4"/>
      <c r="V603" s="4"/>
      <c r="W603" s="4"/>
    </row>
    <row r="604" spans="1:23" x14ac:dyDescent="0.2">
      <c r="A604" s="4">
        <v>50</v>
      </c>
      <c r="B604" s="4">
        <v>0</v>
      </c>
      <c r="C604" s="4">
        <v>0</v>
      </c>
      <c r="D604" s="4">
        <v>1</v>
      </c>
      <c r="E604" s="4">
        <v>207</v>
      </c>
      <c r="F604" s="4">
        <f>Source!U582</f>
        <v>97.812699999999992</v>
      </c>
      <c r="G604" s="4" t="s">
        <v>170</v>
      </c>
      <c r="H604" s="4" t="s">
        <v>171</v>
      </c>
      <c r="I604" s="4"/>
      <c r="J604" s="4"/>
      <c r="K604" s="4">
        <v>207</v>
      </c>
      <c r="L604" s="4">
        <v>21</v>
      </c>
      <c r="M604" s="4">
        <v>3</v>
      </c>
      <c r="N604" s="4" t="s">
        <v>6</v>
      </c>
      <c r="O604" s="4">
        <v>-1</v>
      </c>
      <c r="P604" s="4"/>
      <c r="Q604" s="4"/>
      <c r="R604" s="4"/>
      <c r="S604" s="4"/>
      <c r="T604" s="4"/>
      <c r="U604" s="4"/>
      <c r="V604" s="4"/>
      <c r="W604" s="4"/>
    </row>
    <row r="605" spans="1:23" x14ac:dyDescent="0.2">
      <c r="A605" s="4">
        <v>50</v>
      </c>
      <c r="B605" s="4">
        <v>0</v>
      </c>
      <c r="C605" s="4">
        <v>0</v>
      </c>
      <c r="D605" s="4">
        <v>1</v>
      </c>
      <c r="E605" s="4">
        <v>208</v>
      </c>
      <c r="F605" s="4">
        <f>Source!V582</f>
        <v>4.7263000000000002</v>
      </c>
      <c r="G605" s="4" t="s">
        <v>172</v>
      </c>
      <c r="H605" s="4" t="s">
        <v>173</v>
      </c>
      <c r="I605" s="4"/>
      <c r="J605" s="4"/>
      <c r="K605" s="4">
        <v>208</v>
      </c>
      <c r="L605" s="4">
        <v>22</v>
      </c>
      <c r="M605" s="4">
        <v>3</v>
      </c>
      <c r="N605" s="4" t="s">
        <v>6</v>
      </c>
      <c r="O605" s="4">
        <v>-1</v>
      </c>
      <c r="P605" s="4"/>
      <c r="Q605" s="4"/>
      <c r="R605" s="4"/>
      <c r="S605" s="4"/>
      <c r="T605" s="4"/>
      <c r="U605" s="4"/>
      <c r="V605" s="4"/>
      <c r="W605" s="4"/>
    </row>
    <row r="606" spans="1:23" x14ac:dyDescent="0.2">
      <c r="A606" s="4">
        <v>50</v>
      </c>
      <c r="B606" s="4">
        <v>0</v>
      </c>
      <c r="C606" s="4">
        <v>0</v>
      </c>
      <c r="D606" s="4">
        <v>1</v>
      </c>
      <c r="E606" s="4">
        <v>209</v>
      </c>
      <c r="F606" s="4">
        <f>ROUND(Source!W582,O606)</f>
        <v>0</v>
      </c>
      <c r="G606" s="4" t="s">
        <v>174</v>
      </c>
      <c r="H606" s="4" t="s">
        <v>175</v>
      </c>
      <c r="I606" s="4"/>
      <c r="J606" s="4"/>
      <c r="K606" s="4">
        <v>209</v>
      </c>
      <c r="L606" s="4">
        <v>23</v>
      </c>
      <c r="M606" s="4">
        <v>3</v>
      </c>
      <c r="N606" s="4" t="s">
        <v>6</v>
      </c>
      <c r="O606" s="4">
        <v>2</v>
      </c>
      <c r="P606" s="4"/>
      <c r="Q606" s="4"/>
      <c r="R606" s="4"/>
      <c r="S606" s="4"/>
      <c r="T606" s="4"/>
      <c r="U606" s="4"/>
      <c r="V606" s="4"/>
      <c r="W606" s="4"/>
    </row>
    <row r="607" spans="1:23" x14ac:dyDescent="0.2">
      <c r="A607" s="4">
        <v>50</v>
      </c>
      <c r="B607" s="4">
        <v>0</v>
      </c>
      <c r="C607" s="4">
        <v>0</v>
      </c>
      <c r="D607" s="4">
        <v>1</v>
      </c>
      <c r="E607" s="4">
        <v>210</v>
      </c>
      <c r="F607" s="4">
        <f>ROUND(Source!X582,O607)</f>
        <v>5313.8</v>
      </c>
      <c r="G607" s="4" t="s">
        <v>176</v>
      </c>
      <c r="H607" s="4" t="s">
        <v>177</v>
      </c>
      <c r="I607" s="4"/>
      <c r="J607" s="4"/>
      <c r="K607" s="4">
        <v>210</v>
      </c>
      <c r="L607" s="4">
        <v>24</v>
      </c>
      <c r="M607" s="4">
        <v>3</v>
      </c>
      <c r="N607" s="4" t="s">
        <v>6</v>
      </c>
      <c r="O607" s="4">
        <v>2</v>
      </c>
      <c r="P607" s="4"/>
      <c r="Q607" s="4"/>
      <c r="R607" s="4"/>
      <c r="S607" s="4"/>
      <c r="T607" s="4"/>
      <c r="U607" s="4"/>
      <c r="V607" s="4"/>
      <c r="W607" s="4"/>
    </row>
    <row r="608" spans="1:23" x14ac:dyDescent="0.2">
      <c r="A608" s="4">
        <v>50</v>
      </c>
      <c r="B608" s="4">
        <v>0</v>
      </c>
      <c r="C608" s="4">
        <v>0</v>
      </c>
      <c r="D608" s="4">
        <v>1</v>
      </c>
      <c r="E608" s="4">
        <v>211</v>
      </c>
      <c r="F608" s="4">
        <f>ROUND(Source!Y582,O608)</f>
        <v>3928.7</v>
      </c>
      <c r="G608" s="4" t="s">
        <v>178</v>
      </c>
      <c r="H608" s="4" t="s">
        <v>179</v>
      </c>
      <c r="I608" s="4"/>
      <c r="J608" s="4"/>
      <c r="K608" s="4">
        <v>211</v>
      </c>
      <c r="L608" s="4">
        <v>25</v>
      </c>
      <c r="M608" s="4">
        <v>3</v>
      </c>
      <c r="N608" s="4" t="s">
        <v>6</v>
      </c>
      <c r="O608" s="4">
        <v>2</v>
      </c>
      <c r="P608" s="4"/>
      <c r="Q608" s="4"/>
      <c r="R608" s="4"/>
      <c r="S608" s="4"/>
      <c r="T608" s="4"/>
      <c r="U608" s="4"/>
      <c r="V608" s="4"/>
      <c r="W608" s="4"/>
    </row>
    <row r="609" spans="1:245" x14ac:dyDescent="0.2">
      <c r="A609" s="4">
        <v>50</v>
      </c>
      <c r="B609" s="4">
        <v>0</v>
      </c>
      <c r="C609" s="4">
        <v>0</v>
      </c>
      <c r="D609" s="4">
        <v>1</v>
      </c>
      <c r="E609" s="4">
        <v>224</v>
      </c>
      <c r="F609" s="4">
        <f>ROUND(Source!AR582,O609)</f>
        <v>34351.620000000003</v>
      </c>
      <c r="G609" s="4" t="s">
        <v>180</v>
      </c>
      <c r="H609" s="4" t="s">
        <v>181</v>
      </c>
      <c r="I609" s="4"/>
      <c r="J609" s="4"/>
      <c r="K609" s="4">
        <v>224</v>
      </c>
      <c r="L609" s="4">
        <v>26</v>
      </c>
      <c r="M609" s="4">
        <v>3</v>
      </c>
      <c r="N609" s="4" t="s">
        <v>6</v>
      </c>
      <c r="O609" s="4">
        <v>2</v>
      </c>
      <c r="P609" s="4"/>
      <c r="Q609" s="4"/>
      <c r="R609" s="4"/>
      <c r="S609" s="4"/>
      <c r="T609" s="4"/>
      <c r="U609" s="4"/>
      <c r="V609" s="4"/>
      <c r="W609" s="4"/>
    </row>
    <row r="611" spans="1:245" x14ac:dyDescent="0.2">
      <c r="A611" s="1">
        <v>4</v>
      </c>
      <c r="B611" s="1">
        <v>1</v>
      </c>
      <c r="C611" s="1"/>
      <c r="D611" s="1">
        <f>ROW(A635)</f>
        <v>635</v>
      </c>
      <c r="E611" s="1"/>
      <c r="F611" s="1" t="s">
        <v>13</v>
      </c>
      <c r="G611" s="1" t="s">
        <v>1026</v>
      </c>
      <c r="H611" s="1" t="s">
        <v>6</v>
      </c>
      <c r="I611" s="1">
        <v>0</v>
      </c>
      <c r="J611" s="1"/>
      <c r="K611" s="1">
        <v>0</v>
      </c>
      <c r="L611" s="1"/>
      <c r="M611" s="1"/>
      <c r="N611" s="1"/>
      <c r="O611" s="1"/>
      <c r="P611" s="1"/>
      <c r="Q611" s="1"/>
      <c r="R611" s="1"/>
      <c r="S611" s="1"/>
      <c r="T611" s="1"/>
      <c r="U611" s="1" t="s">
        <v>6</v>
      </c>
      <c r="V611" s="1">
        <v>0</v>
      </c>
      <c r="W611" s="1"/>
      <c r="X611" s="1"/>
      <c r="Y611" s="1"/>
      <c r="Z611" s="1"/>
      <c r="AA611" s="1"/>
      <c r="AB611" s="1" t="s">
        <v>6</v>
      </c>
      <c r="AC611" s="1" t="s">
        <v>6</v>
      </c>
      <c r="AD611" s="1" t="s">
        <v>6</v>
      </c>
      <c r="AE611" s="1" t="s">
        <v>6</v>
      </c>
      <c r="AF611" s="1" t="s">
        <v>6</v>
      </c>
      <c r="AG611" s="1" t="s">
        <v>6</v>
      </c>
      <c r="AH611" s="1"/>
      <c r="AI611" s="1"/>
      <c r="AJ611" s="1"/>
      <c r="AK611" s="1"/>
      <c r="AL611" s="1"/>
      <c r="AM611" s="1"/>
      <c r="AN611" s="1"/>
      <c r="AO611" s="1"/>
      <c r="AP611" s="1" t="s">
        <v>6</v>
      </c>
      <c r="AQ611" s="1" t="s">
        <v>6</v>
      </c>
      <c r="AR611" s="1" t="s">
        <v>6</v>
      </c>
      <c r="AS611" s="1"/>
      <c r="AT611" s="1"/>
      <c r="AU611" s="1"/>
      <c r="AV611" s="1"/>
      <c r="AW611" s="1"/>
      <c r="AX611" s="1"/>
      <c r="AY611" s="1"/>
      <c r="AZ611" s="1" t="s">
        <v>6</v>
      </c>
      <c r="BA611" s="1"/>
      <c r="BB611" s="1" t="s">
        <v>6</v>
      </c>
      <c r="BC611" s="1" t="s">
        <v>6</v>
      </c>
      <c r="BD611" s="1" t="s">
        <v>6</v>
      </c>
      <c r="BE611" s="1" t="s">
        <v>6</v>
      </c>
      <c r="BF611" s="1" t="s">
        <v>6</v>
      </c>
      <c r="BG611" s="1" t="s">
        <v>6</v>
      </c>
      <c r="BH611" s="1" t="s">
        <v>6</v>
      </c>
      <c r="BI611" s="1" t="s">
        <v>6</v>
      </c>
      <c r="BJ611" s="1" t="s">
        <v>6</v>
      </c>
      <c r="BK611" s="1" t="s">
        <v>6</v>
      </c>
      <c r="BL611" s="1" t="s">
        <v>6</v>
      </c>
      <c r="BM611" s="1" t="s">
        <v>6</v>
      </c>
      <c r="BN611" s="1" t="s">
        <v>6</v>
      </c>
      <c r="BO611" s="1" t="s">
        <v>6</v>
      </c>
      <c r="BP611" s="1" t="s">
        <v>6</v>
      </c>
      <c r="BQ611" s="1"/>
      <c r="BR611" s="1"/>
      <c r="BS611" s="1"/>
      <c r="BT611" s="1"/>
      <c r="BU611" s="1"/>
      <c r="BV611" s="1"/>
      <c r="BW611" s="1"/>
      <c r="BX611" s="1">
        <v>0</v>
      </c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>
        <v>0</v>
      </c>
    </row>
    <row r="613" spans="1:245" x14ac:dyDescent="0.2">
      <c r="A613" s="2">
        <v>52</v>
      </c>
      <c r="B613" s="2">
        <f t="shared" ref="B613:G613" si="466">B635</f>
        <v>1</v>
      </c>
      <c r="C613" s="2">
        <f t="shared" si="466"/>
        <v>4</v>
      </c>
      <c r="D613" s="2">
        <f t="shared" si="466"/>
        <v>611</v>
      </c>
      <c r="E613" s="2">
        <f t="shared" si="466"/>
        <v>0</v>
      </c>
      <c r="F613" s="2" t="str">
        <f t="shared" si="466"/>
        <v>Новый раздел</v>
      </c>
      <c r="G613" s="2" t="str">
        <f t="shared" si="466"/>
        <v>6 Отопление</v>
      </c>
      <c r="H613" s="2"/>
      <c r="I613" s="2"/>
      <c r="J613" s="2"/>
      <c r="K613" s="2"/>
      <c r="L613" s="2"/>
      <c r="M613" s="2"/>
      <c r="N613" s="2"/>
      <c r="O613" s="2">
        <f t="shared" ref="O613:AT613" si="467">O635</f>
        <v>288594.40999999997</v>
      </c>
      <c r="P613" s="2">
        <f t="shared" si="467"/>
        <v>270436.63</v>
      </c>
      <c r="Q613" s="2">
        <f t="shared" si="467"/>
        <v>2545.06</v>
      </c>
      <c r="R613" s="2">
        <f t="shared" si="467"/>
        <v>309.61</v>
      </c>
      <c r="S613" s="2">
        <f t="shared" si="467"/>
        <v>15612.72</v>
      </c>
      <c r="T613" s="2">
        <f t="shared" si="467"/>
        <v>0</v>
      </c>
      <c r="U613" s="2">
        <f t="shared" si="467"/>
        <v>259.56361880000003</v>
      </c>
      <c r="V613" s="2">
        <f t="shared" si="467"/>
        <v>3.7915912499999997</v>
      </c>
      <c r="W613" s="2">
        <f t="shared" si="467"/>
        <v>0</v>
      </c>
      <c r="X613" s="2">
        <f t="shared" si="467"/>
        <v>16307.91</v>
      </c>
      <c r="Y613" s="2">
        <f t="shared" si="467"/>
        <v>10122.58</v>
      </c>
      <c r="Z613" s="2">
        <f t="shared" si="467"/>
        <v>0</v>
      </c>
      <c r="AA613" s="2">
        <f t="shared" si="467"/>
        <v>0</v>
      </c>
      <c r="AB613" s="2">
        <f t="shared" si="467"/>
        <v>288594.40999999997</v>
      </c>
      <c r="AC613" s="2">
        <f t="shared" si="467"/>
        <v>270436.63</v>
      </c>
      <c r="AD613" s="2">
        <f t="shared" si="467"/>
        <v>2545.06</v>
      </c>
      <c r="AE613" s="2">
        <f t="shared" si="467"/>
        <v>309.61</v>
      </c>
      <c r="AF613" s="2">
        <f t="shared" si="467"/>
        <v>15612.72</v>
      </c>
      <c r="AG613" s="2">
        <f t="shared" si="467"/>
        <v>0</v>
      </c>
      <c r="AH613" s="2">
        <f t="shared" si="467"/>
        <v>259.56361880000003</v>
      </c>
      <c r="AI613" s="2">
        <f t="shared" si="467"/>
        <v>3.7915912499999997</v>
      </c>
      <c r="AJ613" s="2">
        <f t="shared" si="467"/>
        <v>0</v>
      </c>
      <c r="AK613" s="2">
        <f t="shared" si="467"/>
        <v>16307.91</v>
      </c>
      <c r="AL613" s="2">
        <f t="shared" si="467"/>
        <v>10122.58</v>
      </c>
      <c r="AM613" s="2">
        <f t="shared" si="467"/>
        <v>0</v>
      </c>
      <c r="AN613" s="2">
        <f t="shared" si="467"/>
        <v>0</v>
      </c>
      <c r="AO613" s="2">
        <f t="shared" si="467"/>
        <v>0</v>
      </c>
      <c r="AP613" s="2">
        <f t="shared" si="467"/>
        <v>0</v>
      </c>
      <c r="AQ613" s="2">
        <f t="shared" si="467"/>
        <v>0</v>
      </c>
      <c r="AR613" s="2">
        <f t="shared" si="467"/>
        <v>315024.90000000002</v>
      </c>
      <c r="AS613" s="2">
        <f t="shared" si="467"/>
        <v>315024.90000000002</v>
      </c>
      <c r="AT613" s="2">
        <f t="shared" si="467"/>
        <v>0</v>
      </c>
      <c r="AU613" s="2">
        <f t="shared" ref="AU613:BZ613" si="468">AU635</f>
        <v>0</v>
      </c>
      <c r="AV613" s="2">
        <f t="shared" si="468"/>
        <v>270436.63</v>
      </c>
      <c r="AW613" s="2">
        <f t="shared" si="468"/>
        <v>270436.63</v>
      </c>
      <c r="AX613" s="2">
        <f t="shared" si="468"/>
        <v>0</v>
      </c>
      <c r="AY613" s="2">
        <f t="shared" si="468"/>
        <v>270436.63</v>
      </c>
      <c r="AZ613" s="2">
        <f t="shared" si="468"/>
        <v>0</v>
      </c>
      <c r="BA613" s="2">
        <f t="shared" si="468"/>
        <v>0</v>
      </c>
      <c r="BB613" s="2">
        <f t="shared" si="468"/>
        <v>0</v>
      </c>
      <c r="BC613" s="2">
        <f t="shared" si="468"/>
        <v>0</v>
      </c>
      <c r="BD613" s="2">
        <f t="shared" si="468"/>
        <v>0</v>
      </c>
      <c r="BE613" s="2">
        <f t="shared" si="468"/>
        <v>0</v>
      </c>
      <c r="BF613" s="2">
        <f t="shared" si="468"/>
        <v>0</v>
      </c>
      <c r="BG613" s="2">
        <f t="shared" si="468"/>
        <v>0</v>
      </c>
      <c r="BH613" s="2">
        <f t="shared" si="468"/>
        <v>0</v>
      </c>
      <c r="BI613" s="2">
        <f t="shared" si="468"/>
        <v>0</v>
      </c>
      <c r="BJ613" s="2">
        <f t="shared" si="468"/>
        <v>0</v>
      </c>
      <c r="BK613" s="2">
        <f t="shared" si="468"/>
        <v>0</v>
      </c>
      <c r="BL613" s="2">
        <f t="shared" si="468"/>
        <v>0</v>
      </c>
      <c r="BM613" s="2">
        <f t="shared" si="468"/>
        <v>0</v>
      </c>
      <c r="BN613" s="2">
        <f t="shared" si="468"/>
        <v>0</v>
      </c>
      <c r="BO613" s="2">
        <f t="shared" si="468"/>
        <v>0</v>
      </c>
      <c r="BP613" s="2">
        <f t="shared" si="468"/>
        <v>0</v>
      </c>
      <c r="BQ613" s="2">
        <f t="shared" si="468"/>
        <v>0</v>
      </c>
      <c r="BR613" s="2">
        <f t="shared" si="468"/>
        <v>0</v>
      </c>
      <c r="BS613" s="2">
        <f t="shared" si="468"/>
        <v>0</v>
      </c>
      <c r="BT613" s="2">
        <f t="shared" si="468"/>
        <v>0</v>
      </c>
      <c r="BU613" s="2">
        <f t="shared" si="468"/>
        <v>0</v>
      </c>
      <c r="BV613" s="2">
        <f t="shared" si="468"/>
        <v>0</v>
      </c>
      <c r="BW613" s="2">
        <f t="shared" si="468"/>
        <v>0</v>
      </c>
      <c r="BX613" s="2">
        <f t="shared" si="468"/>
        <v>0</v>
      </c>
      <c r="BY613" s="2">
        <f t="shared" si="468"/>
        <v>0</v>
      </c>
      <c r="BZ613" s="2">
        <f t="shared" si="468"/>
        <v>0</v>
      </c>
      <c r="CA613" s="2">
        <f t="shared" ref="CA613:DF613" si="469">CA635</f>
        <v>315024.90000000002</v>
      </c>
      <c r="CB613" s="2">
        <f t="shared" si="469"/>
        <v>315024.90000000002</v>
      </c>
      <c r="CC613" s="2">
        <f t="shared" si="469"/>
        <v>0</v>
      </c>
      <c r="CD613" s="2">
        <f t="shared" si="469"/>
        <v>0</v>
      </c>
      <c r="CE613" s="2">
        <f t="shared" si="469"/>
        <v>270436.63</v>
      </c>
      <c r="CF613" s="2">
        <f t="shared" si="469"/>
        <v>270436.63</v>
      </c>
      <c r="CG613" s="2">
        <f t="shared" si="469"/>
        <v>0</v>
      </c>
      <c r="CH613" s="2">
        <f t="shared" si="469"/>
        <v>270436.63</v>
      </c>
      <c r="CI613" s="2">
        <f t="shared" si="469"/>
        <v>0</v>
      </c>
      <c r="CJ613" s="2">
        <f t="shared" si="469"/>
        <v>0</v>
      </c>
      <c r="CK613" s="2">
        <f t="shared" si="469"/>
        <v>0</v>
      </c>
      <c r="CL613" s="2">
        <f t="shared" si="469"/>
        <v>0</v>
      </c>
      <c r="CM613" s="2">
        <f t="shared" si="469"/>
        <v>0</v>
      </c>
      <c r="CN613" s="2">
        <f t="shared" si="469"/>
        <v>0</v>
      </c>
      <c r="CO613" s="2">
        <f t="shared" si="469"/>
        <v>0</v>
      </c>
      <c r="CP613" s="2">
        <f t="shared" si="469"/>
        <v>0</v>
      </c>
      <c r="CQ613" s="2">
        <f t="shared" si="469"/>
        <v>0</v>
      </c>
      <c r="CR613" s="2">
        <f t="shared" si="469"/>
        <v>0</v>
      </c>
      <c r="CS613" s="2">
        <f t="shared" si="469"/>
        <v>0</v>
      </c>
      <c r="CT613" s="2">
        <f t="shared" si="469"/>
        <v>0</v>
      </c>
      <c r="CU613" s="2">
        <f t="shared" si="469"/>
        <v>0</v>
      </c>
      <c r="CV613" s="2">
        <f t="shared" si="469"/>
        <v>0</v>
      </c>
      <c r="CW613" s="2">
        <f t="shared" si="469"/>
        <v>0</v>
      </c>
      <c r="CX613" s="2">
        <f t="shared" si="469"/>
        <v>0</v>
      </c>
      <c r="CY613" s="2">
        <f t="shared" si="469"/>
        <v>0</v>
      </c>
      <c r="CZ613" s="2">
        <f t="shared" si="469"/>
        <v>0</v>
      </c>
      <c r="DA613" s="2">
        <f t="shared" si="469"/>
        <v>0</v>
      </c>
      <c r="DB613" s="2">
        <f t="shared" si="469"/>
        <v>0</v>
      </c>
      <c r="DC613" s="2">
        <f t="shared" si="469"/>
        <v>0</v>
      </c>
      <c r="DD613" s="2">
        <f t="shared" si="469"/>
        <v>0</v>
      </c>
      <c r="DE613" s="2">
        <f t="shared" si="469"/>
        <v>0</v>
      </c>
      <c r="DF613" s="2">
        <f t="shared" si="469"/>
        <v>0</v>
      </c>
      <c r="DG613" s="3">
        <f t="shared" ref="DG613:EL613" si="470">DG635</f>
        <v>0</v>
      </c>
      <c r="DH613" s="3">
        <f t="shared" si="470"/>
        <v>0</v>
      </c>
      <c r="DI613" s="3">
        <f t="shared" si="470"/>
        <v>0</v>
      </c>
      <c r="DJ613" s="3">
        <f t="shared" si="470"/>
        <v>0</v>
      </c>
      <c r="DK613" s="3">
        <f t="shared" si="470"/>
        <v>0</v>
      </c>
      <c r="DL613" s="3">
        <f t="shared" si="470"/>
        <v>0</v>
      </c>
      <c r="DM613" s="3">
        <f t="shared" si="470"/>
        <v>0</v>
      </c>
      <c r="DN613" s="3">
        <f t="shared" si="470"/>
        <v>0</v>
      </c>
      <c r="DO613" s="3">
        <f t="shared" si="470"/>
        <v>0</v>
      </c>
      <c r="DP613" s="3">
        <f t="shared" si="470"/>
        <v>0</v>
      </c>
      <c r="DQ613" s="3">
        <f t="shared" si="470"/>
        <v>0</v>
      </c>
      <c r="DR613" s="3">
        <f t="shared" si="470"/>
        <v>0</v>
      </c>
      <c r="DS613" s="3">
        <f t="shared" si="470"/>
        <v>0</v>
      </c>
      <c r="DT613" s="3">
        <f t="shared" si="470"/>
        <v>0</v>
      </c>
      <c r="DU613" s="3">
        <f t="shared" si="470"/>
        <v>0</v>
      </c>
      <c r="DV613" s="3">
        <f t="shared" si="470"/>
        <v>0</v>
      </c>
      <c r="DW613" s="3">
        <f t="shared" si="470"/>
        <v>0</v>
      </c>
      <c r="DX613" s="3">
        <f t="shared" si="470"/>
        <v>0</v>
      </c>
      <c r="DY613" s="3">
        <f t="shared" si="470"/>
        <v>0</v>
      </c>
      <c r="DZ613" s="3">
        <f t="shared" si="470"/>
        <v>0</v>
      </c>
      <c r="EA613" s="3">
        <f t="shared" si="470"/>
        <v>0</v>
      </c>
      <c r="EB613" s="3">
        <f t="shared" si="470"/>
        <v>0</v>
      </c>
      <c r="EC613" s="3">
        <f t="shared" si="470"/>
        <v>0</v>
      </c>
      <c r="ED613" s="3">
        <f t="shared" si="470"/>
        <v>0</v>
      </c>
      <c r="EE613" s="3">
        <f t="shared" si="470"/>
        <v>0</v>
      </c>
      <c r="EF613" s="3">
        <f t="shared" si="470"/>
        <v>0</v>
      </c>
      <c r="EG613" s="3">
        <f t="shared" si="470"/>
        <v>0</v>
      </c>
      <c r="EH613" s="3">
        <f t="shared" si="470"/>
        <v>0</v>
      </c>
      <c r="EI613" s="3">
        <f t="shared" si="470"/>
        <v>0</v>
      </c>
      <c r="EJ613" s="3">
        <f t="shared" si="470"/>
        <v>0</v>
      </c>
      <c r="EK613" s="3">
        <f t="shared" si="470"/>
        <v>0</v>
      </c>
      <c r="EL613" s="3">
        <f t="shared" si="470"/>
        <v>0</v>
      </c>
      <c r="EM613" s="3">
        <f t="shared" ref="EM613:FR613" si="471">EM635</f>
        <v>0</v>
      </c>
      <c r="EN613" s="3">
        <f t="shared" si="471"/>
        <v>0</v>
      </c>
      <c r="EO613" s="3">
        <f t="shared" si="471"/>
        <v>0</v>
      </c>
      <c r="EP613" s="3">
        <f t="shared" si="471"/>
        <v>0</v>
      </c>
      <c r="EQ613" s="3">
        <f t="shared" si="471"/>
        <v>0</v>
      </c>
      <c r="ER613" s="3">
        <f t="shared" si="471"/>
        <v>0</v>
      </c>
      <c r="ES613" s="3">
        <f t="shared" si="471"/>
        <v>0</v>
      </c>
      <c r="ET613" s="3">
        <f t="shared" si="471"/>
        <v>0</v>
      </c>
      <c r="EU613" s="3">
        <f t="shared" si="471"/>
        <v>0</v>
      </c>
      <c r="EV613" s="3">
        <f t="shared" si="471"/>
        <v>0</v>
      </c>
      <c r="EW613" s="3">
        <f t="shared" si="471"/>
        <v>0</v>
      </c>
      <c r="EX613" s="3">
        <f t="shared" si="471"/>
        <v>0</v>
      </c>
      <c r="EY613" s="3">
        <f t="shared" si="471"/>
        <v>0</v>
      </c>
      <c r="EZ613" s="3">
        <f t="shared" si="471"/>
        <v>0</v>
      </c>
      <c r="FA613" s="3">
        <f t="shared" si="471"/>
        <v>0</v>
      </c>
      <c r="FB613" s="3">
        <f t="shared" si="471"/>
        <v>0</v>
      </c>
      <c r="FC613" s="3">
        <f t="shared" si="471"/>
        <v>0</v>
      </c>
      <c r="FD613" s="3">
        <f t="shared" si="471"/>
        <v>0</v>
      </c>
      <c r="FE613" s="3">
        <f t="shared" si="471"/>
        <v>0</v>
      </c>
      <c r="FF613" s="3">
        <f t="shared" si="471"/>
        <v>0</v>
      </c>
      <c r="FG613" s="3">
        <f t="shared" si="471"/>
        <v>0</v>
      </c>
      <c r="FH613" s="3">
        <f t="shared" si="471"/>
        <v>0</v>
      </c>
      <c r="FI613" s="3">
        <f t="shared" si="471"/>
        <v>0</v>
      </c>
      <c r="FJ613" s="3">
        <f t="shared" si="471"/>
        <v>0</v>
      </c>
      <c r="FK613" s="3">
        <f t="shared" si="471"/>
        <v>0</v>
      </c>
      <c r="FL613" s="3">
        <f t="shared" si="471"/>
        <v>0</v>
      </c>
      <c r="FM613" s="3">
        <f t="shared" si="471"/>
        <v>0</v>
      </c>
      <c r="FN613" s="3">
        <f t="shared" si="471"/>
        <v>0</v>
      </c>
      <c r="FO613" s="3">
        <f t="shared" si="471"/>
        <v>0</v>
      </c>
      <c r="FP613" s="3">
        <f t="shared" si="471"/>
        <v>0</v>
      </c>
      <c r="FQ613" s="3">
        <f t="shared" si="471"/>
        <v>0</v>
      </c>
      <c r="FR613" s="3">
        <f t="shared" si="471"/>
        <v>0</v>
      </c>
      <c r="FS613" s="3">
        <f t="shared" ref="FS613:GX613" si="472">FS635</f>
        <v>0</v>
      </c>
      <c r="FT613" s="3">
        <f t="shared" si="472"/>
        <v>0</v>
      </c>
      <c r="FU613" s="3">
        <f t="shared" si="472"/>
        <v>0</v>
      </c>
      <c r="FV613" s="3">
        <f t="shared" si="472"/>
        <v>0</v>
      </c>
      <c r="FW613" s="3">
        <f t="shared" si="472"/>
        <v>0</v>
      </c>
      <c r="FX613" s="3">
        <f t="shared" si="472"/>
        <v>0</v>
      </c>
      <c r="FY613" s="3">
        <f t="shared" si="472"/>
        <v>0</v>
      </c>
      <c r="FZ613" s="3">
        <f t="shared" si="472"/>
        <v>0</v>
      </c>
      <c r="GA613" s="3">
        <f t="shared" si="472"/>
        <v>0</v>
      </c>
      <c r="GB613" s="3">
        <f t="shared" si="472"/>
        <v>0</v>
      </c>
      <c r="GC613" s="3">
        <f t="shared" si="472"/>
        <v>0</v>
      </c>
      <c r="GD613" s="3">
        <f t="shared" si="472"/>
        <v>0</v>
      </c>
      <c r="GE613" s="3">
        <f t="shared" si="472"/>
        <v>0</v>
      </c>
      <c r="GF613" s="3">
        <f t="shared" si="472"/>
        <v>0</v>
      </c>
      <c r="GG613" s="3">
        <f t="shared" si="472"/>
        <v>0</v>
      </c>
      <c r="GH613" s="3">
        <f t="shared" si="472"/>
        <v>0</v>
      </c>
      <c r="GI613" s="3">
        <f t="shared" si="472"/>
        <v>0</v>
      </c>
      <c r="GJ613" s="3">
        <f t="shared" si="472"/>
        <v>0</v>
      </c>
      <c r="GK613" s="3">
        <f t="shared" si="472"/>
        <v>0</v>
      </c>
      <c r="GL613" s="3">
        <f t="shared" si="472"/>
        <v>0</v>
      </c>
      <c r="GM613" s="3">
        <f t="shared" si="472"/>
        <v>0</v>
      </c>
      <c r="GN613" s="3">
        <f t="shared" si="472"/>
        <v>0</v>
      </c>
      <c r="GO613" s="3">
        <f t="shared" si="472"/>
        <v>0</v>
      </c>
      <c r="GP613" s="3">
        <f t="shared" si="472"/>
        <v>0</v>
      </c>
      <c r="GQ613" s="3">
        <f t="shared" si="472"/>
        <v>0</v>
      </c>
      <c r="GR613" s="3">
        <f t="shared" si="472"/>
        <v>0</v>
      </c>
      <c r="GS613" s="3">
        <f t="shared" si="472"/>
        <v>0</v>
      </c>
      <c r="GT613" s="3">
        <f t="shared" si="472"/>
        <v>0</v>
      </c>
      <c r="GU613" s="3">
        <f t="shared" si="472"/>
        <v>0</v>
      </c>
      <c r="GV613" s="3">
        <f t="shared" si="472"/>
        <v>0</v>
      </c>
      <c r="GW613" s="3">
        <f t="shared" si="472"/>
        <v>0</v>
      </c>
      <c r="GX613" s="3">
        <f t="shared" si="472"/>
        <v>0</v>
      </c>
    </row>
    <row r="615" spans="1:245" x14ac:dyDescent="0.2">
      <c r="A615">
        <v>17</v>
      </c>
      <c r="B615">
        <v>1</v>
      </c>
      <c r="C615">
        <f>ROW(SmtRes!A836)</f>
        <v>836</v>
      </c>
      <c r="D615">
        <f>ROW(EtalonRes!A765)</f>
        <v>765</v>
      </c>
      <c r="E615" t="s">
        <v>1027</v>
      </c>
      <c r="F615" t="s">
        <v>1028</v>
      </c>
      <c r="G615" t="s">
        <v>1029</v>
      </c>
      <c r="H615" t="s">
        <v>66</v>
      </c>
      <c r="I615">
        <f>ROUND(14/100,9)</f>
        <v>0.14000000000000001</v>
      </c>
      <c r="J615">
        <v>0</v>
      </c>
      <c r="O615">
        <f t="shared" ref="O615:O633" si="473">ROUND(CP615,2)</f>
        <v>859.37</v>
      </c>
      <c r="P615">
        <f t="shared" ref="P615:P633" si="474">ROUND(CQ615*I615,2)</f>
        <v>0</v>
      </c>
      <c r="Q615">
        <f t="shared" ref="Q615:Q633" si="475">ROUND(CR615*I615,2)</f>
        <v>64.31</v>
      </c>
      <c r="R615">
        <f t="shared" ref="R615:R633" si="476">ROUND(CS615*I615,2)</f>
        <v>27.77</v>
      </c>
      <c r="S615">
        <f t="shared" ref="S615:S633" si="477">ROUND(CT615*I615,2)</f>
        <v>795.06</v>
      </c>
      <c r="T615">
        <f t="shared" ref="T615:T633" si="478">ROUND(CU615*I615,2)</f>
        <v>0</v>
      </c>
      <c r="U615">
        <f t="shared" ref="U615:U633" si="479">CV615*I615</f>
        <v>15.400000000000002</v>
      </c>
      <c r="V615">
        <f t="shared" ref="V615:V633" si="480">CW615*I615</f>
        <v>0.31360000000000005</v>
      </c>
      <c r="W615">
        <f t="shared" ref="W615:W633" si="481">ROUND(CX615*I615,2)</f>
        <v>0</v>
      </c>
      <c r="X615">
        <f t="shared" ref="X615:X633" si="482">ROUND(CY615,2)</f>
        <v>608.89</v>
      </c>
      <c r="Y615">
        <f t="shared" ref="Y615:Y633" si="483">ROUND(CZ615,2)</f>
        <v>411.42</v>
      </c>
      <c r="AA615">
        <v>16742901</v>
      </c>
      <c r="AB615">
        <f t="shared" ref="AB615:AB633" si="484">ROUND((AC615+AD615+AF615),2)</f>
        <v>935.72</v>
      </c>
      <c r="AC615">
        <f>ROUND((ES615),2)</f>
        <v>0</v>
      </c>
      <c r="AD615">
        <f>ROUND((((ET615)-(EU615))+AE615),2)</f>
        <v>70.02</v>
      </c>
      <c r="AE615">
        <f>ROUND((EU615),2)</f>
        <v>30.24</v>
      </c>
      <c r="AF615">
        <f>ROUND((EV615),2)</f>
        <v>865.7</v>
      </c>
      <c r="AG615">
        <f t="shared" ref="AG615:AG633" si="485">ROUND((AP615),2)</f>
        <v>0</v>
      </c>
      <c r="AH615">
        <f>(EW615)</f>
        <v>110</v>
      </c>
      <c r="AI615">
        <f>(EX615)</f>
        <v>2.2400000000000002</v>
      </c>
      <c r="AJ615">
        <f t="shared" ref="AJ615:AJ633" si="486">ROUND((AS615),2)</f>
        <v>0</v>
      </c>
      <c r="AK615">
        <v>935.72</v>
      </c>
      <c r="AL615">
        <v>0</v>
      </c>
      <c r="AM615">
        <v>70.02</v>
      </c>
      <c r="AN615">
        <v>30.24</v>
      </c>
      <c r="AO615">
        <v>865.7</v>
      </c>
      <c r="AP615">
        <v>0</v>
      </c>
      <c r="AQ615">
        <v>110</v>
      </c>
      <c r="AR615">
        <v>2.2400000000000002</v>
      </c>
      <c r="AS615">
        <v>0</v>
      </c>
      <c r="AT615">
        <v>74</v>
      </c>
      <c r="AU615">
        <v>50</v>
      </c>
      <c r="AV615">
        <v>1</v>
      </c>
      <c r="AW615">
        <v>1</v>
      </c>
      <c r="AZ615">
        <v>6.56</v>
      </c>
      <c r="BA615">
        <v>6.56</v>
      </c>
      <c r="BB615">
        <v>6.56</v>
      </c>
      <c r="BC615">
        <v>6.56</v>
      </c>
      <c r="BD615" t="s">
        <v>6</v>
      </c>
      <c r="BE615" t="s">
        <v>6</v>
      </c>
      <c r="BF615" t="s">
        <v>6</v>
      </c>
      <c r="BG615" t="s">
        <v>6</v>
      </c>
      <c r="BH615">
        <v>0</v>
      </c>
      <c r="BI615">
        <v>1</v>
      </c>
      <c r="BJ615" t="s">
        <v>1030</v>
      </c>
      <c r="BM615">
        <v>65003</v>
      </c>
      <c r="BN615">
        <v>0</v>
      </c>
      <c r="BO615" t="s">
        <v>6</v>
      </c>
      <c r="BP615">
        <v>0</v>
      </c>
      <c r="BQ615">
        <v>6</v>
      </c>
      <c r="BR615">
        <v>0</v>
      </c>
      <c r="BS615">
        <v>6.56</v>
      </c>
      <c r="BT615">
        <v>1</v>
      </c>
      <c r="BU615">
        <v>1</v>
      </c>
      <c r="BV615">
        <v>1</v>
      </c>
      <c r="BW615">
        <v>1</v>
      </c>
      <c r="BX615">
        <v>1</v>
      </c>
      <c r="BY615" t="s">
        <v>6</v>
      </c>
      <c r="BZ615">
        <v>74</v>
      </c>
      <c r="CA615">
        <v>50</v>
      </c>
      <c r="CF615">
        <v>0</v>
      </c>
      <c r="CG615">
        <v>0</v>
      </c>
      <c r="CM615">
        <v>0</v>
      </c>
      <c r="CN615" t="s">
        <v>6</v>
      </c>
      <c r="CO615">
        <v>0</v>
      </c>
      <c r="CP615">
        <f t="shared" ref="CP615:CP633" si="487">(P615+Q615+S615)</f>
        <v>859.36999999999989</v>
      </c>
      <c r="CQ615">
        <f t="shared" ref="CQ615:CQ633" si="488">AC615*BC615</f>
        <v>0</v>
      </c>
      <c r="CR615">
        <f t="shared" ref="CR615:CR633" si="489">AD615*BB615</f>
        <v>459.33119999999997</v>
      </c>
      <c r="CS615">
        <f t="shared" ref="CS615:CS633" si="490">AE615*BS615</f>
        <v>198.37439999999998</v>
      </c>
      <c r="CT615">
        <f t="shared" ref="CT615:CT633" si="491">AF615*BA615</f>
        <v>5678.9920000000002</v>
      </c>
      <c r="CU615">
        <f t="shared" ref="CU615:CU633" si="492">AG615</f>
        <v>0</v>
      </c>
      <c r="CV615">
        <f t="shared" ref="CV615:CV633" si="493">AH615</f>
        <v>110</v>
      </c>
      <c r="CW615">
        <f t="shared" ref="CW615:CW633" si="494">AI615</f>
        <v>2.2400000000000002</v>
      </c>
      <c r="CX615">
        <f t="shared" ref="CX615:CX633" si="495">AJ615</f>
        <v>0</v>
      </c>
      <c r="CY615">
        <f t="shared" ref="CY615:CY633" si="496">(((S615+R615)*AT615)/100)</f>
        <v>608.89419999999996</v>
      </c>
      <c r="CZ615">
        <f t="shared" ref="CZ615:CZ633" si="497">(((S615+R615)*AU615)/100)</f>
        <v>411.41500000000002</v>
      </c>
      <c r="DC615" t="s">
        <v>6</v>
      </c>
      <c r="DD615" t="s">
        <v>6</v>
      </c>
      <c r="DE615" t="s">
        <v>6</v>
      </c>
      <c r="DF615" t="s">
        <v>6</v>
      </c>
      <c r="DG615" t="s">
        <v>6</v>
      </c>
      <c r="DH615" t="s">
        <v>6</v>
      </c>
      <c r="DI615" t="s">
        <v>6</v>
      </c>
      <c r="DJ615" t="s">
        <v>6</v>
      </c>
      <c r="DK615" t="s">
        <v>6</v>
      </c>
      <c r="DL615" t="s">
        <v>6</v>
      </c>
      <c r="DM615" t="s">
        <v>6</v>
      </c>
      <c r="DN615">
        <v>0</v>
      </c>
      <c r="DO615">
        <v>0</v>
      </c>
      <c r="DP615">
        <v>1</v>
      </c>
      <c r="DQ615">
        <v>1</v>
      </c>
      <c r="DU615">
        <v>1013</v>
      </c>
      <c r="DV615" t="s">
        <v>66</v>
      </c>
      <c r="DW615" t="s">
        <v>66</v>
      </c>
      <c r="DX615">
        <v>1</v>
      </c>
      <c r="EE615">
        <v>16510578</v>
      </c>
      <c r="EF615">
        <v>6</v>
      </c>
      <c r="EG615" t="s">
        <v>36</v>
      </c>
      <c r="EH615">
        <v>0</v>
      </c>
      <c r="EI615" t="s">
        <v>6</v>
      </c>
      <c r="EJ615">
        <v>1</v>
      </c>
      <c r="EK615">
        <v>65003</v>
      </c>
      <c r="EL615" t="s">
        <v>1031</v>
      </c>
      <c r="EM615" t="s">
        <v>69</v>
      </c>
      <c r="EO615" t="s">
        <v>6</v>
      </c>
      <c r="EQ615">
        <v>131072</v>
      </c>
      <c r="ER615">
        <v>935.72</v>
      </c>
      <c r="ES615">
        <v>0</v>
      </c>
      <c r="ET615">
        <v>70.02</v>
      </c>
      <c r="EU615">
        <v>30.24</v>
      </c>
      <c r="EV615">
        <v>865.7</v>
      </c>
      <c r="EW615">
        <v>110</v>
      </c>
      <c r="EX615">
        <v>2.2400000000000002</v>
      </c>
      <c r="EY615">
        <v>0</v>
      </c>
      <c r="FQ615">
        <v>0</v>
      </c>
      <c r="FR615">
        <f t="shared" ref="FR615:FR633" si="498">ROUND(IF(AND(BH615=3,BI615=3),P615,0),2)</f>
        <v>0</v>
      </c>
      <c r="FS615">
        <v>0</v>
      </c>
      <c r="FX615">
        <v>74</v>
      </c>
      <c r="FY615">
        <v>50</v>
      </c>
      <c r="GA615" t="s">
        <v>6</v>
      </c>
      <c r="GD615">
        <v>0</v>
      </c>
      <c r="GF615">
        <v>-808117515</v>
      </c>
      <c r="GG615">
        <v>1</v>
      </c>
      <c r="GH615">
        <v>1</v>
      </c>
      <c r="GI615">
        <v>4</v>
      </c>
      <c r="GJ615">
        <v>0</v>
      </c>
      <c r="GK615">
        <f>ROUND(R615*(R12)/100,2)</f>
        <v>0</v>
      </c>
      <c r="GL615">
        <f t="shared" ref="GL615:GL633" si="499">ROUND(IF(AND(BH615=3,BI615=3,FS615&lt;&gt;0),P615,0),2)</f>
        <v>0</v>
      </c>
      <c r="GM615">
        <f t="shared" ref="GM615:GM633" si="500">ROUND(O615+X615+Y615+GK615,2)+GX615</f>
        <v>1879.68</v>
      </c>
      <c r="GN615">
        <f t="shared" ref="GN615:GN633" si="501">IF(OR(BI615=0,BI615=1),ROUND(O615+X615+Y615+GK615,2),0)</f>
        <v>1879.68</v>
      </c>
      <c r="GO615">
        <f t="shared" ref="GO615:GO633" si="502">IF(BI615=2,ROUND(O615+X615+Y615+GK615,2),0)</f>
        <v>0</v>
      </c>
      <c r="GP615">
        <f t="shared" ref="GP615:GP633" si="503">IF(BI615=4,ROUND(O615+X615+Y615+GK615,2)+GX615,0)</f>
        <v>0</v>
      </c>
      <c r="GR615">
        <v>0</v>
      </c>
      <c r="GS615">
        <v>3</v>
      </c>
      <c r="GT615">
        <v>0</v>
      </c>
      <c r="GU615" t="s">
        <v>6</v>
      </c>
      <c r="GV615">
        <f t="shared" ref="GV615:GV633" si="504">ROUND(GT615,2)</f>
        <v>0</v>
      </c>
      <c r="GW615">
        <v>1</v>
      </c>
      <c r="GX615">
        <f t="shared" ref="GX615:GX633" si="505">ROUND(GV615*GW615*I615,2)</f>
        <v>0</v>
      </c>
      <c r="HA615">
        <v>0</v>
      </c>
      <c r="HB615">
        <v>0</v>
      </c>
      <c r="IK615">
        <v>0</v>
      </c>
    </row>
    <row r="616" spans="1:245" x14ac:dyDescent="0.2">
      <c r="A616">
        <v>17</v>
      </c>
      <c r="B616">
        <v>1</v>
      </c>
      <c r="C616">
        <f>ROW(SmtRes!A842)</f>
        <v>842</v>
      </c>
      <c r="D616">
        <f>ROW(EtalonRes!A772)</f>
        <v>772</v>
      </c>
      <c r="E616" t="s">
        <v>1032</v>
      </c>
      <c r="F616" t="s">
        <v>1033</v>
      </c>
      <c r="G616" t="s">
        <v>1034</v>
      </c>
      <c r="H616" t="s">
        <v>34</v>
      </c>
      <c r="I616">
        <f>ROUND(184/100,9)</f>
        <v>1.84</v>
      </c>
      <c r="J616">
        <v>0</v>
      </c>
      <c r="O616">
        <f t="shared" si="473"/>
        <v>3562.1</v>
      </c>
      <c r="P616">
        <f t="shared" si="474"/>
        <v>0</v>
      </c>
      <c r="Q616">
        <f t="shared" si="475"/>
        <v>85.58</v>
      </c>
      <c r="R616">
        <f t="shared" si="476"/>
        <v>16.3</v>
      </c>
      <c r="S616">
        <f t="shared" si="477"/>
        <v>3476.52</v>
      </c>
      <c r="T616">
        <f t="shared" si="478"/>
        <v>0</v>
      </c>
      <c r="U616">
        <f t="shared" si="479"/>
        <v>63.7744</v>
      </c>
      <c r="V616">
        <f t="shared" si="480"/>
        <v>0.18400000000000002</v>
      </c>
      <c r="W616">
        <f t="shared" si="481"/>
        <v>0</v>
      </c>
      <c r="X616">
        <f t="shared" si="482"/>
        <v>2584.69</v>
      </c>
      <c r="Y616">
        <f t="shared" si="483"/>
        <v>1746.41</v>
      </c>
      <c r="AA616">
        <v>16742901</v>
      </c>
      <c r="AB616">
        <f t="shared" si="484"/>
        <v>295.11</v>
      </c>
      <c r="AC616">
        <f>ROUND(((ES616*0)),2)</f>
        <v>0</v>
      </c>
      <c r="AD616">
        <f>ROUND((((ET616)-(EU616))+AE616),2)</f>
        <v>7.09</v>
      </c>
      <c r="AE616">
        <f>ROUND((EU616),2)</f>
        <v>1.35</v>
      </c>
      <c r="AF616">
        <f>ROUND((EV616),2)</f>
        <v>288.02</v>
      </c>
      <c r="AG616">
        <f t="shared" si="485"/>
        <v>0</v>
      </c>
      <c r="AH616">
        <f>(EW616)</f>
        <v>34.659999999999997</v>
      </c>
      <c r="AI616">
        <f>(EX616)</f>
        <v>0.1</v>
      </c>
      <c r="AJ616">
        <f t="shared" si="486"/>
        <v>0</v>
      </c>
      <c r="AK616">
        <v>328.71</v>
      </c>
      <c r="AL616">
        <v>33.6</v>
      </c>
      <c r="AM616">
        <v>7.09</v>
      </c>
      <c r="AN616">
        <v>1.35</v>
      </c>
      <c r="AO616">
        <v>288.02</v>
      </c>
      <c r="AP616">
        <v>0</v>
      </c>
      <c r="AQ616">
        <v>34.659999999999997</v>
      </c>
      <c r="AR616">
        <v>0.1</v>
      </c>
      <c r="AS616">
        <v>0</v>
      </c>
      <c r="AT616">
        <v>74</v>
      </c>
      <c r="AU616">
        <v>50</v>
      </c>
      <c r="AV616">
        <v>1</v>
      </c>
      <c r="AW616">
        <v>1</v>
      </c>
      <c r="AZ616">
        <v>6.56</v>
      </c>
      <c r="BA616">
        <v>6.56</v>
      </c>
      <c r="BB616">
        <v>6.56</v>
      </c>
      <c r="BC616">
        <v>6.56</v>
      </c>
      <c r="BD616" t="s">
        <v>6</v>
      </c>
      <c r="BE616" t="s">
        <v>6</v>
      </c>
      <c r="BF616" t="s">
        <v>6</v>
      </c>
      <c r="BG616" t="s">
        <v>6</v>
      </c>
      <c r="BH616">
        <v>0</v>
      </c>
      <c r="BI616">
        <v>1</v>
      </c>
      <c r="BJ616" t="s">
        <v>1035</v>
      </c>
      <c r="BM616">
        <v>65001</v>
      </c>
      <c r="BN616">
        <v>0</v>
      </c>
      <c r="BO616" t="s">
        <v>6</v>
      </c>
      <c r="BP616">
        <v>0</v>
      </c>
      <c r="BQ616">
        <v>6</v>
      </c>
      <c r="BR616">
        <v>0</v>
      </c>
      <c r="BS616">
        <v>6.56</v>
      </c>
      <c r="BT616">
        <v>1</v>
      </c>
      <c r="BU616">
        <v>1</v>
      </c>
      <c r="BV616">
        <v>1</v>
      </c>
      <c r="BW616">
        <v>1</v>
      </c>
      <c r="BX616">
        <v>1</v>
      </c>
      <c r="BY616" t="s">
        <v>6</v>
      </c>
      <c r="BZ616">
        <v>74</v>
      </c>
      <c r="CA616">
        <v>50</v>
      </c>
      <c r="CF616">
        <v>0</v>
      </c>
      <c r="CG616">
        <v>0</v>
      </c>
      <c r="CM616">
        <v>0</v>
      </c>
      <c r="CN616" t="s">
        <v>6</v>
      </c>
      <c r="CO616">
        <v>0</v>
      </c>
      <c r="CP616">
        <f t="shared" si="487"/>
        <v>3562.1</v>
      </c>
      <c r="CQ616">
        <f t="shared" si="488"/>
        <v>0</v>
      </c>
      <c r="CR616">
        <f t="shared" si="489"/>
        <v>46.510399999999997</v>
      </c>
      <c r="CS616">
        <f t="shared" si="490"/>
        <v>8.8559999999999999</v>
      </c>
      <c r="CT616">
        <f t="shared" si="491"/>
        <v>1889.4111999999998</v>
      </c>
      <c r="CU616">
        <f t="shared" si="492"/>
        <v>0</v>
      </c>
      <c r="CV616">
        <f t="shared" si="493"/>
        <v>34.659999999999997</v>
      </c>
      <c r="CW616">
        <f t="shared" si="494"/>
        <v>0.1</v>
      </c>
      <c r="CX616">
        <f t="shared" si="495"/>
        <v>0</v>
      </c>
      <c r="CY616">
        <f t="shared" si="496"/>
        <v>2584.6868000000004</v>
      </c>
      <c r="CZ616">
        <f t="shared" si="497"/>
        <v>1746.41</v>
      </c>
      <c r="DC616" t="s">
        <v>6</v>
      </c>
      <c r="DD616" t="s">
        <v>48</v>
      </c>
      <c r="DE616" t="s">
        <v>6</v>
      </c>
      <c r="DF616" t="s">
        <v>6</v>
      </c>
      <c r="DG616" t="s">
        <v>6</v>
      </c>
      <c r="DH616" t="s">
        <v>6</v>
      </c>
      <c r="DI616" t="s">
        <v>6</v>
      </c>
      <c r="DJ616" t="s">
        <v>6</v>
      </c>
      <c r="DK616" t="s">
        <v>6</v>
      </c>
      <c r="DL616" t="s">
        <v>6</v>
      </c>
      <c r="DM616" t="s">
        <v>6</v>
      </c>
      <c r="DN616">
        <v>0</v>
      </c>
      <c r="DO616">
        <v>0</v>
      </c>
      <c r="DP616">
        <v>1</v>
      </c>
      <c r="DQ616">
        <v>1</v>
      </c>
      <c r="DU616">
        <v>1003</v>
      </c>
      <c r="DV616" t="s">
        <v>34</v>
      </c>
      <c r="DW616" t="s">
        <v>34</v>
      </c>
      <c r="DX616">
        <v>100</v>
      </c>
      <c r="EE616">
        <v>16510574</v>
      </c>
      <c r="EF616">
        <v>6</v>
      </c>
      <c r="EG616" t="s">
        <v>36</v>
      </c>
      <c r="EH616">
        <v>0</v>
      </c>
      <c r="EI616" t="s">
        <v>6</v>
      </c>
      <c r="EJ616">
        <v>1</v>
      </c>
      <c r="EK616">
        <v>65001</v>
      </c>
      <c r="EL616" t="s">
        <v>1031</v>
      </c>
      <c r="EM616" t="s">
        <v>69</v>
      </c>
      <c r="EO616" t="s">
        <v>6</v>
      </c>
      <c r="EQ616">
        <v>131072</v>
      </c>
      <c r="ER616">
        <v>328.71</v>
      </c>
      <c r="ES616">
        <v>33.6</v>
      </c>
      <c r="ET616">
        <v>7.09</v>
      </c>
      <c r="EU616">
        <v>1.35</v>
      </c>
      <c r="EV616">
        <v>288.02</v>
      </c>
      <c r="EW616">
        <v>34.659999999999997</v>
      </c>
      <c r="EX616">
        <v>0.1</v>
      </c>
      <c r="EY616">
        <v>0</v>
      </c>
      <c r="FQ616">
        <v>0</v>
      </c>
      <c r="FR616">
        <f t="shared" si="498"/>
        <v>0</v>
      </c>
      <c r="FS616">
        <v>0</v>
      </c>
      <c r="FX616">
        <v>74</v>
      </c>
      <c r="FY616">
        <v>50</v>
      </c>
      <c r="GA616" t="s">
        <v>6</v>
      </c>
      <c r="GD616">
        <v>0</v>
      </c>
      <c r="GF616">
        <v>-319600296</v>
      </c>
      <c r="GG616">
        <v>1</v>
      </c>
      <c r="GH616">
        <v>1</v>
      </c>
      <c r="GI616">
        <v>4</v>
      </c>
      <c r="GJ616">
        <v>0</v>
      </c>
      <c r="GK616">
        <f>ROUND(R616*(R12)/100,2)</f>
        <v>0</v>
      </c>
      <c r="GL616">
        <f t="shared" si="499"/>
        <v>0</v>
      </c>
      <c r="GM616">
        <f t="shared" si="500"/>
        <v>7893.2</v>
      </c>
      <c r="GN616">
        <f t="shared" si="501"/>
        <v>7893.2</v>
      </c>
      <c r="GO616">
        <f t="shared" si="502"/>
        <v>0</v>
      </c>
      <c r="GP616">
        <f t="shared" si="503"/>
        <v>0</v>
      </c>
      <c r="GR616">
        <v>0</v>
      </c>
      <c r="GS616">
        <v>3</v>
      </c>
      <c r="GT616">
        <v>0</v>
      </c>
      <c r="GU616" t="s">
        <v>6</v>
      </c>
      <c r="GV616">
        <f t="shared" si="504"/>
        <v>0</v>
      </c>
      <c r="GW616">
        <v>1</v>
      </c>
      <c r="GX616">
        <f t="shared" si="505"/>
        <v>0</v>
      </c>
      <c r="HA616">
        <v>0</v>
      </c>
      <c r="HB616">
        <v>0</v>
      </c>
      <c r="IK616">
        <v>0</v>
      </c>
    </row>
    <row r="617" spans="1:245" x14ac:dyDescent="0.2">
      <c r="A617">
        <v>17</v>
      </c>
      <c r="B617">
        <v>1</v>
      </c>
      <c r="C617">
        <f>ROW(SmtRes!A855)</f>
        <v>855</v>
      </c>
      <c r="D617">
        <f>ROW(EtalonRes!A784)</f>
        <v>784</v>
      </c>
      <c r="E617" t="s">
        <v>1036</v>
      </c>
      <c r="F617" t="s">
        <v>1037</v>
      </c>
      <c r="G617" t="s">
        <v>1038</v>
      </c>
      <c r="H617" t="s">
        <v>1039</v>
      </c>
      <c r="I617">
        <f>ROUND(47.85/100,9)</f>
        <v>0.47849999999999998</v>
      </c>
      <c r="J617">
        <v>0</v>
      </c>
      <c r="O617">
        <f t="shared" si="473"/>
        <v>6524.89</v>
      </c>
      <c r="P617">
        <f t="shared" si="474"/>
        <v>3645.15</v>
      </c>
      <c r="Q617">
        <f t="shared" si="475"/>
        <v>755.64</v>
      </c>
      <c r="R617">
        <f t="shared" si="476"/>
        <v>152.05000000000001</v>
      </c>
      <c r="S617">
        <f t="shared" si="477"/>
        <v>2124.1</v>
      </c>
      <c r="T617">
        <f t="shared" si="478"/>
        <v>0</v>
      </c>
      <c r="U617">
        <f t="shared" si="479"/>
        <v>36.09803999999999</v>
      </c>
      <c r="V617">
        <f t="shared" si="480"/>
        <v>1.8721312499999998</v>
      </c>
      <c r="W617">
        <f t="shared" si="481"/>
        <v>0</v>
      </c>
      <c r="X617">
        <f t="shared" si="482"/>
        <v>2617.5700000000002</v>
      </c>
      <c r="Y617">
        <f t="shared" si="483"/>
        <v>1616.07</v>
      </c>
      <c r="AA617">
        <v>16742901</v>
      </c>
      <c r="AB617">
        <f t="shared" si="484"/>
        <v>2078.6799999999998</v>
      </c>
      <c r="AC617">
        <f t="shared" ref="AC617:AC633" si="506">ROUND((ES617),2)</f>
        <v>1161.26</v>
      </c>
      <c r="AD617">
        <f>ROUND(((((ET617*1.25))-((EU617*1.25)))+AE617),2)</f>
        <v>240.73</v>
      </c>
      <c r="AE617">
        <f>ROUND(((EU617*1.25)),2)</f>
        <v>48.44</v>
      </c>
      <c r="AF617">
        <f>ROUND(((EV617*1.15)),2)</f>
        <v>676.69</v>
      </c>
      <c r="AG617">
        <f t="shared" si="485"/>
        <v>0</v>
      </c>
      <c r="AH617">
        <f>((EW617*1.15))</f>
        <v>75.439999999999984</v>
      </c>
      <c r="AI617">
        <f>((EX617*1.25))</f>
        <v>3.9124999999999996</v>
      </c>
      <c r="AJ617">
        <f t="shared" si="486"/>
        <v>0</v>
      </c>
      <c r="AK617">
        <v>1942.27</v>
      </c>
      <c r="AL617">
        <v>1161.26</v>
      </c>
      <c r="AM617">
        <v>192.58</v>
      </c>
      <c r="AN617">
        <v>38.75</v>
      </c>
      <c r="AO617">
        <v>588.42999999999995</v>
      </c>
      <c r="AP617">
        <v>0</v>
      </c>
      <c r="AQ617">
        <v>65.599999999999994</v>
      </c>
      <c r="AR617">
        <v>3.13</v>
      </c>
      <c r="AS617">
        <v>0</v>
      </c>
      <c r="AT617">
        <v>115</v>
      </c>
      <c r="AU617">
        <v>71</v>
      </c>
      <c r="AV617">
        <v>1</v>
      </c>
      <c r="AW617">
        <v>1</v>
      </c>
      <c r="AZ617">
        <v>6.56</v>
      </c>
      <c r="BA617">
        <v>6.56</v>
      </c>
      <c r="BB617">
        <v>6.56</v>
      </c>
      <c r="BC617">
        <v>6.56</v>
      </c>
      <c r="BD617" t="s">
        <v>6</v>
      </c>
      <c r="BE617" t="s">
        <v>6</v>
      </c>
      <c r="BF617" t="s">
        <v>6</v>
      </c>
      <c r="BG617" t="s">
        <v>6</v>
      </c>
      <c r="BH617">
        <v>0</v>
      </c>
      <c r="BI617">
        <v>1</v>
      </c>
      <c r="BJ617" t="s">
        <v>1040</v>
      </c>
      <c r="BM617">
        <v>18001</v>
      </c>
      <c r="BN617">
        <v>0</v>
      </c>
      <c r="BO617" t="s">
        <v>6</v>
      </c>
      <c r="BP617">
        <v>0</v>
      </c>
      <c r="BQ617">
        <v>2</v>
      </c>
      <c r="BR617">
        <v>0</v>
      </c>
      <c r="BS617">
        <v>6.56</v>
      </c>
      <c r="BT617">
        <v>1</v>
      </c>
      <c r="BU617">
        <v>1</v>
      </c>
      <c r="BV617">
        <v>1</v>
      </c>
      <c r="BW617">
        <v>1</v>
      </c>
      <c r="BX617">
        <v>1</v>
      </c>
      <c r="BY617" t="s">
        <v>6</v>
      </c>
      <c r="BZ617">
        <v>128</v>
      </c>
      <c r="CA617">
        <v>83</v>
      </c>
      <c r="CF617">
        <v>0</v>
      </c>
      <c r="CG617">
        <v>0</v>
      </c>
      <c r="CM617">
        <v>0</v>
      </c>
      <c r="CN617" t="s">
        <v>1902</v>
      </c>
      <c r="CO617">
        <v>0</v>
      </c>
      <c r="CP617">
        <f t="shared" si="487"/>
        <v>6524.8899999999994</v>
      </c>
      <c r="CQ617">
        <f t="shared" si="488"/>
        <v>7617.8655999999992</v>
      </c>
      <c r="CR617">
        <f t="shared" si="489"/>
        <v>1579.1887999999999</v>
      </c>
      <c r="CS617">
        <f t="shared" si="490"/>
        <v>317.76639999999998</v>
      </c>
      <c r="CT617">
        <f t="shared" si="491"/>
        <v>4439.0864000000001</v>
      </c>
      <c r="CU617">
        <f t="shared" si="492"/>
        <v>0</v>
      </c>
      <c r="CV617">
        <f t="shared" si="493"/>
        <v>75.439999999999984</v>
      </c>
      <c r="CW617">
        <f t="shared" si="494"/>
        <v>3.9124999999999996</v>
      </c>
      <c r="CX617">
        <f t="shared" si="495"/>
        <v>0</v>
      </c>
      <c r="CY617">
        <f t="shared" si="496"/>
        <v>2617.5725000000002</v>
      </c>
      <c r="CZ617">
        <f t="shared" si="497"/>
        <v>1616.0664999999999</v>
      </c>
      <c r="DC617" t="s">
        <v>6</v>
      </c>
      <c r="DD617" t="s">
        <v>6</v>
      </c>
      <c r="DE617" t="s">
        <v>187</v>
      </c>
      <c r="DF617" t="s">
        <v>187</v>
      </c>
      <c r="DG617" t="s">
        <v>188</v>
      </c>
      <c r="DH617" t="s">
        <v>6</v>
      </c>
      <c r="DI617" t="s">
        <v>188</v>
      </c>
      <c r="DJ617" t="s">
        <v>187</v>
      </c>
      <c r="DK617" t="s">
        <v>6</v>
      </c>
      <c r="DL617" t="s">
        <v>6</v>
      </c>
      <c r="DM617" t="s">
        <v>6</v>
      </c>
      <c r="DN617">
        <v>0</v>
      </c>
      <c r="DO617">
        <v>0</v>
      </c>
      <c r="DP617">
        <v>1</v>
      </c>
      <c r="DQ617">
        <v>1</v>
      </c>
      <c r="DU617">
        <v>1013</v>
      </c>
      <c r="DV617" t="s">
        <v>1039</v>
      </c>
      <c r="DW617" t="s">
        <v>1039</v>
      </c>
      <c r="DX617">
        <v>1</v>
      </c>
      <c r="EE617">
        <v>16510516</v>
      </c>
      <c r="EF617">
        <v>2</v>
      </c>
      <c r="EG617" t="s">
        <v>22</v>
      </c>
      <c r="EH617">
        <v>0</v>
      </c>
      <c r="EI617" t="s">
        <v>6</v>
      </c>
      <c r="EJ617">
        <v>1</v>
      </c>
      <c r="EK617">
        <v>18001</v>
      </c>
      <c r="EL617" t="s">
        <v>1041</v>
      </c>
      <c r="EM617" t="s">
        <v>1042</v>
      </c>
      <c r="EO617" t="s">
        <v>189</v>
      </c>
      <c r="EQ617">
        <v>131072</v>
      </c>
      <c r="ER617">
        <v>1942.27</v>
      </c>
      <c r="ES617">
        <v>1161.26</v>
      </c>
      <c r="ET617">
        <v>192.58</v>
      </c>
      <c r="EU617">
        <v>38.75</v>
      </c>
      <c r="EV617">
        <v>588.42999999999995</v>
      </c>
      <c r="EW617">
        <v>65.599999999999994</v>
      </c>
      <c r="EX617">
        <v>3.13</v>
      </c>
      <c r="EY617">
        <v>0</v>
      </c>
      <c r="FQ617">
        <v>0</v>
      </c>
      <c r="FR617">
        <f t="shared" si="498"/>
        <v>0</v>
      </c>
      <c r="FS617">
        <v>0</v>
      </c>
      <c r="FT617" t="s">
        <v>25</v>
      </c>
      <c r="FU617" t="s">
        <v>26</v>
      </c>
      <c r="FX617">
        <v>115.2</v>
      </c>
      <c r="FY617">
        <v>70.55</v>
      </c>
      <c r="GA617" t="s">
        <v>6</v>
      </c>
      <c r="GD617">
        <v>0</v>
      </c>
      <c r="GF617">
        <v>-243626587</v>
      </c>
      <c r="GG617">
        <v>1</v>
      </c>
      <c r="GH617">
        <v>1</v>
      </c>
      <c r="GI617">
        <v>4</v>
      </c>
      <c r="GJ617">
        <v>0</v>
      </c>
      <c r="GK617">
        <f>ROUND(R617*(R12)/100,2)</f>
        <v>0</v>
      </c>
      <c r="GL617">
        <f t="shared" si="499"/>
        <v>0</v>
      </c>
      <c r="GM617">
        <f t="shared" si="500"/>
        <v>10758.53</v>
      </c>
      <c r="GN617">
        <f t="shared" si="501"/>
        <v>10758.53</v>
      </c>
      <c r="GO617">
        <f t="shared" si="502"/>
        <v>0</v>
      </c>
      <c r="GP617">
        <f t="shared" si="503"/>
        <v>0</v>
      </c>
      <c r="GR617">
        <v>0</v>
      </c>
      <c r="GS617">
        <v>3</v>
      </c>
      <c r="GT617">
        <v>0</v>
      </c>
      <c r="GU617" t="s">
        <v>6</v>
      </c>
      <c r="GV617">
        <f t="shared" si="504"/>
        <v>0</v>
      </c>
      <c r="GW617">
        <v>1</v>
      </c>
      <c r="GX617">
        <f t="shared" si="505"/>
        <v>0</v>
      </c>
      <c r="HA617">
        <v>0</v>
      </c>
      <c r="HB617">
        <v>0</v>
      </c>
      <c r="IK617">
        <v>0</v>
      </c>
    </row>
    <row r="618" spans="1:245" x14ac:dyDescent="0.2">
      <c r="A618">
        <v>18</v>
      </c>
      <c r="B618">
        <v>1</v>
      </c>
      <c r="C618">
        <v>853</v>
      </c>
      <c r="E618" t="s">
        <v>1043</v>
      </c>
      <c r="F618" t="s">
        <v>1044</v>
      </c>
      <c r="G618" t="s">
        <v>1045</v>
      </c>
      <c r="H618" t="s">
        <v>73</v>
      </c>
      <c r="I618">
        <f>I617*J618</f>
        <v>13</v>
      </c>
      <c r="J618">
        <v>27.168234064785789</v>
      </c>
      <c r="O618">
        <f t="shared" si="473"/>
        <v>116577.76</v>
      </c>
      <c r="P618">
        <f t="shared" si="474"/>
        <v>116577.76</v>
      </c>
      <c r="Q618">
        <f t="shared" si="475"/>
        <v>0</v>
      </c>
      <c r="R618">
        <f t="shared" si="476"/>
        <v>0</v>
      </c>
      <c r="S618">
        <f t="shared" si="477"/>
        <v>0</v>
      </c>
      <c r="T618">
        <f t="shared" si="478"/>
        <v>0</v>
      </c>
      <c r="U618">
        <f t="shared" si="479"/>
        <v>0</v>
      </c>
      <c r="V618">
        <f t="shared" si="480"/>
        <v>0</v>
      </c>
      <c r="W618">
        <f t="shared" si="481"/>
        <v>0</v>
      </c>
      <c r="X618">
        <f t="shared" si="482"/>
        <v>0</v>
      </c>
      <c r="Y618">
        <f t="shared" si="483"/>
        <v>0</v>
      </c>
      <c r="AA618">
        <v>16742901</v>
      </c>
      <c r="AB618">
        <f t="shared" si="484"/>
        <v>1367</v>
      </c>
      <c r="AC618">
        <f t="shared" si="506"/>
        <v>1367</v>
      </c>
      <c r="AD618">
        <f>ROUND((((ET618)-(EU618))+AE618),2)</f>
        <v>0</v>
      </c>
      <c r="AE618">
        <f t="shared" ref="AE618:AF621" si="507">ROUND((EU618),2)</f>
        <v>0</v>
      </c>
      <c r="AF618">
        <f t="shared" si="507"/>
        <v>0</v>
      </c>
      <c r="AG618">
        <f t="shared" si="485"/>
        <v>0</v>
      </c>
      <c r="AH618">
        <f t="shared" ref="AH618:AI621" si="508">(EW618)</f>
        <v>0</v>
      </c>
      <c r="AI618">
        <f t="shared" si="508"/>
        <v>0</v>
      </c>
      <c r="AJ618">
        <f t="shared" si="486"/>
        <v>0</v>
      </c>
      <c r="AK618">
        <v>1367</v>
      </c>
      <c r="AL618">
        <v>1367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115</v>
      </c>
      <c r="AU618">
        <v>71</v>
      </c>
      <c r="AV618">
        <v>1</v>
      </c>
      <c r="AW618">
        <v>1</v>
      </c>
      <c r="AZ618">
        <v>6.56</v>
      </c>
      <c r="BA618">
        <v>1</v>
      </c>
      <c r="BB618">
        <v>1</v>
      </c>
      <c r="BC618">
        <v>6.56</v>
      </c>
      <c r="BD618" t="s">
        <v>6</v>
      </c>
      <c r="BE618" t="s">
        <v>6</v>
      </c>
      <c r="BF618" t="s">
        <v>6</v>
      </c>
      <c r="BG618" t="s">
        <v>6</v>
      </c>
      <c r="BH618">
        <v>3</v>
      </c>
      <c r="BI618">
        <v>1</v>
      </c>
      <c r="BJ618" t="s">
        <v>1046</v>
      </c>
      <c r="BM618">
        <v>18001</v>
      </c>
      <c r="BN618">
        <v>0</v>
      </c>
      <c r="BO618" t="s">
        <v>6</v>
      </c>
      <c r="BP618">
        <v>0</v>
      </c>
      <c r="BQ618">
        <v>2</v>
      </c>
      <c r="BR618">
        <v>0</v>
      </c>
      <c r="BS618">
        <v>1</v>
      </c>
      <c r="BT618">
        <v>1</v>
      </c>
      <c r="BU618">
        <v>1</v>
      </c>
      <c r="BV618">
        <v>1</v>
      </c>
      <c r="BW618">
        <v>1</v>
      </c>
      <c r="BX618">
        <v>1</v>
      </c>
      <c r="BY618" t="s">
        <v>6</v>
      </c>
      <c r="BZ618">
        <v>128</v>
      </c>
      <c r="CA618">
        <v>83</v>
      </c>
      <c r="CF618">
        <v>0</v>
      </c>
      <c r="CG618">
        <v>0</v>
      </c>
      <c r="CM618">
        <v>0</v>
      </c>
      <c r="CN618" t="s">
        <v>6</v>
      </c>
      <c r="CO618">
        <v>0</v>
      </c>
      <c r="CP618">
        <f t="shared" si="487"/>
        <v>116577.76</v>
      </c>
      <c r="CQ618">
        <f t="shared" si="488"/>
        <v>8967.5199999999986</v>
      </c>
      <c r="CR618">
        <f t="shared" si="489"/>
        <v>0</v>
      </c>
      <c r="CS618">
        <f t="shared" si="490"/>
        <v>0</v>
      </c>
      <c r="CT618">
        <f t="shared" si="491"/>
        <v>0</v>
      </c>
      <c r="CU618">
        <f t="shared" si="492"/>
        <v>0</v>
      </c>
      <c r="CV618">
        <f t="shared" si="493"/>
        <v>0</v>
      </c>
      <c r="CW618">
        <f t="shared" si="494"/>
        <v>0</v>
      </c>
      <c r="CX618">
        <f t="shared" si="495"/>
        <v>0</v>
      </c>
      <c r="CY618">
        <f t="shared" si="496"/>
        <v>0</v>
      </c>
      <c r="CZ618">
        <f t="shared" si="497"/>
        <v>0</v>
      </c>
      <c r="DC618" t="s">
        <v>6</v>
      </c>
      <c r="DD618" t="s">
        <v>6</v>
      </c>
      <c r="DE618" t="s">
        <v>6</v>
      </c>
      <c r="DF618" t="s">
        <v>6</v>
      </c>
      <c r="DG618" t="s">
        <v>6</v>
      </c>
      <c r="DH618" t="s">
        <v>6</v>
      </c>
      <c r="DI618" t="s">
        <v>6</v>
      </c>
      <c r="DJ618" t="s">
        <v>6</v>
      </c>
      <c r="DK618" t="s">
        <v>6</v>
      </c>
      <c r="DL618" t="s">
        <v>6</v>
      </c>
      <c r="DM618" t="s">
        <v>6</v>
      </c>
      <c r="DN618">
        <v>0</v>
      </c>
      <c r="DO618">
        <v>0</v>
      </c>
      <c r="DP618">
        <v>1</v>
      </c>
      <c r="DQ618">
        <v>1</v>
      </c>
      <c r="DU618">
        <v>1010</v>
      </c>
      <c r="DV618" t="s">
        <v>73</v>
      </c>
      <c r="DW618" t="s">
        <v>73</v>
      </c>
      <c r="DX618">
        <v>1</v>
      </c>
      <c r="EE618">
        <v>16510516</v>
      </c>
      <c r="EF618">
        <v>2</v>
      </c>
      <c r="EG618" t="s">
        <v>22</v>
      </c>
      <c r="EH618">
        <v>0</v>
      </c>
      <c r="EI618" t="s">
        <v>6</v>
      </c>
      <c r="EJ618">
        <v>1</v>
      </c>
      <c r="EK618">
        <v>18001</v>
      </c>
      <c r="EL618" t="s">
        <v>1041</v>
      </c>
      <c r="EM618" t="s">
        <v>1042</v>
      </c>
      <c r="EO618" t="s">
        <v>6</v>
      </c>
      <c r="EQ618">
        <v>0</v>
      </c>
      <c r="ER618">
        <v>1367</v>
      </c>
      <c r="ES618">
        <v>1367</v>
      </c>
      <c r="ET618">
        <v>0</v>
      </c>
      <c r="EU618">
        <v>0</v>
      </c>
      <c r="EV618">
        <v>0</v>
      </c>
      <c r="EW618">
        <v>0</v>
      </c>
      <c r="EX618">
        <v>0</v>
      </c>
      <c r="FQ618">
        <v>0</v>
      </c>
      <c r="FR618">
        <f t="shared" si="498"/>
        <v>0</v>
      </c>
      <c r="FS618">
        <v>0</v>
      </c>
      <c r="FT618" t="s">
        <v>25</v>
      </c>
      <c r="FU618" t="s">
        <v>26</v>
      </c>
      <c r="FX618">
        <v>115.2</v>
      </c>
      <c r="FY618">
        <v>70.55</v>
      </c>
      <c r="GA618" t="s">
        <v>6</v>
      </c>
      <c r="GD618">
        <v>0</v>
      </c>
      <c r="GF618">
        <v>821608564</v>
      </c>
      <c r="GG618">
        <v>1</v>
      </c>
      <c r="GH618">
        <v>1</v>
      </c>
      <c r="GI618">
        <v>4</v>
      </c>
      <c r="GJ618">
        <v>0</v>
      </c>
      <c r="GK618">
        <f>ROUND(R618*(R12)/100,2)</f>
        <v>0</v>
      </c>
      <c r="GL618">
        <f t="shared" si="499"/>
        <v>0</v>
      </c>
      <c r="GM618">
        <f t="shared" si="500"/>
        <v>116577.76</v>
      </c>
      <c r="GN618">
        <f t="shared" si="501"/>
        <v>116577.76</v>
      </c>
      <c r="GO618">
        <f t="shared" si="502"/>
        <v>0</v>
      </c>
      <c r="GP618">
        <f t="shared" si="503"/>
        <v>0</v>
      </c>
      <c r="GR618">
        <v>0</v>
      </c>
      <c r="GS618">
        <v>3</v>
      </c>
      <c r="GT618">
        <v>0</v>
      </c>
      <c r="GU618" t="s">
        <v>6</v>
      </c>
      <c r="GV618">
        <f t="shared" si="504"/>
        <v>0</v>
      </c>
      <c r="GW618">
        <v>1</v>
      </c>
      <c r="GX618">
        <f t="shared" si="505"/>
        <v>0</v>
      </c>
      <c r="HA618">
        <v>0</v>
      </c>
      <c r="HB618">
        <v>0</v>
      </c>
      <c r="IK618">
        <v>0</v>
      </c>
    </row>
    <row r="619" spans="1:245" x14ac:dyDescent="0.2">
      <c r="A619">
        <v>18</v>
      </c>
      <c r="B619">
        <v>1</v>
      </c>
      <c r="C619">
        <v>852</v>
      </c>
      <c r="E619" t="s">
        <v>1047</v>
      </c>
      <c r="F619" t="s">
        <v>1048</v>
      </c>
      <c r="G619" t="s">
        <v>1049</v>
      </c>
      <c r="H619" t="s">
        <v>73</v>
      </c>
      <c r="I619">
        <f>I617*J619</f>
        <v>3.9999999999999996</v>
      </c>
      <c r="J619">
        <v>8.3594566353187041</v>
      </c>
      <c r="O619">
        <f t="shared" si="473"/>
        <v>28696.06</v>
      </c>
      <c r="P619">
        <f t="shared" si="474"/>
        <v>28696.06</v>
      </c>
      <c r="Q619">
        <f t="shared" si="475"/>
        <v>0</v>
      </c>
      <c r="R619">
        <f t="shared" si="476"/>
        <v>0</v>
      </c>
      <c r="S619">
        <f t="shared" si="477"/>
        <v>0</v>
      </c>
      <c r="T619">
        <f t="shared" si="478"/>
        <v>0</v>
      </c>
      <c r="U619">
        <f t="shared" si="479"/>
        <v>0</v>
      </c>
      <c r="V619">
        <f t="shared" si="480"/>
        <v>0</v>
      </c>
      <c r="W619">
        <f t="shared" si="481"/>
        <v>0</v>
      </c>
      <c r="X619">
        <f t="shared" si="482"/>
        <v>0</v>
      </c>
      <c r="Y619">
        <f t="shared" si="483"/>
        <v>0</v>
      </c>
      <c r="AA619">
        <v>16742901</v>
      </c>
      <c r="AB619">
        <f t="shared" si="484"/>
        <v>1093.5999999999999</v>
      </c>
      <c r="AC619">
        <f t="shared" si="506"/>
        <v>1093.5999999999999</v>
      </c>
      <c r="AD619">
        <f>ROUND((((ET619)-(EU619))+AE619),2)</f>
        <v>0</v>
      </c>
      <c r="AE619">
        <f t="shared" si="507"/>
        <v>0</v>
      </c>
      <c r="AF619">
        <f t="shared" si="507"/>
        <v>0</v>
      </c>
      <c r="AG619">
        <f t="shared" si="485"/>
        <v>0</v>
      </c>
      <c r="AH619">
        <f t="shared" si="508"/>
        <v>0</v>
      </c>
      <c r="AI619">
        <f t="shared" si="508"/>
        <v>0</v>
      </c>
      <c r="AJ619">
        <f t="shared" si="486"/>
        <v>0</v>
      </c>
      <c r="AK619">
        <v>1093.5999999999999</v>
      </c>
      <c r="AL619">
        <v>1093.5999999999999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115</v>
      </c>
      <c r="AU619">
        <v>71</v>
      </c>
      <c r="AV619">
        <v>1</v>
      </c>
      <c r="AW619">
        <v>1</v>
      </c>
      <c r="AZ619">
        <v>6.56</v>
      </c>
      <c r="BA619">
        <v>1</v>
      </c>
      <c r="BB619">
        <v>1</v>
      </c>
      <c r="BC619">
        <v>6.56</v>
      </c>
      <c r="BD619" t="s">
        <v>6</v>
      </c>
      <c r="BE619" t="s">
        <v>6</v>
      </c>
      <c r="BF619" t="s">
        <v>6</v>
      </c>
      <c r="BG619" t="s">
        <v>6</v>
      </c>
      <c r="BH619">
        <v>3</v>
      </c>
      <c r="BI619">
        <v>1</v>
      </c>
      <c r="BJ619" t="s">
        <v>1050</v>
      </c>
      <c r="BM619">
        <v>18001</v>
      </c>
      <c r="BN619">
        <v>0</v>
      </c>
      <c r="BO619" t="s">
        <v>6</v>
      </c>
      <c r="BP619">
        <v>0</v>
      </c>
      <c r="BQ619">
        <v>2</v>
      </c>
      <c r="BR619">
        <v>0</v>
      </c>
      <c r="BS619">
        <v>1</v>
      </c>
      <c r="BT619">
        <v>1</v>
      </c>
      <c r="BU619">
        <v>1</v>
      </c>
      <c r="BV619">
        <v>1</v>
      </c>
      <c r="BW619">
        <v>1</v>
      </c>
      <c r="BX619">
        <v>1</v>
      </c>
      <c r="BY619" t="s">
        <v>6</v>
      </c>
      <c r="BZ619">
        <v>128</v>
      </c>
      <c r="CA619">
        <v>83</v>
      </c>
      <c r="CF619">
        <v>0</v>
      </c>
      <c r="CG619">
        <v>0</v>
      </c>
      <c r="CM619">
        <v>0</v>
      </c>
      <c r="CN619" t="s">
        <v>6</v>
      </c>
      <c r="CO619">
        <v>0</v>
      </c>
      <c r="CP619">
        <f t="shared" si="487"/>
        <v>28696.06</v>
      </c>
      <c r="CQ619">
        <f t="shared" si="488"/>
        <v>7174.0159999999987</v>
      </c>
      <c r="CR619">
        <f t="shared" si="489"/>
        <v>0</v>
      </c>
      <c r="CS619">
        <f t="shared" si="490"/>
        <v>0</v>
      </c>
      <c r="CT619">
        <f t="shared" si="491"/>
        <v>0</v>
      </c>
      <c r="CU619">
        <f t="shared" si="492"/>
        <v>0</v>
      </c>
      <c r="CV619">
        <f t="shared" si="493"/>
        <v>0</v>
      </c>
      <c r="CW619">
        <f t="shared" si="494"/>
        <v>0</v>
      </c>
      <c r="CX619">
        <f t="shared" si="495"/>
        <v>0</v>
      </c>
      <c r="CY619">
        <f t="shared" si="496"/>
        <v>0</v>
      </c>
      <c r="CZ619">
        <f t="shared" si="497"/>
        <v>0</v>
      </c>
      <c r="DC619" t="s">
        <v>6</v>
      </c>
      <c r="DD619" t="s">
        <v>6</v>
      </c>
      <c r="DE619" t="s">
        <v>6</v>
      </c>
      <c r="DF619" t="s">
        <v>6</v>
      </c>
      <c r="DG619" t="s">
        <v>6</v>
      </c>
      <c r="DH619" t="s">
        <v>6</v>
      </c>
      <c r="DI619" t="s">
        <v>6</v>
      </c>
      <c r="DJ619" t="s">
        <v>6</v>
      </c>
      <c r="DK619" t="s">
        <v>6</v>
      </c>
      <c r="DL619" t="s">
        <v>6</v>
      </c>
      <c r="DM619" t="s">
        <v>6</v>
      </c>
      <c r="DN619">
        <v>0</v>
      </c>
      <c r="DO619">
        <v>0</v>
      </c>
      <c r="DP619">
        <v>1</v>
      </c>
      <c r="DQ619">
        <v>1</v>
      </c>
      <c r="DU619">
        <v>1010</v>
      </c>
      <c r="DV619" t="s">
        <v>73</v>
      </c>
      <c r="DW619" t="s">
        <v>73</v>
      </c>
      <c r="DX619">
        <v>1</v>
      </c>
      <c r="EE619">
        <v>16510516</v>
      </c>
      <c r="EF619">
        <v>2</v>
      </c>
      <c r="EG619" t="s">
        <v>22</v>
      </c>
      <c r="EH619">
        <v>0</v>
      </c>
      <c r="EI619" t="s">
        <v>6</v>
      </c>
      <c r="EJ619">
        <v>1</v>
      </c>
      <c r="EK619">
        <v>18001</v>
      </c>
      <c r="EL619" t="s">
        <v>1041</v>
      </c>
      <c r="EM619" t="s">
        <v>1042</v>
      </c>
      <c r="EO619" t="s">
        <v>6</v>
      </c>
      <c r="EQ619">
        <v>0</v>
      </c>
      <c r="ER619">
        <v>1093.5999999999999</v>
      </c>
      <c r="ES619">
        <v>1093.5999999999999</v>
      </c>
      <c r="ET619">
        <v>0</v>
      </c>
      <c r="EU619">
        <v>0</v>
      </c>
      <c r="EV619">
        <v>0</v>
      </c>
      <c r="EW619">
        <v>0</v>
      </c>
      <c r="EX619">
        <v>0</v>
      </c>
      <c r="FQ619">
        <v>0</v>
      </c>
      <c r="FR619">
        <f t="shared" si="498"/>
        <v>0</v>
      </c>
      <c r="FS619">
        <v>0</v>
      </c>
      <c r="FT619" t="s">
        <v>25</v>
      </c>
      <c r="FU619" t="s">
        <v>26</v>
      </c>
      <c r="FX619">
        <v>115.2</v>
      </c>
      <c r="FY619">
        <v>70.55</v>
      </c>
      <c r="GA619" t="s">
        <v>6</v>
      </c>
      <c r="GD619">
        <v>0</v>
      </c>
      <c r="GF619">
        <v>198083887</v>
      </c>
      <c r="GG619">
        <v>1</v>
      </c>
      <c r="GH619">
        <v>1</v>
      </c>
      <c r="GI619">
        <v>4</v>
      </c>
      <c r="GJ619">
        <v>0</v>
      </c>
      <c r="GK619">
        <f>ROUND(R619*(R12)/100,2)</f>
        <v>0</v>
      </c>
      <c r="GL619">
        <f t="shared" si="499"/>
        <v>0</v>
      </c>
      <c r="GM619">
        <f t="shared" si="500"/>
        <v>28696.06</v>
      </c>
      <c r="GN619">
        <f t="shared" si="501"/>
        <v>28696.06</v>
      </c>
      <c r="GO619">
        <f t="shared" si="502"/>
        <v>0</v>
      </c>
      <c r="GP619">
        <f t="shared" si="503"/>
        <v>0</v>
      </c>
      <c r="GR619">
        <v>0</v>
      </c>
      <c r="GS619">
        <v>3</v>
      </c>
      <c r="GT619">
        <v>0</v>
      </c>
      <c r="GU619" t="s">
        <v>6</v>
      </c>
      <c r="GV619">
        <f t="shared" si="504"/>
        <v>0</v>
      </c>
      <c r="GW619">
        <v>1</v>
      </c>
      <c r="GX619">
        <f t="shared" si="505"/>
        <v>0</v>
      </c>
      <c r="HA619">
        <v>0</v>
      </c>
      <c r="HB619">
        <v>0</v>
      </c>
      <c r="IK619">
        <v>0</v>
      </c>
    </row>
    <row r="620" spans="1:245" x14ac:dyDescent="0.2">
      <c r="A620">
        <v>18</v>
      </c>
      <c r="B620">
        <v>1</v>
      </c>
      <c r="C620">
        <v>854</v>
      </c>
      <c r="E620" t="s">
        <v>1051</v>
      </c>
      <c r="F620" t="s">
        <v>1052</v>
      </c>
      <c r="G620" t="s">
        <v>1053</v>
      </c>
      <c r="H620" t="s">
        <v>73</v>
      </c>
      <c r="I620">
        <f>I617*J620</f>
        <v>9</v>
      </c>
      <c r="J620">
        <v>18.808777429467085</v>
      </c>
      <c r="O620">
        <f t="shared" si="473"/>
        <v>88777.86</v>
      </c>
      <c r="P620">
        <f t="shared" si="474"/>
        <v>88777.86</v>
      </c>
      <c r="Q620">
        <f t="shared" si="475"/>
        <v>0</v>
      </c>
      <c r="R620">
        <f t="shared" si="476"/>
        <v>0</v>
      </c>
      <c r="S620">
        <f t="shared" si="477"/>
        <v>0</v>
      </c>
      <c r="T620">
        <f t="shared" si="478"/>
        <v>0</v>
      </c>
      <c r="U620">
        <f t="shared" si="479"/>
        <v>0</v>
      </c>
      <c r="V620">
        <f t="shared" si="480"/>
        <v>0</v>
      </c>
      <c r="W620">
        <f t="shared" si="481"/>
        <v>0</v>
      </c>
      <c r="X620">
        <f t="shared" si="482"/>
        <v>0</v>
      </c>
      <c r="Y620">
        <f t="shared" si="483"/>
        <v>0</v>
      </c>
      <c r="AA620">
        <v>16742901</v>
      </c>
      <c r="AB620">
        <f t="shared" si="484"/>
        <v>1503.69</v>
      </c>
      <c r="AC620">
        <f t="shared" si="506"/>
        <v>1503.69</v>
      </c>
      <c r="AD620">
        <f>ROUND((((ET620)-(EU620))+AE620),2)</f>
        <v>0</v>
      </c>
      <c r="AE620">
        <f t="shared" si="507"/>
        <v>0</v>
      </c>
      <c r="AF620">
        <f t="shared" si="507"/>
        <v>0</v>
      </c>
      <c r="AG620">
        <f t="shared" si="485"/>
        <v>0</v>
      </c>
      <c r="AH620">
        <f t="shared" si="508"/>
        <v>0</v>
      </c>
      <c r="AI620">
        <f t="shared" si="508"/>
        <v>0</v>
      </c>
      <c r="AJ620">
        <f t="shared" si="486"/>
        <v>0</v>
      </c>
      <c r="AK620">
        <v>1503.69</v>
      </c>
      <c r="AL620">
        <v>1503.69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115</v>
      </c>
      <c r="AU620">
        <v>71</v>
      </c>
      <c r="AV620">
        <v>1</v>
      </c>
      <c r="AW620">
        <v>1</v>
      </c>
      <c r="AZ620">
        <v>6.56</v>
      </c>
      <c r="BA620">
        <v>1</v>
      </c>
      <c r="BB620">
        <v>1</v>
      </c>
      <c r="BC620">
        <v>6.56</v>
      </c>
      <c r="BD620" t="s">
        <v>6</v>
      </c>
      <c r="BE620" t="s">
        <v>6</v>
      </c>
      <c r="BF620" t="s">
        <v>6</v>
      </c>
      <c r="BG620" t="s">
        <v>6</v>
      </c>
      <c r="BH620">
        <v>3</v>
      </c>
      <c r="BI620">
        <v>1</v>
      </c>
      <c r="BJ620" t="s">
        <v>1054</v>
      </c>
      <c r="BM620">
        <v>18001</v>
      </c>
      <c r="BN620">
        <v>0</v>
      </c>
      <c r="BO620" t="s">
        <v>6</v>
      </c>
      <c r="BP620">
        <v>0</v>
      </c>
      <c r="BQ620">
        <v>2</v>
      </c>
      <c r="BR620">
        <v>0</v>
      </c>
      <c r="BS620">
        <v>1</v>
      </c>
      <c r="BT620">
        <v>1</v>
      </c>
      <c r="BU620">
        <v>1</v>
      </c>
      <c r="BV620">
        <v>1</v>
      </c>
      <c r="BW620">
        <v>1</v>
      </c>
      <c r="BX620">
        <v>1</v>
      </c>
      <c r="BY620" t="s">
        <v>6</v>
      </c>
      <c r="BZ620">
        <v>128</v>
      </c>
      <c r="CA620">
        <v>83</v>
      </c>
      <c r="CF620">
        <v>0</v>
      </c>
      <c r="CG620">
        <v>0</v>
      </c>
      <c r="CM620">
        <v>0</v>
      </c>
      <c r="CN620" t="s">
        <v>6</v>
      </c>
      <c r="CO620">
        <v>0</v>
      </c>
      <c r="CP620">
        <f t="shared" si="487"/>
        <v>88777.86</v>
      </c>
      <c r="CQ620">
        <f t="shared" si="488"/>
        <v>9864.2063999999991</v>
      </c>
      <c r="CR620">
        <f t="shared" si="489"/>
        <v>0</v>
      </c>
      <c r="CS620">
        <f t="shared" si="490"/>
        <v>0</v>
      </c>
      <c r="CT620">
        <f t="shared" si="491"/>
        <v>0</v>
      </c>
      <c r="CU620">
        <f t="shared" si="492"/>
        <v>0</v>
      </c>
      <c r="CV620">
        <f t="shared" si="493"/>
        <v>0</v>
      </c>
      <c r="CW620">
        <f t="shared" si="494"/>
        <v>0</v>
      </c>
      <c r="CX620">
        <f t="shared" si="495"/>
        <v>0</v>
      </c>
      <c r="CY620">
        <f t="shared" si="496"/>
        <v>0</v>
      </c>
      <c r="CZ620">
        <f t="shared" si="497"/>
        <v>0</v>
      </c>
      <c r="DC620" t="s">
        <v>6</v>
      </c>
      <c r="DD620" t="s">
        <v>6</v>
      </c>
      <c r="DE620" t="s">
        <v>6</v>
      </c>
      <c r="DF620" t="s">
        <v>6</v>
      </c>
      <c r="DG620" t="s">
        <v>6</v>
      </c>
      <c r="DH620" t="s">
        <v>6</v>
      </c>
      <c r="DI620" t="s">
        <v>6</v>
      </c>
      <c r="DJ620" t="s">
        <v>6</v>
      </c>
      <c r="DK620" t="s">
        <v>6</v>
      </c>
      <c r="DL620" t="s">
        <v>6</v>
      </c>
      <c r="DM620" t="s">
        <v>6</v>
      </c>
      <c r="DN620">
        <v>0</v>
      </c>
      <c r="DO620">
        <v>0</v>
      </c>
      <c r="DP620">
        <v>1</v>
      </c>
      <c r="DQ620">
        <v>1</v>
      </c>
      <c r="DU620">
        <v>1010</v>
      </c>
      <c r="DV620" t="s">
        <v>73</v>
      </c>
      <c r="DW620" t="s">
        <v>73</v>
      </c>
      <c r="DX620">
        <v>1</v>
      </c>
      <c r="EE620">
        <v>16510516</v>
      </c>
      <c r="EF620">
        <v>2</v>
      </c>
      <c r="EG620" t="s">
        <v>22</v>
      </c>
      <c r="EH620">
        <v>0</v>
      </c>
      <c r="EI620" t="s">
        <v>6</v>
      </c>
      <c r="EJ620">
        <v>1</v>
      </c>
      <c r="EK620">
        <v>18001</v>
      </c>
      <c r="EL620" t="s">
        <v>1041</v>
      </c>
      <c r="EM620" t="s">
        <v>1042</v>
      </c>
      <c r="EO620" t="s">
        <v>6</v>
      </c>
      <c r="EQ620">
        <v>0</v>
      </c>
      <c r="ER620">
        <v>1503.69</v>
      </c>
      <c r="ES620">
        <v>1503.69</v>
      </c>
      <c r="ET620">
        <v>0</v>
      </c>
      <c r="EU620">
        <v>0</v>
      </c>
      <c r="EV620">
        <v>0</v>
      </c>
      <c r="EW620">
        <v>0</v>
      </c>
      <c r="EX620">
        <v>0</v>
      </c>
      <c r="FQ620">
        <v>0</v>
      </c>
      <c r="FR620">
        <f t="shared" si="498"/>
        <v>0</v>
      </c>
      <c r="FS620">
        <v>0</v>
      </c>
      <c r="FT620" t="s">
        <v>25</v>
      </c>
      <c r="FU620" t="s">
        <v>26</v>
      </c>
      <c r="FX620">
        <v>115.2</v>
      </c>
      <c r="FY620">
        <v>70.55</v>
      </c>
      <c r="GA620" t="s">
        <v>6</v>
      </c>
      <c r="GD620">
        <v>0</v>
      </c>
      <c r="GF620">
        <v>-1985748630</v>
      </c>
      <c r="GG620">
        <v>1</v>
      </c>
      <c r="GH620">
        <v>1</v>
      </c>
      <c r="GI620">
        <v>4</v>
      </c>
      <c r="GJ620">
        <v>0</v>
      </c>
      <c r="GK620">
        <f>ROUND(R620*(R12)/100,2)</f>
        <v>0</v>
      </c>
      <c r="GL620">
        <f t="shared" si="499"/>
        <v>0</v>
      </c>
      <c r="GM620">
        <f t="shared" si="500"/>
        <v>88777.86</v>
      </c>
      <c r="GN620">
        <f t="shared" si="501"/>
        <v>88777.86</v>
      </c>
      <c r="GO620">
        <f t="shared" si="502"/>
        <v>0</v>
      </c>
      <c r="GP620">
        <f t="shared" si="503"/>
        <v>0</v>
      </c>
      <c r="GR620">
        <v>0</v>
      </c>
      <c r="GS620">
        <v>3</v>
      </c>
      <c r="GT620">
        <v>0</v>
      </c>
      <c r="GU620" t="s">
        <v>6</v>
      </c>
      <c r="GV620">
        <f t="shared" si="504"/>
        <v>0</v>
      </c>
      <c r="GW620">
        <v>1</v>
      </c>
      <c r="GX620">
        <f t="shared" si="505"/>
        <v>0</v>
      </c>
      <c r="HA620">
        <v>0</v>
      </c>
      <c r="HB620">
        <v>0</v>
      </c>
      <c r="IK620">
        <v>0</v>
      </c>
    </row>
    <row r="621" spans="1:245" x14ac:dyDescent="0.2">
      <c r="A621">
        <v>18</v>
      </c>
      <c r="B621">
        <v>1</v>
      </c>
      <c r="C621">
        <v>855</v>
      </c>
      <c r="E621" t="s">
        <v>1055</v>
      </c>
      <c r="F621" t="s">
        <v>1056</v>
      </c>
      <c r="G621" t="s">
        <v>1057</v>
      </c>
      <c r="H621" t="s">
        <v>1058</v>
      </c>
      <c r="I621">
        <f>I617*J621</f>
        <v>47.85</v>
      </c>
      <c r="J621">
        <v>100</v>
      </c>
      <c r="O621">
        <f t="shared" si="473"/>
        <v>0</v>
      </c>
      <c r="P621">
        <f t="shared" si="474"/>
        <v>0</v>
      </c>
      <c r="Q621">
        <f t="shared" si="475"/>
        <v>0</v>
      </c>
      <c r="R621">
        <f t="shared" si="476"/>
        <v>0</v>
      </c>
      <c r="S621">
        <f t="shared" si="477"/>
        <v>0</v>
      </c>
      <c r="T621">
        <f t="shared" si="478"/>
        <v>0</v>
      </c>
      <c r="U621">
        <f t="shared" si="479"/>
        <v>0</v>
      </c>
      <c r="V621">
        <f t="shared" si="480"/>
        <v>0</v>
      </c>
      <c r="W621">
        <f t="shared" si="481"/>
        <v>0</v>
      </c>
      <c r="X621">
        <f t="shared" si="482"/>
        <v>0</v>
      </c>
      <c r="Y621">
        <f t="shared" si="483"/>
        <v>0</v>
      </c>
      <c r="AA621">
        <v>16742901</v>
      </c>
      <c r="AB621">
        <f t="shared" si="484"/>
        <v>0</v>
      </c>
      <c r="AC621">
        <f t="shared" si="506"/>
        <v>0</v>
      </c>
      <c r="AD621">
        <f>ROUND((((ET621)-(EU621))+AE621),2)</f>
        <v>0</v>
      </c>
      <c r="AE621">
        <f t="shared" si="507"/>
        <v>0</v>
      </c>
      <c r="AF621">
        <f t="shared" si="507"/>
        <v>0</v>
      </c>
      <c r="AG621">
        <f t="shared" si="485"/>
        <v>0</v>
      </c>
      <c r="AH621">
        <f t="shared" si="508"/>
        <v>0</v>
      </c>
      <c r="AI621">
        <f t="shared" si="508"/>
        <v>0</v>
      </c>
      <c r="AJ621">
        <f t="shared" si="486"/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115</v>
      </c>
      <c r="AU621">
        <v>71</v>
      </c>
      <c r="AV621">
        <v>1</v>
      </c>
      <c r="AW621">
        <v>1</v>
      </c>
      <c r="AZ621">
        <v>6.56</v>
      </c>
      <c r="BA621">
        <v>1</v>
      </c>
      <c r="BB621">
        <v>1</v>
      </c>
      <c r="BC621">
        <v>6.56</v>
      </c>
      <c r="BD621" t="s">
        <v>6</v>
      </c>
      <c r="BE621" t="s">
        <v>6</v>
      </c>
      <c r="BF621" t="s">
        <v>6</v>
      </c>
      <c r="BG621" t="s">
        <v>6</v>
      </c>
      <c r="BH621">
        <v>3</v>
      </c>
      <c r="BI621">
        <v>1</v>
      </c>
      <c r="BJ621" t="s">
        <v>6</v>
      </c>
      <c r="BM621">
        <v>18001</v>
      </c>
      <c r="BN621">
        <v>0</v>
      </c>
      <c r="BO621" t="s">
        <v>6</v>
      </c>
      <c r="BP621">
        <v>0</v>
      </c>
      <c r="BQ621">
        <v>2</v>
      </c>
      <c r="BR621">
        <v>0</v>
      </c>
      <c r="BS621">
        <v>1</v>
      </c>
      <c r="BT621">
        <v>1</v>
      </c>
      <c r="BU621">
        <v>1</v>
      </c>
      <c r="BV621">
        <v>1</v>
      </c>
      <c r="BW621">
        <v>1</v>
      </c>
      <c r="BX621">
        <v>1</v>
      </c>
      <c r="BY621" t="s">
        <v>6</v>
      </c>
      <c r="BZ621">
        <v>128</v>
      </c>
      <c r="CA621">
        <v>83</v>
      </c>
      <c r="CF621">
        <v>0</v>
      </c>
      <c r="CG621">
        <v>0</v>
      </c>
      <c r="CM621">
        <v>0</v>
      </c>
      <c r="CN621" t="s">
        <v>6</v>
      </c>
      <c r="CO621">
        <v>0</v>
      </c>
      <c r="CP621">
        <f t="shared" si="487"/>
        <v>0</v>
      </c>
      <c r="CQ621">
        <f t="shared" si="488"/>
        <v>0</v>
      </c>
      <c r="CR621">
        <f t="shared" si="489"/>
        <v>0</v>
      </c>
      <c r="CS621">
        <f t="shared" si="490"/>
        <v>0</v>
      </c>
      <c r="CT621">
        <f t="shared" si="491"/>
        <v>0</v>
      </c>
      <c r="CU621">
        <f t="shared" si="492"/>
        <v>0</v>
      </c>
      <c r="CV621">
        <f t="shared" si="493"/>
        <v>0</v>
      </c>
      <c r="CW621">
        <f t="shared" si="494"/>
        <v>0</v>
      </c>
      <c r="CX621">
        <f t="shared" si="495"/>
        <v>0</v>
      </c>
      <c r="CY621">
        <f t="shared" si="496"/>
        <v>0</v>
      </c>
      <c r="CZ621">
        <f t="shared" si="497"/>
        <v>0</v>
      </c>
      <c r="DC621" t="s">
        <v>6</v>
      </c>
      <c r="DD621" t="s">
        <v>6</v>
      </c>
      <c r="DE621" t="s">
        <v>6</v>
      </c>
      <c r="DF621" t="s">
        <v>6</v>
      </c>
      <c r="DG621" t="s">
        <v>6</v>
      </c>
      <c r="DH621" t="s">
        <v>6</v>
      </c>
      <c r="DI621" t="s">
        <v>6</v>
      </c>
      <c r="DJ621" t="s">
        <v>6</v>
      </c>
      <c r="DK621" t="s">
        <v>6</v>
      </c>
      <c r="DL621" t="s">
        <v>6</v>
      </c>
      <c r="DM621" t="s">
        <v>6</v>
      </c>
      <c r="DN621">
        <v>0</v>
      </c>
      <c r="DO621">
        <v>0</v>
      </c>
      <c r="DP621">
        <v>1</v>
      </c>
      <c r="DQ621">
        <v>1</v>
      </c>
      <c r="DU621">
        <v>1013</v>
      </c>
      <c r="DV621" t="s">
        <v>1058</v>
      </c>
      <c r="DW621" t="s">
        <v>1058</v>
      </c>
      <c r="DX621">
        <v>1</v>
      </c>
      <c r="EE621">
        <v>16510516</v>
      </c>
      <c r="EF621">
        <v>2</v>
      </c>
      <c r="EG621" t="s">
        <v>22</v>
      </c>
      <c r="EH621">
        <v>0</v>
      </c>
      <c r="EI621" t="s">
        <v>6</v>
      </c>
      <c r="EJ621">
        <v>1</v>
      </c>
      <c r="EK621">
        <v>18001</v>
      </c>
      <c r="EL621" t="s">
        <v>1041</v>
      </c>
      <c r="EM621" t="s">
        <v>1042</v>
      </c>
      <c r="EO621" t="s">
        <v>6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FQ621">
        <v>0</v>
      </c>
      <c r="FR621">
        <f t="shared" si="498"/>
        <v>0</v>
      </c>
      <c r="FS621">
        <v>0</v>
      </c>
      <c r="FT621" t="s">
        <v>25</v>
      </c>
      <c r="FU621" t="s">
        <v>26</v>
      </c>
      <c r="FX621">
        <v>115.2</v>
      </c>
      <c r="FY621">
        <v>70.55</v>
      </c>
      <c r="GA621" t="s">
        <v>6</v>
      </c>
      <c r="GD621">
        <v>0</v>
      </c>
      <c r="GF621">
        <v>704408924</v>
      </c>
      <c r="GG621">
        <v>1</v>
      </c>
      <c r="GH621">
        <v>1</v>
      </c>
      <c r="GI621">
        <v>4</v>
      </c>
      <c r="GJ621">
        <v>0</v>
      </c>
      <c r="GK621">
        <f>ROUND(R621*(R12)/100,2)</f>
        <v>0</v>
      </c>
      <c r="GL621">
        <f t="shared" si="499"/>
        <v>0</v>
      </c>
      <c r="GM621">
        <f t="shared" si="500"/>
        <v>0</v>
      </c>
      <c r="GN621">
        <f t="shared" si="501"/>
        <v>0</v>
      </c>
      <c r="GO621">
        <f t="shared" si="502"/>
        <v>0</v>
      </c>
      <c r="GP621">
        <f t="shared" si="503"/>
        <v>0</v>
      </c>
      <c r="GR621">
        <v>0</v>
      </c>
      <c r="GS621">
        <v>3</v>
      </c>
      <c r="GT621">
        <v>0</v>
      </c>
      <c r="GU621" t="s">
        <v>6</v>
      </c>
      <c r="GV621">
        <f t="shared" si="504"/>
        <v>0</v>
      </c>
      <c r="GW621">
        <v>1</v>
      </c>
      <c r="GX621">
        <f t="shared" si="505"/>
        <v>0</v>
      </c>
      <c r="HA621">
        <v>0</v>
      </c>
      <c r="HB621">
        <v>0</v>
      </c>
      <c r="IK621">
        <v>0</v>
      </c>
    </row>
    <row r="622" spans="1:245" x14ac:dyDescent="0.2">
      <c r="A622">
        <v>17</v>
      </c>
      <c r="B622">
        <v>1</v>
      </c>
      <c r="C622">
        <f>ROW(SmtRes!A872)</f>
        <v>872</v>
      </c>
      <c r="D622">
        <f>ROW(EtalonRes!A801)</f>
        <v>801</v>
      </c>
      <c r="E622" t="s">
        <v>1059</v>
      </c>
      <c r="F622" t="s">
        <v>1060</v>
      </c>
      <c r="G622" t="s">
        <v>1061</v>
      </c>
      <c r="H622" t="s">
        <v>34</v>
      </c>
      <c r="I622">
        <f>ROUND(200/100,9)</f>
        <v>2</v>
      </c>
      <c r="J622">
        <v>0</v>
      </c>
      <c r="O622">
        <f t="shared" si="473"/>
        <v>5785</v>
      </c>
      <c r="P622">
        <f t="shared" si="474"/>
        <v>357.78</v>
      </c>
      <c r="Q622">
        <f t="shared" si="475"/>
        <v>641.70000000000005</v>
      </c>
      <c r="R622">
        <f t="shared" si="476"/>
        <v>99.84</v>
      </c>
      <c r="S622">
        <f t="shared" si="477"/>
        <v>4785.5200000000004</v>
      </c>
      <c r="T622">
        <f t="shared" si="478"/>
        <v>0</v>
      </c>
      <c r="U622">
        <f t="shared" si="479"/>
        <v>75.830999999999989</v>
      </c>
      <c r="V622">
        <f t="shared" si="480"/>
        <v>1.25</v>
      </c>
      <c r="W622">
        <f t="shared" si="481"/>
        <v>0</v>
      </c>
      <c r="X622">
        <f t="shared" si="482"/>
        <v>5618.16</v>
      </c>
      <c r="Y622">
        <f t="shared" si="483"/>
        <v>3468.61</v>
      </c>
      <c r="AA622">
        <v>16742901</v>
      </c>
      <c r="AB622">
        <f t="shared" si="484"/>
        <v>440.93</v>
      </c>
      <c r="AC622">
        <f t="shared" si="506"/>
        <v>27.27</v>
      </c>
      <c r="AD622">
        <f>ROUND(((((ET622*1.25))-((EU622*1.25)))+AE622),2)</f>
        <v>48.91</v>
      </c>
      <c r="AE622">
        <f>ROUND(((EU622*1.25)),2)</f>
        <v>7.61</v>
      </c>
      <c r="AF622">
        <f>ROUND(((EV622*1.15)),2)</f>
        <v>364.75</v>
      </c>
      <c r="AG622">
        <f t="shared" si="485"/>
        <v>0</v>
      </c>
      <c r="AH622">
        <f>((EW622*1.15))</f>
        <v>37.915499999999994</v>
      </c>
      <c r="AI622">
        <f>((EX622*1.25))</f>
        <v>0.625</v>
      </c>
      <c r="AJ622">
        <f t="shared" si="486"/>
        <v>0</v>
      </c>
      <c r="AK622">
        <v>383.57</v>
      </c>
      <c r="AL622">
        <v>27.27</v>
      </c>
      <c r="AM622">
        <v>39.130000000000003</v>
      </c>
      <c r="AN622">
        <v>6.09</v>
      </c>
      <c r="AO622">
        <v>317.17</v>
      </c>
      <c r="AP622">
        <v>0</v>
      </c>
      <c r="AQ622">
        <v>32.97</v>
      </c>
      <c r="AR622">
        <v>0.5</v>
      </c>
      <c r="AS622">
        <v>0</v>
      </c>
      <c r="AT622">
        <v>115</v>
      </c>
      <c r="AU622">
        <v>71</v>
      </c>
      <c r="AV622">
        <v>1</v>
      </c>
      <c r="AW622">
        <v>1</v>
      </c>
      <c r="AZ622">
        <v>6.56</v>
      </c>
      <c r="BA622">
        <v>6.56</v>
      </c>
      <c r="BB622">
        <v>6.56</v>
      </c>
      <c r="BC622">
        <v>6.56</v>
      </c>
      <c r="BD622" t="s">
        <v>6</v>
      </c>
      <c r="BE622" t="s">
        <v>6</v>
      </c>
      <c r="BF622" t="s">
        <v>6</v>
      </c>
      <c r="BG622" t="s">
        <v>6</v>
      </c>
      <c r="BH622">
        <v>0</v>
      </c>
      <c r="BI622">
        <v>1</v>
      </c>
      <c r="BJ622" t="s">
        <v>1062</v>
      </c>
      <c r="BM622">
        <v>16001</v>
      </c>
      <c r="BN622">
        <v>0</v>
      </c>
      <c r="BO622" t="s">
        <v>6</v>
      </c>
      <c r="BP622">
        <v>0</v>
      </c>
      <c r="BQ622">
        <v>2</v>
      </c>
      <c r="BR622">
        <v>0</v>
      </c>
      <c r="BS622">
        <v>6.56</v>
      </c>
      <c r="BT622">
        <v>1</v>
      </c>
      <c r="BU622">
        <v>1</v>
      </c>
      <c r="BV622">
        <v>1</v>
      </c>
      <c r="BW622">
        <v>1</v>
      </c>
      <c r="BX622">
        <v>1</v>
      </c>
      <c r="BY622" t="s">
        <v>6</v>
      </c>
      <c r="BZ622">
        <v>128</v>
      </c>
      <c r="CA622">
        <v>83</v>
      </c>
      <c r="CF622">
        <v>0</v>
      </c>
      <c r="CG622">
        <v>0</v>
      </c>
      <c r="CM622">
        <v>0</v>
      </c>
      <c r="CN622" t="s">
        <v>1902</v>
      </c>
      <c r="CO622">
        <v>0</v>
      </c>
      <c r="CP622">
        <f t="shared" si="487"/>
        <v>5785</v>
      </c>
      <c r="CQ622">
        <f t="shared" si="488"/>
        <v>178.8912</v>
      </c>
      <c r="CR622">
        <f t="shared" si="489"/>
        <v>320.84959999999995</v>
      </c>
      <c r="CS622">
        <f t="shared" si="490"/>
        <v>49.921599999999998</v>
      </c>
      <c r="CT622">
        <f t="shared" si="491"/>
        <v>2392.7599999999998</v>
      </c>
      <c r="CU622">
        <f t="shared" si="492"/>
        <v>0</v>
      </c>
      <c r="CV622">
        <f t="shared" si="493"/>
        <v>37.915499999999994</v>
      </c>
      <c r="CW622">
        <f t="shared" si="494"/>
        <v>0.625</v>
      </c>
      <c r="CX622">
        <f t="shared" si="495"/>
        <v>0</v>
      </c>
      <c r="CY622">
        <f t="shared" si="496"/>
        <v>5618.1640000000007</v>
      </c>
      <c r="CZ622">
        <f t="shared" si="497"/>
        <v>3468.6056000000008</v>
      </c>
      <c r="DC622" t="s">
        <v>6</v>
      </c>
      <c r="DD622" t="s">
        <v>6</v>
      </c>
      <c r="DE622" t="s">
        <v>187</v>
      </c>
      <c r="DF622" t="s">
        <v>187</v>
      </c>
      <c r="DG622" t="s">
        <v>188</v>
      </c>
      <c r="DH622" t="s">
        <v>6</v>
      </c>
      <c r="DI622" t="s">
        <v>188</v>
      </c>
      <c r="DJ622" t="s">
        <v>187</v>
      </c>
      <c r="DK622" t="s">
        <v>6</v>
      </c>
      <c r="DL622" t="s">
        <v>6</v>
      </c>
      <c r="DM622" t="s">
        <v>6</v>
      </c>
      <c r="DN622">
        <v>0</v>
      </c>
      <c r="DO622">
        <v>0</v>
      </c>
      <c r="DP622">
        <v>1</v>
      </c>
      <c r="DQ622">
        <v>1</v>
      </c>
      <c r="DU622">
        <v>1003</v>
      </c>
      <c r="DV622" t="s">
        <v>34</v>
      </c>
      <c r="DW622" t="s">
        <v>34</v>
      </c>
      <c r="DX622">
        <v>100</v>
      </c>
      <c r="EE622">
        <v>16510514</v>
      </c>
      <c r="EF622">
        <v>2</v>
      </c>
      <c r="EG622" t="s">
        <v>22</v>
      </c>
      <c r="EH622">
        <v>0</v>
      </c>
      <c r="EI622" t="s">
        <v>6</v>
      </c>
      <c r="EJ622">
        <v>1</v>
      </c>
      <c r="EK622">
        <v>16001</v>
      </c>
      <c r="EL622" t="s">
        <v>1063</v>
      </c>
      <c r="EM622" t="s">
        <v>1064</v>
      </c>
      <c r="EO622" t="s">
        <v>189</v>
      </c>
      <c r="EQ622">
        <v>131072</v>
      </c>
      <c r="ER622">
        <v>383.57</v>
      </c>
      <c r="ES622">
        <v>27.27</v>
      </c>
      <c r="ET622">
        <v>39.130000000000003</v>
      </c>
      <c r="EU622">
        <v>6.09</v>
      </c>
      <c r="EV622">
        <v>317.17</v>
      </c>
      <c r="EW622">
        <v>32.97</v>
      </c>
      <c r="EX622">
        <v>0.5</v>
      </c>
      <c r="EY622">
        <v>0</v>
      </c>
      <c r="FQ622">
        <v>0</v>
      </c>
      <c r="FR622">
        <f t="shared" si="498"/>
        <v>0</v>
      </c>
      <c r="FS622">
        <v>0</v>
      </c>
      <c r="FT622" t="s">
        <v>25</v>
      </c>
      <c r="FU622" t="s">
        <v>26</v>
      </c>
      <c r="FX622">
        <v>115.2</v>
      </c>
      <c r="FY622">
        <v>70.55</v>
      </c>
      <c r="GA622" t="s">
        <v>6</v>
      </c>
      <c r="GD622">
        <v>0</v>
      </c>
      <c r="GF622">
        <v>1382640866</v>
      </c>
      <c r="GG622">
        <v>1</v>
      </c>
      <c r="GH622">
        <v>1</v>
      </c>
      <c r="GI622">
        <v>4</v>
      </c>
      <c r="GJ622">
        <v>0</v>
      </c>
      <c r="GK622">
        <f>ROUND(R622*(R12)/100,2)</f>
        <v>0</v>
      </c>
      <c r="GL622">
        <f t="shared" si="499"/>
        <v>0</v>
      </c>
      <c r="GM622">
        <f t="shared" si="500"/>
        <v>14871.77</v>
      </c>
      <c r="GN622">
        <f t="shared" si="501"/>
        <v>14871.77</v>
      </c>
      <c r="GO622">
        <f t="shared" si="502"/>
        <v>0</v>
      </c>
      <c r="GP622">
        <f t="shared" si="503"/>
        <v>0</v>
      </c>
      <c r="GR622">
        <v>0</v>
      </c>
      <c r="GS622">
        <v>3</v>
      </c>
      <c r="GT622">
        <v>0</v>
      </c>
      <c r="GU622" t="s">
        <v>6</v>
      </c>
      <c r="GV622">
        <f t="shared" si="504"/>
        <v>0</v>
      </c>
      <c r="GW622">
        <v>1</v>
      </c>
      <c r="GX622">
        <f t="shared" si="505"/>
        <v>0</v>
      </c>
      <c r="HA622">
        <v>0</v>
      </c>
      <c r="HB622">
        <v>0</v>
      </c>
      <c r="IK622">
        <v>0</v>
      </c>
    </row>
    <row r="623" spans="1:245" x14ac:dyDescent="0.2">
      <c r="A623">
        <v>18</v>
      </c>
      <c r="B623">
        <v>1</v>
      </c>
      <c r="C623">
        <v>870</v>
      </c>
      <c r="E623" t="s">
        <v>1065</v>
      </c>
      <c r="F623" t="s">
        <v>1066</v>
      </c>
      <c r="G623" t="s">
        <v>1067</v>
      </c>
      <c r="H623" t="s">
        <v>73</v>
      </c>
      <c r="I623">
        <f>I622*J623</f>
        <v>40</v>
      </c>
      <c r="J623">
        <v>20</v>
      </c>
      <c r="O623">
        <f t="shared" si="473"/>
        <v>10865.98</v>
      </c>
      <c r="P623">
        <f t="shared" si="474"/>
        <v>10865.98</v>
      </c>
      <c r="Q623">
        <f t="shared" si="475"/>
        <v>0</v>
      </c>
      <c r="R623">
        <f t="shared" si="476"/>
        <v>0</v>
      </c>
      <c r="S623">
        <f t="shared" si="477"/>
        <v>0</v>
      </c>
      <c r="T623">
        <f t="shared" si="478"/>
        <v>0</v>
      </c>
      <c r="U623">
        <f t="shared" si="479"/>
        <v>0</v>
      </c>
      <c r="V623">
        <f t="shared" si="480"/>
        <v>0</v>
      </c>
      <c r="W623">
        <f t="shared" si="481"/>
        <v>0</v>
      </c>
      <c r="X623">
        <f t="shared" si="482"/>
        <v>0</v>
      </c>
      <c r="Y623">
        <f t="shared" si="483"/>
        <v>0</v>
      </c>
      <c r="AA623">
        <v>16742901</v>
      </c>
      <c r="AB623">
        <f t="shared" si="484"/>
        <v>41.41</v>
      </c>
      <c r="AC623">
        <f t="shared" si="506"/>
        <v>41.41</v>
      </c>
      <c r="AD623">
        <f>ROUND((((ET623)-(EU623))+AE623),2)</f>
        <v>0</v>
      </c>
      <c r="AE623">
        <f t="shared" ref="AE623:AF626" si="509">ROUND((EU623),2)</f>
        <v>0</v>
      </c>
      <c r="AF623">
        <f t="shared" si="509"/>
        <v>0</v>
      </c>
      <c r="AG623">
        <f t="shared" si="485"/>
        <v>0</v>
      </c>
      <c r="AH623">
        <f t="shared" ref="AH623:AI626" si="510">(EW623)</f>
        <v>0</v>
      </c>
      <c r="AI623">
        <f t="shared" si="510"/>
        <v>0</v>
      </c>
      <c r="AJ623">
        <f t="shared" si="486"/>
        <v>0</v>
      </c>
      <c r="AK623">
        <v>41.41</v>
      </c>
      <c r="AL623">
        <v>41.41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115</v>
      </c>
      <c r="AU623">
        <v>71</v>
      </c>
      <c r="AV623">
        <v>1</v>
      </c>
      <c r="AW623">
        <v>1</v>
      </c>
      <c r="AZ623">
        <v>6.56</v>
      </c>
      <c r="BA623">
        <v>1</v>
      </c>
      <c r="BB623">
        <v>1</v>
      </c>
      <c r="BC623">
        <v>6.56</v>
      </c>
      <c r="BD623" t="s">
        <v>6</v>
      </c>
      <c r="BE623" t="s">
        <v>6</v>
      </c>
      <c r="BF623" t="s">
        <v>6</v>
      </c>
      <c r="BG623" t="s">
        <v>6</v>
      </c>
      <c r="BH623">
        <v>3</v>
      </c>
      <c r="BI623">
        <v>1</v>
      </c>
      <c r="BJ623" t="s">
        <v>1068</v>
      </c>
      <c r="BM623">
        <v>16001</v>
      </c>
      <c r="BN623">
        <v>0</v>
      </c>
      <c r="BO623" t="s">
        <v>6</v>
      </c>
      <c r="BP623">
        <v>0</v>
      </c>
      <c r="BQ623">
        <v>2</v>
      </c>
      <c r="BR623">
        <v>0</v>
      </c>
      <c r="BS623">
        <v>1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6</v>
      </c>
      <c r="BZ623">
        <v>128</v>
      </c>
      <c r="CA623">
        <v>83</v>
      </c>
      <c r="CF623">
        <v>0</v>
      </c>
      <c r="CG623">
        <v>0</v>
      </c>
      <c r="CM623">
        <v>0</v>
      </c>
      <c r="CN623" t="s">
        <v>6</v>
      </c>
      <c r="CO623">
        <v>0</v>
      </c>
      <c r="CP623">
        <f t="shared" si="487"/>
        <v>10865.98</v>
      </c>
      <c r="CQ623">
        <f t="shared" si="488"/>
        <v>271.64959999999996</v>
      </c>
      <c r="CR623">
        <f t="shared" si="489"/>
        <v>0</v>
      </c>
      <c r="CS623">
        <f t="shared" si="490"/>
        <v>0</v>
      </c>
      <c r="CT623">
        <f t="shared" si="491"/>
        <v>0</v>
      </c>
      <c r="CU623">
        <f t="shared" si="492"/>
        <v>0</v>
      </c>
      <c r="CV623">
        <f t="shared" si="493"/>
        <v>0</v>
      </c>
      <c r="CW623">
        <f t="shared" si="494"/>
        <v>0</v>
      </c>
      <c r="CX623">
        <f t="shared" si="495"/>
        <v>0</v>
      </c>
      <c r="CY623">
        <f t="shared" si="496"/>
        <v>0</v>
      </c>
      <c r="CZ623">
        <f t="shared" si="497"/>
        <v>0</v>
      </c>
      <c r="DC623" t="s">
        <v>6</v>
      </c>
      <c r="DD623" t="s">
        <v>6</v>
      </c>
      <c r="DE623" t="s">
        <v>6</v>
      </c>
      <c r="DF623" t="s">
        <v>6</v>
      </c>
      <c r="DG623" t="s">
        <v>6</v>
      </c>
      <c r="DH623" t="s">
        <v>6</v>
      </c>
      <c r="DI623" t="s">
        <v>6</v>
      </c>
      <c r="DJ623" t="s">
        <v>6</v>
      </c>
      <c r="DK623" t="s">
        <v>6</v>
      </c>
      <c r="DL623" t="s">
        <v>6</v>
      </c>
      <c r="DM623" t="s">
        <v>6</v>
      </c>
      <c r="DN623">
        <v>0</v>
      </c>
      <c r="DO623">
        <v>0</v>
      </c>
      <c r="DP623">
        <v>1</v>
      </c>
      <c r="DQ623">
        <v>1</v>
      </c>
      <c r="DU623">
        <v>1010</v>
      </c>
      <c r="DV623" t="s">
        <v>73</v>
      </c>
      <c r="DW623" t="s">
        <v>73</v>
      </c>
      <c r="DX623">
        <v>1</v>
      </c>
      <c r="EE623">
        <v>16510514</v>
      </c>
      <c r="EF623">
        <v>2</v>
      </c>
      <c r="EG623" t="s">
        <v>22</v>
      </c>
      <c r="EH623">
        <v>0</v>
      </c>
      <c r="EI623" t="s">
        <v>6</v>
      </c>
      <c r="EJ623">
        <v>1</v>
      </c>
      <c r="EK623">
        <v>16001</v>
      </c>
      <c r="EL623" t="s">
        <v>1063</v>
      </c>
      <c r="EM623" t="s">
        <v>1064</v>
      </c>
      <c r="EO623" t="s">
        <v>6</v>
      </c>
      <c r="EQ623">
        <v>0</v>
      </c>
      <c r="ER623">
        <v>41.41</v>
      </c>
      <c r="ES623">
        <v>41.41</v>
      </c>
      <c r="ET623">
        <v>0</v>
      </c>
      <c r="EU623">
        <v>0</v>
      </c>
      <c r="EV623">
        <v>0</v>
      </c>
      <c r="EW623">
        <v>0</v>
      </c>
      <c r="EX623">
        <v>0</v>
      </c>
      <c r="FQ623">
        <v>0</v>
      </c>
      <c r="FR623">
        <f t="shared" si="498"/>
        <v>0</v>
      </c>
      <c r="FS623">
        <v>0</v>
      </c>
      <c r="FT623" t="s">
        <v>25</v>
      </c>
      <c r="FU623" t="s">
        <v>26</v>
      </c>
      <c r="FX623">
        <v>115.2</v>
      </c>
      <c r="FY623">
        <v>70.55</v>
      </c>
      <c r="GA623" t="s">
        <v>6</v>
      </c>
      <c r="GD623">
        <v>0</v>
      </c>
      <c r="GF623">
        <v>458687168</v>
      </c>
      <c r="GG623">
        <v>1</v>
      </c>
      <c r="GH623">
        <v>1</v>
      </c>
      <c r="GI623">
        <v>4</v>
      </c>
      <c r="GJ623">
        <v>0</v>
      </c>
      <c r="GK623">
        <f>ROUND(R623*(R12)/100,2)</f>
        <v>0</v>
      </c>
      <c r="GL623">
        <f t="shared" si="499"/>
        <v>0</v>
      </c>
      <c r="GM623">
        <f t="shared" si="500"/>
        <v>10865.98</v>
      </c>
      <c r="GN623">
        <f t="shared" si="501"/>
        <v>10865.98</v>
      </c>
      <c r="GO623">
        <f t="shared" si="502"/>
        <v>0</v>
      </c>
      <c r="GP623">
        <f t="shared" si="503"/>
        <v>0</v>
      </c>
      <c r="GR623">
        <v>0</v>
      </c>
      <c r="GS623">
        <v>3</v>
      </c>
      <c r="GT623">
        <v>0</v>
      </c>
      <c r="GU623" t="s">
        <v>6</v>
      </c>
      <c r="GV623">
        <f t="shared" si="504"/>
        <v>0</v>
      </c>
      <c r="GW623">
        <v>1</v>
      </c>
      <c r="GX623">
        <f t="shared" si="505"/>
        <v>0</v>
      </c>
      <c r="HA623">
        <v>0</v>
      </c>
      <c r="HB623">
        <v>0</v>
      </c>
      <c r="IK623">
        <v>0</v>
      </c>
    </row>
    <row r="624" spans="1:245" x14ac:dyDescent="0.2">
      <c r="A624">
        <v>18</v>
      </c>
      <c r="B624">
        <v>1</v>
      </c>
      <c r="C624">
        <v>871</v>
      </c>
      <c r="E624" t="s">
        <v>1069</v>
      </c>
      <c r="F624" t="s">
        <v>1070</v>
      </c>
      <c r="G624" t="s">
        <v>1071</v>
      </c>
      <c r="H624" t="s">
        <v>723</v>
      </c>
      <c r="I624">
        <f>I622*J624</f>
        <v>0.6</v>
      </c>
      <c r="J624">
        <v>0.3</v>
      </c>
      <c r="O624">
        <f t="shared" si="473"/>
        <v>226.32</v>
      </c>
      <c r="P624">
        <f t="shared" si="474"/>
        <v>226.32</v>
      </c>
      <c r="Q624">
        <f t="shared" si="475"/>
        <v>0</v>
      </c>
      <c r="R624">
        <f t="shared" si="476"/>
        <v>0</v>
      </c>
      <c r="S624">
        <f t="shared" si="477"/>
        <v>0</v>
      </c>
      <c r="T624">
        <f t="shared" si="478"/>
        <v>0</v>
      </c>
      <c r="U624">
        <f t="shared" si="479"/>
        <v>0</v>
      </c>
      <c r="V624">
        <f t="shared" si="480"/>
        <v>0</v>
      </c>
      <c r="W624">
        <f t="shared" si="481"/>
        <v>0</v>
      </c>
      <c r="X624">
        <f t="shared" si="482"/>
        <v>0</v>
      </c>
      <c r="Y624">
        <f t="shared" si="483"/>
        <v>0</v>
      </c>
      <c r="AA624">
        <v>16742901</v>
      </c>
      <c r="AB624">
        <f t="shared" si="484"/>
        <v>57.5</v>
      </c>
      <c r="AC624">
        <f t="shared" si="506"/>
        <v>57.5</v>
      </c>
      <c r="AD624">
        <f>ROUND((((ET624)-(EU624))+AE624),2)</f>
        <v>0</v>
      </c>
      <c r="AE624">
        <f t="shared" si="509"/>
        <v>0</v>
      </c>
      <c r="AF624">
        <f t="shared" si="509"/>
        <v>0</v>
      </c>
      <c r="AG624">
        <f t="shared" si="485"/>
        <v>0</v>
      </c>
      <c r="AH624">
        <f t="shared" si="510"/>
        <v>0</v>
      </c>
      <c r="AI624">
        <f t="shared" si="510"/>
        <v>0</v>
      </c>
      <c r="AJ624">
        <f t="shared" si="486"/>
        <v>0</v>
      </c>
      <c r="AK624">
        <v>57.5</v>
      </c>
      <c r="AL624">
        <v>57.5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115</v>
      </c>
      <c r="AU624">
        <v>71</v>
      </c>
      <c r="AV624">
        <v>1</v>
      </c>
      <c r="AW624">
        <v>1</v>
      </c>
      <c r="AZ624">
        <v>6.56</v>
      </c>
      <c r="BA624">
        <v>1</v>
      </c>
      <c r="BB624">
        <v>1</v>
      </c>
      <c r="BC624">
        <v>6.56</v>
      </c>
      <c r="BD624" t="s">
        <v>6</v>
      </c>
      <c r="BE624" t="s">
        <v>6</v>
      </c>
      <c r="BF624" t="s">
        <v>6</v>
      </c>
      <c r="BG624" t="s">
        <v>6</v>
      </c>
      <c r="BH624">
        <v>3</v>
      </c>
      <c r="BI624">
        <v>1</v>
      </c>
      <c r="BJ624" t="s">
        <v>1072</v>
      </c>
      <c r="BM624">
        <v>16001</v>
      </c>
      <c r="BN624">
        <v>0</v>
      </c>
      <c r="BO624" t="s">
        <v>6</v>
      </c>
      <c r="BP624">
        <v>0</v>
      </c>
      <c r="BQ624">
        <v>2</v>
      </c>
      <c r="BR624">
        <v>0</v>
      </c>
      <c r="BS624">
        <v>1</v>
      </c>
      <c r="BT624">
        <v>1</v>
      </c>
      <c r="BU624">
        <v>1</v>
      </c>
      <c r="BV624">
        <v>1</v>
      </c>
      <c r="BW624">
        <v>1</v>
      </c>
      <c r="BX624">
        <v>1</v>
      </c>
      <c r="BY624" t="s">
        <v>6</v>
      </c>
      <c r="BZ624">
        <v>128</v>
      </c>
      <c r="CA624">
        <v>83</v>
      </c>
      <c r="CF624">
        <v>0</v>
      </c>
      <c r="CG624">
        <v>0</v>
      </c>
      <c r="CM624">
        <v>0</v>
      </c>
      <c r="CN624" t="s">
        <v>6</v>
      </c>
      <c r="CO624">
        <v>0</v>
      </c>
      <c r="CP624">
        <f t="shared" si="487"/>
        <v>226.32</v>
      </c>
      <c r="CQ624">
        <f t="shared" si="488"/>
        <v>377.2</v>
      </c>
      <c r="CR624">
        <f t="shared" si="489"/>
        <v>0</v>
      </c>
      <c r="CS624">
        <f t="shared" si="490"/>
        <v>0</v>
      </c>
      <c r="CT624">
        <f t="shared" si="491"/>
        <v>0</v>
      </c>
      <c r="CU624">
        <f t="shared" si="492"/>
        <v>0</v>
      </c>
      <c r="CV624">
        <f t="shared" si="493"/>
        <v>0</v>
      </c>
      <c r="CW624">
        <f t="shared" si="494"/>
        <v>0</v>
      </c>
      <c r="CX624">
        <f t="shared" si="495"/>
        <v>0</v>
      </c>
      <c r="CY624">
        <f t="shared" si="496"/>
        <v>0</v>
      </c>
      <c r="CZ624">
        <f t="shared" si="497"/>
        <v>0</v>
      </c>
      <c r="DC624" t="s">
        <v>6</v>
      </c>
      <c r="DD624" t="s">
        <v>6</v>
      </c>
      <c r="DE624" t="s">
        <v>6</v>
      </c>
      <c r="DF624" t="s">
        <v>6</v>
      </c>
      <c r="DG624" t="s">
        <v>6</v>
      </c>
      <c r="DH624" t="s">
        <v>6</v>
      </c>
      <c r="DI624" t="s">
        <v>6</v>
      </c>
      <c r="DJ624" t="s">
        <v>6</v>
      </c>
      <c r="DK624" t="s">
        <v>6</v>
      </c>
      <c r="DL624" t="s">
        <v>6</v>
      </c>
      <c r="DM624" t="s">
        <v>6</v>
      </c>
      <c r="DN624">
        <v>0</v>
      </c>
      <c r="DO624">
        <v>0</v>
      </c>
      <c r="DP624">
        <v>1</v>
      </c>
      <c r="DQ624">
        <v>1</v>
      </c>
      <c r="DU624">
        <v>1010</v>
      </c>
      <c r="DV624" t="s">
        <v>723</v>
      </c>
      <c r="DW624" t="s">
        <v>723</v>
      </c>
      <c r="DX624">
        <v>10</v>
      </c>
      <c r="EE624">
        <v>16510514</v>
      </c>
      <c r="EF624">
        <v>2</v>
      </c>
      <c r="EG624" t="s">
        <v>22</v>
      </c>
      <c r="EH624">
        <v>0</v>
      </c>
      <c r="EI624" t="s">
        <v>6</v>
      </c>
      <c r="EJ624">
        <v>1</v>
      </c>
      <c r="EK624">
        <v>16001</v>
      </c>
      <c r="EL624" t="s">
        <v>1063</v>
      </c>
      <c r="EM624" t="s">
        <v>1064</v>
      </c>
      <c r="EO624" t="s">
        <v>6</v>
      </c>
      <c r="EQ624">
        <v>0</v>
      </c>
      <c r="ER624">
        <v>57.5</v>
      </c>
      <c r="ES624">
        <v>57.5</v>
      </c>
      <c r="ET624">
        <v>0</v>
      </c>
      <c r="EU624">
        <v>0</v>
      </c>
      <c r="EV624">
        <v>0</v>
      </c>
      <c r="EW624">
        <v>0</v>
      </c>
      <c r="EX624">
        <v>0</v>
      </c>
      <c r="FQ624">
        <v>0</v>
      </c>
      <c r="FR624">
        <f t="shared" si="498"/>
        <v>0</v>
      </c>
      <c r="FS624">
        <v>0</v>
      </c>
      <c r="FT624" t="s">
        <v>25</v>
      </c>
      <c r="FU624" t="s">
        <v>26</v>
      </c>
      <c r="FX624">
        <v>115.2</v>
      </c>
      <c r="FY624">
        <v>70.55</v>
      </c>
      <c r="GA624" t="s">
        <v>6</v>
      </c>
      <c r="GD624">
        <v>0</v>
      </c>
      <c r="GF624">
        <v>-1250603825</v>
      </c>
      <c r="GG624">
        <v>1</v>
      </c>
      <c r="GH624">
        <v>1</v>
      </c>
      <c r="GI624">
        <v>4</v>
      </c>
      <c r="GJ624">
        <v>0</v>
      </c>
      <c r="GK624">
        <f>ROUND(R624*(R12)/100,2)</f>
        <v>0</v>
      </c>
      <c r="GL624">
        <f t="shared" si="499"/>
        <v>0</v>
      </c>
      <c r="GM624">
        <f t="shared" si="500"/>
        <v>226.32</v>
      </c>
      <c r="GN624">
        <f t="shared" si="501"/>
        <v>226.32</v>
      </c>
      <c r="GO624">
        <f t="shared" si="502"/>
        <v>0</v>
      </c>
      <c r="GP624">
        <f t="shared" si="503"/>
        <v>0</v>
      </c>
      <c r="GR624">
        <v>0</v>
      </c>
      <c r="GS624">
        <v>3</v>
      </c>
      <c r="GT624">
        <v>0</v>
      </c>
      <c r="GU624" t="s">
        <v>6</v>
      </c>
      <c r="GV624">
        <f t="shared" si="504"/>
        <v>0</v>
      </c>
      <c r="GW624">
        <v>1</v>
      </c>
      <c r="GX624">
        <f t="shared" si="505"/>
        <v>0</v>
      </c>
      <c r="HA624">
        <v>0</v>
      </c>
      <c r="HB624">
        <v>0</v>
      </c>
      <c r="IK624">
        <v>0</v>
      </c>
    </row>
    <row r="625" spans="1:245" x14ac:dyDescent="0.2">
      <c r="A625">
        <v>18</v>
      </c>
      <c r="B625">
        <v>1</v>
      </c>
      <c r="C625">
        <v>872</v>
      </c>
      <c r="E625" t="s">
        <v>1073</v>
      </c>
      <c r="F625" t="s">
        <v>1074</v>
      </c>
      <c r="G625" t="s">
        <v>1075</v>
      </c>
      <c r="H625" t="s">
        <v>220</v>
      </c>
      <c r="I625">
        <f>I622*J625</f>
        <v>200</v>
      </c>
      <c r="J625">
        <v>100</v>
      </c>
      <c r="O625">
        <f t="shared" si="473"/>
        <v>16964.16</v>
      </c>
      <c r="P625">
        <f t="shared" si="474"/>
        <v>16964.16</v>
      </c>
      <c r="Q625">
        <f t="shared" si="475"/>
        <v>0</v>
      </c>
      <c r="R625">
        <f t="shared" si="476"/>
        <v>0</v>
      </c>
      <c r="S625">
        <f t="shared" si="477"/>
        <v>0</v>
      </c>
      <c r="T625">
        <f t="shared" si="478"/>
        <v>0</v>
      </c>
      <c r="U625">
        <f t="shared" si="479"/>
        <v>0</v>
      </c>
      <c r="V625">
        <f t="shared" si="480"/>
        <v>0</v>
      </c>
      <c r="W625">
        <f t="shared" si="481"/>
        <v>0</v>
      </c>
      <c r="X625">
        <f t="shared" si="482"/>
        <v>0</v>
      </c>
      <c r="Y625">
        <f t="shared" si="483"/>
        <v>0</v>
      </c>
      <c r="AA625">
        <v>16742901</v>
      </c>
      <c r="AB625">
        <f t="shared" si="484"/>
        <v>12.93</v>
      </c>
      <c r="AC625">
        <f t="shared" si="506"/>
        <v>12.93</v>
      </c>
      <c r="AD625">
        <f>ROUND((((ET625)-(EU625))+AE625),2)</f>
        <v>0</v>
      </c>
      <c r="AE625">
        <f t="shared" si="509"/>
        <v>0</v>
      </c>
      <c r="AF625">
        <f t="shared" si="509"/>
        <v>0</v>
      </c>
      <c r="AG625">
        <f t="shared" si="485"/>
        <v>0</v>
      </c>
      <c r="AH625">
        <f t="shared" si="510"/>
        <v>0</v>
      </c>
      <c r="AI625">
        <f t="shared" si="510"/>
        <v>0</v>
      </c>
      <c r="AJ625">
        <f t="shared" si="486"/>
        <v>0</v>
      </c>
      <c r="AK625">
        <v>12.93</v>
      </c>
      <c r="AL625">
        <v>12.93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115</v>
      </c>
      <c r="AU625">
        <v>71</v>
      </c>
      <c r="AV625">
        <v>1</v>
      </c>
      <c r="AW625">
        <v>1</v>
      </c>
      <c r="AZ625">
        <v>6.56</v>
      </c>
      <c r="BA625">
        <v>1</v>
      </c>
      <c r="BB625">
        <v>1</v>
      </c>
      <c r="BC625">
        <v>6.56</v>
      </c>
      <c r="BD625" t="s">
        <v>6</v>
      </c>
      <c r="BE625" t="s">
        <v>6</v>
      </c>
      <c r="BF625" t="s">
        <v>6</v>
      </c>
      <c r="BG625" t="s">
        <v>6</v>
      </c>
      <c r="BH625">
        <v>3</v>
      </c>
      <c r="BI625">
        <v>1</v>
      </c>
      <c r="BJ625" t="s">
        <v>1076</v>
      </c>
      <c r="BM625">
        <v>16001</v>
      </c>
      <c r="BN625">
        <v>0</v>
      </c>
      <c r="BO625" t="s">
        <v>6</v>
      </c>
      <c r="BP625">
        <v>0</v>
      </c>
      <c r="BQ625">
        <v>2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6</v>
      </c>
      <c r="BZ625">
        <v>128</v>
      </c>
      <c r="CA625">
        <v>83</v>
      </c>
      <c r="CF625">
        <v>0</v>
      </c>
      <c r="CG625">
        <v>0</v>
      </c>
      <c r="CM625">
        <v>0</v>
      </c>
      <c r="CN625" t="s">
        <v>6</v>
      </c>
      <c r="CO625">
        <v>0</v>
      </c>
      <c r="CP625">
        <f t="shared" si="487"/>
        <v>16964.16</v>
      </c>
      <c r="CQ625">
        <f t="shared" si="488"/>
        <v>84.820799999999991</v>
      </c>
      <c r="CR625">
        <f t="shared" si="489"/>
        <v>0</v>
      </c>
      <c r="CS625">
        <f t="shared" si="490"/>
        <v>0</v>
      </c>
      <c r="CT625">
        <f t="shared" si="491"/>
        <v>0</v>
      </c>
      <c r="CU625">
        <f t="shared" si="492"/>
        <v>0</v>
      </c>
      <c r="CV625">
        <f t="shared" si="493"/>
        <v>0</v>
      </c>
      <c r="CW625">
        <f t="shared" si="494"/>
        <v>0</v>
      </c>
      <c r="CX625">
        <f t="shared" si="495"/>
        <v>0</v>
      </c>
      <c r="CY625">
        <f t="shared" si="496"/>
        <v>0</v>
      </c>
      <c r="CZ625">
        <f t="shared" si="497"/>
        <v>0</v>
      </c>
      <c r="DC625" t="s">
        <v>6</v>
      </c>
      <c r="DD625" t="s">
        <v>6</v>
      </c>
      <c r="DE625" t="s">
        <v>6</v>
      </c>
      <c r="DF625" t="s">
        <v>6</v>
      </c>
      <c r="DG625" t="s">
        <v>6</v>
      </c>
      <c r="DH625" t="s">
        <v>6</v>
      </c>
      <c r="DI625" t="s">
        <v>6</v>
      </c>
      <c r="DJ625" t="s">
        <v>6</v>
      </c>
      <c r="DK625" t="s">
        <v>6</v>
      </c>
      <c r="DL625" t="s">
        <v>6</v>
      </c>
      <c r="DM625" t="s">
        <v>6</v>
      </c>
      <c r="DN625">
        <v>0</v>
      </c>
      <c r="DO625">
        <v>0</v>
      </c>
      <c r="DP625">
        <v>1</v>
      </c>
      <c r="DQ625">
        <v>1</v>
      </c>
      <c r="DU625">
        <v>1003</v>
      </c>
      <c r="DV625" t="s">
        <v>220</v>
      </c>
      <c r="DW625" t="s">
        <v>220</v>
      </c>
      <c r="DX625">
        <v>1</v>
      </c>
      <c r="EE625">
        <v>16510514</v>
      </c>
      <c r="EF625">
        <v>2</v>
      </c>
      <c r="EG625" t="s">
        <v>22</v>
      </c>
      <c r="EH625">
        <v>0</v>
      </c>
      <c r="EI625" t="s">
        <v>6</v>
      </c>
      <c r="EJ625">
        <v>1</v>
      </c>
      <c r="EK625">
        <v>16001</v>
      </c>
      <c r="EL625" t="s">
        <v>1063</v>
      </c>
      <c r="EM625" t="s">
        <v>1064</v>
      </c>
      <c r="EO625" t="s">
        <v>6</v>
      </c>
      <c r="EQ625">
        <v>0</v>
      </c>
      <c r="ER625">
        <v>12.93</v>
      </c>
      <c r="ES625">
        <v>12.93</v>
      </c>
      <c r="ET625">
        <v>0</v>
      </c>
      <c r="EU625">
        <v>0</v>
      </c>
      <c r="EV625">
        <v>0</v>
      </c>
      <c r="EW625">
        <v>0</v>
      </c>
      <c r="EX625">
        <v>0</v>
      </c>
      <c r="FQ625">
        <v>0</v>
      </c>
      <c r="FR625">
        <f t="shared" si="498"/>
        <v>0</v>
      </c>
      <c r="FS625">
        <v>0</v>
      </c>
      <c r="FT625" t="s">
        <v>25</v>
      </c>
      <c r="FU625" t="s">
        <v>26</v>
      </c>
      <c r="FX625">
        <v>115.2</v>
      </c>
      <c r="FY625">
        <v>70.55</v>
      </c>
      <c r="GA625" t="s">
        <v>6</v>
      </c>
      <c r="GD625">
        <v>0</v>
      </c>
      <c r="GF625">
        <v>1987173636</v>
      </c>
      <c r="GG625">
        <v>1</v>
      </c>
      <c r="GH625">
        <v>1</v>
      </c>
      <c r="GI625">
        <v>4</v>
      </c>
      <c r="GJ625">
        <v>0</v>
      </c>
      <c r="GK625">
        <f>ROUND(R625*(R12)/100,2)</f>
        <v>0</v>
      </c>
      <c r="GL625">
        <f t="shared" si="499"/>
        <v>0</v>
      </c>
      <c r="GM625">
        <f t="shared" si="500"/>
        <v>16964.16</v>
      </c>
      <c r="GN625">
        <f t="shared" si="501"/>
        <v>16964.16</v>
      </c>
      <c r="GO625">
        <f t="shared" si="502"/>
        <v>0</v>
      </c>
      <c r="GP625">
        <f t="shared" si="503"/>
        <v>0</v>
      </c>
      <c r="GR625">
        <v>0</v>
      </c>
      <c r="GS625">
        <v>3</v>
      </c>
      <c r="GT625">
        <v>0</v>
      </c>
      <c r="GU625" t="s">
        <v>6</v>
      </c>
      <c r="GV625">
        <f t="shared" si="504"/>
        <v>0</v>
      </c>
      <c r="GW625">
        <v>1</v>
      </c>
      <c r="GX625">
        <f t="shared" si="505"/>
        <v>0</v>
      </c>
      <c r="HA625">
        <v>0</v>
      </c>
      <c r="HB625">
        <v>0</v>
      </c>
      <c r="IK625">
        <v>0</v>
      </c>
    </row>
    <row r="626" spans="1:245" x14ac:dyDescent="0.2">
      <c r="A626">
        <v>17</v>
      </c>
      <c r="B626">
        <v>1</v>
      </c>
      <c r="C626">
        <f>ROW(SmtRes!A873)</f>
        <v>873</v>
      </c>
      <c r="D626">
        <f>ROW(EtalonRes!A802)</f>
        <v>802</v>
      </c>
      <c r="E626" t="s">
        <v>1077</v>
      </c>
      <c r="F626" t="s">
        <v>1078</v>
      </c>
      <c r="G626" t="s">
        <v>1079</v>
      </c>
      <c r="H626" t="s">
        <v>66</v>
      </c>
      <c r="I626">
        <f>ROUND(12/100,9)</f>
        <v>0.12</v>
      </c>
      <c r="J626">
        <v>0</v>
      </c>
      <c r="O626">
        <f t="shared" si="473"/>
        <v>48.89</v>
      </c>
      <c r="P626">
        <f t="shared" si="474"/>
        <v>0</v>
      </c>
      <c r="Q626">
        <f t="shared" si="475"/>
        <v>0</v>
      </c>
      <c r="R626">
        <f t="shared" si="476"/>
        <v>0</v>
      </c>
      <c r="S626">
        <f t="shared" si="477"/>
        <v>48.89</v>
      </c>
      <c r="T626">
        <f t="shared" si="478"/>
        <v>0</v>
      </c>
      <c r="U626">
        <f t="shared" si="479"/>
        <v>0.87360000000000004</v>
      </c>
      <c r="V626">
        <f t="shared" si="480"/>
        <v>0</v>
      </c>
      <c r="W626">
        <f t="shared" si="481"/>
        <v>0</v>
      </c>
      <c r="X626">
        <f t="shared" si="482"/>
        <v>48.4</v>
      </c>
      <c r="Y626">
        <f t="shared" si="483"/>
        <v>29.33</v>
      </c>
      <c r="AA626">
        <v>16742901</v>
      </c>
      <c r="AB626">
        <f t="shared" si="484"/>
        <v>62.1</v>
      </c>
      <c r="AC626">
        <f t="shared" si="506"/>
        <v>0</v>
      </c>
      <c r="AD626">
        <f>ROUND((((ET626)-(EU626))+AE626),2)</f>
        <v>0</v>
      </c>
      <c r="AE626">
        <f t="shared" si="509"/>
        <v>0</v>
      </c>
      <c r="AF626">
        <f t="shared" si="509"/>
        <v>62.1</v>
      </c>
      <c r="AG626">
        <f t="shared" si="485"/>
        <v>0</v>
      </c>
      <c r="AH626">
        <f t="shared" si="510"/>
        <v>7.28</v>
      </c>
      <c r="AI626">
        <f t="shared" si="510"/>
        <v>0</v>
      </c>
      <c r="AJ626">
        <f t="shared" si="486"/>
        <v>0</v>
      </c>
      <c r="AK626">
        <v>62.1</v>
      </c>
      <c r="AL626">
        <v>0</v>
      </c>
      <c r="AM626">
        <v>0</v>
      </c>
      <c r="AN626">
        <v>0</v>
      </c>
      <c r="AO626">
        <v>62.1</v>
      </c>
      <c r="AP626">
        <v>0</v>
      </c>
      <c r="AQ626">
        <v>7.28</v>
      </c>
      <c r="AR626">
        <v>0</v>
      </c>
      <c r="AS626">
        <v>0</v>
      </c>
      <c r="AT626">
        <v>99</v>
      </c>
      <c r="AU626">
        <v>60</v>
      </c>
      <c r="AV626">
        <v>1</v>
      </c>
      <c r="AW626">
        <v>1</v>
      </c>
      <c r="AZ626">
        <v>6.56</v>
      </c>
      <c r="BA626">
        <v>6.56</v>
      </c>
      <c r="BB626">
        <v>6.56</v>
      </c>
      <c r="BC626">
        <v>6.56</v>
      </c>
      <c r="BD626" t="s">
        <v>6</v>
      </c>
      <c r="BE626" t="s">
        <v>6</v>
      </c>
      <c r="BF626" t="s">
        <v>6</v>
      </c>
      <c r="BG626" t="s">
        <v>6</v>
      </c>
      <c r="BH626">
        <v>0</v>
      </c>
      <c r="BI626">
        <v>1</v>
      </c>
      <c r="BJ626" t="s">
        <v>1080</v>
      </c>
      <c r="BM626">
        <v>46001</v>
      </c>
      <c r="BN626">
        <v>0</v>
      </c>
      <c r="BO626" t="s">
        <v>6</v>
      </c>
      <c r="BP626">
        <v>0</v>
      </c>
      <c r="BQ626">
        <v>2</v>
      </c>
      <c r="BR626">
        <v>0</v>
      </c>
      <c r="BS626">
        <v>6.56</v>
      </c>
      <c r="BT626">
        <v>1</v>
      </c>
      <c r="BU626">
        <v>1</v>
      </c>
      <c r="BV626">
        <v>1</v>
      </c>
      <c r="BW626">
        <v>1</v>
      </c>
      <c r="BX626">
        <v>1</v>
      </c>
      <c r="BY626" t="s">
        <v>6</v>
      </c>
      <c r="BZ626">
        <v>110</v>
      </c>
      <c r="CA626">
        <v>70</v>
      </c>
      <c r="CF626">
        <v>0</v>
      </c>
      <c r="CG626">
        <v>0</v>
      </c>
      <c r="CM626">
        <v>0</v>
      </c>
      <c r="CN626" t="s">
        <v>6</v>
      </c>
      <c r="CO626">
        <v>0</v>
      </c>
      <c r="CP626">
        <f t="shared" si="487"/>
        <v>48.89</v>
      </c>
      <c r="CQ626">
        <f t="shared" si="488"/>
        <v>0</v>
      </c>
      <c r="CR626">
        <f t="shared" si="489"/>
        <v>0</v>
      </c>
      <c r="CS626">
        <f t="shared" si="490"/>
        <v>0</v>
      </c>
      <c r="CT626">
        <f t="shared" si="491"/>
        <v>407.37599999999998</v>
      </c>
      <c r="CU626">
        <f t="shared" si="492"/>
        <v>0</v>
      </c>
      <c r="CV626">
        <f t="shared" si="493"/>
        <v>7.28</v>
      </c>
      <c r="CW626">
        <f t="shared" si="494"/>
        <v>0</v>
      </c>
      <c r="CX626">
        <f t="shared" si="495"/>
        <v>0</v>
      </c>
      <c r="CY626">
        <f t="shared" si="496"/>
        <v>48.4011</v>
      </c>
      <c r="CZ626">
        <f t="shared" si="497"/>
        <v>29.334</v>
      </c>
      <c r="DC626" t="s">
        <v>6</v>
      </c>
      <c r="DD626" t="s">
        <v>6</v>
      </c>
      <c r="DE626" t="s">
        <v>6</v>
      </c>
      <c r="DF626" t="s">
        <v>6</v>
      </c>
      <c r="DG626" t="s">
        <v>6</v>
      </c>
      <c r="DH626" t="s">
        <v>6</v>
      </c>
      <c r="DI626" t="s">
        <v>6</v>
      </c>
      <c r="DJ626" t="s">
        <v>6</v>
      </c>
      <c r="DK626" t="s">
        <v>6</v>
      </c>
      <c r="DL626" t="s">
        <v>6</v>
      </c>
      <c r="DM626" t="s">
        <v>6</v>
      </c>
      <c r="DN626">
        <v>0</v>
      </c>
      <c r="DO626">
        <v>0</v>
      </c>
      <c r="DP626">
        <v>1</v>
      </c>
      <c r="DQ626">
        <v>1</v>
      </c>
      <c r="DU626">
        <v>1013</v>
      </c>
      <c r="DV626" t="s">
        <v>66</v>
      </c>
      <c r="DW626" t="s">
        <v>66</v>
      </c>
      <c r="DX626">
        <v>1</v>
      </c>
      <c r="EE626">
        <v>16510555</v>
      </c>
      <c r="EF626">
        <v>2</v>
      </c>
      <c r="EG626" t="s">
        <v>22</v>
      </c>
      <c r="EH626">
        <v>0</v>
      </c>
      <c r="EI626" t="s">
        <v>6</v>
      </c>
      <c r="EJ626">
        <v>1</v>
      </c>
      <c r="EK626">
        <v>46001</v>
      </c>
      <c r="EL626" t="s">
        <v>23</v>
      </c>
      <c r="EM626" t="s">
        <v>24</v>
      </c>
      <c r="EO626" t="s">
        <v>6</v>
      </c>
      <c r="EQ626">
        <v>131072</v>
      </c>
      <c r="ER626">
        <v>62.1</v>
      </c>
      <c r="ES626">
        <v>0</v>
      </c>
      <c r="ET626">
        <v>0</v>
      </c>
      <c r="EU626">
        <v>0</v>
      </c>
      <c r="EV626">
        <v>62.1</v>
      </c>
      <c r="EW626">
        <v>7.28</v>
      </c>
      <c r="EX626">
        <v>0</v>
      </c>
      <c r="EY626">
        <v>0</v>
      </c>
      <c r="FQ626">
        <v>0</v>
      </c>
      <c r="FR626">
        <f t="shared" si="498"/>
        <v>0</v>
      </c>
      <c r="FS626">
        <v>0</v>
      </c>
      <c r="FT626" t="s">
        <v>25</v>
      </c>
      <c r="FU626" t="s">
        <v>26</v>
      </c>
      <c r="FX626">
        <v>99</v>
      </c>
      <c r="FY626">
        <v>59.5</v>
      </c>
      <c r="GA626" t="s">
        <v>6</v>
      </c>
      <c r="GD626">
        <v>0</v>
      </c>
      <c r="GF626">
        <v>-1643389493</v>
      </c>
      <c r="GG626">
        <v>1</v>
      </c>
      <c r="GH626">
        <v>1</v>
      </c>
      <c r="GI626">
        <v>4</v>
      </c>
      <c r="GJ626">
        <v>0</v>
      </c>
      <c r="GK626">
        <f>ROUND(R626*(R12)/100,2)</f>
        <v>0</v>
      </c>
      <c r="GL626">
        <f t="shared" si="499"/>
        <v>0</v>
      </c>
      <c r="GM626">
        <f t="shared" si="500"/>
        <v>126.62</v>
      </c>
      <c r="GN626">
        <f t="shared" si="501"/>
        <v>126.62</v>
      </c>
      <c r="GO626">
        <f t="shared" si="502"/>
        <v>0</v>
      </c>
      <c r="GP626">
        <f t="shared" si="503"/>
        <v>0</v>
      </c>
      <c r="GR626">
        <v>0</v>
      </c>
      <c r="GS626">
        <v>3</v>
      </c>
      <c r="GT626">
        <v>0</v>
      </c>
      <c r="GU626" t="s">
        <v>6</v>
      </c>
      <c r="GV626">
        <f t="shared" si="504"/>
        <v>0</v>
      </c>
      <c r="GW626">
        <v>1</v>
      </c>
      <c r="GX626">
        <f t="shared" si="505"/>
        <v>0</v>
      </c>
      <c r="HA626">
        <v>0</v>
      </c>
      <c r="HB626">
        <v>0</v>
      </c>
      <c r="IK626">
        <v>0</v>
      </c>
    </row>
    <row r="627" spans="1:245" x14ac:dyDescent="0.2">
      <c r="A627">
        <v>17</v>
      </c>
      <c r="B627">
        <v>1</v>
      </c>
      <c r="C627">
        <f>ROW(SmtRes!A888)</f>
        <v>888</v>
      </c>
      <c r="D627">
        <f>ROW(EtalonRes!A819)</f>
        <v>819</v>
      </c>
      <c r="E627" t="s">
        <v>1081</v>
      </c>
      <c r="F627" t="s">
        <v>1082</v>
      </c>
      <c r="G627" t="s">
        <v>1083</v>
      </c>
      <c r="H627" t="s">
        <v>34</v>
      </c>
      <c r="I627">
        <f>ROUND(14.4/100,9)</f>
        <v>0.14399999999999999</v>
      </c>
      <c r="J627">
        <v>0</v>
      </c>
      <c r="O627">
        <f t="shared" si="473"/>
        <v>418.13</v>
      </c>
      <c r="P627">
        <f t="shared" si="474"/>
        <v>27.37</v>
      </c>
      <c r="Q627">
        <f t="shared" si="475"/>
        <v>46.2</v>
      </c>
      <c r="R627">
        <f t="shared" si="476"/>
        <v>7.19</v>
      </c>
      <c r="S627">
        <f t="shared" si="477"/>
        <v>344.56</v>
      </c>
      <c r="T627">
        <f t="shared" si="478"/>
        <v>0</v>
      </c>
      <c r="U627">
        <f t="shared" si="479"/>
        <v>5.4598319999999987</v>
      </c>
      <c r="V627">
        <f t="shared" si="480"/>
        <v>0.09</v>
      </c>
      <c r="W627">
        <f t="shared" si="481"/>
        <v>0</v>
      </c>
      <c r="X627">
        <f t="shared" si="482"/>
        <v>404.51</v>
      </c>
      <c r="Y627">
        <f t="shared" si="483"/>
        <v>249.74</v>
      </c>
      <c r="AA627">
        <v>16742901</v>
      </c>
      <c r="AB627">
        <f t="shared" si="484"/>
        <v>442.63</v>
      </c>
      <c r="AC627">
        <f t="shared" si="506"/>
        <v>28.97</v>
      </c>
      <c r="AD627">
        <f>ROUND(((((ET627*1.25))-((EU627*1.25)))+AE627),2)</f>
        <v>48.91</v>
      </c>
      <c r="AE627">
        <f>ROUND(((EU627*1.25)),2)</f>
        <v>7.61</v>
      </c>
      <c r="AF627">
        <f>ROUND(((EV627*1.15)),2)</f>
        <v>364.75</v>
      </c>
      <c r="AG627">
        <f t="shared" si="485"/>
        <v>0</v>
      </c>
      <c r="AH627">
        <f>((EW627*1.15))</f>
        <v>37.915499999999994</v>
      </c>
      <c r="AI627">
        <f>((EX627*1.25))</f>
        <v>0.625</v>
      </c>
      <c r="AJ627">
        <f t="shared" si="486"/>
        <v>0</v>
      </c>
      <c r="AK627">
        <v>385.27</v>
      </c>
      <c r="AL627">
        <v>28.97</v>
      </c>
      <c r="AM627">
        <v>39.130000000000003</v>
      </c>
      <c r="AN627">
        <v>6.09</v>
      </c>
      <c r="AO627">
        <v>317.17</v>
      </c>
      <c r="AP627">
        <v>0</v>
      </c>
      <c r="AQ627">
        <v>32.97</v>
      </c>
      <c r="AR627">
        <v>0.5</v>
      </c>
      <c r="AS627">
        <v>0</v>
      </c>
      <c r="AT627">
        <v>115</v>
      </c>
      <c r="AU627">
        <v>71</v>
      </c>
      <c r="AV627">
        <v>1</v>
      </c>
      <c r="AW627">
        <v>1</v>
      </c>
      <c r="AZ627">
        <v>6.56</v>
      </c>
      <c r="BA627">
        <v>6.56</v>
      </c>
      <c r="BB627">
        <v>6.56</v>
      </c>
      <c r="BC627">
        <v>6.56</v>
      </c>
      <c r="BD627" t="s">
        <v>6</v>
      </c>
      <c r="BE627" t="s">
        <v>6</v>
      </c>
      <c r="BF627" t="s">
        <v>6</v>
      </c>
      <c r="BG627" t="s">
        <v>6</v>
      </c>
      <c r="BH627">
        <v>0</v>
      </c>
      <c r="BI627">
        <v>1</v>
      </c>
      <c r="BJ627" t="s">
        <v>1084</v>
      </c>
      <c r="BM627">
        <v>16001</v>
      </c>
      <c r="BN627">
        <v>0</v>
      </c>
      <c r="BO627" t="s">
        <v>6</v>
      </c>
      <c r="BP627">
        <v>0</v>
      </c>
      <c r="BQ627">
        <v>2</v>
      </c>
      <c r="BR627">
        <v>0</v>
      </c>
      <c r="BS627">
        <v>6.56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6</v>
      </c>
      <c r="BZ627">
        <v>128</v>
      </c>
      <c r="CA627">
        <v>83</v>
      </c>
      <c r="CF627">
        <v>0</v>
      </c>
      <c r="CG627">
        <v>0</v>
      </c>
      <c r="CM627">
        <v>0</v>
      </c>
      <c r="CN627" t="s">
        <v>1902</v>
      </c>
      <c r="CO627">
        <v>0</v>
      </c>
      <c r="CP627">
        <f t="shared" si="487"/>
        <v>418.13</v>
      </c>
      <c r="CQ627">
        <f t="shared" si="488"/>
        <v>190.04319999999998</v>
      </c>
      <c r="CR627">
        <f t="shared" si="489"/>
        <v>320.84959999999995</v>
      </c>
      <c r="CS627">
        <f t="shared" si="490"/>
        <v>49.921599999999998</v>
      </c>
      <c r="CT627">
        <f t="shared" si="491"/>
        <v>2392.7599999999998</v>
      </c>
      <c r="CU627">
        <f t="shared" si="492"/>
        <v>0</v>
      </c>
      <c r="CV627">
        <f t="shared" si="493"/>
        <v>37.915499999999994</v>
      </c>
      <c r="CW627">
        <f t="shared" si="494"/>
        <v>0.625</v>
      </c>
      <c r="CX627">
        <f t="shared" si="495"/>
        <v>0</v>
      </c>
      <c r="CY627">
        <f t="shared" si="496"/>
        <v>404.51249999999999</v>
      </c>
      <c r="CZ627">
        <f t="shared" si="497"/>
        <v>249.74250000000001</v>
      </c>
      <c r="DC627" t="s">
        <v>6</v>
      </c>
      <c r="DD627" t="s">
        <v>6</v>
      </c>
      <c r="DE627" t="s">
        <v>187</v>
      </c>
      <c r="DF627" t="s">
        <v>187</v>
      </c>
      <c r="DG627" t="s">
        <v>188</v>
      </c>
      <c r="DH627" t="s">
        <v>6</v>
      </c>
      <c r="DI627" t="s">
        <v>188</v>
      </c>
      <c r="DJ627" t="s">
        <v>187</v>
      </c>
      <c r="DK627" t="s">
        <v>6</v>
      </c>
      <c r="DL627" t="s">
        <v>6</v>
      </c>
      <c r="DM627" t="s">
        <v>6</v>
      </c>
      <c r="DN627">
        <v>0</v>
      </c>
      <c r="DO627">
        <v>0</v>
      </c>
      <c r="DP627">
        <v>1</v>
      </c>
      <c r="DQ627">
        <v>1</v>
      </c>
      <c r="DU627">
        <v>1003</v>
      </c>
      <c r="DV627" t="s">
        <v>34</v>
      </c>
      <c r="DW627" t="s">
        <v>34</v>
      </c>
      <c r="DX627">
        <v>100</v>
      </c>
      <c r="EE627">
        <v>16510514</v>
      </c>
      <c r="EF627">
        <v>2</v>
      </c>
      <c r="EG627" t="s">
        <v>22</v>
      </c>
      <c r="EH627">
        <v>0</v>
      </c>
      <c r="EI627" t="s">
        <v>6</v>
      </c>
      <c r="EJ627">
        <v>1</v>
      </c>
      <c r="EK627">
        <v>16001</v>
      </c>
      <c r="EL627" t="s">
        <v>1063</v>
      </c>
      <c r="EM627" t="s">
        <v>1064</v>
      </c>
      <c r="EO627" t="s">
        <v>189</v>
      </c>
      <c r="EQ627">
        <v>131072</v>
      </c>
      <c r="ER627">
        <v>385.27</v>
      </c>
      <c r="ES627">
        <v>28.97</v>
      </c>
      <c r="ET627">
        <v>39.130000000000003</v>
      </c>
      <c r="EU627">
        <v>6.09</v>
      </c>
      <c r="EV627">
        <v>317.17</v>
      </c>
      <c r="EW627">
        <v>32.97</v>
      </c>
      <c r="EX627">
        <v>0.5</v>
      </c>
      <c r="EY627">
        <v>0</v>
      </c>
      <c r="FQ627">
        <v>0</v>
      </c>
      <c r="FR627">
        <f t="shared" si="498"/>
        <v>0</v>
      </c>
      <c r="FS627">
        <v>0</v>
      </c>
      <c r="FT627" t="s">
        <v>25</v>
      </c>
      <c r="FU627" t="s">
        <v>26</v>
      </c>
      <c r="FX627">
        <v>115.2</v>
      </c>
      <c r="FY627">
        <v>70.55</v>
      </c>
      <c r="GA627" t="s">
        <v>6</v>
      </c>
      <c r="GD627">
        <v>0</v>
      </c>
      <c r="GF627">
        <v>-409905980</v>
      </c>
      <c r="GG627">
        <v>1</v>
      </c>
      <c r="GH627">
        <v>1</v>
      </c>
      <c r="GI627">
        <v>4</v>
      </c>
      <c r="GJ627">
        <v>0</v>
      </c>
      <c r="GK627">
        <f>ROUND(R627*(R12)/100,2)</f>
        <v>0</v>
      </c>
      <c r="GL627">
        <f t="shared" si="499"/>
        <v>0</v>
      </c>
      <c r="GM627">
        <f t="shared" si="500"/>
        <v>1072.3800000000001</v>
      </c>
      <c r="GN627">
        <f t="shared" si="501"/>
        <v>1072.3800000000001</v>
      </c>
      <c r="GO627">
        <f t="shared" si="502"/>
        <v>0</v>
      </c>
      <c r="GP627">
        <f t="shared" si="503"/>
        <v>0</v>
      </c>
      <c r="GR627">
        <v>0</v>
      </c>
      <c r="GS627">
        <v>3</v>
      </c>
      <c r="GT627">
        <v>0</v>
      </c>
      <c r="GU627" t="s">
        <v>6</v>
      </c>
      <c r="GV627">
        <f t="shared" si="504"/>
        <v>0</v>
      </c>
      <c r="GW627">
        <v>1</v>
      </c>
      <c r="GX627">
        <f t="shared" si="505"/>
        <v>0</v>
      </c>
      <c r="HA627">
        <v>0</v>
      </c>
      <c r="HB627">
        <v>0</v>
      </c>
      <c r="IK627">
        <v>0</v>
      </c>
    </row>
    <row r="628" spans="1:245" x14ac:dyDescent="0.2">
      <c r="A628">
        <v>18</v>
      </c>
      <c r="B628">
        <v>1</v>
      </c>
      <c r="C628">
        <v>888</v>
      </c>
      <c r="E628" t="s">
        <v>1085</v>
      </c>
      <c r="F628" t="s">
        <v>1086</v>
      </c>
      <c r="G628" t="s">
        <v>1087</v>
      </c>
      <c r="H628" t="s">
        <v>220</v>
      </c>
      <c r="I628">
        <f>I627*J628</f>
        <v>14.4</v>
      </c>
      <c r="J628">
        <v>100.00000000000001</v>
      </c>
      <c r="O628">
        <f t="shared" si="473"/>
        <v>1919.51</v>
      </c>
      <c r="P628">
        <f t="shared" si="474"/>
        <v>1919.51</v>
      </c>
      <c r="Q628">
        <f t="shared" si="475"/>
        <v>0</v>
      </c>
      <c r="R628">
        <f t="shared" si="476"/>
        <v>0</v>
      </c>
      <c r="S628">
        <f t="shared" si="477"/>
        <v>0</v>
      </c>
      <c r="T628">
        <f t="shared" si="478"/>
        <v>0</v>
      </c>
      <c r="U628">
        <f t="shared" si="479"/>
        <v>0</v>
      </c>
      <c r="V628">
        <f t="shared" si="480"/>
        <v>0</v>
      </c>
      <c r="W628">
        <f t="shared" si="481"/>
        <v>0</v>
      </c>
      <c r="X628">
        <f t="shared" si="482"/>
        <v>0</v>
      </c>
      <c r="Y628">
        <f t="shared" si="483"/>
        <v>0</v>
      </c>
      <c r="AA628">
        <v>16742901</v>
      </c>
      <c r="AB628">
        <f t="shared" si="484"/>
        <v>20.32</v>
      </c>
      <c r="AC628">
        <f t="shared" si="506"/>
        <v>20.32</v>
      </c>
      <c r="AD628">
        <f>ROUND((((ET628)-(EU628))+AE628),2)</f>
        <v>0</v>
      </c>
      <c r="AE628">
        <f>ROUND((EU628),2)</f>
        <v>0</v>
      </c>
      <c r="AF628">
        <f>ROUND((EV628),2)</f>
        <v>0</v>
      </c>
      <c r="AG628">
        <f t="shared" si="485"/>
        <v>0</v>
      </c>
      <c r="AH628">
        <f>(EW628)</f>
        <v>0</v>
      </c>
      <c r="AI628">
        <f>(EX628)</f>
        <v>0</v>
      </c>
      <c r="AJ628">
        <f t="shared" si="486"/>
        <v>0</v>
      </c>
      <c r="AK628">
        <v>20.32</v>
      </c>
      <c r="AL628">
        <v>20.32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115</v>
      </c>
      <c r="AU628">
        <v>71</v>
      </c>
      <c r="AV628">
        <v>1</v>
      </c>
      <c r="AW628">
        <v>1</v>
      </c>
      <c r="AZ628">
        <v>6.56</v>
      </c>
      <c r="BA628">
        <v>1</v>
      </c>
      <c r="BB628">
        <v>1</v>
      </c>
      <c r="BC628">
        <v>6.56</v>
      </c>
      <c r="BD628" t="s">
        <v>6</v>
      </c>
      <c r="BE628" t="s">
        <v>6</v>
      </c>
      <c r="BF628" t="s">
        <v>6</v>
      </c>
      <c r="BG628" t="s">
        <v>6</v>
      </c>
      <c r="BH628">
        <v>3</v>
      </c>
      <c r="BI628">
        <v>1</v>
      </c>
      <c r="BJ628" t="s">
        <v>1088</v>
      </c>
      <c r="BM628">
        <v>16001</v>
      </c>
      <c r="BN628">
        <v>0</v>
      </c>
      <c r="BO628" t="s">
        <v>6</v>
      </c>
      <c r="BP628">
        <v>0</v>
      </c>
      <c r="BQ628">
        <v>2</v>
      </c>
      <c r="BR628">
        <v>0</v>
      </c>
      <c r="BS628">
        <v>1</v>
      </c>
      <c r="BT628">
        <v>1</v>
      </c>
      <c r="BU628">
        <v>1</v>
      </c>
      <c r="BV628">
        <v>1</v>
      </c>
      <c r="BW628">
        <v>1</v>
      </c>
      <c r="BX628">
        <v>1</v>
      </c>
      <c r="BY628" t="s">
        <v>6</v>
      </c>
      <c r="BZ628">
        <v>128</v>
      </c>
      <c r="CA628">
        <v>83</v>
      </c>
      <c r="CF628">
        <v>0</v>
      </c>
      <c r="CG628">
        <v>0</v>
      </c>
      <c r="CM628">
        <v>0</v>
      </c>
      <c r="CN628" t="s">
        <v>6</v>
      </c>
      <c r="CO628">
        <v>0</v>
      </c>
      <c r="CP628">
        <f t="shared" si="487"/>
        <v>1919.51</v>
      </c>
      <c r="CQ628">
        <f t="shared" si="488"/>
        <v>133.29919999999998</v>
      </c>
      <c r="CR628">
        <f t="shared" si="489"/>
        <v>0</v>
      </c>
      <c r="CS628">
        <f t="shared" si="490"/>
        <v>0</v>
      </c>
      <c r="CT628">
        <f t="shared" si="491"/>
        <v>0</v>
      </c>
      <c r="CU628">
        <f t="shared" si="492"/>
        <v>0</v>
      </c>
      <c r="CV628">
        <f t="shared" si="493"/>
        <v>0</v>
      </c>
      <c r="CW628">
        <f t="shared" si="494"/>
        <v>0</v>
      </c>
      <c r="CX628">
        <f t="shared" si="495"/>
        <v>0</v>
      </c>
      <c r="CY628">
        <f t="shared" si="496"/>
        <v>0</v>
      </c>
      <c r="CZ628">
        <f t="shared" si="497"/>
        <v>0</v>
      </c>
      <c r="DC628" t="s">
        <v>6</v>
      </c>
      <c r="DD628" t="s">
        <v>6</v>
      </c>
      <c r="DE628" t="s">
        <v>6</v>
      </c>
      <c r="DF628" t="s">
        <v>6</v>
      </c>
      <c r="DG628" t="s">
        <v>6</v>
      </c>
      <c r="DH628" t="s">
        <v>6</v>
      </c>
      <c r="DI628" t="s">
        <v>6</v>
      </c>
      <c r="DJ628" t="s">
        <v>6</v>
      </c>
      <c r="DK628" t="s">
        <v>6</v>
      </c>
      <c r="DL628" t="s">
        <v>6</v>
      </c>
      <c r="DM628" t="s">
        <v>6</v>
      </c>
      <c r="DN628">
        <v>0</v>
      </c>
      <c r="DO628">
        <v>0</v>
      </c>
      <c r="DP628">
        <v>1</v>
      </c>
      <c r="DQ628">
        <v>1</v>
      </c>
      <c r="DU628">
        <v>1003</v>
      </c>
      <c r="DV628" t="s">
        <v>220</v>
      </c>
      <c r="DW628" t="s">
        <v>220</v>
      </c>
      <c r="DX628">
        <v>1</v>
      </c>
      <c r="EE628">
        <v>16510514</v>
      </c>
      <c r="EF628">
        <v>2</v>
      </c>
      <c r="EG628" t="s">
        <v>22</v>
      </c>
      <c r="EH628">
        <v>0</v>
      </c>
      <c r="EI628" t="s">
        <v>6</v>
      </c>
      <c r="EJ628">
        <v>1</v>
      </c>
      <c r="EK628">
        <v>16001</v>
      </c>
      <c r="EL628" t="s">
        <v>1063</v>
      </c>
      <c r="EM628" t="s">
        <v>1064</v>
      </c>
      <c r="EO628" t="s">
        <v>6</v>
      </c>
      <c r="EQ628">
        <v>0</v>
      </c>
      <c r="ER628">
        <v>20.32</v>
      </c>
      <c r="ES628">
        <v>20.32</v>
      </c>
      <c r="ET628">
        <v>0</v>
      </c>
      <c r="EU628">
        <v>0</v>
      </c>
      <c r="EV628">
        <v>0</v>
      </c>
      <c r="EW628">
        <v>0</v>
      </c>
      <c r="EX628">
        <v>0</v>
      </c>
      <c r="FQ628">
        <v>0</v>
      </c>
      <c r="FR628">
        <f t="shared" si="498"/>
        <v>0</v>
      </c>
      <c r="FS628">
        <v>0</v>
      </c>
      <c r="FT628" t="s">
        <v>25</v>
      </c>
      <c r="FU628" t="s">
        <v>26</v>
      </c>
      <c r="FX628">
        <v>115.2</v>
      </c>
      <c r="FY628">
        <v>70.55</v>
      </c>
      <c r="GA628" t="s">
        <v>6</v>
      </c>
      <c r="GD628">
        <v>0</v>
      </c>
      <c r="GF628">
        <v>2097912475</v>
      </c>
      <c r="GG628">
        <v>1</v>
      </c>
      <c r="GH628">
        <v>1</v>
      </c>
      <c r="GI628">
        <v>4</v>
      </c>
      <c r="GJ628">
        <v>0</v>
      </c>
      <c r="GK628">
        <f>ROUND(R628*(R12)/100,2)</f>
        <v>0</v>
      </c>
      <c r="GL628">
        <f t="shared" si="499"/>
        <v>0</v>
      </c>
      <c r="GM628">
        <f t="shared" si="500"/>
        <v>1919.51</v>
      </c>
      <c r="GN628">
        <f t="shared" si="501"/>
        <v>1919.51</v>
      </c>
      <c r="GO628">
        <f t="shared" si="502"/>
        <v>0</v>
      </c>
      <c r="GP628">
        <f t="shared" si="503"/>
        <v>0</v>
      </c>
      <c r="GR628">
        <v>0</v>
      </c>
      <c r="GS628">
        <v>3</v>
      </c>
      <c r="GT628">
        <v>0</v>
      </c>
      <c r="GU628" t="s">
        <v>6</v>
      </c>
      <c r="GV628">
        <f t="shared" si="504"/>
        <v>0</v>
      </c>
      <c r="GW628">
        <v>1</v>
      </c>
      <c r="GX628">
        <f t="shared" si="505"/>
        <v>0</v>
      </c>
      <c r="HA628">
        <v>0</v>
      </c>
      <c r="HB628">
        <v>0</v>
      </c>
      <c r="IK628">
        <v>0</v>
      </c>
    </row>
    <row r="629" spans="1:245" x14ac:dyDescent="0.2">
      <c r="A629">
        <v>17</v>
      </c>
      <c r="B629">
        <v>1</v>
      </c>
      <c r="C629">
        <f>ROW(SmtRes!A897)</f>
        <v>897</v>
      </c>
      <c r="D629">
        <f>ROW(EtalonRes!A829)</f>
        <v>829</v>
      </c>
      <c r="E629" t="s">
        <v>1089</v>
      </c>
      <c r="F629" t="s">
        <v>1090</v>
      </c>
      <c r="G629" t="s">
        <v>1091</v>
      </c>
      <c r="H629" t="s">
        <v>56</v>
      </c>
      <c r="I629">
        <v>7</v>
      </c>
      <c r="J629">
        <v>0</v>
      </c>
      <c r="O629">
        <f t="shared" si="473"/>
        <v>2806.17</v>
      </c>
      <c r="P629">
        <f t="shared" si="474"/>
        <v>557.47</v>
      </c>
      <c r="Q629">
        <f t="shared" si="475"/>
        <v>217.2</v>
      </c>
      <c r="R629">
        <f t="shared" si="476"/>
        <v>5.51</v>
      </c>
      <c r="S629">
        <f t="shared" si="477"/>
        <v>2031.5</v>
      </c>
      <c r="T629">
        <f t="shared" si="478"/>
        <v>0</v>
      </c>
      <c r="U629">
        <f t="shared" si="479"/>
        <v>31.22</v>
      </c>
      <c r="V629">
        <f t="shared" si="480"/>
        <v>7.0000000000000007E-2</v>
      </c>
      <c r="W629">
        <f t="shared" si="481"/>
        <v>0</v>
      </c>
      <c r="X629">
        <f t="shared" si="482"/>
        <v>2342.56</v>
      </c>
      <c r="Y629">
        <f t="shared" si="483"/>
        <v>1446.28</v>
      </c>
      <c r="AA629">
        <v>16742901</v>
      </c>
      <c r="AB629">
        <f t="shared" si="484"/>
        <v>61.11</v>
      </c>
      <c r="AC629">
        <f t="shared" si="506"/>
        <v>12.14</v>
      </c>
      <c r="AD629">
        <f>ROUND((((ET629)-(EU629))+AE629),2)</f>
        <v>4.7300000000000004</v>
      </c>
      <c r="AE629">
        <f>ROUND((EU629),2)</f>
        <v>0.12</v>
      </c>
      <c r="AF629">
        <f>ROUND((EV629),2)</f>
        <v>44.24</v>
      </c>
      <c r="AG629">
        <f t="shared" si="485"/>
        <v>0</v>
      </c>
      <c r="AH629">
        <f>(EW629)</f>
        <v>4.46</v>
      </c>
      <c r="AI629">
        <f>(EX629)</f>
        <v>0.01</v>
      </c>
      <c r="AJ629">
        <f t="shared" si="486"/>
        <v>0</v>
      </c>
      <c r="AK629">
        <v>61.11</v>
      </c>
      <c r="AL629">
        <v>12.14</v>
      </c>
      <c r="AM629">
        <v>4.7300000000000004</v>
      </c>
      <c r="AN629">
        <v>0.12</v>
      </c>
      <c r="AO629">
        <v>44.24</v>
      </c>
      <c r="AP629">
        <v>0</v>
      </c>
      <c r="AQ629">
        <v>4.46</v>
      </c>
      <c r="AR629">
        <v>0.01</v>
      </c>
      <c r="AS629">
        <v>0</v>
      </c>
      <c r="AT629">
        <v>115</v>
      </c>
      <c r="AU629">
        <v>71</v>
      </c>
      <c r="AV629">
        <v>1</v>
      </c>
      <c r="AW629">
        <v>1</v>
      </c>
      <c r="AZ629">
        <v>6.56</v>
      </c>
      <c r="BA629">
        <v>6.56</v>
      </c>
      <c r="BB629">
        <v>6.56</v>
      </c>
      <c r="BC629">
        <v>6.56</v>
      </c>
      <c r="BD629" t="s">
        <v>6</v>
      </c>
      <c r="BE629" t="s">
        <v>6</v>
      </c>
      <c r="BF629" t="s">
        <v>6</v>
      </c>
      <c r="BG629" t="s">
        <v>6</v>
      </c>
      <c r="BH629">
        <v>0</v>
      </c>
      <c r="BI629">
        <v>1</v>
      </c>
      <c r="BJ629" t="s">
        <v>1092</v>
      </c>
      <c r="BM629">
        <v>16001</v>
      </c>
      <c r="BN629">
        <v>0</v>
      </c>
      <c r="BO629" t="s">
        <v>6</v>
      </c>
      <c r="BP629">
        <v>0</v>
      </c>
      <c r="BQ629">
        <v>2</v>
      </c>
      <c r="BR629">
        <v>0</v>
      </c>
      <c r="BS629">
        <v>6.56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6</v>
      </c>
      <c r="BZ629">
        <v>128</v>
      </c>
      <c r="CA629">
        <v>83</v>
      </c>
      <c r="CF629">
        <v>0</v>
      </c>
      <c r="CG629">
        <v>0</v>
      </c>
      <c r="CM629">
        <v>0</v>
      </c>
      <c r="CN629" t="s">
        <v>6</v>
      </c>
      <c r="CO629">
        <v>0</v>
      </c>
      <c r="CP629">
        <f t="shared" si="487"/>
        <v>2806.17</v>
      </c>
      <c r="CQ629">
        <f t="shared" si="488"/>
        <v>79.638400000000004</v>
      </c>
      <c r="CR629">
        <f t="shared" si="489"/>
        <v>31.0288</v>
      </c>
      <c r="CS629">
        <f t="shared" si="490"/>
        <v>0.7871999999999999</v>
      </c>
      <c r="CT629">
        <f t="shared" si="491"/>
        <v>290.21440000000001</v>
      </c>
      <c r="CU629">
        <f t="shared" si="492"/>
        <v>0</v>
      </c>
      <c r="CV629">
        <f t="shared" si="493"/>
        <v>4.46</v>
      </c>
      <c r="CW629">
        <f t="shared" si="494"/>
        <v>0.01</v>
      </c>
      <c r="CX629">
        <f t="shared" si="495"/>
        <v>0</v>
      </c>
      <c r="CY629">
        <f t="shared" si="496"/>
        <v>2342.5614999999998</v>
      </c>
      <c r="CZ629">
        <f t="shared" si="497"/>
        <v>1446.2771</v>
      </c>
      <c r="DC629" t="s">
        <v>6</v>
      </c>
      <c r="DD629" t="s">
        <v>6</v>
      </c>
      <c r="DE629" t="s">
        <v>6</v>
      </c>
      <c r="DF629" t="s">
        <v>6</v>
      </c>
      <c r="DG629" t="s">
        <v>6</v>
      </c>
      <c r="DH629" t="s">
        <v>6</v>
      </c>
      <c r="DI629" t="s">
        <v>6</v>
      </c>
      <c r="DJ629" t="s">
        <v>6</v>
      </c>
      <c r="DK629" t="s">
        <v>6</v>
      </c>
      <c r="DL629" t="s">
        <v>6</v>
      </c>
      <c r="DM629" t="s">
        <v>6</v>
      </c>
      <c r="DN629">
        <v>0</v>
      </c>
      <c r="DO629">
        <v>0</v>
      </c>
      <c r="DP629">
        <v>1</v>
      </c>
      <c r="DQ629">
        <v>1</v>
      </c>
      <c r="DU629">
        <v>1013</v>
      </c>
      <c r="DV629" t="s">
        <v>56</v>
      </c>
      <c r="DW629" t="s">
        <v>56</v>
      </c>
      <c r="DX629">
        <v>1</v>
      </c>
      <c r="EE629">
        <v>16510514</v>
      </c>
      <c r="EF629">
        <v>2</v>
      </c>
      <c r="EG629" t="s">
        <v>22</v>
      </c>
      <c r="EH629">
        <v>0</v>
      </c>
      <c r="EI629" t="s">
        <v>6</v>
      </c>
      <c r="EJ629">
        <v>1</v>
      </c>
      <c r="EK629">
        <v>16001</v>
      </c>
      <c r="EL629" t="s">
        <v>1063</v>
      </c>
      <c r="EM629" t="s">
        <v>1064</v>
      </c>
      <c r="EO629" t="s">
        <v>6</v>
      </c>
      <c r="EQ629">
        <v>131072</v>
      </c>
      <c r="ER629">
        <v>61.11</v>
      </c>
      <c r="ES629">
        <v>12.14</v>
      </c>
      <c r="ET629">
        <v>4.7300000000000004</v>
      </c>
      <c r="EU629">
        <v>0.12</v>
      </c>
      <c r="EV629">
        <v>44.24</v>
      </c>
      <c r="EW629">
        <v>4.46</v>
      </c>
      <c r="EX629">
        <v>0.01</v>
      </c>
      <c r="EY629">
        <v>0</v>
      </c>
      <c r="FQ629">
        <v>0</v>
      </c>
      <c r="FR629">
        <f t="shared" si="498"/>
        <v>0</v>
      </c>
      <c r="FS629">
        <v>0</v>
      </c>
      <c r="FT629" t="s">
        <v>25</v>
      </c>
      <c r="FU629" t="s">
        <v>26</v>
      </c>
      <c r="FX629">
        <v>115.2</v>
      </c>
      <c r="FY629">
        <v>70.55</v>
      </c>
      <c r="GA629" t="s">
        <v>6</v>
      </c>
      <c r="GD629">
        <v>0</v>
      </c>
      <c r="GF629">
        <v>10466749</v>
      </c>
      <c r="GG629">
        <v>1</v>
      </c>
      <c r="GH629">
        <v>1</v>
      </c>
      <c r="GI629">
        <v>4</v>
      </c>
      <c r="GJ629">
        <v>0</v>
      </c>
      <c r="GK629">
        <f>ROUND(R629*(R12)/100,2)</f>
        <v>0</v>
      </c>
      <c r="GL629">
        <f t="shared" si="499"/>
        <v>0</v>
      </c>
      <c r="GM629">
        <f t="shared" si="500"/>
        <v>6595.01</v>
      </c>
      <c r="GN629">
        <f t="shared" si="501"/>
        <v>6595.01</v>
      </c>
      <c r="GO629">
        <f t="shared" si="502"/>
        <v>0</v>
      </c>
      <c r="GP629">
        <f t="shared" si="503"/>
        <v>0</v>
      </c>
      <c r="GR629">
        <v>0</v>
      </c>
      <c r="GS629">
        <v>3</v>
      </c>
      <c r="GT629">
        <v>0</v>
      </c>
      <c r="GU629" t="s">
        <v>6</v>
      </c>
      <c r="GV629">
        <f t="shared" si="504"/>
        <v>0</v>
      </c>
      <c r="GW629">
        <v>1</v>
      </c>
      <c r="GX629">
        <f t="shared" si="505"/>
        <v>0</v>
      </c>
      <c r="HA629">
        <v>0</v>
      </c>
      <c r="HB629">
        <v>0</v>
      </c>
      <c r="IK629">
        <v>0</v>
      </c>
    </row>
    <row r="630" spans="1:245" x14ac:dyDescent="0.2">
      <c r="A630">
        <v>17</v>
      </c>
      <c r="B630">
        <v>1</v>
      </c>
      <c r="C630">
        <f>ROW(SmtRes!A905)</f>
        <v>905</v>
      </c>
      <c r="D630">
        <f>ROW(EtalonRes!A836)</f>
        <v>836</v>
      </c>
      <c r="E630" t="s">
        <v>1093</v>
      </c>
      <c r="F630" t="s">
        <v>1094</v>
      </c>
      <c r="G630" t="s">
        <v>1095</v>
      </c>
      <c r="H630" t="s">
        <v>20</v>
      </c>
      <c r="I630">
        <f>ROUND(23.72/100,9)</f>
        <v>0.23719999999999999</v>
      </c>
      <c r="J630">
        <v>0</v>
      </c>
      <c r="O630">
        <f t="shared" si="473"/>
        <v>1268.8599999999999</v>
      </c>
      <c r="P630">
        <f t="shared" si="474"/>
        <v>137.82</v>
      </c>
      <c r="Q630">
        <f t="shared" si="475"/>
        <v>4.43</v>
      </c>
      <c r="R630">
        <f t="shared" si="476"/>
        <v>0.95</v>
      </c>
      <c r="S630">
        <f t="shared" si="477"/>
        <v>1126.6099999999999</v>
      </c>
      <c r="T630">
        <f t="shared" si="478"/>
        <v>0</v>
      </c>
      <c r="U630">
        <f t="shared" si="479"/>
        <v>19.383746799999997</v>
      </c>
      <c r="V630">
        <f t="shared" si="480"/>
        <v>1.1860000000000001E-2</v>
      </c>
      <c r="W630">
        <f t="shared" si="481"/>
        <v>0</v>
      </c>
      <c r="X630">
        <f t="shared" si="482"/>
        <v>1071.18</v>
      </c>
      <c r="Y630">
        <f t="shared" si="483"/>
        <v>529.95000000000005</v>
      </c>
      <c r="AA630">
        <v>16742901</v>
      </c>
      <c r="AB630">
        <f t="shared" si="484"/>
        <v>815.45</v>
      </c>
      <c r="AC630">
        <f t="shared" si="506"/>
        <v>88.57</v>
      </c>
      <c r="AD630">
        <f>ROUND(((((ET630*1.25))-((EU630*1.25)))+AE630),2)</f>
        <v>2.85</v>
      </c>
      <c r="AE630">
        <f>ROUND(((EU630*1.25)),2)</f>
        <v>0.61</v>
      </c>
      <c r="AF630">
        <f>ROUND(((EV630*1.15)),2)</f>
        <v>724.03</v>
      </c>
      <c r="AG630">
        <f t="shared" si="485"/>
        <v>0</v>
      </c>
      <c r="AH630">
        <f>((EW630*1.15))</f>
        <v>81.718999999999994</v>
      </c>
      <c r="AI630">
        <f>((EX630*1.25))</f>
        <v>0.05</v>
      </c>
      <c r="AJ630">
        <f t="shared" si="486"/>
        <v>0</v>
      </c>
      <c r="AK630">
        <v>720.44</v>
      </c>
      <c r="AL630">
        <v>88.57</v>
      </c>
      <c r="AM630">
        <v>2.2799999999999998</v>
      </c>
      <c r="AN630">
        <v>0.49</v>
      </c>
      <c r="AO630">
        <v>629.59</v>
      </c>
      <c r="AP630">
        <v>0</v>
      </c>
      <c r="AQ630">
        <v>71.06</v>
      </c>
      <c r="AR630">
        <v>0.04</v>
      </c>
      <c r="AS630">
        <v>0</v>
      </c>
      <c r="AT630">
        <v>95</v>
      </c>
      <c r="AU630">
        <v>47</v>
      </c>
      <c r="AV630">
        <v>1</v>
      </c>
      <c r="AW630">
        <v>1</v>
      </c>
      <c r="AZ630">
        <v>6.56</v>
      </c>
      <c r="BA630">
        <v>6.56</v>
      </c>
      <c r="BB630">
        <v>6.56</v>
      </c>
      <c r="BC630">
        <v>6.56</v>
      </c>
      <c r="BD630" t="s">
        <v>6</v>
      </c>
      <c r="BE630" t="s">
        <v>6</v>
      </c>
      <c r="BF630" t="s">
        <v>6</v>
      </c>
      <c r="BG630" t="s">
        <v>6</v>
      </c>
      <c r="BH630">
        <v>0</v>
      </c>
      <c r="BI630">
        <v>1</v>
      </c>
      <c r="BJ630" t="s">
        <v>1096</v>
      </c>
      <c r="BM630">
        <v>15001</v>
      </c>
      <c r="BN630">
        <v>0</v>
      </c>
      <c r="BO630" t="s">
        <v>6</v>
      </c>
      <c r="BP630">
        <v>0</v>
      </c>
      <c r="BQ630">
        <v>2</v>
      </c>
      <c r="BR630">
        <v>0</v>
      </c>
      <c r="BS630">
        <v>6.56</v>
      </c>
      <c r="BT630">
        <v>1</v>
      </c>
      <c r="BU630">
        <v>1</v>
      </c>
      <c r="BV630">
        <v>1</v>
      </c>
      <c r="BW630">
        <v>1</v>
      </c>
      <c r="BX630">
        <v>1</v>
      </c>
      <c r="BY630" t="s">
        <v>6</v>
      </c>
      <c r="BZ630">
        <v>105</v>
      </c>
      <c r="CA630">
        <v>55</v>
      </c>
      <c r="CF630">
        <v>0</v>
      </c>
      <c r="CG630">
        <v>0</v>
      </c>
      <c r="CM630">
        <v>0</v>
      </c>
      <c r="CN630" t="s">
        <v>1902</v>
      </c>
      <c r="CO630">
        <v>0</v>
      </c>
      <c r="CP630">
        <f t="shared" si="487"/>
        <v>1268.8599999999999</v>
      </c>
      <c r="CQ630">
        <f t="shared" si="488"/>
        <v>581.01919999999996</v>
      </c>
      <c r="CR630">
        <f t="shared" si="489"/>
        <v>18.695999999999998</v>
      </c>
      <c r="CS630">
        <f t="shared" si="490"/>
        <v>4.0015999999999998</v>
      </c>
      <c r="CT630">
        <f t="shared" si="491"/>
        <v>4749.6367999999993</v>
      </c>
      <c r="CU630">
        <f t="shared" si="492"/>
        <v>0</v>
      </c>
      <c r="CV630">
        <f t="shared" si="493"/>
        <v>81.718999999999994</v>
      </c>
      <c r="CW630">
        <f t="shared" si="494"/>
        <v>0.05</v>
      </c>
      <c r="CX630">
        <f t="shared" si="495"/>
        <v>0</v>
      </c>
      <c r="CY630">
        <f t="shared" si="496"/>
        <v>1071.182</v>
      </c>
      <c r="CZ630">
        <f t="shared" si="497"/>
        <v>529.95320000000004</v>
      </c>
      <c r="DC630" t="s">
        <v>6</v>
      </c>
      <c r="DD630" t="s">
        <v>6</v>
      </c>
      <c r="DE630" t="s">
        <v>187</v>
      </c>
      <c r="DF630" t="s">
        <v>187</v>
      </c>
      <c r="DG630" t="s">
        <v>188</v>
      </c>
      <c r="DH630" t="s">
        <v>6</v>
      </c>
      <c r="DI630" t="s">
        <v>188</v>
      </c>
      <c r="DJ630" t="s">
        <v>187</v>
      </c>
      <c r="DK630" t="s">
        <v>6</v>
      </c>
      <c r="DL630" t="s">
        <v>6</v>
      </c>
      <c r="DM630" t="s">
        <v>6</v>
      </c>
      <c r="DN630">
        <v>0</v>
      </c>
      <c r="DO630">
        <v>0</v>
      </c>
      <c r="DP630">
        <v>1</v>
      </c>
      <c r="DQ630">
        <v>1</v>
      </c>
      <c r="DU630">
        <v>1005</v>
      </c>
      <c r="DV630" t="s">
        <v>20</v>
      </c>
      <c r="DW630" t="s">
        <v>20</v>
      </c>
      <c r="DX630">
        <v>100</v>
      </c>
      <c r="EE630">
        <v>16510513</v>
      </c>
      <c r="EF630">
        <v>2</v>
      </c>
      <c r="EG630" t="s">
        <v>22</v>
      </c>
      <c r="EH630">
        <v>0</v>
      </c>
      <c r="EI630" t="s">
        <v>6</v>
      </c>
      <c r="EJ630">
        <v>1</v>
      </c>
      <c r="EK630">
        <v>15001</v>
      </c>
      <c r="EL630" t="s">
        <v>229</v>
      </c>
      <c r="EM630" t="s">
        <v>230</v>
      </c>
      <c r="EO630" t="s">
        <v>189</v>
      </c>
      <c r="EQ630">
        <v>131072</v>
      </c>
      <c r="ER630">
        <v>720.44</v>
      </c>
      <c r="ES630">
        <v>88.57</v>
      </c>
      <c r="ET630">
        <v>2.2799999999999998</v>
      </c>
      <c r="EU630">
        <v>0.49</v>
      </c>
      <c r="EV630">
        <v>629.59</v>
      </c>
      <c r="EW630">
        <v>71.06</v>
      </c>
      <c r="EX630">
        <v>0.04</v>
      </c>
      <c r="EY630">
        <v>0</v>
      </c>
      <c r="FQ630">
        <v>0</v>
      </c>
      <c r="FR630">
        <f t="shared" si="498"/>
        <v>0</v>
      </c>
      <c r="FS630">
        <v>0</v>
      </c>
      <c r="FT630" t="s">
        <v>25</v>
      </c>
      <c r="FU630" t="s">
        <v>26</v>
      </c>
      <c r="FX630">
        <v>94.5</v>
      </c>
      <c r="FY630">
        <v>46.75</v>
      </c>
      <c r="GA630" t="s">
        <v>6</v>
      </c>
      <c r="GD630">
        <v>0</v>
      </c>
      <c r="GF630">
        <v>1628000385</v>
      </c>
      <c r="GG630">
        <v>1</v>
      </c>
      <c r="GH630">
        <v>1</v>
      </c>
      <c r="GI630">
        <v>4</v>
      </c>
      <c r="GJ630">
        <v>0</v>
      </c>
      <c r="GK630">
        <f>ROUND(R630*(R12)/100,2)</f>
        <v>0</v>
      </c>
      <c r="GL630">
        <f t="shared" si="499"/>
        <v>0</v>
      </c>
      <c r="GM630">
        <f t="shared" si="500"/>
        <v>2869.99</v>
      </c>
      <c r="GN630">
        <f t="shared" si="501"/>
        <v>2869.99</v>
      </c>
      <c r="GO630">
        <f t="shared" si="502"/>
        <v>0</v>
      </c>
      <c r="GP630">
        <f t="shared" si="503"/>
        <v>0</v>
      </c>
      <c r="GR630">
        <v>0</v>
      </c>
      <c r="GS630">
        <v>3</v>
      </c>
      <c r="GT630">
        <v>0</v>
      </c>
      <c r="GU630" t="s">
        <v>6</v>
      </c>
      <c r="GV630">
        <f t="shared" si="504"/>
        <v>0</v>
      </c>
      <c r="GW630">
        <v>1</v>
      </c>
      <c r="GX630">
        <f t="shared" si="505"/>
        <v>0</v>
      </c>
      <c r="HA630">
        <v>0</v>
      </c>
      <c r="HB630">
        <v>0</v>
      </c>
      <c r="IK630">
        <v>0</v>
      </c>
    </row>
    <row r="631" spans="1:245" x14ac:dyDescent="0.2">
      <c r="A631">
        <v>18</v>
      </c>
      <c r="B631">
        <v>1</v>
      </c>
      <c r="C631">
        <v>904</v>
      </c>
      <c r="E631" t="s">
        <v>1097</v>
      </c>
      <c r="F631" t="s">
        <v>636</v>
      </c>
      <c r="G631" t="s">
        <v>637</v>
      </c>
      <c r="H631" t="s">
        <v>100</v>
      </c>
      <c r="I631">
        <f>I630*J631</f>
        <v>5.8349999999999999E-3</v>
      </c>
      <c r="J631">
        <v>2.4599494097807758E-2</v>
      </c>
      <c r="O631">
        <f t="shared" si="473"/>
        <v>1627.11</v>
      </c>
      <c r="P631">
        <f t="shared" si="474"/>
        <v>1627.11</v>
      </c>
      <c r="Q631">
        <f t="shared" si="475"/>
        <v>0</v>
      </c>
      <c r="R631">
        <f t="shared" si="476"/>
        <v>0</v>
      </c>
      <c r="S631">
        <f t="shared" si="477"/>
        <v>0</v>
      </c>
      <c r="T631">
        <f t="shared" si="478"/>
        <v>0</v>
      </c>
      <c r="U631">
        <f t="shared" si="479"/>
        <v>0</v>
      </c>
      <c r="V631">
        <f t="shared" si="480"/>
        <v>0</v>
      </c>
      <c r="W631">
        <f t="shared" si="481"/>
        <v>0</v>
      </c>
      <c r="X631">
        <f t="shared" si="482"/>
        <v>0</v>
      </c>
      <c r="Y631">
        <f t="shared" si="483"/>
        <v>0</v>
      </c>
      <c r="AA631">
        <v>16742901</v>
      </c>
      <c r="AB631">
        <f t="shared" si="484"/>
        <v>42508.19</v>
      </c>
      <c r="AC631">
        <f t="shared" si="506"/>
        <v>42508.19</v>
      </c>
      <c r="AD631">
        <f>ROUND((((ET631)-(EU631))+AE631),2)</f>
        <v>0</v>
      </c>
      <c r="AE631">
        <f>ROUND((EU631),2)</f>
        <v>0</v>
      </c>
      <c r="AF631">
        <f>ROUND((EV631),2)</f>
        <v>0</v>
      </c>
      <c r="AG631">
        <f t="shared" si="485"/>
        <v>0</v>
      </c>
      <c r="AH631">
        <f>(EW631)</f>
        <v>0</v>
      </c>
      <c r="AI631">
        <f>(EX631)</f>
        <v>0</v>
      </c>
      <c r="AJ631">
        <f t="shared" si="486"/>
        <v>0</v>
      </c>
      <c r="AK631">
        <v>42508.19</v>
      </c>
      <c r="AL631">
        <v>42508.19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95</v>
      </c>
      <c r="AU631">
        <v>47</v>
      </c>
      <c r="AV631">
        <v>1</v>
      </c>
      <c r="AW631">
        <v>1</v>
      </c>
      <c r="AZ631">
        <v>6.56</v>
      </c>
      <c r="BA631">
        <v>1</v>
      </c>
      <c r="BB631">
        <v>1</v>
      </c>
      <c r="BC631">
        <v>6.56</v>
      </c>
      <c r="BD631" t="s">
        <v>6</v>
      </c>
      <c r="BE631" t="s">
        <v>6</v>
      </c>
      <c r="BF631" t="s">
        <v>6</v>
      </c>
      <c r="BG631" t="s">
        <v>6</v>
      </c>
      <c r="BH631">
        <v>3</v>
      </c>
      <c r="BI631">
        <v>1</v>
      </c>
      <c r="BJ631" t="s">
        <v>638</v>
      </c>
      <c r="BM631">
        <v>15001</v>
      </c>
      <c r="BN631">
        <v>0</v>
      </c>
      <c r="BO631" t="s">
        <v>6</v>
      </c>
      <c r="BP631">
        <v>0</v>
      </c>
      <c r="BQ631">
        <v>2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6</v>
      </c>
      <c r="BZ631">
        <v>105</v>
      </c>
      <c r="CA631">
        <v>55</v>
      </c>
      <c r="CF631">
        <v>0</v>
      </c>
      <c r="CG631">
        <v>0</v>
      </c>
      <c r="CM631">
        <v>0</v>
      </c>
      <c r="CN631" t="s">
        <v>6</v>
      </c>
      <c r="CO631">
        <v>0</v>
      </c>
      <c r="CP631">
        <f t="shared" si="487"/>
        <v>1627.11</v>
      </c>
      <c r="CQ631">
        <f t="shared" si="488"/>
        <v>278853.72639999999</v>
      </c>
      <c r="CR631">
        <f t="shared" si="489"/>
        <v>0</v>
      </c>
      <c r="CS631">
        <f t="shared" si="490"/>
        <v>0</v>
      </c>
      <c r="CT631">
        <f t="shared" si="491"/>
        <v>0</v>
      </c>
      <c r="CU631">
        <f t="shared" si="492"/>
        <v>0</v>
      </c>
      <c r="CV631">
        <f t="shared" si="493"/>
        <v>0</v>
      </c>
      <c r="CW631">
        <f t="shared" si="494"/>
        <v>0</v>
      </c>
      <c r="CX631">
        <f t="shared" si="495"/>
        <v>0</v>
      </c>
      <c r="CY631">
        <f t="shared" si="496"/>
        <v>0</v>
      </c>
      <c r="CZ631">
        <f t="shared" si="497"/>
        <v>0</v>
      </c>
      <c r="DC631" t="s">
        <v>6</v>
      </c>
      <c r="DD631" t="s">
        <v>6</v>
      </c>
      <c r="DE631" t="s">
        <v>6</v>
      </c>
      <c r="DF631" t="s">
        <v>6</v>
      </c>
      <c r="DG631" t="s">
        <v>6</v>
      </c>
      <c r="DH631" t="s">
        <v>6</v>
      </c>
      <c r="DI631" t="s">
        <v>6</v>
      </c>
      <c r="DJ631" t="s">
        <v>6</v>
      </c>
      <c r="DK631" t="s">
        <v>6</v>
      </c>
      <c r="DL631" t="s">
        <v>6</v>
      </c>
      <c r="DM631" t="s">
        <v>6</v>
      </c>
      <c r="DN631">
        <v>0</v>
      </c>
      <c r="DO631">
        <v>0</v>
      </c>
      <c r="DP631">
        <v>1</v>
      </c>
      <c r="DQ631">
        <v>1</v>
      </c>
      <c r="DU631">
        <v>1009</v>
      </c>
      <c r="DV631" t="s">
        <v>100</v>
      </c>
      <c r="DW631" t="s">
        <v>100</v>
      </c>
      <c r="DX631">
        <v>1000</v>
      </c>
      <c r="EE631">
        <v>16510513</v>
      </c>
      <c r="EF631">
        <v>2</v>
      </c>
      <c r="EG631" t="s">
        <v>22</v>
      </c>
      <c r="EH631">
        <v>0</v>
      </c>
      <c r="EI631" t="s">
        <v>6</v>
      </c>
      <c r="EJ631">
        <v>1</v>
      </c>
      <c r="EK631">
        <v>15001</v>
      </c>
      <c r="EL631" t="s">
        <v>229</v>
      </c>
      <c r="EM631" t="s">
        <v>230</v>
      </c>
      <c r="EO631" t="s">
        <v>6</v>
      </c>
      <c r="EQ631">
        <v>0</v>
      </c>
      <c r="ER631">
        <v>42508.19</v>
      </c>
      <c r="ES631">
        <v>42508.19</v>
      </c>
      <c r="ET631">
        <v>0</v>
      </c>
      <c r="EU631">
        <v>0</v>
      </c>
      <c r="EV631">
        <v>0</v>
      </c>
      <c r="EW631">
        <v>0</v>
      </c>
      <c r="EX631">
        <v>0</v>
      </c>
      <c r="FQ631">
        <v>0</v>
      </c>
      <c r="FR631">
        <f t="shared" si="498"/>
        <v>0</v>
      </c>
      <c r="FS631">
        <v>0</v>
      </c>
      <c r="FT631" t="s">
        <v>25</v>
      </c>
      <c r="FU631" t="s">
        <v>26</v>
      </c>
      <c r="FX631">
        <v>94.5</v>
      </c>
      <c r="FY631">
        <v>46.75</v>
      </c>
      <c r="GA631" t="s">
        <v>6</v>
      </c>
      <c r="GD631">
        <v>0</v>
      </c>
      <c r="GF631">
        <v>-777870615</v>
      </c>
      <c r="GG631">
        <v>1</v>
      </c>
      <c r="GH631">
        <v>1</v>
      </c>
      <c r="GI631">
        <v>4</v>
      </c>
      <c r="GJ631">
        <v>0</v>
      </c>
      <c r="GK631">
        <f>ROUND(R631*(R12)/100,2)</f>
        <v>0</v>
      </c>
      <c r="GL631">
        <f t="shared" si="499"/>
        <v>0</v>
      </c>
      <c r="GM631">
        <f t="shared" si="500"/>
        <v>1627.11</v>
      </c>
      <c r="GN631">
        <f t="shared" si="501"/>
        <v>1627.11</v>
      </c>
      <c r="GO631">
        <f t="shared" si="502"/>
        <v>0</v>
      </c>
      <c r="GP631">
        <f t="shared" si="503"/>
        <v>0</v>
      </c>
      <c r="GR631">
        <v>0</v>
      </c>
      <c r="GS631">
        <v>3</v>
      </c>
      <c r="GT631">
        <v>0</v>
      </c>
      <c r="GU631" t="s">
        <v>6</v>
      </c>
      <c r="GV631">
        <f t="shared" si="504"/>
        <v>0</v>
      </c>
      <c r="GW631">
        <v>1</v>
      </c>
      <c r="GX631">
        <f t="shared" si="505"/>
        <v>0</v>
      </c>
      <c r="HA631">
        <v>0</v>
      </c>
      <c r="HB631">
        <v>0</v>
      </c>
      <c r="IK631">
        <v>0</v>
      </c>
    </row>
    <row r="632" spans="1:245" x14ac:dyDescent="0.2">
      <c r="A632">
        <v>18</v>
      </c>
      <c r="B632">
        <v>1</v>
      </c>
      <c r="C632">
        <v>903</v>
      </c>
      <c r="E632" t="s">
        <v>1098</v>
      </c>
      <c r="F632" t="s">
        <v>640</v>
      </c>
      <c r="G632" t="s">
        <v>648</v>
      </c>
      <c r="H632" t="s">
        <v>100</v>
      </c>
      <c r="I632">
        <f>I630*J632</f>
        <v>5.8349999999999999E-3</v>
      </c>
      <c r="J632">
        <v>2.4599494097807758E-2</v>
      </c>
      <c r="O632">
        <f t="shared" si="473"/>
        <v>0</v>
      </c>
      <c r="P632">
        <f t="shared" si="474"/>
        <v>0</v>
      </c>
      <c r="Q632">
        <f t="shared" si="475"/>
        <v>0</v>
      </c>
      <c r="R632">
        <f t="shared" si="476"/>
        <v>0</v>
      </c>
      <c r="S632">
        <f t="shared" si="477"/>
        <v>0</v>
      </c>
      <c r="T632">
        <f t="shared" si="478"/>
        <v>0</v>
      </c>
      <c r="U632">
        <f t="shared" si="479"/>
        <v>0</v>
      </c>
      <c r="V632">
        <f t="shared" si="480"/>
        <v>0</v>
      </c>
      <c r="W632">
        <f t="shared" si="481"/>
        <v>0</v>
      </c>
      <c r="X632">
        <f t="shared" si="482"/>
        <v>0</v>
      </c>
      <c r="Y632">
        <f t="shared" si="483"/>
        <v>0</v>
      </c>
      <c r="AA632">
        <v>16742901</v>
      </c>
      <c r="AB632">
        <f t="shared" si="484"/>
        <v>0</v>
      </c>
      <c r="AC632">
        <f t="shared" si="506"/>
        <v>0</v>
      </c>
      <c r="AD632">
        <f>ROUND((((ET632)-(EU632))+AE632),2)</f>
        <v>0</v>
      </c>
      <c r="AE632">
        <f>ROUND((EU632),2)</f>
        <v>0</v>
      </c>
      <c r="AF632">
        <f>ROUND((EV632),2)</f>
        <v>0</v>
      </c>
      <c r="AG632">
        <f t="shared" si="485"/>
        <v>0</v>
      </c>
      <c r="AH632">
        <f>(EW632)</f>
        <v>0</v>
      </c>
      <c r="AI632">
        <f>(EX632)</f>
        <v>0</v>
      </c>
      <c r="AJ632">
        <f t="shared" si="486"/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95</v>
      </c>
      <c r="AU632">
        <v>47</v>
      </c>
      <c r="AV632">
        <v>1</v>
      </c>
      <c r="AW632">
        <v>1</v>
      </c>
      <c r="AZ632">
        <v>6.56</v>
      </c>
      <c r="BA632">
        <v>1</v>
      </c>
      <c r="BB632">
        <v>1</v>
      </c>
      <c r="BC632">
        <v>6.56</v>
      </c>
      <c r="BD632" t="s">
        <v>6</v>
      </c>
      <c r="BE632" t="s">
        <v>6</v>
      </c>
      <c r="BF632" t="s">
        <v>6</v>
      </c>
      <c r="BG632" t="s">
        <v>6</v>
      </c>
      <c r="BH632">
        <v>3</v>
      </c>
      <c r="BI632">
        <v>1</v>
      </c>
      <c r="BJ632" t="s">
        <v>6</v>
      </c>
      <c r="BM632">
        <v>15001</v>
      </c>
      <c r="BN632">
        <v>0</v>
      </c>
      <c r="BO632" t="s">
        <v>6</v>
      </c>
      <c r="BP632">
        <v>0</v>
      </c>
      <c r="BQ632">
        <v>2</v>
      </c>
      <c r="BR632">
        <v>0</v>
      </c>
      <c r="BS632">
        <v>1</v>
      </c>
      <c r="BT632">
        <v>1</v>
      </c>
      <c r="BU632">
        <v>1</v>
      </c>
      <c r="BV632">
        <v>1</v>
      </c>
      <c r="BW632">
        <v>1</v>
      </c>
      <c r="BX632">
        <v>1</v>
      </c>
      <c r="BY632" t="s">
        <v>6</v>
      </c>
      <c r="BZ632">
        <v>105</v>
      </c>
      <c r="CA632">
        <v>55</v>
      </c>
      <c r="CF632">
        <v>0</v>
      </c>
      <c r="CG632">
        <v>0</v>
      </c>
      <c r="CM632">
        <v>0</v>
      </c>
      <c r="CN632" t="s">
        <v>6</v>
      </c>
      <c r="CO632">
        <v>0</v>
      </c>
      <c r="CP632">
        <f t="shared" si="487"/>
        <v>0</v>
      </c>
      <c r="CQ632">
        <f t="shared" si="488"/>
        <v>0</v>
      </c>
      <c r="CR632">
        <f t="shared" si="489"/>
        <v>0</v>
      </c>
      <c r="CS632">
        <f t="shared" si="490"/>
        <v>0</v>
      </c>
      <c r="CT632">
        <f t="shared" si="491"/>
        <v>0</v>
      </c>
      <c r="CU632">
        <f t="shared" si="492"/>
        <v>0</v>
      </c>
      <c r="CV632">
        <f t="shared" si="493"/>
        <v>0</v>
      </c>
      <c r="CW632">
        <f t="shared" si="494"/>
        <v>0</v>
      </c>
      <c r="CX632">
        <f t="shared" si="495"/>
        <v>0</v>
      </c>
      <c r="CY632">
        <f t="shared" si="496"/>
        <v>0</v>
      </c>
      <c r="CZ632">
        <f t="shared" si="497"/>
        <v>0</v>
      </c>
      <c r="DC632" t="s">
        <v>6</v>
      </c>
      <c r="DD632" t="s">
        <v>6</v>
      </c>
      <c r="DE632" t="s">
        <v>6</v>
      </c>
      <c r="DF632" t="s">
        <v>6</v>
      </c>
      <c r="DG632" t="s">
        <v>6</v>
      </c>
      <c r="DH632" t="s">
        <v>6</v>
      </c>
      <c r="DI632" t="s">
        <v>6</v>
      </c>
      <c r="DJ632" t="s">
        <v>6</v>
      </c>
      <c r="DK632" t="s">
        <v>6</v>
      </c>
      <c r="DL632" t="s">
        <v>6</v>
      </c>
      <c r="DM632" t="s">
        <v>6</v>
      </c>
      <c r="DN632">
        <v>0</v>
      </c>
      <c r="DO632">
        <v>0</v>
      </c>
      <c r="DP632">
        <v>1</v>
      </c>
      <c r="DQ632">
        <v>1</v>
      </c>
      <c r="DU632">
        <v>1009</v>
      </c>
      <c r="DV632" t="s">
        <v>100</v>
      </c>
      <c r="DW632" t="s">
        <v>100</v>
      </c>
      <c r="DX632">
        <v>1000</v>
      </c>
      <c r="EE632">
        <v>16510513</v>
      </c>
      <c r="EF632">
        <v>2</v>
      </c>
      <c r="EG632" t="s">
        <v>22</v>
      </c>
      <c r="EH632">
        <v>0</v>
      </c>
      <c r="EI632" t="s">
        <v>6</v>
      </c>
      <c r="EJ632">
        <v>1</v>
      </c>
      <c r="EK632">
        <v>15001</v>
      </c>
      <c r="EL632" t="s">
        <v>229</v>
      </c>
      <c r="EM632" t="s">
        <v>230</v>
      </c>
      <c r="EO632" t="s">
        <v>6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FQ632">
        <v>0</v>
      </c>
      <c r="FR632">
        <f t="shared" si="498"/>
        <v>0</v>
      </c>
      <c r="FS632">
        <v>0</v>
      </c>
      <c r="FT632" t="s">
        <v>25</v>
      </c>
      <c r="FU632" t="s">
        <v>26</v>
      </c>
      <c r="FX632">
        <v>94.5</v>
      </c>
      <c r="FY632">
        <v>46.75</v>
      </c>
      <c r="GA632" t="s">
        <v>6</v>
      </c>
      <c r="GD632">
        <v>0</v>
      </c>
      <c r="GF632">
        <v>84301199</v>
      </c>
      <c r="GG632">
        <v>1</v>
      </c>
      <c r="GH632">
        <v>1</v>
      </c>
      <c r="GI632">
        <v>4</v>
      </c>
      <c r="GJ632">
        <v>0</v>
      </c>
      <c r="GK632">
        <f>ROUND(R632*(R12)/100,2)</f>
        <v>0</v>
      </c>
      <c r="GL632">
        <f t="shared" si="499"/>
        <v>0</v>
      </c>
      <c r="GM632">
        <f t="shared" si="500"/>
        <v>0</v>
      </c>
      <c r="GN632">
        <f t="shared" si="501"/>
        <v>0</v>
      </c>
      <c r="GO632">
        <f t="shared" si="502"/>
        <v>0</v>
      </c>
      <c r="GP632">
        <f t="shared" si="503"/>
        <v>0</v>
      </c>
      <c r="GR632">
        <v>0</v>
      </c>
      <c r="GS632">
        <v>3</v>
      </c>
      <c r="GT632">
        <v>0</v>
      </c>
      <c r="GU632" t="s">
        <v>6</v>
      </c>
      <c r="GV632">
        <f t="shared" si="504"/>
        <v>0</v>
      </c>
      <c r="GW632">
        <v>1</v>
      </c>
      <c r="GX632">
        <f t="shared" si="505"/>
        <v>0</v>
      </c>
      <c r="HA632">
        <v>0</v>
      </c>
      <c r="HB632">
        <v>0</v>
      </c>
      <c r="IK632">
        <v>0</v>
      </c>
    </row>
    <row r="633" spans="1:245" x14ac:dyDescent="0.2">
      <c r="A633">
        <v>17</v>
      </c>
      <c r="B633">
        <v>1</v>
      </c>
      <c r="C633">
        <f>ROW(SmtRes!A911)</f>
        <v>911</v>
      </c>
      <c r="D633">
        <f>ROW(EtalonRes!A842)</f>
        <v>842</v>
      </c>
      <c r="E633" t="s">
        <v>1099</v>
      </c>
      <c r="F633" t="s">
        <v>1100</v>
      </c>
      <c r="G633" t="s">
        <v>1101</v>
      </c>
      <c r="H633" t="s">
        <v>34</v>
      </c>
      <c r="I633">
        <f>ROUND(200/100,9)</f>
        <v>2</v>
      </c>
      <c r="J633">
        <v>0</v>
      </c>
      <c r="O633">
        <f t="shared" si="473"/>
        <v>1666.24</v>
      </c>
      <c r="P633">
        <f t="shared" si="474"/>
        <v>56.28</v>
      </c>
      <c r="Q633">
        <f t="shared" si="475"/>
        <v>730</v>
      </c>
      <c r="R633">
        <f t="shared" si="476"/>
        <v>0</v>
      </c>
      <c r="S633">
        <f t="shared" si="477"/>
        <v>879.96</v>
      </c>
      <c r="T633">
        <f t="shared" si="478"/>
        <v>0</v>
      </c>
      <c r="U633">
        <f t="shared" si="479"/>
        <v>11.522999999999998</v>
      </c>
      <c r="V633">
        <f t="shared" si="480"/>
        <v>0</v>
      </c>
      <c r="W633">
        <f t="shared" si="481"/>
        <v>0</v>
      </c>
      <c r="X633">
        <f t="shared" si="482"/>
        <v>1011.95</v>
      </c>
      <c r="Y633">
        <f t="shared" si="483"/>
        <v>624.77</v>
      </c>
      <c r="AA633">
        <v>16742901</v>
      </c>
      <c r="AB633">
        <f t="shared" si="484"/>
        <v>127</v>
      </c>
      <c r="AC633">
        <f t="shared" si="506"/>
        <v>4.29</v>
      </c>
      <c r="AD633">
        <f>ROUND(((((ET633*1.25))-((EU633*1.25)))+AE633),2)</f>
        <v>55.64</v>
      </c>
      <c r="AE633">
        <f>ROUND(((EU633*1.25)),2)</f>
        <v>0</v>
      </c>
      <c r="AF633">
        <f>ROUND(((EV633*1.15)),2)</f>
        <v>67.069999999999993</v>
      </c>
      <c r="AG633">
        <f t="shared" si="485"/>
        <v>0</v>
      </c>
      <c r="AH633">
        <f>((EW633*1.15))</f>
        <v>5.761499999999999</v>
      </c>
      <c r="AI633">
        <f>((EX633*1.25))</f>
        <v>0</v>
      </c>
      <c r="AJ633">
        <f t="shared" si="486"/>
        <v>0</v>
      </c>
      <c r="AK633">
        <v>107.12</v>
      </c>
      <c r="AL633">
        <v>4.29</v>
      </c>
      <c r="AM633">
        <v>44.51</v>
      </c>
      <c r="AN633">
        <v>0</v>
      </c>
      <c r="AO633">
        <v>58.32</v>
      </c>
      <c r="AP633">
        <v>0</v>
      </c>
      <c r="AQ633">
        <v>5.01</v>
      </c>
      <c r="AR633">
        <v>0</v>
      </c>
      <c r="AS633">
        <v>0</v>
      </c>
      <c r="AT633">
        <v>115</v>
      </c>
      <c r="AU633">
        <v>71</v>
      </c>
      <c r="AV633">
        <v>1</v>
      </c>
      <c r="AW633">
        <v>1</v>
      </c>
      <c r="AZ633">
        <v>6.56</v>
      </c>
      <c r="BA633">
        <v>6.56</v>
      </c>
      <c r="BB633">
        <v>6.56</v>
      </c>
      <c r="BC633">
        <v>6.56</v>
      </c>
      <c r="BD633" t="s">
        <v>6</v>
      </c>
      <c r="BE633" t="s">
        <v>6</v>
      </c>
      <c r="BF633" t="s">
        <v>6</v>
      </c>
      <c r="BG633" t="s">
        <v>6</v>
      </c>
      <c r="BH633">
        <v>0</v>
      </c>
      <c r="BI633">
        <v>1</v>
      </c>
      <c r="BJ633" t="s">
        <v>1102</v>
      </c>
      <c r="BM633">
        <v>16001</v>
      </c>
      <c r="BN633">
        <v>0</v>
      </c>
      <c r="BO633" t="s">
        <v>6</v>
      </c>
      <c r="BP633">
        <v>0</v>
      </c>
      <c r="BQ633">
        <v>2</v>
      </c>
      <c r="BR633">
        <v>0</v>
      </c>
      <c r="BS633">
        <v>6.56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6</v>
      </c>
      <c r="BZ633">
        <v>128</v>
      </c>
      <c r="CA633">
        <v>83</v>
      </c>
      <c r="CF633">
        <v>0</v>
      </c>
      <c r="CG633">
        <v>0</v>
      </c>
      <c r="CM633">
        <v>0</v>
      </c>
      <c r="CN633" t="s">
        <v>1902</v>
      </c>
      <c r="CO633">
        <v>0</v>
      </c>
      <c r="CP633">
        <f t="shared" si="487"/>
        <v>1666.24</v>
      </c>
      <c r="CQ633">
        <f t="shared" si="488"/>
        <v>28.142399999999999</v>
      </c>
      <c r="CR633">
        <f t="shared" si="489"/>
        <v>364.9984</v>
      </c>
      <c r="CS633">
        <f t="shared" si="490"/>
        <v>0</v>
      </c>
      <c r="CT633">
        <f t="shared" si="491"/>
        <v>439.97919999999993</v>
      </c>
      <c r="CU633">
        <f t="shared" si="492"/>
        <v>0</v>
      </c>
      <c r="CV633">
        <f t="shared" si="493"/>
        <v>5.761499999999999</v>
      </c>
      <c r="CW633">
        <f t="shared" si="494"/>
        <v>0</v>
      </c>
      <c r="CX633">
        <f t="shared" si="495"/>
        <v>0</v>
      </c>
      <c r="CY633">
        <f t="shared" si="496"/>
        <v>1011.9540000000001</v>
      </c>
      <c r="CZ633">
        <f t="shared" si="497"/>
        <v>624.77160000000003</v>
      </c>
      <c r="DC633" t="s">
        <v>6</v>
      </c>
      <c r="DD633" t="s">
        <v>6</v>
      </c>
      <c r="DE633" t="s">
        <v>187</v>
      </c>
      <c r="DF633" t="s">
        <v>187</v>
      </c>
      <c r="DG633" t="s">
        <v>188</v>
      </c>
      <c r="DH633" t="s">
        <v>6</v>
      </c>
      <c r="DI633" t="s">
        <v>188</v>
      </c>
      <c r="DJ633" t="s">
        <v>187</v>
      </c>
      <c r="DK633" t="s">
        <v>6</v>
      </c>
      <c r="DL633" t="s">
        <v>6</v>
      </c>
      <c r="DM633" t="s">
        <v>6</v>
      </c>
      <c r="DN633">
        <v>0</v>
      </c>
      <c r="DO633">
        <v>0</v>
      </c>
      <c r="DP633">
        <v>1</v>
      </c>
      <c r="DQ633">
        <v>1</v>
      </c>
      <c r="DU633">
        <v>1003</v>
      </c>
      <c r="DV633" t="s">
        <v>34</v>
      </c>
      <c r="DW633" t="s">
        <v>34</v>
      </c>
      <c r="DX633">
        <v>100</v>
      </c>
      <c r="EE633">
        <v>16510514</v>
      </c>
      <c r="EF633">
        <v>2</v>
      </c>
      <c r="EG633" t="s">
        <v>22</v>
      </c>
      <c r="EH633">
        <v>0</v>
      </c>
      <c r="EI633" t="s">
        <v>6</v>
      </c>
      <c r="EJ633">
        <v>1</v>
      </c>
      <c r="EK633">
        <v>16001</v>
      </c>
      <c r="EL633" t="s">
        <v>1063</v>
      </c>
      <c r="EM633" t="s">
        <v>1064</v>
      </c>
      <c r="EO633" t="s">
        <v>189</v>
      </c>
      <c r="EQ633">
        <v>131072</v>
      </c>
      <c r="ER633">
        <v>107.12</v>
      </c>
      <c r="ES633">
        <v>4.29</v>
      </c>
      <c r="ET633">
        <v>44.51</v>
      </c>
      <c r="EU633">
        <v>0</v>
      </c>
      <c r="EV633">
        <v>58.32</v>
      </c>
      <c r="EW633">
        <v>5.01</v>
      </c>
      <c r="EX633">
        <v>0</v>
      </c>
      <c r="EY633">
        <v>0</v>
      </c>
      <c r="FQ633">
        <v>0</v>
      </c>
      <c r="FR633">
        <f t="shared" si="498"/>
        <v>0</v>
      </c>
      <c r="FS633">
        <v>0</v>
      </c>
      <c r="FT633" t="s">
        <v>25</v>
      </c>
      <c r="FU633" t="s">
        <v>26</v>
      </c>
      <c r="FX633">
        <v>115.2</v>
      </c>
      <c r="FY633">
        <v>70.55</v>
      </c>
      <c r="GA633" t="s">
        <v>6</v>
      </c>
      <c r="GD633">
        <v>0</v>
      </c>
      <c r="GF633">
        <v>1667606600</v>
      </c>
      <c r="GG633">
        <v>1</v>
      </c>
      <c r="GH633">
        <v>1</v>
      </c>
      <c r="GI633">
        <v>4</v>
      </c>
      <c r="GJ633">
        <v>0</v>
      </c>
      <c r="GK633">
        <f>ROUND(R633*(R12)/100,2)</f>
        <v>0</v>
      </c>
      <c r="GL633">
        <f t="shared" si="499"/>
        <v>0</v>
      </c>
      <c r="GM633">
        <f t="shared" si="500"/>
        <v>3302.96</v>
      </c>
      <c r="GN633">
        <f t="shared" si="501"/>
        <v>3302.96</v>
      </c>
      <c r="GO633">
        <f t="shared" si="502"/>
        <v>0</v>
      </c>
      <c r="GP633">
        <f t="shared" si="503"/>
        <v>0</v>
      </c>
      <c r="GR633">
        <v>0</v>
      </c>
      <c r="GS633">
        <v>3</v>
      </c>
      <c r="GT633">
        <v>0</v>
      </c>
      <c r="GU633" t="s">
        <v>6</v>
      </c>
      <c r="GV633">
        <f t="shared" si="504"/>
        <v>0</v>
      </c>
      <c r="GW633">
        <v>1</v>
      </c>
      <c r="GX633">
        <f t="shared" si="505"/>
        <v>0</v>
      </c>
      <c r="HA633">
        <v>0</v>
      </c>
      <c r="HB633">
        <v>0</v>
      </c>
      <c r="IK633">
        <v>0</v>
      </c>
    </row>
    <row r="635" spans="1:245" x14ac:dyDescent="0.2">
      <c r="A635" s="2">
        <v>51</v>
      </c>
      <c r="B635" s="2">
        <f>B611</f>
        <v>1</v>
      </c>
      <c r="C635" s="2">
        <f>A611</f>
        <v>4</v>
      </c>
      <c r="D635" s="2">
        <f>ROW(A611)</f>
        <v>611</v>
      </c>
      <c r="E635" s="2"/>
      <c r="F635" s="2" t="str">
        <f>IF(F611&lt;&gt;"",F611,"")</f>
        <v>Новый раздел</v>
      </c>
      <c r="G635" s="2" t="str">
        <f>IF(G611&lt;&gt;"",G611,"")</f>
        <v>6 Отопление</v>
      </c>
      <c r="H635" s="2">
        <v>0</v>
      </c>
      <c r="I635" s="2"/>
      <c r="J635" s="2"/>
      <c r="K635" s="2"/>
      <c r="L635" s="2"/>
      <c r="M635" s="2"/>
      <c r="N635" s="2"/>
      <c r="O635" s="2">
        <f t="shared" ref="O635:T635" si="511">ROUND(AB635,2)</f>
        <v>288594.40999999997</v>
      </c>
      <c r="P635" s="2">
        <f t="shared" si="511"/>
        <v>270436.63</v>
      </c>
      <c r="Q635" s="2">
        <f t="shared" si="511"/>
        <v>2545.06</v>
      </c>
      <c r="R635" s="2">
        <f t="shared" si="511"/>
        <v>309.61</v>
      </c>
      <c r="S635" s="2">
        <f t="shared" si="511"/>
        <v>15612.72</v>
      </c>
      <c r="T635" s="2">
        <f t="shared" si="511"/>
        <v>0</v>
      </c>
      <c r="U635" s="2">
        <f>AH635</f>
        <v>259.56361880000003</v>
      </c>
      <c r="V635" s="2">
        <f>AI635</f>
        <v>3.7915912499999997</v>
      </c>
      <c r="W635" s="2">
        <f>ROUND(AJ635,2)</f>
        <v>0</v>
      </c>
      <c r="X635" s="2">
        <f>ROUND(AK635,2)</f>
        <v>16307.91</v>
      </c>
      <c r="Y635" s="2">
        <f>ROUND(AL635,2)</f>
        <v>10122.58</v>
      </c>
      <c r="Z635" s="2"/>
      <c r="AA635" s="2"/>
      <c r="AB635" s="2">
        <f>ROUND(SUMIF(AA615:AA633,"=16742901",O615:O633),2)</f>
        <v>288594.40999999997</v>
      </c>
      <c r="AC635" s="2">
        <f>ROUND(SUMIF(AA615:AA633,"=16742901",P615:P633),2)</f>
        <v>270436.63</v>
      </c>
      <c r="AD635" s="2">
        <f>ROUND(SUMIF(AA615:AA633,"=16742901",Q615:Q633),2)</f>
        <v>2545.06</v>
      </c>
      <c r="AE635" s="2">
        <f>ROUND(SUMIF(AA615:AA633,"=16742901",R615:R633),2)</f>
        <v>309.61</v>
      </c>
      <c r="AF635" s="2">
        <f>ROUND(SUMIF(AA615:AA633,"=16742901",S615:S633),2)</f>
        <v>15612.72</v>
      </c>
      <c r="AG635" s="2">
        <f>ROUND(SUMIF(AA615:AA633,"=16742901",T615:T633),2)</f>
        <v>0</v>
      </c>
      <c r="AH635" s="2">
        <f>SUMIF(AA615:AA633,"=16742901",U615:U633)</f>
        <v>259.56361880000003</v>
      </c>
      <c r="AI635" s="2">
        <f>SUMIF(AA615:AA633,"=16742901",V615:V633)</f>
        <v>3.7915912499999997</v>
      </c>
      <c r="AJ635" s="2">
        <f>ROUND(SUMIF(AA615:AA633,"=16742901",W615:W633),2)</f>
        <v>0</v>
      </c>
      <c r="AK635" s="2">
        <f>ROUND(SUMIF(AA615:AA633,"=16742901",X615:X633),2)</f>
        <v>16307.91</v>
      </c>
      <c r="AL635" s="2">
        <f>ROUND(SUMIF(AA615:AA633,"=16742901",Y615:Y633),2)</f>
        <v>10122.58</v>
      </c>
      <c r="AM635" s="2"/>
      <c r="AN635" s="2"/>
      <c r="AO635" s="2">
        <f t="shared" ref="AO635:BC635" si="512">ROUND(BX635,2)</f>
        <v>0</v>
      </c>
      <c r="AP635" s="2">
        <f t="shared" si="512"/>
        <v>0</v>
      </c>
      <c r="AQ635" s="2">
        <f t="shared" si="512"/>
        <v>0</v>
      </c>
      <c r="AR635" s="2">
        <f t="shared" si="512"/>
        <v>315024.90000000002</v>
      </c>
      <c r="AS635" s="2">
        <f t="shared" si="512"/>
        <v>315024.90000000002</v>
      </c>
      <c r="AT635" s="2">
        <f t="shared" si="512"/>
        <v>0</v>
      </c>
      <c r="AU635" s="2">
        <f t="shared" si="512"/>
        <v>0</v>
      </c>
      <c r="AV635" s="2">
        <f t="shared" si="512"/>
        <v>270436.63</v>
      </c>
      <c r="AW635" s="2">
        <f t="shared" si="512"/>
        <v>270436.63</v>
      </c>
      <c r="AX635" s="2">
        <f t="shared" si="512"/>
        <v>0</v>
      </c>
      <c r="AY635" s="2">
        <f t="shared" si="512"/>
        <v>270436.63</v>
      </c>
      <c r="AZ635" s="2">
        <f t="shared" si="512"/>
        <v>0</v>
      </c>
      <c r="BA635" s="2">
        <f t="shared" si="512"/>
        <v>0</v>
      </c>
      <c r="BB635" s="2">
        <f t="shared" si="512"/>
        <v>0</v>
      </c>
      <c r="BC635" s="2">
        <f t="shared" si="512"/>
        <v>0</v>
      </c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>
        <f>ROUND(SUMIF(AA615:AA633,"=16742901",FQ615:FQ633),2)</f>
        <v>0</v>
      </c>
      <c r="BY635" s="2">
        <f>ROUND(SUMIF(AA615:AA633,"=16742901",FR615:FR633),2)</f>
        <v>0</v>
      </c>
      <c r="BZ635" s="2">
        <f>ROUND(SUMIF(AA615:AA633,"=16742901",GL615:GL633),2)</f>
        <v>0</v>
      </c>
      <c r="CA635" s="2">
        <f>ROUND(SUMIF(AA615:AA633,"=16742901",GM615:GM633),2)</f>
        <v>315024.90000000002</v>
      </c>
      <c r="CB635" s="2">
        <f>ROUND(SUMIF(AA615:AA633,"=16742901",GN615:GN633),2)</f>
        <v>315024.90000000002</v>
      </c>
      <c r="CC635" s="2">
        <f>ROUND(SUMIF(AA615:AA633,"=16742901",GO615:GO633),2)</f>
        <v>0</v>
      </c>
      <c r="CD635" s="2">
        <f>ROUND(SUMIF(AA615:AA633,"=16742901",GP615:GP633),2)</f>
        <v>0</v>
      </c>
      <c r="CE635" s="2">
        <f>AC635-BX635</f>
        <v>270436.63</v>
      </c>
      <c r="CF635" s="2">
        <f>AC635-BY635</f>
        <v>270436.63</v>
      </c>
      <c r="CG635" s="2">
        <f>BX635-BZ635</f>
        <v>0</v>
      </c>
      <c r="CH635" s="2">
        <f>AC635-BX635-BY635+BZ635</f>
        <v>270436.63</v>
      </c>
      <c r="CI635" s="2">
        <f>BY635-BZ635</f>
        <v>0</v>
      </c>
      <c r="CJ635" s="2">
        <f>ROUND(SUMIF(AA615:AA633,"=16742901",GX615:GX633),2)</f>
        <v>0</v>
      </c>
      <c r="CK635" s="2">
        <f>ROUND(SUMIF(AA615:AA633,"=16742901",GY615:GY633),2)</f>
        <v>0</v>
      </c>
      <c r="CL635" s="2">
        <f>ROUND(SUMIF(AA615:AA633,"=16742901",GZ615:GZ633),2)</f>
        <v>0</v>
      </c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3"/>
      <c r="EF635" s="3"/>
      <c r="EG635" s="3"/>
      <c r="EH635" s="3"/>
      <c r="EI635" s="3"/>
      <c r="EJ635" s="3"/>
      <c r="EK635" s="3"/>
      <c r="EL635" s="3"/>
      <c r="EM635" s="3"/>
      <c r="EN635" s="3"/>
      <c r="EO635" s="3"/>
      <c r="EP635" s="3"/>
      <c r="EQ635" s="3"/>
      <c r="ER635" s="3"/>
      <c r="ES635" s="3"/>
      <c r="ET635" s="3"/>
      <c r="EU635" s="3"/>
      <c r="EV635" s="3"/>
      <c r="EW635" s="3"/>
      <c r="EX635" s="3"/>
      <c r="EY635" s="3"/>
      <c r="EZ635" s="3"/>
      <c r="FA635" s="3"/>
      <c r="FB635" s="3"/>
      <c r="FC635" s="3"/>
      <c r="FD635" s="3"/>
      <c r="FE635" s="3"/>
      <c r="FF635" s="3"/>
      <c r="FG635" s="3"/>
      <c r="FH635" s="3"/>
      <c r="FI635" s="3"/>
      <c r="FJ635" s="3"/>
      <c r="FK635" s="3"/>
      <c r="FL635" s="3"/>
      <c r="FM635" s="3"/>
      <c r="FN635" s="3"/>
      <c r="FO635" s="3"/>
      <c r="FP635" s="3"/>
      <c r="FQ635" s="3"/>
      <c r="FR635" s="3"/>
      <c r="FS635" s="3"/>
      <c r="FT635" s="3"/>
      <c r="FU635" s="3"/>
      <c r="FV635" s="3"/>
      <c r="FW635" s="3"/>
      <c r="FX635" s="3"/>
      <c r="FY635" s="3"/>
      <c r="FZ635" s="3"/>
      <c r="GA635" s="3"/>
      <c r="GB635" s="3"/>
      <c r="GC635" s="3"/>
      <c r="GD635" s="3"/>
      <c r="GE635" s="3"/>
      <c r="GF635" s="3"/>
      <c r="GG635" s="3"/>
      <c r="GH635" s="3"/>
      <c r="GI635" s="3"/>
      <c r="GJ635" s="3"/>
      <c r="GK635" s="3"/>
      <c r="GL635" s="3"/>
      <c r="GM635" s="3"/>
      <c r="GN635" s="3"/>
      <c r="GO635" s="3"/>
      <c r="GP635" s="3"/>
      <c r="GQ635" s="3"/>
      <c r="GR635" s="3"/>
      <c r="GS635" s="3"/>
      <c r="GT635" s="3"/>
      <c r="GU635" s="3"/>
      <c r="GV635" s="3"/>
      <c r="GW635" s="3"/>
      <c r="GX635" s="3">
        <v>0</v>
      </c>
    </row>
    <row r="637" spans="1:245" x14ac:dyDescent="0.2">
      <c r="A637" s="4">
        <v>50</v>
      </c>
      <c r="B637" s="4">
        <v>0</v>
      </c>
      <c r="C637" s="4">
        <v>0</v>
      </c>
      <c r="D637" s="4">
        <v>1</v>
      </c>
      <c r="E637" s="4">
        <v>201</v>
      </c>
      <c r="F637" s="4">
        <f>ROUND(Source!O635,O637)</f>
        <v>288594.40999999997</v>
      </c>
      <c r="G637" s="4" t="s">
        <v>130</v>
      </c>
      <c r="H637" s="4" t="s">
        <v>131</v>
      </c>
      <c r="I637" s="4"/>
      <c r="J637" s="4"/>
      <c r="K637" s="4">
        <v>201</v>
      </c>
      <c r="L637" s="4">
        <v>1</v>
      </c>
      <c r="M637" s="4">
        <v>3</v>
      </c>
      <c r="N637" s="4" t="s">
        <v>6</v>
      </c>
      <c r="O637" s="4">
        <v>2</v>
      </c>
      <c r="P637" s="4"/>
      <c r="Q637" s="4"/>
      <c r="R637" s="4"/>
      <c r="S637" s="4"/>
      <c r="T637" s="4"/>
      <c r="U637" s="4"/>
      <c r="V637" s="4"/>
      <c r="W637" s="4"/>
    </row>
    <row r="638" spans="1:245" x14ac:dyDescent="0.2">
      <c r="A638" s="4">
        <v>50</v>
      </c>
      <c r="B638" s="4">
        <v>0</v>
      </c>
      <c r="C638" s="4">
        <v>0</v>
      </c>
      <c r="D638" s="4">
        <v>1</v>
      </c>
      <c r="E638" s="4">
        <v>202</v>
      </c>
      <c r="F638" s="4">
        <f>ROUND(Source!P635,O638)</f>
        <v>270436.63</v>
      </c>
      <c r="G638" s="4" t="s">
        <v>132</v>
      </c>
      <c r="H638" s="4" t="s">
        <v>133</v>
      </c>
      <c r="I638" s="4"/>
      <c r="J638" s="4"/>
      <c r="K638" s="4">
        <v>202</v>
      </c>
      <c r="L638" s="4">
        <v>2</v>
      </c>
      <c r="M638" s="4">
        <v>3</v>
      </c>
      <c r="N638" s="4" t="s">
        <v>6</v>
      </c>
      <c r="O638" s="4">
        <v>2</v>
      </c>
      <c r="P638" s="4"/>
      <c r="Q638" s="4"/>
      <c r="R638" s="4"/>
      <c r="S638" s="4"/>
      <c r="T638" s="4"/>
      <c r="U638" s="4"/>
      <c r="V638" s="4"/>
      <c r="W638" s="4"/>
    </row>
    <row r="639" spans="1:245" x14ac:dyDescent="0.2">
      <c r="A639" s="4">
        <v>50</v>
      </c>
      <c r="B639" s="4">
        <v>0</v>
      </c>
      <c r="C639" s="4">
        <v>0</v>
      </c>
      <c r="D639" s="4">
        <v>1</v>
      </c>
      <c r="E639" s="4">
        <v>222</v>
      </c>
      <c r="F639" s="4">
        <f>ROUND(Source!AO635,O639)</f>
        <v>0</v>
      </c>
      <c r="G639" s="4" t="s">
        <v>134</v>
      </c>
      <c r="H639" s="4" t="s">
        <v>135</v>
      </c>
      <c r="I639" s="4"/>
      <c r="J639" s="4"/>
      <c r="K639" s="4">
        <v>222</v>
      </c>
      <c r="L639" s="4">
        <v>3</v>
      </c>
      <c r="M639" s="4">
        <v>3</v>
      </c>
      <c r="N639" s="4" t="s">
        <v>6</v>
      </c>
      <c r="O639" s="4">
        <v>2</v>
      </c>
      <c r="P639" s="4"/>
      <c r="Q639" s="4"/>
      <c r="R639" s="4"/>
      <c r="S639" s="4"/>
      <c r="T639" s="4"/>
      <c r="U639" s="4"/>
      <c r="V639" s="4"/>
      <c r="W639" s="4"/>
    </row>
    <row r="640" spans="1:245" x14ac:dyDescent="0.2">
      <c r="A640" s="4">
        <v>50</v>
      </c>
      <c r="B640" s="4">
        <v>0</v>
      </c>
      <c r="C640" s="4">
        <v>0</v>
      </c>
      <c r="D640" s="4">
        <v>1</v>
      </c>
      <c r="E640" s="4">
        <v>225</v>
      </c>
      <c r="F640" s="4">
        <f>ROUND(Source!AV635,O640)</f>
        <v>270436.63</v>
      </c>
      <c r="G640" s="4" t="s">
        <v>136</v>
      </c>
      <c r="H640" s="4" t="s">
        <v>137</v>
      </c>
      <c r="I640" s="4"/>
      <c r="J640" s="4"/>
      <c r="K640" s="4">
        <v>225</v>
      </c>
      <c r="L640" s="4">
        <v>4</v>
      </c>
      <c r="M640" s="4">
        <v>3</v>
      </c>
      <c r="N640" s="4" t="s">
        <v>6</v>
      </c>
      <c r="O640" s="4">
        <v>2</v>
      </c>
      <c r="P640" s="4"/>
      <c r="Q640" s="4"/>
      <c r="R640" s="4"/>
      <c r="S640" s="4"/>
      <c r="T640" s="4"/>
      <c r="U640" s="4"/>
      <c r="V640" s="4"/>
      <c r="W640" s="4"/>
    </row>
    <row r="641" spans="1:23" x14ac:dyDescent="0.2">
      <c r="A641" s="4">
        <v>50</v>
      </c>
      <c r="B641" s="4">
        <v>0</v>
      </c>
      <c r="C641" s="4">
        <v>0</v>
      </c>
      <c r="D641" s="4">
        <v>1</v>
      </c>
      <c r="E641" s="4">
        <v>226</v>
      </c>
      <c r="F641" s="4">
        <f>ROUND(Source!AW635,O641)</f>
        <v>270436.63</v>
      </c>
      <c r="G641" s="4" t="s">
        <v>138</v>
      </c>
      <c r="H641" s="4" t="s">
        <v>139</v>
      </c>
      <c r="I641" s="4"/>
      <c r="J641" s="4"/>
      <c r="K641" s="4">
        <v>226</v>
      </c>
      <c r="L641" s="4">
        <v>5</v>
      </c>
      <c r="M641" s="4">
        <v>3</v>
      </c>
      <c r="N641" s="4" t="s">
        <v>6</v>
      </c>
      <c r="O641" s="4">
        <v>2</v>
      </c>
      <c r="P641" s="4"/>
      <c r="Q641" s="4"/>
      <c r="R641" s="4"/>
      <c r="S641" s="4"/>
      <c r="T641" s="4"/>
      <c r="U641" s="4"/>
      <c r="V641" s="4"/>
      <c r="W641" s="4"/>
    </row>
    <row r="642" spans="1:23" x14ac:dyDescent="0.2">
      <c r="A642" s="4">
        <v>50</v>
      </c>
      <c r="B642" s="4">
        <v>0</v>
      </c>
      <c r="C642" s="4">
        <v>0</v>
      </c>
      <c r="D642" s="4">
        <v>1</v>
      </c>
      <c r="E642" s="4">
        <v>227</v>
      </c>
      <c r="F642" s="4">
        <f>ROUND(Source!AX635,O642)</f>
        <v>0</v>
      </c>
      <c r="G642" s="4" t="s">
        <v>140</v>
      </c>
      <c r="H642" s="4" t="s">
        <v>141</v>
      </c>
      <c r="I642" s="4"/>
      <c r="J642" s="4"/>
      <c r="K642" s="4">
        <v>227</v>
      </c>
      <c r="L642" s="4">
        <v>6</v>
      </c>
      <c r="M642" s="4">
        <v>3</v>
      </c>
      <c r="N642" s="4" t="s">
        <v>6</v>
      </c>
      <c r="O642" s="4">
        <v>2</v>
      </c>
      <c r="P642" s="4"/>
      <c r="Q642" s="4"/>
      <c r="R642" s="4"/>
      <c r="S642" s="4"/>
      <c r="T642" s="4"/>
      <c r="U642" s="4"/>
      <c r="V642" s="4"/>
      <c r="W642" s="4"/>
    </row>
    <row r="643" spans="1:23" x14ac:dyDescent="0.2">
      <c r="A643" s="4">
        <v>50</v>
      </c>
      <c r="B643" s="4">
        <v>0</v>
      </c>
      <c r="C643" s="4">
        <v>0</v>
      </c>
      <c r="D643" s="4">
        <v>1</v>
      </c>
      <c r="E643" s="4">
        <v>228</v>
      </c>
      <c r="F643" s="4">
        <f>ROUND(Source!AY635,O643)</f>
        <v>270436.63</v>
      </c>
      <c r="G643" s="4" t="s">
        <v>142</v>
      </c>
      <c r="H643" s="4" t="s">
        <v>143</v>
      </c>
      <c r="I643" s="4"/>
      <c r="J643" s="4"/>
      <c r="K643" s="4">
        <v>228</v>
      </c>
      <c r="L643" s="4">
        <v>7</v>
      </c>
      <c r="M643" s="4">
        <v>3</v>
      </c>
      <c r="N643" s="4" t="s">
        <v>6</v>
      </c>
      <c r="O643" s="4">
        <v>2</v>
      </c>
      <c r="P643" s="4"/>
      <c r="Q643" s="4"/>
      <c r="R643" s="4"/>
      <c r="S643" s="4"/>
      <c r="T643" s="4"/>
      <c r="U643" s="4"/>
      <c r="V643" s="4"/>
      <c r="W643" s="4"/>
    </row>
    <row r="644" spans="1:23" x14ac:dyDescent="0.2">
      <c r="A644" s="4">
        <v>50</v>
      </c>
      <c r="B644" s="4">
        <v>0</v>
      </c>
      <c r="C644" s="4">
        <v>0</v>
      </c>
      <c r="D644" s="4">
        <v>1</v>
      </c>
      <c r="E644" s="4">
        <v>216</v>
      </c>
      <c r="F644" s="4">
        <f>ROUND(Source!AP635,O644)</f>
        <v>0</v>
      </c>
      <c r="G644" s="4" t="s">
        <v>144</v>
      </c>
      <c r="H644" s="4" t="s">
        <v>145</v>
      </c>
      <c r="I644" s="4"/>
      <c r="J644" s="4"/>
      <c r="K644" s="4">
        <v>216</v>
      </c>
      <c r="L644" s="4">
        <v>8</v>
      </c>
      <c r="M644" s="4">
        <v>3</v>
      </c>
      <c r="N644" s="4" t="s">
        <v>6</v>
      </c>
      <c r="O644" s="4">
        <v>2</v>
      </c>
      <c r="P644" s="4"/>
      <c r="Q644" s="4"/>
      <c r="R644" s="4"/>
      <c r="S644" s="4"/>
      <c r="T644" s="4"/>
      <c r="U644" s="4"/>
      <c r="V644" s="4"/>
      <c r="W644" s="4"/>
    </row>
    <row r="645" spans="1:23" x14ac:dyDescent="0.2">
      <c r="A645" s="4">
        <v>50</v>
      </c>
      <c r="B645" s="4">
        <v>0</v>
      </c>
      <c r="C645" s="4">
        <v>0</v>
      </c>
      <c r="D645" s="4">
        <v>1</v>
      </c>
      <c r="E645" s="4">
        <v>223</v>
      </c>
      <c r="F645" s="4">
        <f>ROUND(Source!AQ635,O645)</f>
        <v>0</v>
      </c>
      <c r="G645" s="4" t="s">
        <v>146</v>
      </c>
      <c r="H645" s="4" t="s">
        <v>147</v>
      </c>
      <c r="I645" s="4"/>
      <c r="J645" s="4"/>
      <c r="K645" s="4">
        <v>223</v>
      </c>
      <c r="L645" s="4">
        <v>9</v>
      </c>
      <c r="M645" s="4">
        <v>3</v>
      </c>
      <c r="N645" s="4" t="s">
        <v>6</v>
      </c>
      <c r="O645" s="4">
        <v>2</v>
      </c>
      <c r="P645" s="4"/>
      <c r="Q645" s="4"/>
      <c r="R645" s="4"/>
      <c r="S645" s="4"/>
      <c r="T645" s="4"/>
      <c r="U645" s="4"/>
      <c r="V645" s="4"/>
      <c r="W645" s="4"/>
    </row>
    <row r="646" spans="1:23" x14ac:dyDescent="0.2">
      <c r="A646" s="4">
        <v>50</v>
      </c>
      <c r="B646" s="4">
        <v>0</v>
      </c>
      <c r="C646" s="4">
        <v>0</v>
      </c>
      <c r="D646" s="4">
        <v>1</v>
      </c>
      <c r="E646" s="4">
        <v>229</v>
      </c>
      <c r="F646" s="4">
        <f>ROUND(Source!AZ635,O646)</f>
        <v>0</v>
      </c>
      <c r="G646" s="4" t="s">
        <v>148</v>
      </c>
      <c r="H646" s="4" t="s">
        <v>149</v>
      </c>
      <c r="I646" s="4"/>
      <c r="J646" s="4"/>
      <c r="K646" s="4">
        <v>229</v>
      </c>
      <c r="L646" s="4">
        <v>10</v>
      </c>
      <c r="M646" s="4">
        <v>3</v>
      </c>
      <c r="N646" s="4" t="s">
        <v>6</v>
      </c>
      <c r="O646" s="4">
        <v>2</v>
      </c>
      <c r="P646" s="4"/>
      <c r="Q646" s="4"/>
      <c r="R646" s="4"/>
      <c r="S646" s="4"/>
      <c r="T646" s="4"/>
      <c r="U646" s="4"/>
      <c r="V646" s="4"/>
      <c r="W646" s="4"/>
    </row>
    <row r="647" spans="1:23" x14ac:dyDescent="0.2">
      <c r="A647" s="4">
        <v>50</v>
      </c>
      <c r="B647" s="4">
        <v>0</v>
      </c>
      <c r="C647" s="4">
        <v>0</v>
      </c>
      <c r="D647" s="4">
        <v>1</v>
      </c>
      <c r="E647" s="4">
        <v>203</v>
      </c>
      <c r="F647" s="4">
        <f>ROUND(Source!Q635,O647)</f>
        <v>2545.06</v>
      </c>
      <c r="G647" s="4" t="s">
        <v>150</v>
      </c>
      <c r="H647" s="4" t="s">
        <v>151</v>
      </c>
      <c r="I647" s="4"/>
      <c r="J647" s="4"/>
      <c r="K647" s="4">
        <v>203</v>
      </c>
      <c r="L647" s="4">
        <v>11</v>
      </c>
      <c r="M647" s="4">
        <v>3</v>
      </c>
      <c r="N647" s="4" t="s">
        <v>6</v>
      </c>
      <c r="O647" s="4">
        <v>2</v>
      </c>
      <c r="P647" s="4"/>
      <c r="Q647" s="4"/>
      <c r="R647" s="4"/>
      <c r="S647" s="4"/>
      <c r="T647" s="4"/>
      <c r="U647" s="4"/>
      <c r="V647" s="4"/>
      <c r="W647" s="4"/>
    </row>
    <row r="648" spans="1:23" x14ac:dyDescent="0.2">
      <c r="A648" s="4">
        <v>50</v>
      </c>
      <c r="B648" s="4">
        <v>0</v>
      </c>
      <c r="C648" s="4">
        <v>0</v>
      </c>
      <c r="D648" s="4">
        <v>1</v>
      </c>
      <c r="E648" s="4">
        <v>231</v>
      </c>
      <c r="F648" s="4">
        <f>ROUND(Source!BB635,O648)</f>
        <v>0</v>
      </c>
      <c r="G648" s="4" t="s">
        <v>152</v>
      </c>
      <c r="H648" s="4" t="s">
        <v>153</v>
      </c>
      <c r="I648" s="4"/>
      <c r="J648" s="4"/>
      <c r="K648" s="4">
        <v>231</v>
      </c>
      <c r="L648" s="4">
        <v>12</v>
      </c>
      <c r="M648" s="4">
        <v>3</v>
      </c>
      <c r="N648" s="4" t="s">
        <v>6</v>
      </c>
      <c r="O648" s="4">
        <v>2</v>
      </c>
      <c r="P648" s="4"/>
      <c r="Q648" s="4"/>
      <c r="R648" s="4"/>
      <c r="S648" s="4"/>
      <c r="T648" s="4"/>
      <c r="U648" s="4"/>
      <c r="V648" s="4"/>
      <c r="W648" s="4"/>
    </row>
    <row r="649" spans="1:23" x14ac:dyDescent="0.2">
      <c r="A649" s="4">
        <v>50</v>
      </c>
      <c r="B649" s="4">
        <v>0</v>
      </c>
      <c r="C649" s="4">
        <v>0</v>
      </c>
      <c r="D649" s="4">
        <v>1</v>
      </c>
      <c r="E649" s="4">
        <v>204</v>
      </c>
      <c r="F649" s="4">
        <f>ROUND(Source!R635,O649)</f>
        <v>309.61</v>
      </c>
      <c r="G649" s="4" t="s">
        <v>154</v>
      </c>
      <c r="H649" s="4" t="s">
        <v>155</v>
      </c>
      <c r="I649" s="4"/>
      <c r="J649" s="4"/>
      <c r="K649" s="4">
        <v>204</v>
      </c>
      <c r="L649" s="4">
        <v>13</v>
      </c>
      <c r="M649" s="4">
        <v>3</v>
      </c>
      <c r="N649" s="4" t="s">
        <v>6</v>
      </c>
      <c r="O649" s="4">
        <v>2</v>
      </c>
      <c r="P649" s="4"/>
      <c r="Q649" s="4"/>
      <c r="R649" s="4"/>
      <c r="S649" s="4"/>
      <c r="T649" s="4"/>
      <c r="U649" s="4"/>
      <c r="V649" s="4"/>
      <c r="W649" s="4"/>
    </row>
    <row r="650" spans="1:23" x14ac:dyDescent="0.2">
      <c r="A650" s="4">
        <v>50</v>
      </c>
      <c r="B650" s="4">
        <v>0</v>
      </c>
      <c r="C650" s="4">
        <v>0</v>
      </c>
      <c r="D650" s="4">
        <v>1</v>
      </c>
      <c r="E650" s="4">
        <v>205</v>
      </c>
      <c r="F650" s="4">
        <f>ROUND(Source!S635,O650)</f>
        <v>15612.72</v>
      </c>
      <c r="G650" s="4" t="s">
        <v>156</v>
      </c>
      <c r="H650" s="4" t="s">
        <v>157</v>
      </c>
      <c r="I650" s="4"/>
      <c r="J650" s="4"/>
      <c r="K650" s="4">
        <v>205</v>
      </c>
      <c r="L650" s="4">
        <v>14</v>
      </c>
      <c r="M650" s="4">
        <v>3</v>
      </c>
      <c r="N650" s="4" t="s">
        <v>6</v>
      </c>
      <c r="O650" s="4">
        <v>2</v>
      </c>
      <c r="P650" s="4"/>
      <c r="Q650" s="4"/>
      <c r="R650" s="4"/>
      <c r="S650" s="4"/>
      <c r="T650" s="4"/>
      <c r="U650" s="4"/>
      <c r="V650" s="4"/>
      <c r="W650" s="4"/>
    </row>
    <row r="651" spans="1:23" x14ac:dyDescent="0.2">
      <c r="A651" s="4">
        <v>50</v>
      </c>
      <c r="B651" s="4">
        <v>0</v>
      </c>
      <c r="C651" s="4">
        <v>0</v>
      </c>
      <c r="D651" s="4">
        <v>1</v>
      </c>
      <c r="E651" s="4">
        <v>232</v>
      </c>
      <c r="F651" s="4">
        <f>ROUND(Source!BC635,O651)</f>
        <v>0</v>
      </c>
      <c r="G651" s="4" t="s">
        <v>158</v>
      </c>
      <c r="H651" s="4" t="s">
        <v>159</v>
      </c>
      <c r="I651" s="4"/>
      <c r="J651" s="4"/>
      <c r="K651" s="4">
        <v>232</v>
      </c>
      <c r="L651" s="4">
        <v>15</v>
      </c>
      <c r="M651" s="4">
        <v>3</v>
      </c>
      <c r="N651" s="4" t="s">
        <v>6</v>
      </c>
      <c r="O651" s="4">
        <v>2</v>
      </c>
      <c r="P651" s="4"/>
      <c r="Q651" s="4"/>
      <c r="R651" s="4"/>
      <c r="S651" s="4"/>
      <c r="T651" s="4"/>
      <c r="U651" s="4"/>
      <c r="V651" s="4"/>
      <c r="W651" s="4"/>
    </row>
    <row r="652" spans="1:23" x14ac:dyDescent="0.2">
      <c r="A652" s="4">
        <v>50</v>
      </c>
      <c r="B652" s="4">
        <v>0</v>
      </c>
      <c r="C652" s="4">
        <v>0</v>
      </c>
      <c r="D652" s="4">
        <v>1</v>
      </c>
      <c r="E652" s="4">
        <v>214</v>
      </c>
      <c r="F652" s="4">
        <f>ROUND(Source!AS635,O652)</f>
        <v>315024.90000000002</v>
      </c>
      <c r="G652" s="4" t="s">
        <v>160</v>
      </c>
      <c r="H652" s="4" t="s">
        <v>161</v>
      </c>
      <c r="I652" s="4"/>
      <c r="J652" s="4"/>
      <c r="K652" s="4">
        <v>214</v>
      </c>
      <c r="L652" s="4">
        <v>16</v>
      </c>
      <c r="M652" s="4">
        <v>3</v>
      </c>
      <c r="N652" s="4" t="s">
        <v>6</v>
      </c>
      <c r="O652" s="4">
        <v>2</v>
      </c>
      <c r="P652" s="4"/>
      <c r="Q652" s="4"/>
      <c r="R652" s="4"/>
      <c r="S652" s="4"/>
      <c r="T652" s="4"/>
      <c r="U652" s="4"/>
      <c r="V652" s="4"/>
      <c r="W652" s="4"/>
    </row>
    <row r="653" spans="1:23" x14ac:dyDescent="0.2">
      <c r="A653" s="4">
        <v>50</v>
      </c>
      <c r="B653" s="4">
        <v>0</v>
      </c>
      <c r="C653" s="4">
        <v>0</v>
      </c>
      <c r="D653" s="4">
        <v>1</v>
      </c>
      <c r="E653" s="4">
        <v>215</v>
      </c>
      <c r="F653" s="4">
        <f>ROUND(Source!AT635,O653)</f>
        <v>0</v>
      </c>
      <c r="G653" s="4" t="s">
        <v>162</v>
      </c>
      <c r="H653" s="4" t="s">
        <v>163</v>
      </c>
      <c r="I653" s="4"/>
      <c r="J653" s="4"/>
      <c r="K653" s="4">
        <v>215</v>
      </c>
      <c r="L653" s="4">
        <v>17</v>
      </c>
      <c r="M653" s="4">
        <v>3</v>
      </c>
      <c r="N653" s="4" t="s">
        <v>6</v>
      </c>
      <c r="O653" s="4">
        <v>2</v>
      </c>
      <c r="P653" s="4"/>
      <c r="Q653" s="4"/>
      <c r="R653" s="4"/>
      <c r="S653" s="4"/>
      <c r="T653" s="4"/>
      <c r="U653" s="4"/>
      <c r="V653" s="4"/>
      <c r="W653" s="4"/>
    </row>
    <row r="654" spans="1:23" x14ac:dyDescent="0.2">
      <c r="A654" s="4">
        <v>50</v>
      </c>
      <c r="B654" s="4">
        <v>0</v>
      </c>
      <c r="C654" s="4">
        <v>0</v>
      </c>
      <c r="D654" s="4">
        <v>1</v>
      </c>
      <c r="E654" s="4">
        <v>217</v>
      </c>
      <c r="F654" s="4">
        <f>ROUND(Source!AU635,O654)</f>
        <v>0</v>
      </c>
      <c r="G654" s="4" t="s">
        <v>164</v>
      </c>
      <c r="H654" s="4" t="s">
        <v>165</v>
      </c>
      <c r="I654" s="4"/>
      <c r="J654" s="4"/>
      <c r="K654" s="4">
        <v>217</v>
      </c>
      <c r="L654" s="4">
        <v>18</v>
      </c>
      <c r="M654" s="4">
        <v>3</v>
      </c>
      <c r="N654" s="4" t="s">
        <v>6</v>
      </c>
      <c r="O654" s="4">
        <v>2</v>
      </c>
      <c r="P654" s="4"/>
      <c r="Q654" s="4"/>
      <c r="R654" s="4"/>
      <c r="S654" s="4"/>
      <c r="T654" s="4"/>
      <c r="U654" s="4"/>
      <c r="V654" s="4"/>
      <c r="W654" s="4"/>
    </row>
    <row r="655" spans="1:23" x14ac:dyDescent="0.2">
      <c r="A655" s="4">
        <v>50</v>
      </c>
      <c r="B655" s="4">
        <v>0</v>
      </c>
      <c r="C655" s="4">
        <v>0</v>
      </c>
      <c r="D655" s="4">
        <v>1</v>
      </c>
      <c r="E655" s="4">
        <v>230</v>
      </c>
      <c r="F655" s="4">
        <f>ROUND(Source!BA635,O655)</f>
        <v>0</v>
      </c>
      <c r="G655" s="4" t="s">
        <v>166</v>
      </c>
      <c r="H655" s="4" t="s">
        <v>167</v>
      </c>
      <c r="I655" s="4"/>
      <c r="J655" s="4"/>
      <c r="K655" s="4">
        <v>230</v>
      </c>
      <c r="L655" s="4">
        <v>19</v>
      </c>
      <c r="M655" s="4">
        <v>3</v>
      </c>
      <c r="N655" s="4" t="s">
        <v>6</v>
      </c>
      <c r="O655" s="4">
        <v>2</v>
      </c>
      <c r="P655" s="4"/>
      <c r="Q655" s="4"/>
      <c r="R655" s="4"/>
      <c r="S655" s="4"/>
      <c r="T655" s="4"/>
      <c r="U655" s="4"/>
      <c r="V655" s="4"/>
      <c r="W655" s="4"/>
    </row>
    <row r="656" spans="1:23" x14ac:dyDescent="0.2">
      <c r="A656" s="4">
        <v>50</v>
      </c>
      <c r="B656" s="4">
        <v>0</v>
      </c>
      <c r="C656" s="4">
        <v>0</v>
      </c>
      <c r="D656" s="4">
        <v>1</v>
      </c>
      <c r="E656" s="4">
        <v>206</v>
      </c>
      <c r="F656" s="4">
        <f>ROUND(Source!T635,O656)</f>
        <v>0</v>
      </c>
      <c r="G656" s="4" t="s">
        <v>168</v>
      </c>
      <c r="H656" s="4" t="s">
        <v>169</v>
      </c>
      <c r="I656" s="4"/>
      <c r="J656" s="4"/>
      <c r="K656" s="4">
        <v>206</v>
      </c>
      <c r="L656" s="4">
        <v>20</v>
      </c>
      <c r="M656" s="4">
        <v>3</v>
      </c>
      <c r="N656" s="4" t="s">
        <v>6</v>
      </c>
      <c r="O656" s="4">
        <v>2</v>
      </c>
      <c r="P656" s="4"/>
      <c r="Q656" s="4"/>
      <c r="R656" s="4"/>
      <c r="S656" s="4"/>
      <c r="T656" s="4"/>
      <c r="U656" s="4"/>
      <c r="V656" s="4"/>
      <c r="W656" s="4"/>
    </row>
    <row r="657" spans="1:245" x14ac:dyDescent="0.2">
      <c r="A657" s="4">
        <v>50</v>
      </c>
      <c r="B657" s="4">
        <v>0</v>
      </c>
      <c r="C657" s="4">
        <v>0</v>
      </c>
      <c r="D657" s="4">
        <v>1</v>
      </c>
      <c r="E657" s="4">
        <v>207</v>
      </c>
      <c r="F657" s="4">
        <f>Source!U635</f>
        <v>259.56361880000003</v>
      </c>
      <c r="G657" s="4" t="s">
        <v>170</v>
      </c>
      <c r="H657" s="4" t="s">
        <v>171</v>
      </c>
      <c r="I657" s="4"/>
      <c r="J657" s="4"/>
      <c r="K657" s="4">
        <v>207</v>
      </c>
      <c r="L657" s="4">
        <v>21</v>
      </c>
      <c r="M657" s="4">
        <v>3</v>
      </c>
      <c r="N657" s="4" t="s">
        <v>6</v>
      </c>
      <c r="O657" s="4">
        <v>-1</v>
      </c>
      <c r="P657" s="4"/>
      <c r="Q657" s="4"/>
      <c r="R657" s="4"/>
      <c r="S657" s="4"/>
      <c r="T657" s="4"/>
      <c r="U657" s="4"/>
      <c r="V657" s="4"/>
      <c r="W657" s="4"/>
    </row>
    <row r="658" spans="1:245" x14ac:dyDescent="0.2">
      <c r="A658" s="4">
        <v>50</v>
      </c>
      <c r="B658" s="4">
        <v>0</v>
      </c>
      <c r="C658" s="4">
        <v>0</v>
      </c>
      <c r="D658" s="4">
        <v>1</v>
      </c>
      <c r="E658" s="4">
        <v>208</v>
      </c>
      <c r="F658" s="4">
        <f>Source!V635</f>
        <v>3.7915912499999997</v>
      </c>
      <c r="G658" s="4" t="s">
        <v>172</v>
      </c>
      <c r="H658" s="4" t="s">
        <v>173</v>
      </c>
      <c r="I658" s="4"/>
      <c r="J658" s="4"/>
      <c r="K658" s="4">
        <v>208</v>
      </c>
      <c r="L658" s="4">
        <v>22</v>
      </c>
      <c r="M658" s="4">
        <v>3</v>
      </c>
      <c r="N658" s="4" t="s">
        <v>6</v>
      </c>
      <c r="O658" s="4">
        <v>-1</v>
      </c>
      <c r="P658" s="4"/>
      <c r="Q658" s="4"/>
      <c r="R658" s="4"/>
      <c r="S658" s="4"/>
      <c r="T658" s="4"/>
      <c r="U658" s="4"/>
      <c r="V658" s="4"/>
      <c r="W658" s="4"/>
    </row>
    <row r="659" spans="1:245" x14ac:dyDescent="0.2">
      <c r="A659" s="4">
        <v>50</v>
      </c>
      <c r="B659" s="4">
        <v>0</v>
      </c>
      <c r="C659" s="4">
        <v>0</v>
      </c>
      <c r="D659" s="4">
        <v>1</v>
      </c>
      <c r="E659" s="4">
        <v>209</v>
      </c>
      <c r="F659" s="4">
        <f>ROUND(Source!W635,O659)</f>
        <v>0</v>
      </c>
      <c r="G659" s="4" t="s">
        <v>174</v>
      </c>
      <c r="H659" s="4" t="s">
        <v>175</v>
      </c>
      <c r="I659" s="4"/>
      <c r="J659" s="4"/>
      <c r="K659" s="4">
        <v>209</v>
      </c>
      <c r="L659" s="4">
        <v>23</v>
      </c>
      <c r="M659" s="4">
        <v>3</v>
      </c>
      <c r="N659" s="4" t="s">
        <v>6</v>
      </c>
      <c r="O659" s="4">
        <v>2</v>
      </c>
      <c r="P659" s="4"/>
      <c r="Q659" s="4"/>
      <c r="R659" s="4"/>
      <c r="S659" s="4"/>
      <c r="T659" s="4"/>
      <c r="U659" s="4"/>
      <c r="V659" s="4"/>
      <c r="W659" s="4"/>
    </row>
    <row r="660" spans="1:245" x14ac:dyDescent="0.2">
      <c r="A660" s="4">
        <v>50</v>
      </c>
      <c r="B660" s="4">
        <v>0</v>
      </c>
      <c r="C660" s="4">
        <v>0</v>
      </c>
      <c r="D660" s="4">
        <v>1</v>
      </c>
      <c r="E660" s="4">
        <v>210</v>
      </c>
      <c r="F660" s="4">
        <f>ROUND(Source!X635,O660)</f>
        <v>16307.91</v>
      </c>
      <c r="G660" s="4" t="s">
        <v>176</v>
      </c>
      <c r="H660" s="4" t="s">
        <v>177</v>
      </c>
      <c r="I660" s="4"/>
      <c r="J660" s="4"/>
      <c r="K660" s="4">
        <v>210</v>
      </c>
      <c r="L660" s="4">
        <v>24</v>
      </c>
      <c r="M660" s="4">
        <v>3</v>
      </c>
      <c r="N660" s="4" t="s">
        <v>6</v>
      </c>
      <c r="O660" s="4">
        <v>2</v>
      </c>
      <c r="P660" s="4"/>
      <c r="Q660" s="4"/>
      <c r="R660" s="4"/>
      <c r="S660" s="4"/>
      <c r="T660" s="4"/>
      <c r="U660" s="4"/>
      <c r="V660" s="4"/>
      <c r="W660" s="4"/>
    </row>
    <row r="661" spans="1:245" x14ac:dyDescent="0.2">
      <c r="A661" s="4">
        <v>50</v>
      </c>
      <c r="B661" s="4">
        <v>0</v>
      </c>
      <c r="C661" s="4">
        <v>0</v>
      </c>
      <c r="D661" s="4">
        <v>1</v>
      </c>
      <c r="E661" s="4">
        <v>211</v>
      </c>
      <c r="F661" s="4">
        <f>ROUND(Source!Y635,O661)</f>
        <v>10122.58</v>
      </c>
      <c r="G661" s="4" t="s">
        <v>178</v>
      </c>
      <c r="H661" s="4" t="s">
        <v>179</v>
      </c>
      <c r="I661" s="4"/>
      <c r="J661" s="4"/>
      <c r="K661" s="4">
        <v>211</v>
      </c>
      <c r="L661" s="4">
        <v>25</v>
      </c>
      <c r="M661" s="4">
        <v>3</v>
      </c>
      <c r="N661" s="4" t="s">
        <v>6</v>
      </c>
      <c r="O661" s="4">
        <v>2</v>
      </c>
      <c r="P661" s="4"/>
      <c r="Q661" s="4"/>
      <c r="R661" s="4"/>
      <c r="S661" s="4"/>
      <c r="T661" s="4"/>
      <c r="U661" s="4"/>
      <c r="V661" s="4"/>
      <c r="W661" s="4"/>
    </row>
    <row r="662" spans="1:245" x14ac:dyDescent="0.2">
      <c r="A662" s="4">
        <v>50</v>
      </c>
      <c r="B662" s="4">
        <v>0</v>
      </c>
      <c r="C662" s="4">
        <v>0</v>
      </c>
      <c r="D662" s="4">
        <v>1</v>
      </c>
      <c r="E662" s="4">
        <v>224</v>
      </c>
      <c r="F662" s="4">
        <f>ROUND(Source!AR635,O662)</f>
        <v>315024.90000000002</v>
      </c>
      <c r="G662" s="4" t="s">
        <v>180</v>
      </c>
      <c r="H662" s="4" t="s">
        <v>181</v>
      </c>
      <c r="I662" s="4"/>
      <c r="J662" s="4"/>
      <c r="K662" s="4">
        <v>224</v>
      </c>
      <c r="L662" s="4">
        <v>26</v>
      </c>
      <c r="M662" s="4">
        <v>3</v>
      </c>
      <c r="N662" s="4" t="s">
        <v>6</v>
      </c>
      <c r="O662" s="4">
        <v>2</v>
      </c>
      <c r="P662" s="4"/>
      <c r="Q662" s="4"/>
      <c r="R662" s="4"/>
      <c r="S662" s="4"/>
      <c r="T662" s="4"/>
      <c r="U662" s="4"/>
      <c r="V662" s="4"/>
      <c r="W662" s="4"/>
    </row>
    <row r="664" spans="1:245" x14ac:dyDescent="0.2">
      <c r="A664" s="1">
        <v>4</v>
      </c>
      <c r="B664" s="1">
        <v>1</v>
      </c>
      <c r="C664" s="1"/>
      <c r="D664" s="1">
        <f>ROW(A681)</f>
        <v>681</v>
      </c>
      <c r="E664" s="1"/>
      <c r="F664" s="1" t="s">
        <v>13</v>
      </c>
      <c r="G664" s="1" t="s">
        <v>1103</v>
      </c>
      <c r="H664" s="1" t="s">
        <v>6</v>
      </c>
      <c r="I664" s="1">
        <v>0</v>
      </c>
      <c r="J664" s="1"/>
      <c r="K664" s="1">
        <v>0</v>
      </c>
      <c r="L664" s="1"/>
      <c r="M664" s="1"/>
      <c r="N664" s="1"/>
      <c r="O664" s="1"/>
      <c r="P664" s="1"/>
      <c r="Q664" s="1"/>
      <c r="R664" s="1"/>
      <c r="S664" s="1"/>
      <c r="T664" s="1"/>
      <c r="U664" s="1" t="s">
        <v>6</v>
      </c>
      <c r="V664" s="1">
        <v>0</v>
      </c>
      <c r="W664" s="1"/>
      <c r="X664" s="1"/>
      <c r="Y664" s="1"/>
      <c r="Z664" s="1"/>
      <c r="AA664" s="1"/>
      <c r="AB664" s="1" t="s">
        <v>6</v>
      </c>
      <c r="AC664" s="1" t="s">
        <v>6</v>
      </c>
      <c r="AD664" s="1" t="s">
        <v>6</v>
      </c>
      <c r="AE664" s="1" t="s">
        <v>6</v>
      </c>
      <c r="AF664" s="1" t="s">
        <v>6</v>
      </c>
      <c r="AG664" s="1" t="s">
        <v>6</v>
      </c>
      <c r="AH664" s="1"/>
      <c r="AI664" s="1"/>
      <c r="AJ664" s="1"/>
      <c r="AK664" s="1"/>
      <c r="AL664" s="1"/>
      <c r="AM664" s="1"/>
      <c r="AN664" s="1"/>
      <c r="AO664" s="1"/>
      <c r="AP664" s="1" t="s">
        <v>6</v>
      </c>
      <c r="AQ664" s="1" t="s">
        <v>6</v>
      </c>
      <c r="AR664" s="1" t="s">
        <v>6</v>
      </c>
      <c r="AS664" s="1"/>
      <c r="AT664" s="1"/>
      <c r="AU664" s="1"/>
      <c r="AV664" s="1"/>
      <c r="AW664" s="1"/>
      <c r="AX664" s="1"/>
      <c r="AY664" s="1"/>
      <c r="AZ664" s="1" t="s">
        <v>6</v>
      </c>
      <c r="BA664" s="1"/>
      <c r="BB664" s="1" t="s">
        <v>6</v>
      </c>
      <c r="BC664" s="1" t="s">
        <v>6</v>
      </c>
      <c r="BD664" s="1" t="s">
        <v>6</v>
      </c>
      <c r="BE664" s="1" t="s">
        <v>6</v>
      </c>
      <c r="BF664" s="1" t="s">
        <v>6</v>
      </c>
      <c r="BG664" s="1" t="s">
        <v>6</v>
      </c>
      <c r="BH664" s="1" t="s">
        <v>6</v>
      </c>
      <c r="BI664" s="1" t="s">
        <v>6</v>
      </c>
      <c r="BJ664" s="1" t="s">
        <v>6</v>
      </c>
      <c r="BK664" s="1" t="s">
        <v>6</v>
      </c>
      <c r="BL664" s="1" t="s">
        <v>6</v>
      </c>
      <c r="BM664" s="1" t="s">
        <v>6</v>
      </c>
      <c r="BN664" s="1" t="s">
        <v>6</v>
      </c>
      <c r="BO664" s="1" t="s">
        <v>6</v>
      </c>
      <c r="BP664" s="1" t="s">
        <v>6</v>
      </c>
      <c r="BQ664" s="1"/>
      <c r="BR664" s="1"/>
      <c r="BS664" s="1"/>
      <c r="BT664" s="1"/>
      <c r="BU664" s="1"/>
      <c r="BV664" s="1"/>
      <c r="BW664" s="1"/>
      <c r="BX664" s="1">
        <v>0</v>
      </c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>
        <v>0</v>
      </c>
    </row>
    <row r="666" spans="1:245" x14ac:dyDescent="0.2">
      <c r="A666" s="2">
        <v>52</v>
      </c>
      <c r="B666" s="2">
        <f t="shared" ref="B666:G666" si="513">B681</f>
        <v>1</v>
      </c>
      <c r="C666" s="2">
        <f t="shared" si="513"/>
        <v>4</v>
      </c>
      <c r="D666" s="2">
        <f t="shared" si="513"/>
        <v>664</v>
      </c>
      <c r="E666" s="2">
        <f t="shared" si="513"/>
        <v>0</v>
      </c>
      <c r="F666" s="2" t="str">
        <f t="shared" si="513"/>
        <v>Новый раздел</v>
      </c>
      <c r="G666" s="2" t="str">
        <f t="shared" si="513"/>
        <v>7 Система горячего и холодного водоснабжения</v>
      </c>
      <c r="H666" s="2"/>
      <c r="I666" s="2"/>
      <c r="J666" s="2"/>
      <c r="K666" s="2"/>
      <c r="L666" s="2"/>
      <c r="M666" s="2"/>
      <c r="N666" s="2"/>
      <c r="O666" s="2">
        <f t="shared" ref="O666:AT666" si="514">O681</f>
        <v>40059.67</v>
      </c>
      <c r="P666" s="2">
        <f t="shared" si="514"/>
        <v>20507.759999999998</v>
      </c>
      <c r="Q666" s="2">
        <f t="shared" si="514"/>
        <v>8009.8</v>
      </c>
      <c r="R666" s="2">
        <f t="shared" si="514"/>
        <v>1046.6400000000001</v>
      </c>
      <c r="S666" s="2">
        <f t="shared" si="514"/>
        <v>11542.11</v>
      </c>
      <c r="T666" s="2">
        <f t="shared" si="514"/>
        <v>0</v>
      </c>
      <c r="U666" s="2">
        <f t="shared" si="514"/>
        <v>179.64378335000001</v>
      </c>
      <c r="V666" s="2">
        <f t="shared" si="514"/>
        <v>11.854500000000002</v>
      </c>
      <c r="W666" s="2">
        <f t="shared" si="514"/>
        <v>0</v>
      </c>
      <c r="X666" s="2">
        <f t="shared" si="514"/>
        <v>14079.76</v>
      </c>
      <c r="Y666" s="2">
        <f t="shared" si="514"/>
        <v>8734.52</v>
      </c>
      <c r="Z666" s="2">
        <f t="shared" si="514"/>
        <v>0</v>
      </c>
      <c r="AA666" s="2">
        <f t="shared" si="514"/>
        <v>0</v>
      </c>
      <c r="AB666" s="2">
        <f t="shared" si="514"/>
        <v>40059.67</v>
      </c>
      <c r="AC666" s="2">
        <f t="shared" si="514"/>
        <v>20507.759999999998</v>
      </c>
      <c r="AD666" s="2">
        <f t="shared" si="514"/>
        <v>8009.8</v>
      </c>
      <c r="AE666" s="2">
        <f t="shared" si="514"/>
        <v>1046.6400000000001</v>
      </c>
      <c r="AF666" s="2">
        <f t="shared" si="514"/>
        <v>11542.11</v>
      </c>
      <c r="AG666" s="2">
        <f t="shared" si="514"/>
        <v>0</v>
      </c>
      <c r="AH666" s="2">
        <f t="shared" si="514"/>
        <v>179.64378335000001</v>
      </c>
      <c r="AI666" s="2">
        <f t="shared" si="514"/>
        <v>11.854500000000002</v>
      </c>
      <c r="AJ666" s="2">
        <f t="shared" si="514"/>
        <v>0</v>
      </c>
      <c r="AK666" s="2">
        <f t="shared" si="514"/>
        <v>14079.76</v>
      </c>
      <c r="AL666" s="2">
        <f t="shared" si="514"/>
        <v>8734.52</v>
      </c>
      <c r="AM666" s="2">
        <f t="shared" si="514"/>
        <v>0</v>
      </c>
      <c r="AN666" s="2">
        <f t="shared" si="514"/>
        <v>0</v>
      </c>
      <c r="AO666" s="2">
        <f t="shared" si="514"/>
        <v>0</v>
      </c>
      <c r="AP666" s="2">
        <f t="shared" si="514"/>
        <v>0</v>
      </c>
      <c r="AQ666" s="2">
        <f t="shared" si="514"/>
        <v>0</v>
      </c>
      <c r="AR666" s="2">
        <f t="shared" si="514"/>
        <v>62873.95</v>
      </c>
      <c r="AS666" s="2">
        <f t="shared" si="514"/>
        <v>62873.95</v>
      </c>
      <c r="AT666" s="2">
        <f t="shared" si="514"/>
        <v>0</v>
      </c>
      <c r="AU666" s="2">
        <f t="shared" ref="AU666:BZ666" si="515">AU681</f>
        <v>0</v>
      </c>
      <c r="AV666" s="2">
        <f t="shared" si="515"/>
        <v>20507.759999999998</v>
      </c>
      <c r="AW666" s="2">
        <f t="shared" si="515"/>
        <v>20507.759999999998</v>
      </c>
      <c r="AX666" s="2">
        <f t="shared" si="515"/>
        <v>0</v>
      </c>
      <c r="AY666" s="2">
        <f t="shared" si="515"/>
        <v>20507.759999999998</v>
      </c>
      <c r="AZ666" s="2">
        <f t="shared" si="515"/>
        <v>0</v>
      </c>
      <c r="BA666" s="2">
        <f t="shared" si="515"/>
        <v>0</v>
      </c>
      <c r="BB666" s="2">
        <f t="shared" si="515"/>
        <v>0</v>
      </c>
      <c r="BC666" s="2">
        <f t="shared" si="515"/>
        <v>0</v>
      </c>
      <c r="BD666" s="2">
        <f t="shared" si="515"/>
        <v>0</v>
      </c>
      <c r="BE666" s="2">
        <f t="shared" si="515"/>
        <v>0</v>
      </c>
      <c r="BF666" s="2">
        <f t="shared" si="515"/>
        <v>0</v>
      </c>
      <c r="BG666" s="2">
        <f t="shared" si="515"/>
        <v>0</v>
      </c>
      <c r="BH666" s="2">
        <f t="shared" si="515"/>
        <v>0</v>
      </c>
      <c r="BI666" s="2">
        <f t="shared" si="515"/>
        <v>0</v>
      </c>
      <c r="BJ666" s="2">
        <f t="shared" si="515"/>
        <v>0</v>
      </c>
      <c r="BK666" s="2">
        <f t="shared" si="515"/>
        <v>0</v>
      </c>
      <c r="BL666" s="2">
        <f t="shared" si="515"/>
        <v>0</v>
      </c>
      <c r="BM666" s="2">
        <f t="shared" si="515"/>
        <v>0</v>
      </c>
      <c r="BN666" s="2">
        <f t="shared" si="515"/>
        <v>0</v>
      </c>
      <c r="BO666" s="2">
        <f t="shared" si="515"/>
        <v>0</v>
      </c>
      <c r="BP666" s="2">
        <f t="shared" si="515"/>
        <v>0</v>
      </c>
      <c r="BQ666" s="2">
        <f t="shared" si="515"/>
        <v>0</v>
      </c>
      <c r="BR666" s="2">
        <f t="shared" si="515"/>
        <v>0</v>
      </c>
      <c r="BS666" s="2">
        <f t="shared" si="515"/>
        <v>0</v>
      </c>
      <c r="BT666" s="2">
        <f t="shared" si="515"/>
        <v>0</v>
      </c>
      <c r="BU666" s="2">
        <f t="shared" si="515"/>
        <v>0</v>
      </c>
      <c r="BV666" s="2">
        <f t="shared" si="515"/>
        <v>0</v>
      </c>
      <c r="BW666" s="2">
        <f t="shared" si="515"/>
        <v>0</v>
      </c>
      <c r="BX666" s="2">
        <f t="shared" si="515"/>
        <v>0</v>
      </c>
      <c r="BY666" s="2">
        <f t="shared" si="515"/>
        <v>0</v>
      </c>
      <c r="BZ666" s="2">
        <f t="shared" si="515"/>
        <v>0</v>
      </c>
      <c r="CA666" s="2">
        <f t="shared" ref="CA666:DF666" si="516">CA681</f>
        <v>62873.95</v>
      </c>
      <c r="CB666" s="2">
        <f t="shared" si="516"/>
        <v>62873.95</v>
      </c>
      <c r="CC666" s="2">
        <f t="shared" si="516"/>
        <v>0</v>
      </c>
      <c r="CD666" s="2">
        <f t="shared" si="516"/>
        <v>0</v>
      </c>
      <c r="CE666" s="2">
        <f t="shared" si="516"/>
        <v>20507.759999999998</v>
      </c>
      <c r="CF666" s="2">
        <f t="shared" si="516"/>
        <v>20507.759999999998</v>
      </c>
      <c r="CG666" s="2">
        <f t="shared" si="516"/>
        <v>0</v>
      </c>
      <c r="CH666" s="2">
        <f t="shared" si="516"/>
        <v>20507.759999999998</v>
      </c>
      <c r="CI666" s="2">
        <f t="shared" si="516"/>
        <v>0</v>
      </c>
      <c r="CJ666" s="2">
        <f t="shared" si="516"/>
        <v>0</v>
      </c>
      <c r="CK666" s="2">
        <f t="shared" si="516"/>
        <v>0</v>
      </c>
      <c r="CL666" s="2">
        <f t="shared" si="516"/>
        <v>0</v>
      </c>
      <c r="CM666" s="2">
        <f t="shared" si="516"/>
        <v>0</v>
      </c>
      <c r="CN666" s="2">
        <f t="shared" si="516"/>
        <v>0</v>
      </c>
      <c r="CO666" s="2">
        <f t="shared" si="516"/>
        <v>0</v>
      </c>
      <c r="CP666" s="2">
        <f t="shared" si="516"/>
        <v>0</v>
      </c>
      <c r="CQ666" s="2">
        <f t="shared" si="516"/>
        <v>0</v>
      </c>
      <c r="CR666" s="2">
        <f t="shared" si="516"/>
        <v>0</v>
      </c>
      <c r="CS666" s="2">
        <f t="shared" si="516"/>
        <v>0</v>
      </c>
      <c r="CT666" s="2">
        <f t="shared" si="516"/>
        <v>0</v>
      </c>
      <c r="CU666" s="2">
        <f t="shared" si="516"/>
        <v>0</v>
      </c>
      <c r="CV666" s="2">
        <f t="shared" si="516"/>
        <v>0</v>
      </c>
      <c r="CW666" s="2">
        <f t="shared" si="516"/>
        <v>0</v>
      </c>
      <c r="CX666" s="2">
        <f t="shared" si="516"/>
        <v>0</v>
      </c>
      <c r="CY666" s="2">
        <f t="shared" si="516"/>
        <v>0</v>
      </c>
      <c r="CZ666" s="2">
        <f t="shared" si="516"/>
        <v>0</v>
      </c>
      <c r="DA666" s="2">
        <f t="shared" si="516"/>
        <v>0</v>
      </c>
      <c r="DB666" s="2">
        <f t="shared" si="516"/>
        <v>0</v>
      </c>
      <c r="DC666" s="2">
        <f t="shared" si="516"/>
        <v>0</v>
      </c>
      <c r="DD666" s="2">
        <f t="shared" si="516"/>
        <v>0</v>
      </c>
      <c r="DE666" s="2">
        <f t="shared" si="516"/>
        <v>0</v>
      </c>
      <c r="DF666" s="2">
        <f t="shared" si="516"/>
        <v>0</v>
      </c>
      <c r="DG666" s="3">
        <f t="shared" ref="DG666:EL666" si="517">DG681</f>
        <v>0</v>
      </c>
      <c r="DH666" s="3">
        <f t="shared" si="517"/>
        <v>0</v>
      </c>
      <c r="DI666" s="3">
        <f t="shared" si="517"/>
        <v>0</v>
      </c>
      <c r="DJ666" s="3">
        <f t="shared" si="517"/>
        <v>0</v>
      </c>
      <c r="DK666" s="3">
        <f t="shared" si="517"/>
        <v>0</v>
      </c>
      <c r="DL666" s="3">
        <f t="shared" si="517"/>
        <v>0</v>
      </c>
      <c r="DM666" s="3">
        <f t="shared" si="517"/>
        <v>0</v>
      </c>
      <c r="DN666" s="3">
        <f t="shared" si="517"/>
        <v>0</v>
      </c>
      <c r="DO666" s="3">
        <f t="shared" si="517"/>
        <v>0</v>
      </c>
      <c r="DP666" s="3">
        <f t="shared" si="517"/>
        <v>0</v>
      </c>
      <c r="DQ666" s="3">
        <f t="shared" si="517"/>
        <v>0</v>
      </c>
      <c r="DR666" s="3">
        <f t="shared" si="517"/>
        <v>0</v>
      </c>
      <c r="DS666" s="3">
        <f t="shared" si="517"/>
        <v>0</v>
      </c>
      <c r="DT666" s="3">
        <f t="shared" si="517"/>
        <v>0</v>
      </c>
      <c r="DU666" s="3">
        <f t="shared" si="517"/>
        <v>0</v>
      </c>
      <c r="DV666" s="3">
        <f t="shared" si="517"/>
        <v>0</v>
      </c>
      <c r="DW666" s="3">
        <f t="shared" si="517"/>
        <v>0</v>
      </c>
      <c r="DX666" s="3">
        <f t="shared" si="517"/>
        <v>0</v>
      </c>
      <c r="DY666" s="3">
        <f t="shared" si="517"/>
        <v>0</v>
      </c>
      <c r="DZ666" s="3">
        <f t="shared" si="517"/>
        <v>0</v>
      </c>
      <c r="EA666" s="3">
        <f t="shared" si="517"/>
        <v>0</v>
      </c>
      <c r="EB666" s="3">
        <f t="shared" si="517"/>
        <v>0</v>
      </c>
      <c r="EC666" s="3">
        <f t="shared" si="517"/>
        <v>0</v>
      </c>
      <c r="ED666" s="3">
        <f t="shared" si="517"/>
        <v>0</v>
      </c>
      <c r="EE666" s="3">
        <f t="shared" si="517"/>
        <v>0</v>
      </c>
      <c r="EF666" s="3">
        <f t="shared" si="517"/>
        <v>0</v>
      </c>
      <c r="EG666" s="3">
        <f t="shared" si="517"/>
        <v>0</v>
      </c>
      <c r="EH666" s="3">
        <f t="shared" si="517"/>
        <v>0</v>
      </c>
      <c r="EI666" s="3">
        <f t="shared" si="517"/>
        <v>0</v>
      </c>
      <c r="EJ666" s="3">
        <f t="shared" si="517"/>
        <v>0</v>
      </c>
      <c r="EK666" s="3">
        <f t="shared" si="517"/>
        <v>0</v>
      </c>
      <c r="EL666" s="3">
        <f t="shared" si="517"/>
        <v>0</v>
      </c>
      <c r="EM666" s="3">
        <f t="shared" ref="EM666:FR666" si="518">EM681</f>
        <v>0</v>
      </c>
      <c r="EN666" s="3">
        <f t="shared" si="518"/>
        <v>0</v>
      </c>
      <c r="EO666" s="3">
        <f t="shared" si="518"/>
        <v>0</v>
      </c>
      <c r="EP666" s="3">
        <f t="shared" si="518"/>
        <v>0</v>
      </c>
      <c r="EQ666" s="3">
        <f t="shared" si="518"/>
        <v>0</v>
      </c>
      <c r="ER666" s="3">
        <f t="shared" si="518"/>
        <v>0</v>
      </c>
      <c r="ES666" s="3">
        <f t="shared" si="518"/>
        <v>0</v>
      </c>
      <c r="ET666" s="3">
        <f t="shared" si="518"/>
        <v>0</v>
      </c>
      <c r="EU666" s="3">
        <f t="shared" si="518"/>
        <v>0</v>
      </c>
      <c r="EV666" s="3">
        <f t="shared" si="518"/>
        <v>0</v>
      </c>
      <c r="EW666" s="3">
        <f t="shared" si="518"/>
        <v>0</v>
      </c>
      <c r="EX666" s="3">
        <f t="shared" si="518"/>
        <v>0</v>
      </c>
      <c r="EY666" s="3">
        <f t="shared" si="518"/>
        <v>0</v>
      </c>
      <c r="EZ666" s="3">
        <f t="shared" si="518"/>
        <v>0</v>
      </c>
      <c r="FA666" s="3">
        <f t="shared" si="518"/>
        <v>0</v>
      </c>
      <c r="FB666" s="3">
        <f t="shared" si="518"/>
        <v>0</v>
      </c>
      <c r="FC666" s="3">
        <f t="shared" si="518"/>
        <v>0</v>
      </c>
      <c r="FD666" s="3">
        <f t="shared" si="518"/>
        <v>0</v>
      </c>
      <c r="FE666" s="3">
        <f t="shared" si="518"/>
        <v>0</v>
      </c>
      <c r="FF666" s="3">
        <f t="shared" si="518"/>
        <v>0</v>
      </c>
      <c r="FG666" s="3">
        <f t="shared" si="518"/>
        <v>0</v>
      </c>
      <c r="FH666" s="3">
        <f t="shared" si="518"/>
        <v>0</v>
      </c>
      <c r="FI666" s="3">
        <f t="shared" si="518"/>
        <v>0</v>
      </c>
      <c r="FJ666" s="3">
        <f t="shared" si="518"/>
        <v>0</v>
      </c>
      <c r="FK666" s="3">
        <f t="shared" si="518"/>
        <v>0</v>
      </c>
      <c r="FL666" s="3">
        <f t="shared" si="518"/>
        <v>0</v>
      </c>
      <c r="FM666" s="3">
        <f t="shared" si="518"/>
        <v>0</v>
      </c>
      <c r="FN666" s="3">
        <f t="shared" si="518"/>
        <v>0</v>
      </c>
      <c r="FO666" s="3">
        <f t="shared" si="518"/>
        <v>0</v>
      </c>
      <c r="FP666" s="3">
        <f t="shared" si="518"/>
        <v>0</v>
      </c>
      <c r="FQ666" s="3">
        <f t="shared" si="518"/>
        <v>0</v>
      </c>
      <c r="FR666" s="3">
        <f t="shared" si="518"/>
        <v>0</v>
      </c>
      <c r="FS666" s="3">
        <f t="shared" ref="FS666:GX666" si="519">FS681</f>
        <v>0</v>
      </c>
      <c r="FT666" s="3">
        <f t="shared" si="519"/>
        <v>0</v>
      </c>
      <c r="FU666" s="3">
        <f t="shared" si="519"/>
        <v>0</v>
      </c>
      <c r="FV666" s="3">
        <f t="shared" si="519"/>
        <v>0</v>
      </c>
      <c r="FW666" s="3">
        <f t="shared" si="519"/>
        <v>0</v>
      </c>
      <c r="FX666" s="3">
        <f t="shared" si="519"/>
        <v>0</v>
      </c>
      <c r="FY666" s="3">
        <f t="shared" si="519"/>
        <v>0</v>
      </c>
      <c r="FZ666" s="3">
        <f t="shared" si="519"/>
        <v>0</v>
      </c>
      <c r="GA666" s="3">
        <f t="shared" si="519"/>
        <v>0</v>
      </c>
      <c r="GB666" s="3">
        <f t="shared" si="519"/>
        <v>0</v>
      </c>
      <c r="GC666" s="3">
        <f t="shared" si="519"/>
        <v>0</v>
      </c>
      <c r="GD666" s="3">
        <f t="shared" si="519"/>
        <v>0</v>
      </c>
      <c r="GE666" s="3">
        <f t="shared" si="519"/>
        <v>0</v>
      </c>
      <c r="GF666" s="3">
        <f t="shared" si="519"/>
        <v>0</v>
      </c>
      <c r="GG666" s="3">
        <f t="shared" si="519"/>
        <v>0</v>
      </c>
      <c r="GH666" s="3">
        <f t="shared" si="519"/>
        <v>0</v>
      </c>
      <c r="GI666" s="3">
        <f t="shared" si="519"/>
        <v>0</v>
      </c>
      <c r="GJ666" s="3">
        <f t="shared" si="519"/>
        <v>0</v>
      </c>
      <c r="GK666" s="3">
        <f t="shared" si="519"/>
        <v>0</v>
      </c>
      <c r="GL666" s="3">
        <f t="shared" si="519"/>
        <v>0</v>
      </c>
      <c r="GM666" s="3">
        <f t="shared" si="519"/>
        <v>0</v>
      </c>
      <c r="GN666" s="3">
        <f t="shared" si="519"/>
        <v>0</v>
      </c>
      <c r="GO666" s="3">
        <f t="shared" si="519"/>
        <v>0</v>
      </c>
      <c r="GP666" s="3">
        <f t="shared" si="519"/>
        <v>0</v>
      </c>
      <c r="GQ666" s="3">
        <f t="shared" si="519"/>
        <v>0</v>
      </c>
      <c r="GR666" s="3">
        <f t="shared" si="519"/>
        <v>0</v>
      </c>
      <c r="GS666" s="3">
        <f t="shared" si="519"/>
        <v>0</v>
      </c>
      <c r="GT666" s="3">
        <f t="shared" si="519"/>
        <v>0</v>
      </c>
      <c r="GU666" s="3">
        <f t="shared" si="519"/>
        <v>0</v>
      </c>
      <c r="GV666" s="3">
        <f t="shared" si="519"/>
        <v>0</v>
      </c>
      <c r="GW666" s="3">
        <f t="shared" si="519"/>
        <v>0</v>
      </c>
      <c r="GX666" s="3">
        <f t="shared" si="519"/>
        <v>0</v>
      </c>
    </row>
    <row r="668" spans="1:245" x14ac:dyDescent="0.2">
      <c r="A668">
        <v>17</v>
      </c>
      <c r="B668">
        <v>1</v>
      </c>
      <c r="C668">
        <f>ROW(SmtRes!A917)</f>
        <v>917</v>
      </c>
      <c r="D668">
        <f>ROW(EtalonRes!A849)</f>
        <v>849</v>
      </c>
      <c r="E668" t="s">
        <v>1104</v>
      </c>
      <c r="F668" t="s">
        <v>1033</v>
      </c>
      <c r="G668" t="s">
        <v>1034</v>
      </c>
      <c r="H668" t="s">
        <v>34</v>
      </c>
      <c r="I668">
        <f>ROUND(48/100,9)</f>
        <v>0.48</v>
      </c>
      <c r="J668">
        <v>0</v>
      </c>
      <c r="O668">
        <f t="shared" ref="O668:O679" si="520">ROUND(CP668,2)</f>
        <v>929.24</v>
      </c>
      <c r="P668">
        <f t="shared" ref="P668:P679" si="521">ROUND(CQ668*I668,2)</f>
        <v>0</v>
      </c>
      <c r="Q668">
        <f t="shared" ref="Q668:Q679" si="522">ROUND(CR668*I668,2)</f>
        <v>22.32</v>
      </c>
      <c r="R668">
        <f t="shared" ref="R668:R679" si="523">ROUND(CS668*I668,2)</f>
        <v>4.25</v>
      </c>
      <c r="S668">
        <f t="shared" ref="S668:S679" si="524">ROUND(CT668*I668,2)</f>
        <v>906.92</v>
      </c>
      <c r="T668">
        <f t="shared" ref="T668:T679" si="525">ROUND(CU668*I668,2)</f>
        <v>0</v>
      </c>
      <c r="U668">
        <f t="shared" ref="U668:U679" si="526">CV668*I668</f>
        <v>16.636799999999997</v>
      </c>
      <c r="V668">
        <f t="shared" ref="V668:V679" si="527">CW668*I668</f>
        <v>4.8000000000000001E-2</v>
      </c>
      <c r="W668">
        <f t="shared" ref="W668:W679" si="528">ROUND(CX668*I668,2)</f>
        <v>0</v>
      </c>
      <c r="X668">
        <f t="shared" ref="X668:X679" si="529">ROUND(CY668,2)</f>
        <v>674.27</v>
      </c>
      <c r="Y668">
        <f t="shared" ref="Y668:Y679" si="530">ROUND(CZ668,2)</f>
        <v>455.59</v>
      </c>
      <c r="AA668">
        <v>16742901</v>
      </c>
      <c r="AB668">
        <f t="shared" ref="AB668:AB679" si="531">ROUND((AC668+AD668+AF668),2)</f>
        <v>295.11</v>
      </c>
      <c r="AC668">
        <f>ROUND(((ES668*0)),2)</f>
        <v>0</v>
      </c>
      <c r="AD668">
        <f>ROUND((((ET668)-(EU668))+AE668),2)</f>
        <v>7.09</v>
      </c>
      <c r="AE668">
        <f>ROUND((EU668),2)</f>
        <v>1.35</v>
      </c>
      <c r="AF668">
        <f>ROUND((EV668),2)</f>
        <v>288.02</v>
      </c>
      <c r="AG668">
        <f t="shared" ref="AG668:AG679" si="532">ROUND((AP668),2)</f>
        <v>0</v>
      </c>
      <c r="AH668">
        <f>(EW668)</f>
        <v>34.659999999999997</v>
      </c>
      <c r="AI668">
        <f>(EX668)</f>
        <v>0.1</v>
      </c>
      <c r="AJ668">
        <f t="shared" ref="AJ668:AJ679" si="533">ROUND((AS668),2)</f>
        <v>0</v>
      </c>
      <c r="AK668">
        <v>328.71</v>
      </c>
      <c r="AL668">
        <v>33.6</v>
      </c>
      <c r="AM668">
        <v>7.09</v>
      </c>
      <c r="AN668">
        <v>1.35</v>
      </c>
      <c r="AO668">
        <v>288.02</v>
      </c>
      <c r="AP668">
        <v>0</v>
      </c>
      <c r="AQ668">
        <v>34.659999999999997</v>
      </c>
      <c r="AR668">
        <v>0.1</v>
      </c>
      <c r="AS668">
        <v>0</v>
      </c>
      <c r="AT668">
        <v>74</v>
      </c>
      <c r="AU668">
        <v>50</v>
      </c>
      <c r="AV668">
        <v>1</v>
      </c>
      <c r="AW668">
        <v>1</v>
      </c>
      <c r="AZ668">
        <v>6.56</v>
      </c>
      <c r="BA668">
        <v>6.56</v>
      </c>
      <c r="BB668">
        <v>6.56</v>
      </c>
      <c r="BC668">
        <v>6.56</v>
      </c>
      <c r="BD668" t="s">
        <v>6</v>
      </c>
      <c r="BE668" t="s">
        <v>6</v>
      </c>
      <c r="BF668" t="s">
        <v>6</v>
      </c>
      <c r="BG668" t="s">
        <v>6</v>
      </c>
      <c r="BH668">
        <v>0</v>
      </c>
      <c r="BI668">
        <v>1</v>
      </c>
      <c r="BJ668" t="s">
        <v>1035</v>
      </c>
      <c r="BM668">
        <v>65001</v>
      </c>
      <c r="BN668">
        <v>0</v>
      </c>
      <c r="BO668" t="s">
        <v>6</v>
      </c>
      <c r="BP668">
        <v>0</v>
      </c>
      <c r="BQ668">
        <v>6</v>
      </c>
      <c r="BR668">
        <v>0</v>
      </c>
      <c r="BS668">
        <v>6.56</v>
      </c>
      <c r="BT668">
        <v>1</v>
      </c>
      <c r="BU668">
        <v>1</v>
      </c>
      <c r="BV668">
        <v>1</v>
      </c>
      <c r="BW668">
        <v>1</v>
      </c>
      <c r="BX668">
        <v>1</v>
      </c>
      <c r="BY668" t="s">
        <v>6</v>
      </c>
      <c r="BZ668">
        <v>74</v>
      </c>
      <c r="CA668">
        <v>50</v>
      </c>
      <c r="CF668">
        <v>0</v>
      </c>
      <c r="CG668">
        <v>0</v>
      </c>
      <c r="CM668">
        <v>0</v>
      </c>
      <c r="CN668" t="s">
        <v>6</v>
      </c>
      <c r="CO668">
        <v>0</v>
      </c>
      <c r="CP668">
        <f t="shared" ref="CP668:CP679" si="534">(P668+Q668+S668)</f>
        <v>929.24</v>
      </c>
      <c r="CQ668">
        <f t="shared" ref="CQ668:CQ679" si="535">AC668*BC668</f>
        <v>0</v>
      </c>
      <c r="CR668">
        <f t="shared" ref="CR668:CR679" si="536">AD668*BB668</f>
        <v>46.510399999999997</v>
      </c>
      <c r="CS668">
        <f t="shared" ref="CS668:CS679" si="537">AE668*BS668</f>
        <v>8.8559999999999999</v>
      </c>
      <c r="CT668">
        <f t="shared" ref="CT668:CT679" si="538">AF668*BA668</f>
        <v>1889.4111999999998</v>
      </c>
      <c r="CU668">
        <f t="shared" ref="CU668:CU679" si="539">AG668</f>
        <v>0</v>
      </c>
      <c r="CV668">
        <f t="shared" ref="CV668:CV679" si="540">AH668</f>
        <v>34.659999999999997</v>
      </c>
      <c r="CW668">
        <f t="shared" ref="CW668:CW679" si="541">AI668</f>
        <v>0.1</v>
      </c>
      <c r="CX668">
        <f t="shared" ref="CX668:CX679" si="542">AJ668</f>
        <v>0</v>
      </c>
      <c r="CY668">
        <f t="shared" ref="CY668:CY679" si="543">(((S668+R668)*AT668)/100)</f>
        <v>674.26580000000001</v>
      </c>
      <c r="CZ668">
        <f t="shared" ref="CZ668:CZ679" si="544">(((S668+R668)*AU668)/100)</f>
        <v>455.58499999999998</v>
      </c>
      <c r="DC668" t="s">
        <v>6</v>
      </c>
      <c r="DD668" t="s">
        <v>48</v>
      </c>
      <c r="DE668" t="s">
        <v>6</v>
      </c>
      <c r="DF668" t="s">
        <v>6</v>
      </c>
      <c r="DG668" t="s">
        <v>6</v>
      </c>
      <c r="DH668" t="s">
        <v>6</v>
      </c>
      <c r="DI668" t="s">
        <v>6</v>
      </c>
      <c r="DJ668" t="s">
        <v>6</v>
      </c>
      <c r="DK668" t="s">
        <v>6</v>
      </c>
      <c r="DL668" t="s">
        <v>6</v>
      </c>
      <c r="DM668" t="s">
        <v>6</v>
      </c>
      <c r="DN668">
        <v>0</v>
      </c>
      <c r="DO668">
        <v>0</v>
      </c>
      <c r="DP668">
        <v>1</v>
      </c>
      <c r="DQ668">
        <v>1</v>
      </c>
      <c r="DU668">
        <v>1003</v>
      </c>
      <c r="DV668" t="s">
        <v>34</v>
      </c>
      <c r="DW668" t="s">
        <v>34</v>
      </c>
      <c r="DX668">
        <v>100</v>
      </c>
      <c r="EE668">
        <v>16510574</v>
      </c>
      <c r="EF668">
        <v>6</v>
      </c>
      <c r="EG668" t="s">
        <v>36</v>
      </c>
      <c r="EH668">
        <v>0</v>
      </c>
      <c r="EI668" t="s">
        <v>6</v>
      </c>
      <c r="EJ668">
        <v>1</v>
      </c>
      <c r="EK668">
        <v>65001</v>
      </c>
      <c r="EL668" t="s">
        <v>1031</v>
      </c>
      <c r="EM668" t="s">
        <v>69</v>
      </c>
      <c r="EO668" t="s">
        <v>6</v>
      </c>
      <c r="EQ668">
        <v>131072</v>
      </c>
      <c r="ER668">
        <v>328.71</v>
      </c>
      <c r="ES668">
        <v>33.6</v>
      </c>
      <c r="ET668">
        <v>7.09</v>
      </c>
      <c r="EU668">
        <v>1.35</v>
      </c>
      <c r="EV668">
        <v>288.02</v>
      </c>
      <c r="EW668">
        <v>34.659999999999997</v>
      </c>
      <c r="EX668">
        <v>0.1</v>
      </c>
      <c r="EY668">
        <v>0</v>
      </c>
      <c r="FQ668">
        <v>0</v>
      </c>
      <c r="FR668">
        <f t="shared" ref="FR668:FR679" si="545">ROUND(IF(AND(BH668=3,BI668=3),P668,0),2)</f>
        <v>0</v>
      </c>
      <c r="FS668">
        <v>0</v>
      </c>
      <c r="FX668">
        <v>74</v>
      </c>
      <c r="FY668">
        <v>50</v>
      </c>
      <c r="GA668" t="s">
        <v>6</v>
      </c>
      <c r="GD668">
        <v>0</v>
      </c>
      <c r="GF668">
        <v>-319600296</v>
      </c>
      <c r="GG668">
        <v>1</v>
      </c>
      <c r="GH668">
        <v>1</v>
      </c>
      <c r="GI668">
        <v>4</v>
      </c>
      <c r="GJ668">
        <v>0</v>
      </c>
      <c r="GK668">
        <f>ROUND(R668*(R12)/100,2)</f>
        <v>0</v>
      </c>
      <c r="GL668">
        <f t="shared" ref="GL668:GL679" si="546">ROUND(IF(AND(BH668=3,BI668=3,FS668&lt;&gt;0),P668,0),2)</f>
        <v>0</v>
      </c>
      <c r="GM668">
        <f t="shared" ref="GM668:GM679" si="547">ROUND(O668+X668+Y668+GK668,2)+GX668</f>
        <v>2059.1</v>
      </c>
      <c r="GN668">
        <f t="shared" ref="GN668:GN679" si="548">IF(OR(BI668=0,BI668=1),ROUND(O668+X668+Y668+GK668,2),0)</f>
        <v>2059.1</v>
      </c>
      <c r="GO668">
        <f t="shared" ref="GO668:GO679" si="549">IF(BI668=2,ROUND(O668+X668+Y668+GK668,2),0)</f>
        <v>0</v>
      </c>
      <c r="GP668">
        <f t="shared" ref="GP668:GP679" si="550">IF(BI668=4,ROUND(O668+X668+Y668+GK668,2)+GX668,0)</f>
        <v>0</v>
      </c>
      <c r="GR668">
        <v>0</v>
      </c>
      <c r="GS668">
        <v>3</v>
      </c>
      <c r="GT668">
        <v>0</v>
      </c>
      <c r="GU668" t="s">
        <v>6</v>
      </c>
      <c r="GV668">
        <f t="shared" ref="GV668:GV679" si="551">ROUND(GT668,2)</f>
        <v>0</v>
      </c>
      <c r="GW668">
        <v>1</v>
      </c>
      <c r="GX668">
        <f t="shared" ref="GX668:GX679" si="552">ROUND(GV668*GW668*I668,2)</f>
        <v>0</v>
      </c>
      <c r="HA668">
        <v>0</v>
      </c>
      <c r="HB668">
        <v>0</v>
      </c>
      <c r="IK668">
        <v>0</v>
      </c>
    </row>
    <row r="669" spans="1:245" x14ac:dyDescent="0.2">
      <c r="A669">
        <v>17</v>
      </c>
      <c r="B669">
        <v>1</v>
      </c>
      <c r="C669">
        <f>ROW(SmtRes!A920)</f>
        <v>920</v>
      </c>
      <c r="D669">
        <f>ROW(EtalonRes!A853)</f>
        <v>853</v>
      </c>
      <c r="E669" t="s">
        <v>1105</v>
      </c>
      <c r="F669" t="s">
        <v>1106</v>
      </c>
      <c r="G669" t="s">
        <v>1107</v>
      </c>
      <c r="H669" t="s">
        <v>66</v>
      </c>
      <c r="I669">
        <f>ROUND(2/100,9)</f>
        <v>0.02</v>
      </c>
      <c r="J669">
        <v>0</v>
      </c>
      <c r="O669">
        <f t="shared" si="520"/>
        <v>58.48</v>
      </c>
      <c r="P669">
        <f t="shared" si="521"/>
        <v>0</v>
      </c>
      <c r="Q669">
        <f t="shared" si="522"/>
        <v>1.07</v>
      </c>
      <c r="R669">
        <f t="shared" si="523"/>
        <v>0.46</v>
      </c>
      <c r="S669">
        <f t="shared" si="524"/>
        <v>57.41</v>
      </c>
      <c r="T669">
        <f t="shared" si="525"/>
        <v>0</v>
      </c>
      <c r="U669">
        <f t="shared" si="526"/>
        <v>1.026</v>
      </c>
      <c r="V669">
        <f t="shared" si="527"/>
        <v>5.2000000000000006E-3</v>
      </c>
      <c r="W669">
        <f t="shared" si="528"/>
        <v>0</v>
      </c>
      <c r="X669">
        <f t="shared" si="529"/>
        <v>42.82</v>
      </c>
      <c r="Y669">
        <f t="shared" si="530"/>
        <v>28.94</v>
      </c>
      <c r="AA669">
        <v>16742901</v>
      </c>
      <c r="AB669">
        <f t="shared" si="531"/>
        <v>445.72</v>
      </c>
      <c r="AC669">
        <f t="shared" ref="AC669:AC679" si="553">ROUND((ES669),2)</f>
        <v>0</v>
      </c>
      <c r="AD669">
        <f>ROUND((((ET669)-(EU669))+AE669),2)</f>
        <v>8.1300000000000008</v>
      </c>
      <c r="AE669">
        <f>ROUND((EU669),2)</f>
        <v>3.51</v>
      </c>
      <c r="AF669">
        <f>ROUND((EV669),2)</f>
        <v>437.59</v>
      </c>
      <c r="AG669">
        <f t="shared" si="532"/>
        <v>0</v>
      </c>
      <c r="AH669">
        <f>(EW669)</f>
        <v>51.3</v>
      </c>
      <c r="AI669">
        <f>(EX669)</f>
        <v>0.26</v>
      </c>
      <c r="AJ669">
        <f t="shared" si="533"/>
        <v>0</v>
      </c>
      <c r="AK669">
        <v>445.72</v>
      </c>
      <c r="AL669">
        <v>0</v>
      </c>
      <c r="AM669">
        <v>8.1300000000000008</v>
      </c>
      <c r="AN669">
        <v>3.51</v>
      </c>
      <c r="AO669">
        <v>437.59</v>
      </c>
      <c r="AP669">
        <v>0</v>
      </c>
      <c r="AQ669">
        <v>51.3</v>
      </c>
      <c r="AR669">
        <v>0.26</v>
      </c>
      <c r="AS669">
        <v>0</v>
      </c>
      <c r="AT669">
        <v>74</v>
      </c>
      <c r="AU669">
        <v>50</v>
      </c>
      <c r="AV669">
        <v>1</v>
      </c>
      <c r="AW669">
        <v>1</v>
      </c>
      <c r="AZ669">
        <v>6.56</v>
      </c>
      <c r="BA669">
        <v>6.56</v>
      </c>
      <c r="BB669">
        <v>6.56</v>
      </c>
      <c r="BC669">
        <v>6.56</v>
      </c>
      <c r="BD669" t="s">
        <v>6</v>
      </c>
      <c r="BE669" t="s">
        <v>6</v>
      </c>
      <c r="BF669" t="s">
        <v>6</v>
      </c>
      <c r="BG669" t="s">
        <v>6</v>
      </c>
      <c r="BH669">
        <v>0</v>
      </c>
      <c r="BI669">
        <v>1</v>
      </c>
      <c r="BJ669" t="s">
        <v>1108</v>
      </c>
      <c r="BM669">
        <v>65001</v>
      </c>
      <c r="BN669">
        <v>0</v>
      </c>
      <c r="BO669" t="s">
        <v>6</v>
      </c>
      <c r="BP669">
        <v>0</v>
      </c>
      <c r="BQ669">
        <v>6</v>
      </c>
      <c r="BR669">
        <v>0</v>
      </c>
      <c r="BS669">
        <v>6.56</v>
      </c>
      <c r="BT669">
        <v>1</v>
      </c>
      <c r="BU669">
        <v>1</v>
      </c>
      <c r="BV669">
        <v>1</v>
      </c>
      <c r="BW669">
        <v>1</v>
      </c>
      <c r="BX669">
        <v>1</v>
      </c>
      <c r="BY669" t="s">
        <v>6</v>
      </c>
      <c r="BZ669">
        <v>74</v>
      </c>
      <c r="CA669">
        <v>50</v>
      </c>
      <c r="CF669">
        <v>0</v>
      </c>
      <c r="CG669">
        <v>0</v>
      </c>
      <c r="CM669">
        <v>0</v>
      </c>
      <c r="CN669" t="s">
        <v>6</v>
      </c>
      <c r="CO669">
        <v>0</v>
      </c>
      <c r="CP669">
        <f t="shared" si="534"/>
        <v>58.48</v>
      </c>
      <c r="CQ669">
        <f t="shared" si="535"/>
        <v>0</v>
      </c>
      <c r="CR669">
        <f t="shared" si="536"/>
        <v>53.332799999999999</v>
      </c>
      <c r="CS669">
        <f t="shared" si="537"/>
        <v>23.025599999999997</v>
      </c>
      <c r="CT669">
        <f t="shared" si="538"/>
        <v>2870.5903999999996</v>
      </c>
      <c r="CU669">
        <f t="shared" si="539"/>
        <v>0</v>
      </c>
      <c r="CV669">
        <f t="shared" si="540"/>
        <v>51.3</v>
      </c>
      <c r="CW669">
        <f t="shared" si="541"/>
        <v>0.26</v>
      </c>
      <c r="CX669">
        <f t="shared" si="542"/>
        <v>0</v>
      </c>
      <c r="CY669">
        <f t="shared" si="543"/>
        <v>42.823799999999999</v>
      </c>
      <c r="CZ669">
        <f t="shared" si="544"/>
        <v>28.934999999999999</v>
      </c>
      <c r="DC669" t="s">
        <v>6</v>
      </c>
      <c r="DD669" t="s">
        <v>6</v>
      </c>
      <c r="DE669" t="s">
        <v>6</v>
      </c>
      <c r="DF669" t="s">
        <v>6</v>
      </c>
      <c r="DG669" t="s">
        <v>6</v>
      </c>
      <c r="DH669" t="s">
        <v>6</v>
      </c>
      <c r="DI669" t="s">
        <v>6</v>
      </c>
      <c r="DJ669" t="s">
        <v>6</v>
      </c>
      <c r="DK669" t="s">
        <v>6</v>
      </c>
      <c r="DL669" t="s">
        <v>6</v>
      </c>
      <c r="DM669" t="s">
        <v>6</v>
      </c>
      <c r="DN669">
        <v>0</v>
      </c>
      <c r="DO669">
        <v>0</v>
      </c>
      <c r="DP669">
        <v>1</v>
      </c>
      <c r="DQ669">
        <v>1</v>
      </c>
      <c r="DU669">
        <v>1013</v>
      </c>
      <c r="DV669" t="s">
        <v>66</v>
      </c>
      <c r="DW669" t="s">
        <v>66</v>
      </c>
      <c r="DX669">
        <v>1</v>
      </c>
      <c r="EE669">
        <v>16510574</v>
      </c>
      <c r="EF669">
        <v>6</v>
      </c>
      <c r="EG669" t="s">
        <v>36</v>
      </c>
      <c r="EH669">
        <v>0</v>
      </c>
      <c r="EI669" t="s">
        <v>6</v>
      </c>
      <c r="EJ669">
        <v>1</v>
      </c>
      <c r="EK669">
        <v>65001</v>
      </c>
      <c r="EL669" t="s">
        <v>1031</v>
      </c>
      <c r="EM669" t="s">
        <v>69</v>
      </c>
      <c r="EO669" t="s">
        <v>6</v>
      </c>
      <c r="EQ669">
        <v>131072</v>
      </c>
      <c r="ER669">
        <v>445.72</v>
      </c>
      <c r="ES669">
        <v>0</v>
      </c>
      <c r="ET669">
        <v>8.1300000000000008</v>
      </c>
      <c r="EU669">
        <v>3.51</v>
      </c>
      <c r="EV669">
        <v>437.59</v>
      </c>
      <c r="EW669">
        <v>51.3</v>
      </c>
      <c r="EX669">
        <v>0.26</v>
      </c>
      <c r="EY669">
        <v>0</v>
      </c>
      <c r="FQ669">
        <v>0</v>
      </c>
      <c r="FR669">
        <f t="shared" si="545"/>
        <v>0</v>
      </c>
      <c r="FS669">
        <v>0</v>
      </c>
      <c r="FX669">
        <v>74</v>
      </c>
      <c r="FY669">
        <v>50</v>
      </c>
      <c r="GA669" t="s">
        <v>6</v>
      </c>
      <c r="GD669">
        <v>0</v>
      </c>
      <c r="GF669">
        <v>-869396583</v>
      </c>
      <c r="GG669">
        <v>1</v>
      </c>
      <c r="GH669">
        <v>1</v>
      </c>
      <c r="GI669">
        <v>4</v>
      </c>
      <c r="GJ669">
        <v>0</v>
      </c>
      <c r="GK669">
        <f>ROUND(R669*(R12)/100,2)</f>
        <v>0</v>
      </c>
      <c r="GL669">
        <f t="shared" si="546"/>
        <v>0</v>
      </c>
      <c r="GM669">
        <f t="shared" si="547"/>
        <v>130.24</v>
      </c>
      <c r="GN669">
        <f t="shared" si="548"/>
        <v>130.24</v>
      </c>
      <c r="GO669">
        <f t="shared" si="549"/>
        <v>0</v>
      </c>
      <c r="GP669">
        <f t="shared" si="550"/>
        <v>0</v>
      </c>
      <c r="GR669">
        <v>0</v>
      </c>
      <c r="GS669">
        <v>3</v>
      </c>
      <c r="GT669">
        <v>0</v>
      </c>
      <c r="GU669" t="s">
        <v>6</v>
      </c>
      <c r="GV669">
        <f t="shared" si="551"/>
        <v>0</v>
      </c>
      <c r="GW669">
        <v>1</v>
      </c>
      <c r="GX669">
        <f t="shared" si="552"/>
        <v>0</v>
      </c>
      <c r="HA669">
        <v>0</v>
      </c>
      <c r="HB669">
        <v>0</v>
      </c>
      <c r="IK669">
        <v>0</v>
      </c>
    </row>
    <row r="670" spans="1:245" x14ac:dyDescent="0.2">
      <c r="A670">
        <v>17</v>
      </c>
      <c r="B670">
        <v>1</v>
      </c>
      <c r="C670">
        <f>ROW(SmtRes!A935)</f>
        <v>935</v>
      </c>
      <c r="D670">
        <f>ROW(EtalonRes!A870)</f>
        <v>870</v>
      </c>
      <c r="E670" t="s">
        <v>1109</v>
      </c>
      <c r="F670" t="s">
        <v>1110</v>
      </c>
      <c r="G670" t="s">
        <v>1111</v>
      </c>
      <c r="H670" t="s">
        <v>34</v>
      </c>
      <c r="I670">
        <f>ROUND(68.6/100,9)</f>
        <v>0.68600000000000005</v>
      </c>
      <c r="J670">
        <v>0</v>
      </c>
      <c r="O670">
        <f t="shared" si="520"/>
        <v>17654.04</v>
      </c>
      <c r="P670">
        <f t="shared" si="521"/>
        <v>251.47</v>
      </c>
      <c r="Q670">
        <f t="shared" si="522"/>
        <v>7636.05</v>
      </c>
      <c r="R670">
        <f t="shared" si="523"/>
        <v>1033.51</v>
      </c>
      <c r="S670">
        <f t="shared" si="524"/>
        <v>9766.52</v>
      </c>
      <c r="T670">
        <f t="shared" si="525"/>
        <v>0</v>
      </c>
      <c r="U670">
        <f t="shared" si="526"/>
        <v>150.08033599999999</v>
      </c>
      <c r="V670">
        <f t="shared" si="527"/>
        <v>11.696300000000001</v>
      </c>
      <c r="W670">
        <f t="shared" si="528"/>
        <v>0</v>
      </c>
      <c r="X670">
        <f t="shared" si="529"/>
        <v>12420.03</v>
      </c>
      <c r="Y670">
        <f t="shared" si="530"/>
        <v>7668.02</v>
      </c>
      <c r="AA670">
        <v>16742901</v>
      </c>
      <c r="AB670">
        <f t="shared" si="531"/>
        <v>3922.98</v>
      </c>
      <c r="AC670">
        <f t="shared" si="553"/>
        <v>55.88</v>
      </c>
      <c r="AD670">
        <f>ROUND(((((ET670*1.25))-((EU670*1.25)))+AE670),2)</f>
        <v>1696.84</v>
      </c>
      <c r="AE670">
        <f>ROUND(((EU670*1.25)),2)</f>
        <v>229.66</v>
      </c>
      <c r="AF670">
        <f>ROUND(((EV670*1.15)),2)</f>
        <v>2170.2600000000002</v>
      </c>
      <c r="AG670">
        <f t="shared" si="532"/>
        <v>0</v>
      </c>
      <c r="AH670">
        <f>((EW670*1.15))</f>
        <v>218.77599999999998</v>
      </c>
      <c r="AI670">
        <f>((EX670*1.25))</f>
        <v>17.05</v>
      </c>
      <c r="AJ670">
        <f t="shared" si="533"/>
        <v>0</v>
      </c>
      <c r="AK670">
        <v>3300.53</v>
      </c>
      <c r="AL670">
        <v>55.88</v>
      </c>
      <c r="AM670">
        <v>1357.47</v>
      </c>
      <c r="AN670">
        <v>183.73</v>
      </c>
      <c r="AO670">
        <v>1887.18</v>
      </c>
      <c r="AP670">
        <v>0</v>
      </c>
      <c r="AQ670">
        <v>190.24</v>
      </c>
      <c r="AR670">
        <v>13.64</v>
      </c>
      <c r="AS670">
        <v>0</v>
      </c>
      <c r="AT670">
        <v>115</v>
      </c>
      <c r="AU670">
        <v>71</v>
      </c>
      <c r="AV670">
        <v>1</v>
      </c>
      <c r="AW670">
        <v>1</v>
      </c>
      <c r="AZ670">
        <v>6.56</v>
      </c>
      <c r="BA670">
        <v>6.56</v>
      </c>
      <c r="BB670">
        <v>6.56</v>
      </c>
      <c r="BC670">
        <v>6.56</v>
      </c>
      <c r="BD670" t="s">
        <v>6</v>
      </c>
      <c r="BE670" t="s">
        <v>6</v>
      </c>
      <c r="BF670" t="s">
        <v>6</v>
      </c>
      <c r="BG670" t="s">
        <v>6</v>
      </c>
      <c r="BH670">
        <v>0</v>
      </c>
      <c r="BI670">
        <v>1</v>
      </c>
      <c r="BJ670" t="s">
        <v>1112</v>
      </c>
      <c r="BM670">
        <v>16001</v>
      </c>
      <c r="BN670">
        <v>0</v>
      </c>
      <c r="BO670" t="s">
        <v>6</v>
      </c>
      <c r="BP670">
        <v>0</v>
      </c>
      <c r="BQ670">
        <v>2</v>
      </c>
      <c r="BR670">
        <v>0</v>
      </c>
      <c r="BS670">
        <v>6.56</v>
      </c>
      <c r="BT670">
        <v>1</v>
      </c>
      <c r="BU670">
        <v>1</v>
      </c>
      <c r="BV670">
        <v>1</v>
      </c>
      <c r="BW670">
        <v>1</v>
      </c>
      <c r="BX670">
        <v>1</v>
      </c>
      <c r="BY670" t="s">
        <v>6</v>
      </c>
      <c r="BZ670">
        <v>128</v>
      </c>
      <c r="CA670">
        <v>83</v>
      </c>
      <c r="CF670">
        <v>0</v>
      </c>
      <c r="CG670">
        <v>0</v>
      </c>
      <c r="CM670">
        <v>0</v>
      </c>
      <c r="CN670" t="s">
        <v>1902</v>
      </c>
      <c r="CO670">
        <v>0</v>
      </c>
      <c r="CP670">
        <f t="shared" si="534"/>
        <v>17654.04</v>
      </c>
      <c r="CQ670">
        <f t="shared" si="535"/>
        <v>366.57279999999997</v>
      </c>
      <c r="CR670">
        <f t="shared" si="536"/>
        <v>11131.270399999999</v>
      </c>
      <c r="CS670">
        <f t="shared" si="537"/>
        <v>1506.5695999999998</v>
      </c>
      <c r="CT670">
        <f t="shared" si="538"/>
        <v>14236.9056</v>
      </c>
      <c r="CU670">
        <f t="shared" si="539"/>
        <v>0</v>
      </c>
      <c r="CV670">
        <f t="shared" si="540"/>
        <v>218.77599999999998</v>
      </c>
      <c r="CW670">
        <f t="shared" si="541"/>
        <v>17.05</v>
      </c>
      <c r="CX670">
        <f t="shared" si="542"/>
        <v>0</v>
      </c>
      <c r="CY670">
        <f t="shared" si="543"/>
        <v>12420.034500000002</v>
      </c>
      <c r="CZ670">
        <f t="shared" si="544"/>
        <v>7668.0213000000003</v>
      </c>
      <c r="DC670" t="s">
        <v>6</v>
      </c>
      <c r="DD670" t="s">
        <v>6</v>
      </c>
      <c r="DE670" t="s">
        <v>187</v>
      </c>
      <c r="DF670" t="s">
        <v>187</v>
      </c>
      <c r="DG670" t="s">
        <v>188</v>
      </c>
      <c r="DH670" t="s">
        <v>6</v>
      </c>
      <c r="DI670" t="s">
        <v>188</v>
      </c>
      <c r="DJ670" t="s">
        <v>187</v>
      </c>
      <c r="DK670" t="s">
        <v>6</v>
      </c>
      <c r="DL670" t="s">
        <v>6</v>
      </c>
      <c r="DM670" t="s">
        <v>6</v>
      </c>
      <c r="DN670">
        <v>0</v>
      </c>
      <c r="DO670">
        <v>0</v>
      </c>
      <c r="DP670">
        <v>1</v>
      </c>
      <c r="DQ670">
        <v>1</v>
      </c>
      <c r="DU670">
        <v>1003</v>
      </c>
      <c r="DV670" t="s">
        <v>34</v>
      </c>
      <c r="DW670" t="s">
        <v>34</v>
      </c>
      <c r="DX670">
        <v>100</v>
      </c>
      <c r="EE670">
        <v>16510514</v>
      </c>
      <c r="EF670">
        <v>2</v>
      </c>
      <c r="EG670" t="s">
        <v>22</v>
      </c>
      <c r="EH670">
        <v>0</v>
      </c>
      <c r="EI670" t="s">
        <v>6</v>
      </c>
      <c r="EJ670">
        <v>1</v>
      </c>
      <c r="EK670">
        <v>16001</v>
      </c>
      <c r="EL670" t="s">
        <v>1063</v>
      </c>
      <c r="EM670" t="s">
        <v>1064</v>
      </c>
      <c r="EO670" t="s">
        <v>189</v>
      </c>
      <c r="EQ670">
        <v>131072</v>
      </c>
      <c r="ER670">
        <v>3300.53</v>
      </c>
      <c r="ES670">
        <v>55.88</v>
      </c>
      <c r="ET670">
        <v>1357.47</v>
      </c>
      <c r="EU670">
        <v>183.73</v>
      </c>
      <c r="EV670">
        <v>1887.18</v>
      </c>
      <c r="EW670">
        <v>190.24</v>
      </c>
      <c r="EX670">
        <v>13.64</v>
      </c>
      <c r="EY670">
        <v>0</v>
      </c>
      <c r="FQ670">
        <v>0</v>
      </c>
      <c r="FR670">
        <f t="shared" si="545"/>
        <v>0</v>
      </c>
      <c r="FS670">
        <v>0</v>
      </c>
      <c r="FT670" t="s">
        <v>25</v>
      </c>
      <c r="FU670" t="s">
        <v>26</v>
      </c>
      <c r="FX670">
        <v>115.2</v>
      </c>
      <c r="FY670">
        <v>70.55</v>
      </c>
      <c r="GA670" t="s">
        <v>6</v>
      </c>
      <c r="GD670">
        <v>0</v>
      </c>
      <c r="GF670">
        <v>-506903989</v>
      </c>
      <c r="GG670">
        <v>1</v>
      </c>
      <c r="GH670">
        <v>1</v>
      </c>
      <c r="GI670">
        <v>4</v>
      </c>
      <c r="GJ670">
        <v>0</v>
      </c>
      <c r="GK670">
        <f>ROUND(R670*(R12)/100,2)</f>
        <v>0</v>
      </c>
      <c r="GL670">
        <f t="shared" si="546"/>
        <v>0</v>
      </c>
      <c r="GM670">
        <f t="shared" si="547"/>
        <v>37742.089999999997</v>
      </c>
      <c r="GN670">
        <f t="shared" si="548"/>
        <v>37742.089999999997</v>
      </c>
      <c r="GO670">
        <f t="shared" si="549"/>
        <v>0</v>
      </c>
      <c r="GP670">
        <f t="shared" si="550"/>
        <v>0</v>
      </c>
      <c r="GR670">
        <v>0</v>
      </c>
      <c r="GS670">
        <v>3</v>
      </c>
      <c r="GT670">
        <v>0</v>
      </c>
      <c r="GU670" t="s">
        <v>6</v>
      </c>
      <c r="GV670">
        <f t="shared" si="551"/>
        <v>0</v>
      </c>
      <c r="GW670">
        <v>1</v>
      </c>
      <c r="GX670">
        <f t="shared" si="552"/>
        <v>0</v>
      </c>
      <c r="HA670">
        <v>0</v>
      </c>
      <c r="HB670">
        <v>0</v>
      </c>
      <c r="IK670">
        <v>0</v>
      </c>
    </row>
    <row r="671" spans="1:245" x14ac:dyDescent="0.2">
      <c r="A671">
        <v>18</v>
      </c>
      <c r="B671">
        <v>1</v>
      </c>
      <c r="C671">
        <v>933</v>
      </c>
      <c r="E671" t="s">
        <v>1113</v>
      </c>
      <c r="F671" t="s">
        <v>1066</v>
      </c>
      <c r="G671" t="s">
        <v>1114</v>
      </c>
      <c r="H671" t="s">
        <v>73</v>
      </c>
      <c r="I671">
        <f>I670*J671</f>
        <v>11.999999999999998</v>
      </c>
      <c r="J671">
        <v>17.492711370262388</v>
      </c>
      <c r="O671">
        <f t="shared" si="520"/>
        <v>3259.8</v>
      </c>
      <c r="P671">
        <f t="shared" si="521"/>
        <v>3259.8</v>
      </c>
      <c r="Q671">
        <f t="shared" si="522"/>
        <v>0</v>
      </c>
      <c r="R671">
        <f t="shared" si="523"/>
        <v>0</v>
      </c>
      <c r="S671">
        <f t="shared" si="524"/>
        <v>0</v>
      </c>
      <c r="T671">
        <f t="shared" si="525"/>
        <v>0</v>
      </c>
      <c r="U671">
        <f t="shared" si="526"/>
        <v>0</v>
      </c>
      <c r="V671">
        <f t="shared" si="527"/>
        <v>0</v>
      </c>
      <c r="W671">
        <f t="shared" si="528"/>
        <v>0</v>
      </c>
      <c r="X671">
        <f t="shared" si="529"/>
        <v>0</v>
      </c>
      <c r="Y671">
        <f t="shared" si="530"/>
        <v>0</v>
      </c>
      <c r="AA671">
        <v>16742901</v>
      </c>
      <c r="AB671">
        <f t="shared" si="531"/>
        <v>41.41</v>
      </c>
      <c r="AC671">
        <f t="shared" si="553"/>
        <v>41.41</v>
      </c>
      <c r="AD671">
        <f>ROUND((((ET671)-(EU671))+AE671),2)</f>
        <v>0</v>
      </c>
      <c r="AE671">
        <f t="shared" ref="AE671:AF673" si="554">ROUND((EU671),2)</f>
        <v>0</v>
      </c>
      <c r="AF671">
        <f t="shared" si="554"/>
        <v>0</v>
      </c>
      <c r="AG671">
        <f t="shared" si="532"/>
        <v>0</v>
      </c>
      <c r="AH671">
        <f t="shared" ref="AH671:AI673" si="555">(EW671)</f>
        <v>0</v>
      </c>
      <c r="AI671">
        <f t="shared" si="555"/>
        <v>0</v>
      </c>
      <c r="AJ671">
        <f t="shared" si="533"/>
        <v>0</v>
      </c>
      <c r="AK671">
        <v>41.41</v>
      </c>
      <c r="AL671">
        <v>41.41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115</v>
      </c>
      <c r="AU671">
        <v>71</v>
      </c>
      <c r="AV671">
        <v>1</v>
      </c>
      <c r="AW671">
        <v>1</v>
      </c>
      <c r="AZ671">
        <v>6.56</v>
      </c>
      <c r="BA671">
        <v>1</v>
      </c>
      <c r="BB671">
        <v>1</v>
      </c>
      <c r="BC671">
        <v>6.56</v>
      </c>
      <c r="BD671" t="s">
        <v>6</v>
      </c>
      <c r="BE671" t="s">
        <v>6</v>
      </c>
      <c r="BF671" t="s">
        <v>6</v>
      </c>
      <c r="BG671" t="s">
        <v>6</v>
      </c>
      <c r="BH671">
        <v>3</v>
      </c>
      <c r="BI671">
        <v>1</v>
      </c>
      <c r="BJ671" t="s">
        <v>1068</v>
      </c>
      <c r="BM671">
        <v>16001</v>
      </c>
      <c r="BN671">
        <v>0</v>
      </c>
      <c r="BO671" t="s">
        <v>6</v>
      </c>
      <c r="BP671">
        <v>0</v>
      </c>
      <c r="BQ671">
        <v>2</v>
      </c>
      <c r="BR671">
        <v>0</v>
      </c>
      <c r="BS671">
        <v>1</v>
      </c>
      <c r="BT671">
        <v>1</v>
      </c>
      <c r="BU671">
        <v>1</v>
      </c>
      <c r="BV671">
        <v>1</v>
      </c>
      <c r="BW671">
        <v>1</v>
      </c>
      <c r="BX671">
        <v>1</v>
      </c>
      <c r="BY671" t="s">
        <v>6</v>
      </c>
      <c r="BZ671">
        <v>128</v>
      </c>
      <c r="CA671">
        <v>83</v>
      </c>
      <c r="CF671">
        <v>0</v>
      </c>
      <c r="CG671">
        <v>0</v>
      </c>
      <c r="CM671">
        <v>0</v>
      </c>
      <c r="CN671" t="s">
        <v>6</v>
      </c>
      <c r="CO671">
        <v>0</v>
      </c>
      <c r="CP671">
        <f t="shared" si="534"/>
        <v>3259.8</v>
      </c>
      <c r="CQ671">
        <f t="shared" si="535"/>
        <v>271.64959999999996</v>
      </c>
      <c r="CR671">
        <f t="shared" si="536"/>
        <v>0</v>
      </c>
      <c r="CS671">
        <f t="shared" si="537"/>
        <v>0</v>
      </c>
      <c r="CT671">
        <f t="shared" si="538"/>
        <v>0</v>
      </c>
      <c r="CU671">
        <f t="shared" si="539"/>
        <v>0</v>
      </c>
      <c r="CV671">
        <f t="shared" si="540"/>
        <v>0</v>
      </c>
      <c r="CW671">
        <f t="shared" si="541"/>
        <v>0</v>
      </c>
      <c r="CX671">
        <f t="shared" si="542"/>
        <v>0</v>
      </c>
      <c r="CY671">
        <f t="shared" si="543"/>
        <v>0</v>
      </c>
      <c r="CZ671">
        <f t="shared" si="544"/>
        <v>0</v>
      </c>
      <c r="DC671" t="s">
        <v>6</v>
      </c>
      <c r="DD671" t="s">
        <v>6</v>
      </c>
      <c r="DE671" t="s">
        <v>6</v>
      </c>
      <c r="DF671" t="s">
        <v>6</v>
      </c>
      <c r="DG671" t="s">
        <v>6</v>
      </c>
      <c r="DH671" t="s">
        <v>6</v>
      </c>
      <c r="DI671" t="s">
        <v>6</v>
      </c>
      <c r="DJ671" t="s">
        <v>6</v>
      </c>
      <c r="DK671" t="s">
        <v>6</v>
      </c>
      <c r="DL671" t="s">
        <v>6</v>
      </c>
      <c r="DM671" t="s">
        <v>6</v>
      </c>
      <c r="DN671">
        <v>0</v>
      </c>
      <c r="DO671">
        <v>0</v>
      </c>
      <c r="DP671">
        <v>1</v>
      </c>
      <c r="DQ671">
        <v>1</v>
      </c>
      <c r="DU671">
        <v>1010</v>
      </c>
      <c r="DV671" t="s">
        <v>73</v>
      </c>
      <c r="DW671" t="s">
        <v>73</v>
      </c>
      <c r="DX671">
        <v>1</v>
      </c>
      <c r="EE671">
        <v>16510514</v>
      </c>
      <c r="EF671">
        <v>2</v>
      </c>
      <c r="EG671" t="s">
        <v>22</v>
      </c>
      <c r="EH671">
        <v>0</v>
      </c>
      <c r="EI671" t="s">
        <v>6</v>
      </c>
      <c r="EJ671">
        <v>1</v>
      </c>
      <c r="EK671">
        <v>16001</v>
      </c>
      <c r="EL671" t="s">
        <v>1063</v>
      </c>
      <c r="EM671" t="s">
        <v>1064</v>
      </c>
      <c r="EO671" t="s">
        <v>6</v>
      </c>
      <c r="EQ671">
        <v>0</v>
      </c>
      <c r="ER671">
        <v>41.41</v>
      </c>
      <c r="ES671">
        <v>41.41</v>
      </c>
      <c r="ET671">
        <v>0</v>
      </c>
      <c r="EU671">
        <v>0</v>
      </c>
      <c r="EV671">
        <v>0</v>
      </c>
      <c r="EW671">
        <v>0</v>
      </c>
      <c r="EX671">
        <v>0</v>
      </c>
      <c r="FQ671">
        <v>0</v>
      </c>
      <c r="FR671">
        <f t="shared" si="545"/>
        <v>0</v>
      </c>
      <c r="FS671">
        <v>0</v>
      </c>
      <c r="FT671" t="s">
        <v>25</v>
      </c>
      <c r="FU671" t="s">
        <v>26</v>
      </c>
      <c r="FX671">
        <v>115.2</v>
      </c>
      <c r="FY671">
        <v>70.55</v>
      </c>
      <c r="GA671" t="s">
        <v>6</v>
      </c>
      <c r="GD671">
        <v>0</v>
      </c>
      <c r="GF671">
        <v>-1182410368</v>
      </c>
      <c r="GG671">
        <v>1</v>
      </c>
      <c r="GH671">
        <v>1</v>
      </c>
      <c r="GI671">
        <v>4</v>
      </c>
      <c r="GJ671">
        <v>0</v>
      </c>
      <c r="GK671">
        <f>ROUND(R671*(R12)/100,2)</f>
        <v>0</v>
      </c>
      <c r="GL671">
        <f t="shared" si="546"/>
        <v>0</v>
      </c>
      <c r="GM671">
        <f t="shared" si="547"/>
        <v>3259.8</v>
      </c>
      <c r="GN671">
        <f t="shared" si="548"/>
        <v>3259.8</v>
      </c>
      <c r="GO671">
        <f t="shared" si="549"/>
        <v>0</v>
      </c>
      <c r="GP671">
        <f t="shared" si="550"/>
        <v>0</v>
      </c>
      <c r="GR671">
        <v>0</v>
      </c>
      <c r="GS671">
        <v>3</v>
      </c>
      <c r="GT671">
        <v>0</v>
      </c>
      <c r="GU671" t="s">
        <v>6</v>
      </c>
      <c r="GV671">
        <f t="shared" si="551"/>
        <v>0</v>
      </c>
      <c r="GW671">
        <v>1</v>
      </c>
      <c r="GX671">
        <f t="shared" si="552"/>
        <v>0</v>
      </c>
      <c r="HA671">
        <v>0</v>
      </c>
      <c r="HB671">
        <v>0</v>
      </c>
      <c r="IK671">
        <v>0</v>
      </c>
    </row>
    <row r="672" spans="1:245" x14ac:dyDescent="0.2">
      <c r="A672">
        <v>18</v>
      </c>
      <c r="B672">
        <v>1</v>
      </c>
      <c r="C672">
        <v>934</v>
      </c>
      <c r="E672" t="s">
        <v>1115</v>
      </c>
      <c r="F672" t="s">
        <v>1116</v>
      </c>
      <c r="G672" t="s">
        <v>1117</v>
      </c>
      <c r="H672" t="s">
        <v>220</v>
      </c>
      <c r="I672">
        <f>I670*J672</f>
        <v>23.999999999999996</v>
      </c>
      <c r="J672">
        <v>34.985422740524776</v>
      </c>
      <c r="O672">
        <f t="shared" si="520"/>
        <v>724.22</v>
      </c>
      <c r="P672">
        <f t="shared" si="521"/>
        <v>724.22</v>
      </c>
      <c r="Q672">
        <f t="shared" si="522"/>
        <v>0</v>
      </c>
      <c r="R672">
        <f t="shared" si="523"/>
        <v>0</v>
      </c>
      <c r="S672">
        <f t="shared" si="524"/>
        <v>0</v>
      </c>
      <c r="T672">
        <f t="shared" si="525"/>
        <v>0</v>
      </c>
      <c r="U672">
        <f t="shared" si="526"/>
        <v>0</v>
      </c>
      <c r="V672">
        <f t="shared" si="527"/>
        <v>0</v>
      </c>
      <c r="W672">
        <f t="shared" si="528"/>
        <v>0</v>
      </c>
      <c r="X672">
        <f t="shared" si="529"/>
        <v>0</v>
      </c>
      <c r="Y672">
        <f t="shared" si="530"/>
        <v>0</v>
      </c>
      <c r="AA672">
        <v>16742901</v>
      </c>
      <c r="AB672">
        <f t="shared" si="531"/>
        <v>4.5999999999999996</v>
      </c>
      <c r="AC672">
        <f t="shared" si="553"/>
        <v>4.5999999999999996</v>
      </c>
      <c r="AD672">
        <f>ROUND((((ET672)-(EU672))+AE672),2)</f>
        <v>0</v>
      </c>
      <c r="AE672">
        <f t="shared" si="554"/>
        <v>0</v>
      </c>
      <c r="AF672">
        <f t="shared" si="554"/>
        <v>0</v>
      </c>
      <c r="AG672">
        <f t="shared" si="532"/>
        <v>0</v>
      </c>
      <c r="AH672">
        <f t="shared" si="555"/>
        <v>0</v>
      </c>
      <c r="AI672">
        <f t="shared" si="555"/>
        <v>0</v>
      </c>
      <c r="AJ672">
        <f t="shared" si="533"/>
        <v>0</v>
      </c>
      <c r="AK672">
        <v>4.5999999999999996</v>
      </c>
      <c r="AL672">
        <v>4.5999999999999996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115</v>
      </c>
      <c r="AU672">
        <v>71</v>
      </c>
      <c r="AV672">
        <v>1</v>
      </c>
      <c r="AW672">
        <v>1</v>
      </c>
      <c r="AZ672">
        <v>6.56</v>
      </c>
      <c r="BA672">
        <v>1</v>
      </c>
      <c r="BB672">
        <v>1</v>
      </c>
      <c r="BC672">
        <v>6.56</v>
      </c>
      <c r="BD672" t="s">
        <v>6</v>
      </c>
      <c r="BE672" t="s">
        <v>6</v>
      </c>
      <c r="BF672" t="s">
        <v>6</v>
      </c>
      <c r="BG672" t="s">
        <v>6</v>
      </c>
      <c r="BH672">
        <v>3</v>
      </c>
      <c r="BI672">
        <v>1</v>
      </c>
      <c r="BJ672" t="s">
        <v>1118</v>
      </c>
      <c r="BM672">
        <v>16001</v>
      </c>
      <c r="BN672">
        <v>0</v>
      </c>
      <c r="BO672" t="s">
        <v>6</v>
      </c>
      <c r="BP672">
        <v>0</v>
      </c>
      <c r="BQ672">
        <v>2</v>
      </c>
      <c r="BR672">
        <v>0</v>
      </c>
      <c r="BS672">
        <v>1</v>
      </c>
      <c r="BT672">
        <v>1</v>
      </c>
      <c r="BU672">
        <v>1</v>
      </c>
      <c r="BV672">
        <v>1</v>
      </c>
      <c r="BW672">
        <v>1</v>
      </c>
      <c r="BX672">
        <v>1</v>
      </c>
      <c r="BY672" t="s">
        <v>6</v>
      </c>
      <c r="BZ672">
        <v>128</v>
      </c>
      <c r="CA672">
        <v>83</v>
      </c>
      <c r="CF672">
        <v>0</v>
      </c>
      <c r="CG672">
        <v>0</v>
      </c>
      <c r="CM672">
        <v>0</v>
      </c>
      <c r="CN672" t="s">
        <v>6</v>
      </c>
      <c r="CO672">
        <v>0</v>
      </c>
      <c r="CP672">
        <f t="shared" si="534"/>
        <v>724.22</v>
      </c>
      <c r="CQ672">
        <f t="shared" si="535"/>
        <v>30.175999999999995</v>
      </c>
      <c r="CR672">
        <f t="shared" si="536"/>
        <v>0</v>
      </c>
      <c r="CS672">
        <f t="shared" si="537"/>
        <v>0</v>
      </c>
      <c r="CT672">
        <f t="shared" si="538"/>
        <v>0</v>
      </c>
      <c r="CU672">
        <f t="shared" si="539"/>
        <v>0</v>
      </c>
      <c r="CV672">
        <f t="shared" si="540"/>
        <v>0</v>
      </c>
      <c r="CW672">
        <f t="shared" si="541"/>
        <v>0</v>
      </c>
      <c r="CX672">
        <f t="shared" si="542"/>
        <v>0</v>
      </c>
      <c r="CY672">
        <f t="shared" si="543"/>
        <v>0</v>
      </c>
      <c r="CZ672">
        <f t="shared" si="544"/>
        <v>0</v>
      </c>
      <c r="DC672" t="s">
        <v>6</v>
      </c>
      <c r="DD672" t="s">
        <v>6</v>
      </c>
      <c r="DE672" t="s">
        <v>6</v>
      </c>
      <c r="DF672" t="s">
        <v>6</v>
      </c>
      <c r="DG672" t="s">
        <v>6</v>
      </c>
      <c r="DH672" t="s">
        <v>6</v>
      </c>
      <c r="DI672" t="s">
        <v>6</v>
      </c>
      <c r="DJ672" t="s">
        <v>6</v>
      </c>
      <c r="DK672" t="s">
        <v>6</v>
      </c>
      <c r="DL672" t="s">
        <v>6</v>
      </c>
      <c r="DM672" t="s">
        <v>6</v>
      </c>
      <c r="DN672">
        <v>0</v>
      </c>
      <c r="DO672">
        <v>0</v>
      </c>
      <c r="DP672">
        <v>1</v>
      </c>
      <c r="DQ672">
        <v>1</v>
      </c>
      <c r="DU672">
        <v>1003</v>
      </c>
      <c r="DV672" t="s">
        <v>220</v>
      </c>
      <c r="DW672" t="s">
        <v>220</v>
      </c>
      <c r="DX672">
        <v>1</v>
      </c>
      <c r="EE672">
        <v>16510514</v>
      </c>
      <c r="EF672">
        <v>2</v>
      </c>
      <c r="EG672" t="s">
        <v>22</v>
      </c>
      <c r="EH672">
        <v>0</v>
      </c>
      <c r="EI672" t="s">
        <v>6</v>
      </c>
      <c r="EJ672">
        <v>1</v>
      </c>
      <c r="EK672">
        <v>16001</v>
      </c>
      <c r="EL672" t="s">
        <v>1063</v>
      </c>
      <c r="EM672" t="s">
        <v>1064</v>
      </c>
      <c r="EO672" t="s">
        <v>6</v>
      </c>
      <c r="EQ672">
        <v>0</v>
      </c>
      <c r="ER672">
        <v>4.5999999999999996</v>
      </c>
      <c r="ES672">
        <v>4.5999999999999996</v>
      </c>
      <c r="ET672">
        <v>0</v>
      </c>
      <c r="EU672">
        <v>0</v>
      </c>
      <c r="EV672">
        <v>0</v>
      </c>
      <c r="EW672">
        <v>0</v>
      </c>
      <c r="EX672">
        <v>0</v>
      </c>
      <c r="FQ672">
        <v>0</v>
      </c>
      <c r="FR672">
        <f t="shared" si="545"/>
        <v>0</v>
      </c>
      <c r="FS672">
        <v>0</v>
      </c>
      <c r="FT672" t="s">
        <v>25</v>
      </c>
      <c r="FU672" t="s">
        <v>26</v>
      </c>
      <c r="FX672">
        <v>115.2</v>
      </c>
      <c r="FY672">
        <v>70.55</v>
      </c>
      <c r="GA672" t="s">
        <v>6</v>
      </c>
      <c r="GD672">
        <v>0</v>
      </c>
      <c r="GF672">
        <v>-2002545417</v>
      </c>
      <c r="GG672">
        <v>1</v>
      </c>
      <c r="GH672">
        <v>1</v>
      </c>
      <c r="GI672">
        <v>4</v>
      </c>
      <c r="GJ672">
        <v>0</v>
      </c>
      <c r="GK672">
        <f>ROUND(R672*(R12)/100,2)</f>
        <v>0</v>
      </c>
      <c r="GL672">
        <f t="shared" si="546"/>
        <v>0</v>
      </c>
      <c r="GM672">
        <f t="shared" si="547"/>
        <v>724.22</v>
      </c>
      <c r="GN672">
        <f t="shared" si="548"/>
        <v>724.22</v>
      </c>
      <c r="GO672">
        <f t="shared" si="549"/>
        <v>0</v>
      </c>
      <c r="GP672">
        <f t="shared" si="550"/>
        <v>0</v>
      </c>
      <c r="GR672">
        <v>0</v>
      </c>
      <c r="GS672">
        <v>3</v>
      </c>
      <c r="GT672">
        <v>0</v>
      </c>
      <c r="GU672" t="s">
        <v>6</v>
      </c>
      <c r="GV672">
        <f t="shared" si="551"/>
        <v>0</v>
      </c>
      <c r="GW672">
        <v>1</v>
      </c>
      <c r="GX672">
        <f t="shared" si="552"/>
        <v>0</v>
      </c>
      <c r="HA672">
        <v>0</v>
      </c>
      <c r="HB672">
        <v>0</v>
      </c>
      <c r="IK672">
        <v>0</v>
      </c>
    </row>
    <row r="673" spans="1:245" x14ac:dyDescent="0.2">
      <c r="A673">
        <v>18</v>
      </c>
      <c r="B673">
        <v>1</v>
      </c>
      <c r="C673">
        <v>935</v>
      </c>
      <c r="E673" t="s">
        <v>1119</v>
      </c>
      <c r="F673" t="s">
        <v>1120</v>
      </c>
      <c r="G673" t="s">
        <v>1121</v>
      </c>
      <c r="H673" t="s">
        <v>220</v>
      </c>
      <c r="I673">
        <f>I670*J673</f>
        <v>44.6</v>
      </c>
      <c r="J673">
        <v>65.014577259475217</v>
      </c>
      <c r="O673">
        <f t="shared" si="520"/>
        <v>2864.32</v>
      </c>
      <c r="P673">
        <f t="shared" si="521"/>
        <v>2864.32</v>
      </c>
      <c r="Q673">
        <f t="shared" si="522"/>
        <v>0</v>
      </c>
      <c r="R673">
        <f t="shared" si="523"/>
        <v>0</v>
      </c>
      <c r="S673">
        <f t="shared" si="524"/>
        <v>0</v>
      </c>
      <c r="T673">
        <f t="shared" si="525"/>
        <v>0</v>
      </c>
      <c r="U673">
        <f t="shared" si="526"/>
        <v>0</v>
      </c>
      <c r="V673">
        <f t="shared" si="527"/>
        <v>0</v>
      </c>
      <c r="W673">
        <f t="shared" si="528"/>
        <v>0</v>
      </c>
      <c r="X673">
        <f t="shared" si="529"/>
        <v>0</v>
      </c>
      <c r="Y673">
        <f t="shared" si="530"/>
        <v>0</v>
      </c>
      <c r="AA673">
        <v>16742901</v>
      </c>
      <c r="AB673">
        <f t="shared" si="531"/>
        <v>9.7899999999999991</v>
      </c>
      <c r="AC673">
        <f t="shared" si="553"/>
        <v>9.7899999999999991</v>
      </c>
      <c r="AD673">
        <f>ROUND((((ET673)-(EU673))+AE673),2)</f>
        <v>0</v>
      </c>
      <c r="AE673">
        <f t="shared" si="554"/>
        <v>0</v>
      </c>
      <c r="AF673">
        <f t="shared" si="554"/>
        <v>0</v>
      </c>
      <c r="AG673">
        <f t="shared" si="532"/>
        <v>0</v>
      </c>
      <c r="AH673">
        <f t="shared" si="555"/>
        <v>0</v>
      </c>
      <c r="AI673">
        <f t="shared" si="555"/>
        <v>0</v>
      </c>
      <c r="AJ673">
        <f t="shared" si="533"/>
        <v>0</v>
      </c>
      <c r="AK673">
        <v>9.7899999999999991</v>
      </c>
      <c r="AL673">
        <v>9.7899999999999991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115</v>
      </c>
      <c r="AU673">
        <v>71</v>
      </c>
      <c r="AV673">
        <v>1</v>
      </c>
      <c r="AW673">
        <v>1</v>
      </c>
      <c r="AZ673">
        <v>6.56</v>
      </c>
      <c r="BA673">
        <v>1</v>
      </c>
      <c r="BB673">
        <v>1</v>
      </c>
      <c r="BC673">
        <v>6.56</v>
      </c>
      <c r="BD673" t="s">
        <v>6</v>
      </c>
      <c r="BE673" t="s">
        <v>6</v>
      </c>
      <c r="BF673" t="s">
        <v>6</v>
      </c>
      <c r="BG673" t="s">
        <v>6</v>
      </c>
      <c r="BH673">
        <v>3</v>
      </c>
      <c r="BI673">
        <v>1</v>
      </c>
      <c r="BJ673" t="s">
        <v>1122</v>
      </c>
      <c r="BM673">
        <v>16001</v>
      </c>
      <c r="BN673">
        <v>0</v>
      </c>
      <c r="BO673" t="s">
        <v>6</v>
      </c>
      <c r="BP673">
        <v>0</v>
      </c>
      <c r="BQ673">
        <v>2</v>
      </c>
      <c r="BR673">
        <v>0</v>
      </c>
      <c r="BS673">
        <v>1</v>
      </c>
      <c r="BT673">
        <v>1</v>
      </c>
      <c r="BU673">
        <v>1</v>
      </c>
      <c r="BV673">
        <v>1</v>
      </c>
      <c r="BW673">
        <v>1</v>
      </c>
      <c r="BX673">
        <v>1</v>
      </c>
      <c r="BY673" t="s">
        <v>6</v>
      </c>
      <c r="BZ673">
        <v>128</v>
      </c>
      <c r="CA673">
        <v>83</v>
      </c>
      <c r="CF673">
        <v>0</v>
      </c>
      <c r="CG673">
        <v>0</v>
      </c>
      <c r="CM673">
        <v>0</v>
      </c>
      <c r="CN673" t="s">
        <v>6</v>
      </c>
      <c r="CO673">
        <v>0</v>
      </c>
      <c r="CP673">
        <f t="shared" si="534"/>
        <v>2864.32</v>
      </c>
      <c r="CQ673">
        <f t="shared" si="535"/>
        <v>64.222399999999993</v>
      </c>
      <c r="CR673">
        <f t="shared" si="536"/>
        <v>0</v>
      </c>
      <c r="CS673">
        <f t="shared" si="537"/>
        <v>0</v>
      </c>
      <c r="CT673">
        <f t="shared" si="538"/>
        <v>0</v>
      </c>
      <c r="CU673">
        <f t="shared" si="539"/>
        <v>0</v>
      </c>
      <c r="CV673">
        <f t="shared" si="540"/>
        <v>0</v>
      </c>
      <c r="CW673">
        <f t="shared" si="541"/>
        <v>0</v>
      </c>
      <c r="CX673">
        <f t="shared" si="542"/>
        <v>0</v>
      </c>
      <c r="CY673">
        <f t="shared" si="543"/>
        <v>0</v>
      </c>
      <c r="CZ673">
        <f t="shared" si="544"/>
        <v>0</v>
      </c>
      <c r="DC673" t="s">
        <v>6</v>
      </c>
      <c r="DD673" t="s">
        <v>6</v>
      </c>
      <c r="DE673" t="s">
        <v>6</v>
      </c>
      <c r="DF673" t="s">
        <v>6</v>
      </c>
      <c r="DG673" t="s">
        <v>6</v>
      </c>
      <c r="DH673" t="s">
        <v>6</v>
      </c>
      <c r="DI673" t="s">
        <v>6</v>
      </c>
      <c r="DJ673" t="s">
        <v>6</v>
      </c>
      <c r="DK673" t="s">
        <v>6</v>
      </c>
      <c r="DL673" t="s">
        <v>6</v>
      </c>
      <c r="DM673" t="s">
        <v>6</v>
      </c>
      <c r="DN673">
        <v>0</v>
      </c>
      <c r="DO673">
        <v>0</v>
      </c>
      <c r="DP673">
        <v>1</v>
      </c>
      <c r="DQ673">
        <v>1</v>
      </c>
      <c r="DU673">
        <v>1003</v>
      </c>
      <c r="DV673" t="s">
        <v>220</v>
      </c>
      <c r="DW673" t="s">
        <v>220</v>
      </c>
      <c r="DX673">
        <v>1</v>
      </c>
      <c r="EE673">
        <v>16510514</v>
      </c>
      <c r="EF673">
        <v>2</v>
      </c>
      <c r="EG673" t="s">
        <v>22</v>
      </c>
      <c r="EH673">
        <v>0</v>
      </c>
      <c r="EI673" t="s">
        <v>6</v>
      </c>
      <c r="EJ673">
        <v>1</v>
      </c>
      <c r="EK673">
        <v>16001</v>
      </c>
      <c r="EL673" t="s">
        <v>1063</v>
      </c>
      <c r="EM673" t="s">
        <v>1064</v>
      </c>
      <c r="EO673" t="s">
        <v>6</v>
      </c>
      <c r="EQ673">
        <v>0</v>
      </c>
      <c r="ER673">
        <v>9.7899999999999991</v>
      </c>
      <c r="ES673">
        <v>9.7899999999999991</v>
      </c>
      <c r="ET673">
        <v>0</v>
      </c>
      <c r="EU673">
        <v>0</v>
      </c>
      <c r="EV673">
        <v>0</v>
      </c>
      <c r="EW673">
        <v>0</v>
      </c>
      <c r="EX673">
        <v>0</v>
      </c>
      <c r="FQ673">
        <v>0</v>
      </c>
      <c r="FR673">
        <f t="shared" si="545"/>
        <v>0</v>
      </c>
      <c r="FS673">
        <v>0</v>
      </c>
      <c r="FT673" t="s">
        <v>25</v>
      </c>
      <c r="FU673" t="s">
        <v>26</v>
      </c>
      <c r="FX673">
        <v>115.2</v>
      </c>
      <c r="FY673">
        <v>70.55</v>
      </c>
      <c r="GA673" t="s">
        <v>6</v>
      </c>
      <c r="GD673">
        <v>0</v>
      </c>
      <c r="GF673">
        <v>-1238824711</v>
      </c>
      <c r="GG673">
        <v>1</v>
      </c>
      <c r="GH673">
        <v>1</v>
      </c>
      <c r="GI673">
        <v>4</v>
      </c>
      <c r="GJ673">
        <v>0</v>
      </c>
      <c r="GK673">
        <f>ROUND(R673*(R12)/100,2)</f>
        <v>0</v>
      </c>
      <c r="GL673">
        <f t="shared" si="546"/>
        <v>0</v>
      </c>
      <c r="GM673">
        <f t="shared" si="547"/>
        <v>2864.32</v>
      </c>
      <c r="GN673">
        <f t="shared" si="548"/>
        <v>2864.32</v>
      </c>
      <c r="GO673">
        <f t="shared" si="549"/>
        <v>0</v>
      </c>
      <c r="GP673">
        <f t="shared" si="550"/>
        <v>0</v>
      </c>
      <c r="GR673">
        <v>0</v>
      </c>
      <c r="GS673">
        <v>3</v>
      </c>
      <c r="GT673">
        <v>0</v>
      </c>
      <c r="GU673" t="s">
        <v>6</v>
      </c>
      <c r="GV673">
        <f t="shared" si="551"/>
        <v>0</v>
      </c>
      <c r="GW673">
        <v>1</v>
      </c>
      <c r="GX673">
        <f t="shared" si="552"/>
        <v>0</v>
      </c>
      <c r="HA673">
        <v>0</v>
      </c>
      <c r="HB673">
        <v>0</v>
      </c>
      <c r="IK673">
        <v>0</v>
      </c>
    </row>
    <row r="674" spans="1:245" x14ac:dyDescent="0.2">
      <c r="A674">
        <v>17</v>
      </c>
      <c r="B674">
        <v>1</v>
      </c>
      <c r="C674">
        <f>ROW(SmtRes!A947)</f>
        <v>947</v>
      </c>
      <c r="D674">
        <f>ROW(EtalonRes!A883)</f>
        <v>883</v>
      </c>
      <c r="E674" t="s">
        <v>1123</v>
      </c>
      <c r="F674" t="s">
        <v>1124</v>
      </c>
      <c r="G674" t="s">
        <v>1125</v>
      </c>
      <c r="H674" t="s">
        <v>1126</v>
      </c>
      <c r="I674">
        <f>ROUND(4/10,9)</f>
        <v>0.4</v>
      </c>
      <c r="J674">
        <v>0</v>
      </c>
      <c r="O674">
        <f t="shared" si="520"/>
        <v>445.01</v>
      </c>
      <c r="P674">
        <f t="shared" si="521"/>
        <v>146.68</v>
      </c>
      <c r="Q674">
        <f t="shared" si="522"/>
        <v>37.369999999999997</v>
      </c>
      <c r="R674">
        <f t="shared" si="523"/>
        <v>8.42</v>
      </c>
      <c r="S674">
        <f t="shared" si="524"/>
        <v>260.95999999999998</v>
      </c>
      <c r="T674">
        <f t="shared" si="525"/>
        <v>0</v>
      </c>
      <c r="U674">
        <f t="shared" si="526"/>
        <v>4.1353999999999997</v>
      </c>
      <c r="V674">
        <f t="shared" si="527"/>
        <v>0.10500000000000001</v>
      </c>
      <c r="W674">
        <f t="shared" si="528"/>
        <v>0</v>
      </c>
      <c r="X674">
        <f t="shared" si="529"/>
        <v>309.79000000000002</v>
      </c>
      <c r="Y674">
        <f t="shared" si="530"/>
        <v>191.26</v>
      </c>
      <c r="AA674">
        <v>16742901</v>
      </c>
      <c r="AB674">
        <f t="shared" si="531"/>
        <v>169.59</v>
      </c>
      <c r="AC674">
        <f t="shared" si="553"/>
        <v>55.9</v>
      </c>
      <c r="AD674">
        <f>ROUND(((((ET674*1.25))-((EU674*1.25)))+AE674),2)</f>
        <v>14.24</v>
      </c>
      <c r="AE674">
        <f>ROUND(((EU674*1.25)),2)</f>
        <v>3.21</v>
      </c>
      <c r="AF674">
        <f>ROUND(((EV674*1.15)),2)</f>
        <v>99.45</v>
      </c>
      <c r="AG674">
        <f t="shared" si="532"/>
        <v>0</v>
      </c>
      <c r="AH674">
        <f>((EW674*1.15))</f>
        <v>10.3385</v>
      </c>
      <c r="AI674">
        <f>((EX674*1.25))</f>
        <v>0.26250000000000001</v>
      </c>
      <c r="AJ674">
        <f t="shared" si="533"/>
        <v>0</v>
      </c>
      <c r="AK674">
        <v>153.77000000000001</v>
      </c>
      <c r="AL674">
        <v>55.9</v>
      </c>
      <c r="AM674">
        <v>11.39</v>
      </c>
      <c r="AN674">
        <v>2.57</v>
      </c>
      <c r="AO674">
        <v>86.48</v>
      </c>
      <c r="AP674">
        <v>0</v>
      </c>
      <c r="AQ674">
        <v>8.99</v>
      </c>
      <c r="AR674">
        <v>0.21</v>
      </c>
      <c r="AS674">
        <v>0</v>
      </c>
      <c r="AT674">
        <v>115</v>
      </c>
      <c r="AU674">
        <v>71</v>
      </c>
      <c r="AV674">
        <v>1</v>
      </c>
      <c r="AW674">
        <v>1</v>
      </c>
      <c r="AZ674">
        <v>6.56</v>
      </c>
      <c r="BA674">
        <v>6.56</v>
      </c>
      <c r="BB674">
        <v>6.56</v>
      </c>
      <c r="BC674">
        <v>6.56</v>
      </c>
      <c r="BD674" t="s">
        <v>6</v>
      </c>
      <c r="BE674" t="s">
        <v>6</v>
      </c>
      <c r="BF674" t="s">
        <v>6</v>
      </c>
      <c r="BG674" t="s">
        <v>6</v>
      </c>
      <c r="BH674">
        <v>0</v>
      </c>
      <c r="BI674">
        <v>1</v>
      </c>
      <c r="BJ674" t="s">
        <v>1127</v>
      </c>
      <c r="BM674">
        <v>17001</v>
      </c>
      <c r="BN674">
        <v>0</v>
      </c>
      <c r="BO674" t="s">
        <v>6</v>
      </c>
      <c r="BP674">
        <v>0</v>
      </c>
      <c r="BQ674">
        <v>2</v>
      </c>
      <c r="BR674">
        <v>0</v>
      </c>
      <c r="BS674">
        <v>6.56</v>
      </c>
      <c r="BT674">
        <v>1</v>
      </c>
      <c r="BU674">
        <v>1</v>
      </c>
      <c r="BV674">
        <v>1</v>
      </c>
      <c r="BW674">
        <v>1</v>
      </c>
      <c r="BX674">
        <v>1</v>
      </c>
      <c r="BY674" t="s">
        <v>6</v>
      </c>
      <c r="BZ674">
        <v>128</v>
      </c>
      <c r="CA674">
        <v>83</v>
      </c>
      <c r="CF674">
        <v>0</v>
      </c>
      <c r="CG674">
        <v>0</v>
      </c>
      <c r="CM674">
        <v>0</v>
      </c>
      <c r="CN674" t="s">
        <v>1902</v>
      </c>
      <c r="CO674">
        <v>0</v>
      </c>
      <c r="CP674">
        <f t="shared" si="534"/>
        <v>445.01</v>
      </c>
      <c r="CQ674">
        <f t="shared" si="535"/>
        <v>366.70399999999995</v>
      </c>
      <c r="CR674">
        <f t="shared" si="536"/>
        <v>93.414400000000001</v>
      </c>
      <c r="CS674">
        <f t="shared" si="537"/>
        <v>21.057599999999997</v>
      </c>
      <c r="CT674">
        <f t="shared" si="538"/>
        <v>652.39199999999994</v>
      </c>
      <c r="CU674">
        <f t="shared" si="539"/>
        <v>0</v>
      </c>
      <c r="CV674">
        <f t="shared" si="540"/>
        <v>10.3385</v>
      </c>
      <c r="CW674">
        <f t="shared" si="541"/>
        <v>0.26250000000000001</v>
      </c>
      <c r="CX674">
        <f t="shared" si="542"/>
        <v>0</v>
      </c>
      <c r="CY674">
        <f t="shared" si="543"/>
        <v>309.78700000000003</v>
      </c>
      <c r="CZ674">
        <f t="shared" si="544"/>
        <v>191.25979999999998</v>
      </c>
      <c r="DC674" t="s">
        <v>6</v>
      </c>
      <c r="DD674" t="s">
        <v>6</v>
      </c>
      <c r="DE674" t="s">
        <v>187</v>
      </c>
      <c r="DF674" t="s">
        <v>187</v>
      </c>
      <c r="DG674" t="s">
        <v>188</v>
      </c>
      <c r="DH674" t="s">
        <v>6</v>
      </c>
      <c r="DI674" t="s">
        <v>188</v>
      </c>
      <c r="DJ674" t="s">
        <v>187</v>
      </c>
      <c r="DK674" t="s">
        <v>6</v>
      </c>
      <c r="DL674" t="s">
        <v>6</v>
      </c>
      <c r="DM674" t="s">
        <v>6</v>
      </c>
      <c r="DN674">
        <v>0</v>
      </c>
      <c r="DO674">
        <v>0</v>
      </c>
      <c r="DP674">
        <v>1</v>
      </c>
      <c r="DQ674">
        <v>1</v>
      </c>
      <c r="DU674">
        <v>1013</v>
      </c>
      <c r="DV674" t="s">
        <v>1126</v>
      </c>
      <c r="DW674" t="s">
        <v>1126</v>
      </c>
      <c r="DX674">
        <v>1</v>
      </c>
      <c r="EE674">
        <v>16510515</v>
      </c>
      <c r="EF674">
        <v>2</v>
      </c>
      <c r="EG674" t="s">
        <v>22</v>
      </c>
      <c r="EH674">
        <v>0</v>
      </c>
      <c r="EI674" t="s">
        <v>6</v>
      </c>
      <c r="EJ674">
        <v>1</v>
      </c>
      <c r="EK674">
        <v>17001</v>
      </c>
      <c r="EL674" t="s">
        <v>1128</v>
      </c>
      <c r="EM674" t="s">
        <v>1129</v>
      </c>
      <c r="EO674" t="s">
        <v>189</v>
      </c>
      <c r="EQ674">
        <v>131072</v>
      </c>
      <c r="ER674">
        <v>153.77000000000001</v>
      </c>
      <c r="ES674">
        <v>55.9</v>
      </c>
      <c r="ET674">
        <v>11.39</v>
      </c>
      <c r="EU674">
        <v>2.57</v>
      </c>
      <c r="EV674">
        <v>86.48</v>
      </c>
      <c r="EW674">
        <v>8.99</v>
      </c>
      <c r="EX674">
        <v>0.21</v>
      </c>
      <c r="EY674">
        <v>0</v>
      </c>
      <c r="FQ674">
        <v>0</v>
      </c>
      <c r="FR674">
        <f t="shared" si="545"/>
        <v>0</v>
      </c>
      <c r="FS674">
        <v>0</v>
      </c>
      <c r="FT674" t="s">
        <v>25</v>
      </c>
      <c r="FU674" t="s">
        <v>26</v>
      </c>
      <c r="FX674">
        <v>115.2</v>
      </c>
      <c r="FY674">
        <v>70.55</v>
      </c>
      <c r="GA674" t="s">
        <v>6</v>
      </c>
      <c r="GD674">
        <v>0</v>
      </c>
      <c r="GF674">
        <v>-480512061</v>
      </c>
      <c r="GG674">
        <v>1</v>
      </c>
      <c r="GH674">
        <v>1</v>
      </c>
      <c r="GI674">
        <v>4</v>
      </c>
      <c r="GJ674">
        <v>0</v>
      </c>
      <c r="GK674">
        <f>ROUND(R674*(R12)/100,2)</f>
        <v>0</v>
      </c>
      <c r="GL674">
        <f t="shared" si="546"/>
        <v>0</v>
      </c>
      <c r="GM674">
        <f t="shared" si="547"/>
        <v>946.06</v>
      </c>
      <c r="GN674">
        <f t="shared" si="548"/>
        <v>946.06</v>
      </c>
      <c r="GO674">
        <f t="shared" si="549"/>
        <v>0</v>
      </c>
      <c r="GP674">
        <f t="shared" si="550"/>
        <v>0</v>
      </c>
      <c r="GR674">
        <v>0</v>
      </c>
      <c r="GS674">
        <v>3</v>
      </c>
      <c r="GT674">
        <v>0</v>
      </c>
      <c r="GU674" t="s">
        <v>6</v>
      </c>
      <c r="GV674">
        <f t="shared" si="551"/>
        <v>0</v>
      </c>
      <c r="GW674">
        <v>1</v>
      </c>
      <c r="GX674">
        <f t="shared" si="552"/>
        <v>0</v>
      </c>
      <c r="HA674">
        <v>0</v>
      </c>
      <c r="HB674">
        <v>0</v>
      </c>
      <c r="IK674">
        <v>0</v>
      </c>
    </row>
    <row r="675" spans="1:245" x14ac:dyDescent="0.2">
      <c r="A675">
        <v>18</v>
      </c>
      <c r="B675">
        <v>1</v>
      </c>
      <c r="C675">
        <v>947</v>
      </c>
      <c r="E675" t="s">
        <v>1130</v>
      </c>
      <c r="F675" t="s">
        <v>1131</v>
      </c>
      <c r="G675" t="s">
        <v>1132</v>
      </c>
      <c r="H675" t="s">
        <v>73</v>
      </c>
      <c r="I675">
        <f>I674*J675</f>
        <v>4</v>
      </c>
      <c r="J675">
        <v>10</v>
      </c>
      <c r="O675">
        <f t="shared" si="520"/>
        <v>3425.11</v>
      </c>
      <c r="P675">
        <f t="shared" si="521"/>
        <v>3425.11</v>
      </c>
      <c r="Q675">
        <f t="shared" si="522"/>
        <v>0</v>
      </c>
      <c r="R675">
        <f t="shared" si="523"/>
        <v>0</v>
      </c>
      <c r="S675">
        <f t="shared" si="524"/>
        <v>0</v>
      </c>
      <c r="T675">
        <f t="shared" si="525"/>
        <v>0</v>
      </c>
      <c r="U675">
        <f t="shared" si="526"/>
        <v>0</v>
      </c>
      <c r="V675">
        <f t="shared" si="527"/>
        <v>0</v>
      </c>
      <c r="W675">
        <f t="shared" si="528"/>
        <v>0</v>
      </c>
      <c r="X675">
        <f t="shared" si="529"/>
        <v>0</v>
      </c>
      <c r="Y675">
        <f t="shared" si="530"/>
        <v>0</v>
      </c>
      <c r="AA675">
        <v>16742901</v>
      </c>
      <c r="AB675">
        <f t="shared" si="531"/>
        <v>130.53</v>
      </c>
      <c r="AC675">
        <f t="shared" si="553"/>
        <v>130.53</v>
      </c>
      <c r="AD675">
        <f>ROUND((((ET675)-(EU675))+AE675),2)</f>
        <v>0</v>
      </c>
      <c r="AE675">
        <f t="shared" ref="AE675:AF677" si="556">ROUND((EU675),2)</f>
        <v>0</v>
      </c>
      <c r="AF675">
        <f t="shared" si="556"/>
        <v>0</v>
      </c>
      <c r="AG675">
        <f t="shared" si="532"/>
        <v>0</v>
      </c>
      <c r="AH675">
        <f t="shared" ref="AH675:AI677" si="557">(EW675)</f>
        <v>0</v>
      </c>
      <c r="AI675">
        <f t="shared" si="557"/>
        <v>0</v>
      </c>
      <c r="AJ675">
        <f t="shared" si="533"/>
        <v>0</v>
      </c>
      <c r="AK675">
        <v>130.53</v>
      </c>
      <c r="AL675">
        <v>130.53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115</v>
      </c>
      <c r="AU675">
        <v>71</v>
      </c>
      <c r="AV675">
        <v>1</v>
      </c>
      <c r="AW675">
        <v>1</v>
      </c>
      <c r="AZ675">
        <v>6.56</v>
      </c>
      <c r="BA675">
        <v>1</v>
      </c>
      <c r="BB675">
        <v>1</v>
      </c>
      <c r="BC675">
        <v>6.56</v>
      </c>
      <c r="BD675" t="s">
        <v>6</v>
      </c>
      <c r="BE675" t="s">
        <v>6</v>
      </c>
      <c r="BF675" t="s">
        <v>6</v>
      </c>
      <c r="BG675" t="s">
        <v>6</v>
      </c>
      <c r="BH675">
        <v>3</v>
      </c>
      <c r="BI675">
        <v>1</v>
      </c>
      <c r="BJ675" t="s">
        <v>1133</v>
      </c>
      <c r="BM675">
        <v>17001</v>
      </c>
      <c r="BN675">
        <v>0</v>
      </c>
      <c r="BO675" t="s">
        <v>6</v>
      </c>
      <c r="BP675">
        <v>0</v>
      </c>
      <c r="BQ675">
        <v>2</v>
      </c>
      <c r="BR675">
        <v>0</v>
      </c>
      <c r="BS675">
        <v>1</v>
      </c>
      <c r="BT675">
        <v>1</v>
      </c>
      <c r="BU675">
        <v>1</v>
      </c>
      <c r="BV675">
        <v>1</v>
      </c>
      <c r="BW675">
        <v>1</v>
      </c>
      <c r="BX675">
        <v>1</v>
      </c>
      <c r="BY675" t="s">
        <v>6</v>
      </c>
      <c r="BZ675">
        <v>128</v>
      </c>
      <c r="CA675">
        <v>83</v>
      </c>
      <c r="CF675">
        <v>0</v>
      </c>
      <c r="CG675">
        <v>0</v>
      </c>
      <c r="CM675">
        <v>0</v>
      </c>
      <c r="CN675" t="s">
        <v>6</v>
      </c>
      <c r="CO675">
        <v>0</v>
      </c>
      <c r="CP675">
        <f t="shared" si="534"/>
        <v>3425.11</v>
      </c>
      <c r="CQ675">
        <f t="shared" si="535"/>
        <v>856.27679999999998</v>
      </c>
      <c r="CR675">
        <f t="shared" si="536"/>
        <v>0</v>
      </c>
      <c r="CS675">
        <f t="shared" si="537"/>
        <v>0</v>
      </c>
      <c r="CT675">
        <f t="shared" si="538"/>
        <v>0</v>
      </c>
      <c r="CU675">
        <f t="shared" si="539"/>
        <v>0</v>
      </c>
      <c r="CV675">
        <f t="shared" si="540"/>
        <v>0</v>
      </c>
      <c r="CW675">
        <f t="shared" si="541"/>
        <v>0</v>
      </c>
      <c r="CX675">
        <f t="shared" si="542"/>
        <v>0</v>
      </c>
      <c r="CY675">
        <f t="shared" si="543"/>
        <v>0</v>
      </c>
      <c r="CZ675">
        <f t="shared" si="544"/>
        <v>0</v>
      </c>
      <c r="DC675" t="s">
        <v>6</v>
      </c>
      <c r="DD675" t="s">
        <v>6</v>
      </c>
      <c r="DE675" t="s">
        <v>6</v>
      </c>
      <c r="DF675" t="s">
        <v>6</v>
      </c>
      <c r="DG675" t="s">
        <v>6</v>
      </c>
      <c r="DH675" t="s">
        <v>6</v>
      </c>
      <c r="DI675" t="s">
        <v>6</v>
      </c>
      <c r="DJ675" t="s">
        <v>6</v>
      </c>
      <c r="DK675" t="s">
        <v>6</v>
      </c>
      <c r="DL675" t="s">
        <v>6</v>
      </c>
      <c r="DM675" t="s">
        <v>6</v>
      </c>
      <c r="DN675">
        <v>0</v>
      </c>
      <c r="DO675">
        <v>0</v>
      </c>
      <c r="DP675">
        <v>1</v>
      </c>
      <c r="DQ675">
        <v>1</v>
      </c>
      <c r="DU675">
        <v>1010</v>
      </c>
      <c r="DV675" t="s">
        <v>73</v>
      </c>
      <c r="DW675" t="s">
        <v>73</v>
      </c>
      <c r="DX675">
        <v>1</v>
      </c>
      <c r="EE675">
        <v>16510515</v>
      </c>
      <c r="EF675">
        <v>2</v>
      </c>
      <c r="EG675" t="s">
        <v>22</v>
      </c>
      <c r="EH675">
        <v>0</v>
      </c>
      <c r="EI675" t="s">
        <v>6</v>
      </c>
      <c r="EJ675">
        <v>1</v>
      </c>
      <c r="EK675">
        <v>17001</v>
      </c>
      <c r="EL675" t="s">
        <v>1128</v>
      </c>
      <c r="EM675" t="s">
        <v>1129</v>
      </c>
      <c r="EO675" t="s">
        <v>6</v>
      </c>
      <c r="EQ675">
        <v>0</v>
      </c>
      <c r="ER675">
        <v>130.53</v>
      </c>
      <c r="ES675">
        <v>130.53</v>
      </c>
      <c r="ET675">
        <v>0</v>
      </c>
      <c r="EU675">
        <v>0</v>
      </c>
      <c r="EV675">
        <v>0</v>
      </c>
      <c r="EW675">
        <v>0</v>
      </c>
      <c r="EX675">
        <v>0</v>
      </c>
      <c r="FQ675">
        <v>0</v>
      </c>
      <c r="FR675">
        <f t="shared" si="545"/>
        <v>0</v>
      </c>
      <c r="FS675">
        <v>0</v>
      </c>
      <c r="FT675" t="s">
        <v>25</v>
      </c>
      <c r="FU675" t="s">
        <v>26</v>
      </c>
      <c r="FX675">
        <v>115.2</v>
      </c>
      <c r="FY675">
        <v>70.55</v>
      </c>
      <c r="GA675" t="s">
        <v>6</v>
      </c>
      <c r="GD675">
        <v>0</v>
      </c>
      <c r="GF675">
        <v>1658146140</v>
      </c>
      <c r="GG675">
        <v>1</v>
      </c>
      <c r="GH675">
        <v>1</v>
      </c>
      <c r="GI675">
        <v>4</v>
      </c>
      <c r="GJ675">
        <v>0</v>
      </c>
      <c r="GK675">
        <f>ROUND(R675*(R12)/100,2)</f>
        <v>0</v>
      </c>
      <c r="GL675">
        <f t="shared" si="546"/>
        <v>0</v>
      </c>
      <c r="GM675">
        <f t="shared" si="547"/>
        <v>3425.11</v>
      </c>
      <c r="GN675">
        <f t="shared" si="548"/>
        <v>3425.11</v>
      </c>
      <c r="GO675">
        <f t="shared" si="549"/>
        <v>0</v>
      </c>
      <c r="GP675">
        <f t="shared" si="550"/>
        <v>0</v>
      </c>
      <c r="GR675">
        <v>0</v>
      </c>
      <c r="GS675">
        <v>3</v>
      </c>
      <c r="GT675">
        <v>0</v>
      </c>
      <c r="GU675" t="s">
        <v>6</v>
      </c>
      <c r="GV675">
        <f t="shared" si="551"/>
        <v>0</v>
      </c>
      <c r="GW675">
        <v>1</v>
      </c>
      <c r="GX675">
        <f t="shared" si="552"/>
        <v>0</v>
      </c>
      <c r="HA675">
        <v>0</v>
      </c>
      <c r="HB675">
        <v>0</v>
      </c>
      <c r="IK675">
        <v>0</v>
      </c>
    </row>
    <row r="676" spans="1:245" x14ac:dyDescent="0.2">
      <c r="A676">
        <v>18</v>
      </c>
      <c r="B676">
        <v>1</v>
      </c>
      <c r="C676">
        <v>945</v>
      </c>
      <c r="E676" t="s">
        <v>1134</v>
      </c>
      <c r="F676" t="s">
        <v>1135</v>
      </c>
      <c r="G676" t="s">
        <v>1136</v>
      </c>
      <c r="H676" t="s">
        <v>249</v>
      </c>
      <c r="I676">
        <f>I674*J676</f>
        <v>4</v>
      </c>
      <c r="J676">
        <v>10</v>
      </c>
      <c r="O676">
        <f t="shared" si="520"/>
        <v>9367.68</v>
      </c>
      <c r="P676">
        <f t="shared" si="521"/>
        <v>9367.68</v>
      </c>
      <c r="Q676">
        <f t="shared" si="522"/>
        <v>0</v>
      </c>
      <c r="R676">
        <f t="shared" si="523"/>
        <v>0</v>
      </c>
      <c r="S676">
        <f t="shared" si="524"/>
        <v>0</v>
      </c>
      <c r="T676">
        <f t="shared" si="525"/>
        <v>0</v>
      </c>
      <c r="U676">
        <f t="shared" si="526"/>
        <v>0</v>
      </c>
      <c r="V676">
        <f t="shared" si="527"/>
        <v>0</v>
      </c>
      <c r="W676">
        <f t="shared" si="528"/>
        <v>0</v>
      </c>
      <c r="X676">
        <f t="shared" si="529"/>
        <v>0</v>
      </c>
      <c r="Y676">
        <f t="shared" si="530"/>
        <v>0</v>
      </c>
      <c r="AA676">
        <v>16742901</v>
      </c>
      <c r="AB676">
        <f t="shared" si="531"/>
        <v>357</v>
      </c>
      <c r="AC676">
        <f t="shared" si="553"/>
        <v>357</v>
      </c>
      <c r="AD676">
        <f>ROUND((((ET676)-(EU676))+AE676),2)</f>
        <v>0</v>
      </c>
      <c r="AE676">
        <f t="shared" si="556"/>
        <v>0</v>
      </c>
      <c r="AF676">
        <f t="shared" si="556"/>
        <v>0</v>
      </c>
      <c r="AG676">
        <f t="shared" si="532"/>
        <v>0</v>
      </c>
      <c r="AH676">
        <f t="shared" si="557"/>
        <v>0</v>
      </c>
      <c r="AI676">
        <f t="shared" si="557"/>
        <v>0</v>
      </c>
      <c r="AJ676">
        <f t="shared" si="533"/>
        <v>0</v>
      </c>
      <c r="AK676">
        <v>357</v>
      </c>
      <c r="AL676">
        <v>357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115</v>
      </c>
      <c r="AU676">
        <v>71</v>
      </c>
      <c r="AV676">
        <v>1</v>
      </c>
      <c r="AW676">
        <v>1</v>
      </c>
      <c r="AZ676">
        <v>6.56</v>
      </c>
      <c r="BA676">
        <v>1</v>
      </c>
      <c r="BB676">
        <v>1</v>
      </c>
      <c r="BC676">
        <v>6.56</v>
      </c>
      <c r="BD676" t="s">
        <v>6</v>
      </c>
      <c r="BE676" t="s">
        <v>6</v>
      </c>
      <c r="BF676" t="s">
        <v>6</v>
      </c>
      <c r="BG676" t="s">
        <v>6</v>
      </c>
      <c r="BH676">
        <v>3</v>
      </c>
      <c r="BI676">
        <v>1</v>
      </c>
      <c r="BJ676" t="s">
        <v>1137</v>
      </c>
      <c r="BM676">
        <v>17001</v>
      </c>
      <c r="BN676">
        <v>0</v>
      </c>
      <c r="BO676" t="s">
        <v>6</v>
      </c>
      <c r="BP676">
        <v>0</v>
      </c>
      <c r="BQ676">
        <v>2</v>
      </c>
      <c r="BR676">
        <v>0</v>
      </c>
      <c r="BS676">
        <v>1</v>
      </c>
      <c r="BT676">
        <v>1</v>
      </c>
      <c r="BU676">
        <v>1</v>
      </c>
      <c r="BV676">
        <v>1</v>
      </c>
      <c r="BW676">
        <v>1</v>
      </c>
      <c r="BX676">
        <v>1</v>
      </c>
      <c r="BY676" t="s">
        <v>6</v>
      </c>
      <c r="BZ676">
        <v>128</v>
      </c>
      <c r="CA676">
        <v>83</v>
      </c>
      <c r="CF676">
        <v>0</v>
      </c>
      <c r="CG676">
        <v>0</v>
      </c>
      <c r="CM676">
        <v>0</v>
      </c>
      <c r="CN676" t="s">
        <v>6</v>
      </c>
      <c r="CO676">
        <v>0</v>
      </c>
      <c r="CP676">
        <f t="shared" si="534"/>
        <v>9367.68</v>
      </c>
      <c r="CQ676">
        <f t="shared" si="535"/>
        <v>2341.92</v>
      </c>
      <c r="CR676">
        <f t="shared" si="536"/>
        <v>0</v>
      </c>
      <c r="CS676">
        <f t="shared" si="537"/>
        <v>0</v>
      </c>
      <c r="CT676">
        <f t="shared" si="538"/>
        <v>0</v>
      </c>
      <c r="CU676">
        <f t="shared" si="539"/>
        <v>0</v>
      </c>
      <c r="CV676">
        <f t="shared" si="540"/>
        <v>0</v>
      </c>
      <c r="CW676">
        <f t="shared" si="541"/>
        <v>0</v>
      </c>
      <c r="CX676">
        <f t="shared" si="542"/>
        <v>0</v>
      </c>
      <c r="CY676">
        <f t="shared" si="543"/>
        <v>0</v>
      </c>
      <c r="CZ676">
        <f t="shared" si="544"/>
        <v>0</v>
      </c>
      <c r="DC676" t="s">
        <v>6</v>
      </c>
      <c r="DD676" t="s">
        <v>6</v>
      </c>
      <c r="DE676" t="s">
        <v>6</v>
      </c>
      <c r="DF676" t="s">
        <v>6</v>
      </c>
      <c r="DG676" t="s">
        <v>6</v>
      </c>
      <c r="DH676" t="s">
        <v>6</v>
      </c>
      <c r="DI676" t="s">
        <v>6</v>
      </c>
      <c r="DJ676" t="s">
        <v>6</v>
      </c>
      <c r="DK676" t="s">
        <v>6</v>
      </c>
      <c r="DL676" t="s">
        <v>6</v>
      </c>
      <c r="DM676" t="s">
        <v>6</v>
      </c>
      <c r="DN676">
        <v>0</v>
      </c>
      <c r="DO676">
        <v>0</v>
      </c>
      <c r="DP676">
        <v>1</v>
      </c>
      <c r="DQ676">
        <v>1</v>
      </c>
      <c r="DU676">
        <v>1013</v>
      </c>
      <c r="DV676" t="s">
        <v>249</v>
      </c>
      <c r="DW676" t="s">
        <v>249</v>
      </c>
      <c r="DX676">
        <v>1</v>
      </c>
      <c r="EE676">
        <v>16510515</v>
      </c>
      <c r="EF676">
        <v>2</v>
      </c>
      <c r="EG676" t="s">
        <v>22</v>
      </c>
      <c r="EH676">
        <v>0</v>
      </c>
      <c r="EI676" t="s">
        <v>6</v>
      </c>
      <c r="EJ676">
        <v>1</v>
      </c>
      <c r="EK676">
        <v>17001</v>
      </c>
      <c r="EL676" t="s">
        <v>1128</v>
      </c>
      <c r="EM676" t="s">
        <v>1129</v>
      </c>
      <c r="EO676" t="s">
        <v>6</v>
      </c>
      <c r="EQ676">
        <v>0</v>
      </c>
      <c r="ER676">
        <v>357</v>
      </c>
      <c r="ES676">
        <v>357</v>
      </c>
      <c r="ET676">
        <v>0</v>
      </c>
      <c r="EU676">
        <v>0</v>
      </c>
      <c r="EV676">
        <v>0</v>
      </c>
      <c r="EW676">
        <v>0</v>
      </c>
      <c r="EX676">
        <v>0</v>
      </c>
      <c r="FQ676">
        <v>0</v>
      </c>
      <c r="FR676">
        <f t="shared" si="545"/>
        <v>0</v>
      </c>
      <c r="FS676">
        <v>0</v>
      </c>
      <c r="FT676" t="s">
        <v>25</v>
      </c>
      <c r="FU676" t="s">
        <v>26</v>
      </c>
      <c r="FX676">
        <v>115.2</v>
      </c>
      <c r="FY676">
        <v>70.55</v>
      </c>
      <c r="GA676" t="s">
        <v>6</v>
      </c>
      <c r="GD676">
        <v>0</v>
      </c>
      <c r="GF676">
        <v>311523077</v>
      </c>
      <c r="GG676">
        <v>1</v>
      </c>
      <c r="GH676">
        <v>1</v>
      </c>
      <c r="GI676">
        <v>4</v>
      </c>
      <c r="GJ676">
        <v>0</v>
      </c>
      <c r="GK676">
        <f>ROUND(R676*(R12)/100,2)</f>
        <v>0</v>
      </c>
      <c r="GL676">
        <f t="shared" si="546"/>
        <v>0</v>
      </c>
      <c r="GM676">
        <f t="shared" si="547"/>
        <v>9367.68</v>
      </c>
      <c r="GN676">
        <f t="shared" si="548"/>
        <v>9367.68</v>
      </c>
      <c r="GO676">
        <f t="shared" si="549"/>
        <v>0</v>
      </c>
      <c r="GP676">
        <f t="shared" si="550"/>
        <v>0</v>
      </c>
      <c r="GR676">
        <v>0</v>
      </c>
      <c r="GS676">
        <v>3</v>
      </c>
      <c r="GT676">
        <v>0</v>
      </c>
      <c r="GU676" t="s">
        <v>6</v>
      </c>
      <c r="GV676">
        <f t="shared" si="551"/>
        <v>0</v>
      </c>
      <c r="GW676">
        <v>1</v>
      </c>
      <c r="GX676">
        <f t="shared" si="552"/>
        <v>0</v>
      </c>
      <c r="HA676">
        <v>0</v>
      </c>
      <c r="HB676">
        <v>0</v>
      </c>
      <c r="IK676">
        <v>0</v>
      </c>
    </row>
    <row r="677" spans="1:245" x14ac:dyDescent="0.2">
      <c r="A677">
        <v>18</v>
      </c>
      <c r="B677">
        <v>1</v>
      </c>
      <c r="C677">
        <v>946</v>
      </c>
      <c r="E677" t="s">
        <v>1138</v>
      </c>
      <c r="F677" t="s">
        <v>1139</v>
      </c>
      <c r="G677" t="s">
        <v>1140</v>
      </c>
      <c r="H677" t="s">
        <v>723</v>
      </c>
      <c r="I677">
        <f>I674*J677</f>
        <v>0.4</v>
      </c>
      <c r="J677">
        <v>1</v>
      </c>
      <c r="O677">
        <f t="shared" si="520"/>
        <v>420.36</v>
      </c>
      <c r="P677">
        <f t="shared" si="521"/>
        <v>420.36</v>
      </c>
      <c r="Q677">
        <f t="shared" si="522"/>
        <v>0</v>
      </c>
      <c r="R677">
        <f t="shared" si="523"/>
        <v>0</v>
      </c>
      <c r="S677">
        <f t="shared" si="524"/>
        <v>0</v>
      </c>
      <c r="T677">
        <f t="shared" si="525"/>
        <v>0</v>
      </c>
      <c r="U677">
        <f t="shared" si="526"/>
        <v>0</v>
      </c>
      <c r="V677">
        <f t="shared" si="527"/>
        <v>0</v>
      </c>
      <c r="W677">
        <f t="shared" si="528"/>
        <v>0</v>
      </c>
      <c r="X677">
        <f t="shared" si="529"/>
        <v>0</v>
      </c>
      <c r="Y677">
        <f t="shared" si="530"/>
        <v>0</v>
      </c>
      <c r="AA677">
        <v>16742901</v>
      </c>
      <c r="AB677">
        <f t="shared" si="531"/>
        <v>160.19999999999999</v>
      </c>
      <c r="AC677">
        <f t="shared" si="553"/>
        <v>160.19999999999999</v>
      </c>
      <c r="AD677">
        <f>ROUND((((ET677)-(EU677))+AE677),2)</f>
        <v>0</v>
      </c>
      <c r="AE677">
        <f t="shared" si="556"/>
        <v>0</v>
      </c>
      <c r="AF677">
        <f t="shared" si="556"/>
        <v>0</v>
      </c>
      <c r="AG677">
        <f t="shared" si="532"/>
        <v>0</v>
      </c>
      <c r="AH677">
        <f t="shared" si="557"/>
        <v>0</v>
      </c>
      <c r="AI677">
        <f t="shared" si="557"/>
        <v>0</v>
      </c>
      <c r="AJ677">
        <f t="shared" si="533"/>
        <v>0</v>
      </c>
      <c r="AK677">
        <v>160.19999999999999</v>
      </c>
      <c r="AL677">
        <v>160.19999999999999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115</v>
      </c>
      <c r="AU677">
        <v>71</v>
      </c>
      <c r="AV677">
        <v>1</v>
      </c>
      <c r="AW677">
        <v>1</v>
      </c>
      <c r="AZ677">
        <v>6.56</v>
      </c>
      <c r="BA677">
        <v>1</v>
      </c>
      <c r="BB677">
        <v>1</v>
      </c>
      <c r="BC677">
        <v>6.56</v>
      </c>
      <c r="BD677" t="s">
        <v>6</v>
      </c>
      <c r="BE677" t="s">
        <v>6</v>
      </c>
      <c r="BF677" t="s">
        <v>6</v>
      </c>
      <c r="BG677" t="s">
        <v>6</v>
      </c>
      <c r="BH677">
        <v>3</v>
      </c>
      <c r="BI677">
        <v>1</v>
      </c>
      <c r="BJ677" t="s">
        <v>1141</v>
      </c>
      <c r="BM677">
        <v>17001</v>
      </c>
      <c r="BN677">
        <v>0</v>
      </c>
      <c r="BO677" t="s">
        <v>6</v>
      </c>
      <c r="BP677">
        <v>0</v>
      </c>
      <c r="BQ677">
        <v>2</v>
      </c>
      <c r="BR677">
        <v>0</v>
      </c>
      <c r="BS677">
        <v>1</v>
      </c>
      <c r="BT677">
        <v>1</v>
      </c>
      <c r="BU677">
        <v>1</v>
      </c>
      <c r="BV677">
        <v>1</v>
      </c>
      <c r="BW677">
        <v>1</v>
      </c>
      <c r="BX677">
        <v>1</v>
      </c>
      <c r="BY677" t="s">
        <v>6</v>
      </c>
      <c r="BZ677">
        <v>128</v>
      </c>
      <c r="CA677">
        <v>83</v>
      </c>
      <c r="CF677">
        <v>0</v>
      </c>
      <c r="CG677">
        <v>0</v>
      </c>
      <c r="CM677">
        <v>0</v>
      </c>
      <c r="CN677" t="s">
        <v>6</v>
      </c>
      <c r="CO677">
        <v>0</v>
      </c>
      <c r="CP677">
        <f t="shared" si="534"/>
        <v>420.36</v>
      </c>
      <c r="CQ677">
        <f t="shared" si="535"/>
        <v>1050.9119999999998</v>
      </c>
      <c r="CR677">
        <f t="shared" si="536"/>
        <v>0</v>
      </c>
      <c r="CS677">
        <f t="shared" si="537"/>
        <v>0</v>
      </c>
      <c r="CT677">
        <f t="shared" si="538"/>
        <v>0</v>
      </c>
      <c r="CU677">
        <f t="shared" si="539"/>
        <v>0</v>
      </c>
      <c r="CV677">
        <f t="shared" si="540"/>
        <v>0</v>
      </c>
      <c r="CW677">
        <f t="shared" si="541"/>
        <v>0</v>
      </c>
      <c r="CX677">
        <f t="shared" si="542"/>
        <v>0</v>
      </c>
      <c r="CY677">
        <f t="shared" si="543"/>
        <v>0</v>
      </c>
      <c r="CZ677">
        <f t="shared" si="544"/>
        <v>0</v>
      </c>
      <c r="DC677" t="s">
        <v>6</v>
      </c>
      <c r="DD677" t="s">
        <v>6</v>
      </c>
      <c r="DE677" t="s">
        <v>6</v>
      </c>
      <c r="DF677" t="s">
        <v>6</v>
      </c>
      <c r="DG677" t="s">
        <v>6</v>
      </c>
      <c r="DH677" t="s">
        <v>6</v>
      </c>
      <c r="DI677" t="s">
        <v>6</v>
      </c>
      <c r="DJ677" t="s">
        <v>6</v>
      </c>
      <c r="DK677" t="s">
        <v>6</v>
      </c>
      <c r="DL677" t="s">
        <v>6</v>
      </c>
      <c r="DM677" t="s">
        <v>6</v>
      </c>
      <c r="DN677">
        <v>0</v>
      </c>
      <c r="DO677">
        <v>0</v>
      </c>
      <c r="DP677">
        <v>1</v>
      </c>
      <c r="DQ677">
        <v>1</v>
      </c>
      <c r="DU677">
        <v>1010</v>
      </c>
      <c r="DV677" t="s">
        <v>723</v>
      </c>
      <c r="DW677" t="s">
        <v>723</v>
      </c>
      <c r="DX677">
        <v>10</v>
      </c>
      <c r="EE677">
        <v>16510515</v>
      </c>
      <c r="EF677">
        <v>2</v>
      </c>
      <c r="EG677" t="s">
        <v>22</v>
      </c>
      <c r="EH677">
        <v>0</v>
      </c>
      <c r="EI677" t="s">
        <v>6</v>
      </c>
      <c r="EJ677">
        <v>1</v>
      </c>
      <c r="EK677">
        <v>17001</v>
      </c>
      <c r="EL677" t="s">
        <v>1128</v>
      </c>
      <c r="EM677" t="s">
        <v>1129</v>
      </c>
      <c r="EO677" t="s">
        <v>6</v>
      </c>
      <c r="EQ677">
        <v>0</v>
      </c>
      <c r="ER677">
        <v>160.19999999999999</v>
      </c>
      <c r="ES677">
        <v>160.19999999999999</v>
      </c>
      <c r="ET677">
        <v>0</v>
      </c>
      <c r="EU677">
        <v>0</v>
      </c>
      <c r="EV677">
        <v>0</v>
      </c>
      <c r="EW677">
        <v>0</v>
      </c>
      <c r="EX677">
        <v>0</v>
      </c>
      <c r="FQ677">
        <v>0</v>
      </c>
      <c r="FR677">
        <f t="shared" si="545"/>
        <v>0</v>
      </c>
      <c r="FS677">
        <v>0</v>
      </c>
      <c r="FT677" t="s">
        <v>25</v>
      </c>
      <c r="FU677" t="s">
        <v>26</v>
      </c>
      <c r="FX677">
        <v>115.2</v>
      </c>
      <c r="FY677">
        <v>70.55</v>
      </c>
      <c r="GA677" t="s">
        <v>6</v>
      </c>
      <c r="GD677">
        <v>0</v>
      </c>
      <c r="GF677">
        <v>-62785007</v>
      </c>
      <c r="GG677">
        <v>1</v>
      </c>
      <c r="GH677">
        <v>1</v>
      </c>
      <c r="GI677">
        <v>4</v>
      </c>
      <c r="GJ677">
        <v>0</v>
      </c>
      <c r="GK677">
        <f>ROUND(R677*(R12)/100,2)</f>
        <v>0</v>
      </c>
      <c r="GL677">
        <f t="shared" si="546"/>
        <v>0</v>
      </c>
      <c r="GM677">
        <f t="shared" si="547"/>
        <v>420.36</v>
      </c>
      <c r="GN677">
        <f t="shared" si="548"/>
        <v>420.36</v>
      </c>
      <c r="GO677">
        <f t="shared" si="549"/>
        <v>0</v>
      </c>
      <c r="GP677">
        <f t="shared" si="550"/>
        <v>0</v>
      </c>
      <c r="GR677">
        <v>0</v>
      </c>
      <c r="GS677">
        <v>3</v>
      </c>
      <c r="GT677">
        <v>0</v>
      </c>
      <c r="GU677" t="s">
        <v>6</v>
      </c>
      <c r="GV677">
        <f t="shared" si="551"/>
        <v>0</v>
      </c>
      <c r="GW677">
        <v>1</v>
      </c>
      <c r="GX677">
        <f t="shared" si="552"/>
        <v>0</v>
      </c>
      <c r="HA677">
        <v>0</v>
      </c>
      <c r="HB677">
        <v>0</v>
      </c>
      <c r="IK677">
        <v>0</v>
      </c>
    </row>
    <row r="678" spans="1:245" x14ac:dyDescent="0.2">
      <c r="A678">
        <v>17</v>
      </c>
      <c r="B678">
        <v>1</v>
      </c>
      <c r="C678">
        <f>ROW(SmtRes!A951)</f>
        <v>951</v>
      </c>
      <c r="D678">
        <f>ROW(EtalonRes!A890)</f>
        <v>890</v>
      </c>
      <c r="E678" t="s">
        <v>1142</v>
      </c>
      <c r="F678" t="s">
        <v>1143</v>
      </c>
      <c r="G678" t="s">
        <v>1144</v>
      </c>
      <c r="H678" t="s">
        <v>1145</v>
      </c>
      <c r="I678">
        <f>ROUND(4/10,9)</f>
        <v>0.4</v>
      </c>
      <c r="J678">
        <v>0</v>
      </c>
      <c r="O678">
        <f t="shared" si="520"/>
        <v>232.01</v>
      </c>
      <c r="P678">
        <f t="shared" si="521"/>
        <v>28.81</v>
      </c>
      <c r="Q678">
        <f t="shared" si="522"/>
        <v>0</v>
      </c>
      <c r="R678">
        <f t="shared" si="523"/>
        <v>0</v>
      </c>
      <c r="S678">
        <f t="shared" si="524"/>
        <v>203.2</v>
      </c>
      <c r="T678">
        <f t="shared" si="525"/>
        <v>0</v>
      </c>
      <c r="U678">
        <f t="shared" si="526"/>
        <v>3.2199999999999998</v>
      </c>
      <c r="V678">
        <f t="shared" si="527"/>
        <v>0</v>
      </c>
      <c r="W678">
        <f t="shared" si="528"/>
        <v>0</v>
      </c>
      <c r="X678">
        <f t="shared" si="529"/>
        <v>233.68</v>
      </c>
      <c r="Y678">
        <f t="shared" si="530"/>
        <v>144.27000000000001</v>
      </c>
      <c r="AA678">
        <v>16742901</v>
      </c>
      <c r="AB678">
        <f t="shared" si="531"/>
        <v>88.42</v>
      </c>
      <c r="AC678">
        <f t="shared" si="553"/>
        <v>10.98</v>
      </c>
      <c r="AD678">
        <f>ROUND(((((ET678*1.25))-((EU678*1.25)))+AE678),2)</f>
        <v>0</v>
      </c>
      <c r="AE678">
        <f>ROUND(((EU678*1.25)),2)</f>
        <v>0</v>
      </c>
      <c r="AF678">
        <f>ROUND(((EV678*1.15)),2)</f>
        <v>77.44</v>
      </c>
      <c r="AG678">
        <f t="shared" si="532"/>
        <v>0</v>
      </c>
      <c r="AH678">
        <f>((EW678*1.15))</f>
        <v>8.0499999999999989</v>
      </c>
      <c r="AI678">
        <f>((EX678*1.25))</f>
        <v>0</v>
      </c>
      <c r="AJ678">
        <f t="shared" si="533"/>
        <v>0</v>
      </c>
      <c r="AK678">
        <v>78.319999999999993</v>
      </c>
      <c r="AL678">
        <v>10.98</v>
      </c>
      <c r="AM678">
        <v>0</v>
      </c>
      <c r="AN678">
        <v>0</v>
      </c>
      <c r="AO678">
        <v>67.34</v>
      </c>
      <c r="AP678">
        <v>0</v>
      </c>
      <c r="AQ678">
        <v>7</v>
      </c>
      <c r="AR678">
        <v>0</v>
      </c>
      <c r="AS678">
        <v>0</v>
      </c>
      <c r="AT678">
        <v>115</v>
      </c>
      <c r="AU678">
        <v>71</v>
      </c>
      <c r="AV678">
        <v>1</v>
      </c>
      <c r="AW678">
        <v>1</v>
      </c>
      <c r="AZ678">
        <v>6.56</v>
      </c>
      <c r="BA678">
        <v>6.56</v>
      </c>
      <c r="BB678">
        <v>6.56</v>
      </c>
      <c r="BC678">
        <v>6.56</v>
      </c>
      <c r="BD678" t="s">
        <v>6</v>
      </c>
      <c r="BE678" t="s">
        <v>6</v>
      </c>
      <c r="BF678" t="s">
        <v>6</v>
      </c>
      <c r="BG678" t="s">
        <v>6</v>
      </c>
      <c r="BH678">
        <v>0</v>
      </c>
      <c r="BI678">
        <v>1</v>
      </c>
      <c r="BJ678" t="s">
        <v>1146</v>
      </c>
      <c r="BM678">
        <v>17001</v>
      </c>
      <c r="BN678">
        <v>0</v>
      </c>
      <c r="BO678" t="s">
        <v>6</v>
      </c>
      <c r="BP678">
        <v>0</v>
      </c>
      <c r="BQ678">
        <v>2</v>
      </c>
      <c r="BR678">
        <v>0</v>
      </c>
      <c r="BS678">
        <v>6.56</v>
      </c>
      <c r="BT678">
        <v>1</v>
      </c>
      <c r="BU678">
        <v>1</v>
      </c>
      <c r="BV678">
        <v>1</v>
      </c>
      <c r="BW678">
        <v>1</v>
      </c>
      <c r="BX678">
        <v>1</v>
      </c>
      <c r="BY678" t="s">
        <v>6</v>
      </c>
      <c r="BZ678">
        <v>128</v>
      </c>
      <c r="CA678">
        <v>83</v>
      </c>
      <c r="CF678">
        <v>0</v>
      </c>
      <c r="CG678">
        <v>0</v>
      </c>
      <c r="CM678">
        <v>0</v>
      </c>
      <c r="CN678" t="s">
        <v>1902</v>
      </c>
      <c r="CO678">
        <v>0</v>
      </c>
      <c r="CP678">
        <f t="shared" si="534"/>
        <v>232.01</v>
      </c>
      <c r="CQ678">
        <f t="shared" si="535"/>
        <v>72.028800000000004</v>
      </c>
      <c r="CR678">
        <f t="shared" si="536"/>
        <v>0</v>
      </c>
      <c r="CS678">
        <f t="shared" si="537"/>
        <v>0</v>
      </c>
      <c r="CT678">
        <f t="shared" si="538"/>
        <v>508.00639999999993</v>
      </c>
      <c r="CU678">
        <f t="shared" si="539"/>
        <v>0</v>
      </c>
      <c r="CV678">
        <f t="shared" si="540"/>
        <v>8.0499999999999989</v>
      </c>
      <c r="CW678">
        <f t="shared" si="541"/>
        <v>0</v>
      </c>
      <c r="CX678">
        <f t="shared" si="542"/>
        <v>0</v>
      </c>
      <c r="CY678">
        <f t="shared" si="543"/>
        <v>233.68</v>
      </c>
      <c r="CZ678">
        <f t="shared" si="544"/>
        <v>144.27199999999999</v>
      </c>
      <c r="DC678" t="s">
        <v>6</v>
      </c>
      <c r="DD678" t="s">
        <v>6</v>
      </c>
      <c r="DE678" t="s">
        <v>187</v>
      </c>
      <c r="DF678" t="s">
        <v>187</v>
      </c>
      <c r="DG678" t="s">
        <v>188</v>
      </c>
      <c r="DH678" t="s">
        <v>6</v>
      </c>
      <c r="DI678" t="s">
        <v>188</v>
      </c>
      <c r="DJ678" t="s">
        <v>187</v>
      </c>
      <c r="DK678" t="s">
        <v>6</v>
      </c>
      <c r="DL678" t="s">
        <v>6</v>
      </c>
      <c r="DM678" t="s">
        <v>6</v>
      </c>
      <c r="DN678">
        <v>0</v>
      </c>
      <c r="DO678">
        <v>0</v>
      </c>
      <c r="DP678">
        <v>1</v>
      </c>
      <c r="DQ678">
        <v>1</v>
      </c>
      <c r="DU678">
        <v>1013</v>
      </c>
      <c r="DV678" t="s">
        <v>1145</v>
      </c>
      <c r="DW678" t="s">
        <v>1145</v>
      </c>
      <c r="DX678">
        <v>1</v>
      </c>
      <c r="EE678">
        <v>16510515</v>
      </c>
      <c r="EF678">
        <v>2</v>
      </c>
      <c r="EG678" t="s">
        <v>22</v>
      </c>
      <c r="EH678">
        <v>0</v>
      </c>
      <c r="EI678" t="s">
        <v>6</v>
      </c>
      <c r="EJ678">
        <v>1</v>
      </c>
      <c r="EK678">
        <v>17001</v>
      </c>
      <c r="EL678" t="s">
        <v>1128</v>
      </c>
      <c r="EM678" t="s">
        <v>1129</v>
      </c>
      <c r="EO678" t="s">
        <v>189</v>
      </c>
      <c r="EQ678">
        <v>131072</v>
      </c>
      <c r="ER678">
        <v>78.319999999999993</v>
      </c>
      <c r="ES678">
        <v>10.98</v>
      </c>
      <c r="ET678">
        <v>0</v>
      </c>
      <c r="EU678">
        <v>0</v>
      </c>
      <c r="EV678">
        <v>67.34</v>
      </c>
      <c r="EW678">
        <v>7</v>
      </c>
      <c r="EX678">
        <v>0</v>
      </c>
      <c r="EY678">
        <v>0</v>
      </c>
      <c r="FQ678">
        <v>0</v>
      </c>
      <c r="FR678">
        <f t="shared" si="545"/>
        <v>0</v>
      </c>
      <c r="FS678">
        <v>0</v>
      </c>
      <c r="FT678" t="s">
        <v>25</v>
      </c>
      <c r="FU678" t="s">
        <v>26</v>
      </c>
      <c r="FX678">
        <v>115.2</v>
      </c>
      <c r="FY678">
        <v>70.55</v>
      </c>
      <c r="GA678" t="s">
        <v>6</v>
      </c>
      <c r="GD678">
        <v>0</v>
      </c>
      <c r="GF678">
        <v>-1603040905</v>
      </c>
      <c r="GG678">
        <v>1</v>
      </c>
      <c r="GH678">
        <v>1</v>
      </c>
      <c r="GI678">
        <v>4</v>
      </c>
      <c r="GJ678">
        <v>0</v>
      </c>
      <c r="GK678">
        <f>ROUND(R678*(R12)/100,2)</f>
        <v>0</v>
      </c>
      <c r="GL678">
        <f t="shared" si="546"/>
        <v>0</v>
      </c>
      <c r="GM678">
        <f t="shared" si="547"/>
        <v>609.96</v>
      </c>
      <c r="GN678">
        <f t="shared" si="548"/>
        <v>609.96</v>
      </c>
      <c r="GO678">
        <f t="shared" si="549"/>
        <v>0</v>
      </c>
      <c r="GP678">
        <f t="shared" si="550"/>
        <v>0</v>
      </c>
      <c r="GR678">
        <v>0</v>
      </c>
      <c r="GS678">
        <v>3</v>
      </c>
      <c r="GT678">
        <v>0</v>
      </c>
      <c r="GU678" t="s">
        <v>6</v>
      </c>
      <c r="GV678">
        <f t="shared" si="551"/>
        <v>0</v>
      </c>
      <c r="GW678">
        <v>1</v>
      </c>
      <c r="GX678">
        <f t="shared" si="552"/>
        <v>0</v>
      </c>
      <c r="HA678">
        <v>0</v>
      </c>
      <c r="HB678">
        <v>0</v>
      </c>
      <c r="IK678">
        <v>0</v>
      </c>
    </row>
    <row r="679" spans="1:245" x14ac:dyDescent="0.2">
      <c r="A679">
        <v>17</v>
      </c>
      <c r="B679">
        <v>1</v>
      </c>
      <c r="C679">
        <f>ROW(SmtRes!A957)</f>
        <v>957</v>
      </c>
      <c r="D679">
        <f>ROW(EtalonRes!A896)</f>
        <v>896</v>
      </c>
      <c r="E679" t="s">
        <v>1147</v>
      </c>
      <c r="F679" t="s">
        <v>1100</v>
      </c>
      <c r="G679" t="s">
        <v>1101</v>
      </c>
      <c r="H679" t="s">
        <v>34</v>
      </c>
      <c r="I679">
        <f>ROUND(68.6/100,9)</f>
        <v>0.68600000000000005</v>
      </c>
      <c r="J679">
        <v>0</v>
      </c>
      <c r="O679">
        <f t="shared" si="520"/>
        <v>679.4</v>
      </c>
      <c r="P679">
        <f t="shared" si="521"/>
        <v>19.309999999999999</v>
      </c>
      <c r="Q679">
        <f t="shared" si="522"/>
        <v>312.99</v>
      </c>
      <c r="R679">
        <f t="shared" si="523"/>
        <v>0</v>
      </c>
      <c r="S679">
        <f t="shared" si="524"/>
        <v>347.1</v>
      </c>
      <c r="T679">
        <f t="shared" si="525"/>
        <v>0</v>
      </c>
      <c r="U679">
        <f t="shared" si="526"/>
        <v>4.5452473499999995</v>
      </c>
      <c r="V679">
        <f t="shared" si="527"/>
        <v>0</v>
      </c>
      <c r="W679">
        <f t="shared" si="528"/>
        <v>0</v>
      </c>
      <c r="X679">
        <f t="shared" si="529"/>
        <v>399.17</v>
      </c>
      <c r="Y679">
        <f t="shared" si="530"/>
        <v>246.44</v>
      </c>
      <c r="AA679">
        <v>16742901</v>
      </c>
      <c r="AB679">
        <f t="shared" si="531"/>
        <v>150.97</v>
      </c>
      <c r="AC679">
        <f t="shared" si="553"/>
        <v>4.29</v>
      </c>
      <c r="AD679">
        <f>ROUND((((((ET679*1.25)*1.25))-(((EU679*1.25)*1.25)))+AE679),2)</f>
        <v>69.55</v>
      </c>
      <c r="AE679">
        <f>ROUND((((EU679*1.25)*1.25)),2)</f>
        <v>0</v>
      </c>
      <c r="AF679">
        <f>ROUND((((EV679*1.15)*1.15)),2)</f>
        <v>77.13</v>
      </c>
      <c r="AG679">
        <f t="shared" si="532"/>
        <v>0</v>
      </c>
      <c r="AH679">
        <f>(((EW679*1.15)*1.15))</f>
        <v>6.6257249999999983</v>
      </c>
      <c r="AI679">
        <f>(((EX679*1.25)*1.25))</f>
        <v>0</v>
      </c>
      <c r="AJ679">
        <f t="shared" si="533"/>
        <v>0</v>
      </c>
      <c r="AK679">
        <v>107.12</v>
      </c>
      <c r="AL679">
        <v>4.29</v>
      </c>
      <c r="AM679">
        <v>44.51</v>
      </c>
      <c r="AN679">
        <v>0</v>
      </c>
      <c r="AO679">
        <v>58.32</v>
      </c>
      <c r="AP679">
        <v>0</v>
      </c>
      <c r="AQ679">
        <v>5.01</v>
      </c>
      <c r="AR679">
        <v>0</v>
      </c>
      <c r="AS679">
        <v>0</v>
      </c>
      <c r="AT679">
        <v>115</v>
      </c>
      <c r="AU679">
        <v>71</v>
      </c>
      <c r="AV679">
        <v>1</v>
      </c>
      <c r="AW679">
        <v>1</v>
      </c>
      <c r="AZ679">
        <v>6.56</v>
      </c>
      <c r="BA679">
        <v>6.56</v>
      </c>
      <c r="BB679">
        <v>6.56</v>
      </c>
      <c r="BC679">
        <v>6.56</v>
      </c>
      <c r="BD679" t="s">
        <v>6</v>
      </c>
      <c r="BE679" t="s">
        <v>6</v>
      </c>
      <c r="BF679" t="s">
        <v>6</v>
      </c>
      <c r="BG679" t="s">
        <v>6</v>
      </c>
      <c r="BH679">
        <v>0</v>
      </c>
      <c r="BI679">
        <v>1</v>
      </c>
      <c r="BJ679" t="s">
        <v>1102</v>
      </c>
      <c r="BM679">
        <v>16001</v>
      </c>
      <c r="BN679">
        <v>0</v>
      </c>
      <c r="BO679" t="s">
        <v>6</v>
      </c>
      <c r="BP679">
        <v>0</v>
      </c>
      <c r="BQ679">
        <v>2</v>
      </c>
      <c r="BR679">
        <v>0</v>
      </c>
      <c r="BS679">
        <v>6.56</v>
      </c>
      <c r="BT679">
        <v>1</v>
      </c>
      <c r="BU679">
        <v>1</v>
      </c>
      <c r="BV679">
        <v>1</v>
      </c>
      <c r="BW679">
        <v>1</v>
      </c>
      <c r="BX679">
        <v>1</v>
      </c>
      <c r="BY679" t="s">
        <v>6</v>
      </c>
      <c r="BZ679">
        <v>128</v>
      </c>
      <c r="CA679">
        <v>83</v>
      </c>
      <c r="CF679">
        <v>0</v>
      </c>
      <c r="CG679">
        <v>0</v>
      </c>
      <c r="CM679">
        <v>0</v>
      </c>
      <c r="CN679" t="s">
        <v>1905</v>
      </c>
      <c r="CO679">
        <v>0</v>
      </c>
      <c r="CP679">
        <f t="shared" si="534"/>
        <v>679.40000000000009</v>
      </c>
      <c r="CQ679">
        <f t="shared" si="535"/>
        <v>28.142399999999999</v>
      </c>
      <c r="CR679">
        <f t="shared" si="536"/>
        <v>456.24799999999993</v>
      </c>
      <c r="CS679">
        <f t="shared" si="537"/>
        <v>0</v>
      </c>
      <c r="CT679">
        <f t="shared" si="538"/>
        <v>505.97279999999995</v>
      </c>
      <c r="CU679">
        <f t="shared" si="539"/>
        <v>0</v>
      </c>
      <c r="CV679">
        <f t="shared" si="540"/>
        <v>6.6257249999999983</v>
      </c>
      <c r="CW679">
        <f t="shared" si="541"/>
        <v>0</v>
      </c>
      <c r="CX679">
        <f t="shared" si="542"/>
        <v>0</v>
      </c>
      <c r="CY679">
        <f t="shared" si="543"/>
        <v>399.16500000000002</v>
      </c>
      <c r="CZ679">
        <f t="shared" si="544"/>
        <v>246.44100000000003</v>
      </c>
      <c r="DC679" t="s">
        <v>6</v>
      </c>
      <c r="DD679" t="s">
        <v>6</v>
      </c>
      <c r="DE679" t="s">
        <v>1148</v>
      </c>
      <c r="DF679" t="s">
        <v>1148</v>
      </c>
      <c r="DG679" t="s">
        <v>1149</v>
      </c>
      <c r="DH679" t="s">
        <v>6</v>
      </c>
      <c r="DI679" t="s">
        <v>1149</v>
      </c>
      <c r="DJ679" t="s">
        <v>1148</v>
      </c>
      <c r="DK679" t="s">
        <v>6</v>
      </c>
      <c r="DL679" t="s">
        <v>6</v>
      </c>
      <c r="DM679" t="s">
        <v>6</v>
      </c>
      <c r="DN679">
        <v>0</v>
      </c>
      <c r="DO679">
        <v>0</v>
      </c>
      <c r="DP679">
        <v>1</v>
      </c>
      <c r="DQ679">
        <v>1</v>
      </c>
      <c r="DU679">
        <v>1003</v>
      </c>
      <c r="DV679" t="s">
        <v>34</v>
      </c>
      <c r="DW679" t="s">
        <v>34</v>
      </c>
      <c r="DX679">
        <v>100</v>
      </c>
      <c r="EE679">
        <v>16510514</v>
      </c>
      <c r="EF679">
        <v>2</v>
      </c>
      <c r="EG679" t="s">
        <v>22</v>
      </c>
      <c r="EH679">
        <v>0</v>
      </c>
      <c r="EI679" t="s">
        <v>6</v>
      </c>
      <c r="EJ679">
        <v>1</v>
      </c>
      <c r="EK679">
        <v>16001</v>
      </c>
      <c r="EL679" t="s">
        <v>1063</v>
      </c>
      <c r="EM679" t="s">
        <v>1064</v>
      </c>
      <c r="EO679" t="s">
        <v>1150</v>
      </c>
      <c r="EQ679">
        <v>131072</v>
      </c>
      <c r="ER679">
        <v>107.12</v>
      </c>
      <c r="ES679">
        <v>4.29</v>
      </c>
      <c r="ET679">
        <v>44.51</v>
      </c>
      <c r="EU679">
        <v>0</v>
      </c>
      <c r="EV679">
        <v>58.32</v>
      </c>
      <c r="EW679">
        <v>5.01</v>
      </c>
      <c r="EX679">
        <v>0</v>
      </c>
      <c r="EY679">
        <v>0</v>
      </c>
      <c r="FQ679">
        <v>0</v>
      </c>
      <c r="FR679">
        <f t="shared" si="545"/>
        <v>0</v>
      </c>
      <c r="FS679">
        <v>0</v>
      </c>
      <c r="FT679" t="s">
        <v>25</v>
      </c>
      <c r="FU679" t="s">
        <v>26</v>
      </c>
      <c r="FX679">
        <v>115.2</v>
      </c>
      <c r="FY679">
        <v>70.55</v>
      </c>
      <c r="GA679" t="s">
        <v>6</v>
      </c>
      <c r="GD679">
        <v>0</v>
      </c>
      <c r="GF679">
        <v>1667606600</v>
      </c>
      <c r="GG679">
        <v>1</v>
      </c>
      <c r="GH679">
        <v>1</v>
      </c>
      <c r="GI679">
        <v>4</v>
      </c>
      <c r="GJ679">
        <v>0</v>
      </c>
      <c r="GK679">
        <f>ROUND(R679*(R12)/100,2)</f>
        <v>0</v>
      </c>
      <c r="GL679">
        <f t="shared" si="546"/>
        <v>0</v>
      </c>
      <c r="GM679">
        <f t="shared" si="547"/>
        <v>1325.01</v>
      </c>
      <c r="GN679">
        <f t="shared" si="548"/>
        <v>1325.01</v>
      </c>
      <c r="GO679">
        <f t="shared" si="549"/>
        <v>0</v>
      </c>
      <c r="GP679">
        <f t="shared" si="550"/>
        <v>0</v>
      </c>
      <c r="GR679">
        <v>0</v>
      </c>
      <c r="GS679">
        <v>3</v>
      </c>
      <c r="GT679">
        <v>0</v>
      </c>
      <c r="GU679" t="s">
        <v>6</v>
      </c>
      <c r="GV679">
        <f t="shared" si="551"/>
        <v>0</v>
      </c>
      <c r="GW679">
        <v>1</v>
      </c>
      <c r="GX679">
        <f t="shared" si="552"/>
        <v>0</v>
      </c>
      <c r="HA679">
        <v>0</v>
      </c>
      <c r="HB679">
        <v>0</v>
      </c>
      <c r="IK679">
        <v>0</v>
      </c>
    </row>
    <row r="681" spans="1:245" x14ac:dyDescent="0.2">
      <c r="A681" s="2">
        <v>51</v>
      </c>
      <c r="B681" s="2">
        <f>B664</f>
        <v>1</v>
      </c>
      <c r="C681" s="2">
        <f>A664</f>
        <v>4</v>
      </c>
      <c r="D681" s="2">
        <f>ROW(A664)</f>
        <v>664</v>
      </c>
      <c r="E681" s="2"/>
      <c r="F681" s="2" t="str">
        <f>IF(F664&lt;&gt;"",F664,"")</f>
        <v>Новый раздел</v>
      </c>
      <c r="G681" s="2" t="str">
        <f>IF(G664&lt;&gt;"",G664,"")</f>
        <v>7 Система горячего и холодного водоснабжения</v>
      </c>
      <c r="H681" s="2">
        <v>0</v>
      </c>
      <c r="I681" s="2"/>
      <c r="J681" s="2"/>
      <c r="K681" s="2"/>
      <c r="L681" s="2"/>
      <c r="M681" s="2"/>
      <c r="N681" s="2"/>
      <c r="O681" s="2">
        <f t="shared" ref="O681:T681" si="558">ROUND(AB681,2)</f>
        <v>40059.67</v>
      </c>
      <c r="P681" s="2">
        <f t="shared" si="558"/>
        <v>20507.759999999998</v>
      </c>
      <c r="Q681" s="2">
        <f t="shared" si="558"/>
        <v>8009.8</v>
      </c>
      <c r="R681" s="2">
        <f t="shared" si="558"/>
        <v>1046.6400000000001</v>
      </c>
      <c r="S681" s="2">
        <f t="shared" si="558"/>
        <v>11542.11</v>
      </c>
      <c r="T681" s="2">
        <f t="shared" si="558"/>
        <v>0</v>
      </c>
      <c r="U681" s="2">
        <f>AH681</f>
        <v>179.64378335000001</v>
      </c>
      <c r="V681" s="2">
        <f>AI681</f>
        <v>11.854500000000002</v>
      </c>
      <c r="W681" s="2">
        <f>ROUND(AJ681,2)</f>
        <v>0</v>
      </c>
      <c r="X681" s="2">
        <f>ROUND(AK681,2)</f>
        <v>14079.76</v>
      </c>
      <c r="Y681" s="2">
        <f>ROUND(AL681,2)</f>
        <v>8734.52</v>
      </c>
      <c r="Z681" s="2"/>
      <c r="AA681" s="2"/>
      <c r="AB681" s="2">
        <f>ROUND(SUMIF(AA668:AA679,"=16742901",O668:O679),2)</f>
        <v>40059.67</v>
      </c>
      <c r="AC681" s="2">
        <f>ROUND(SUMIF(AA668:AA679,"=16742901",P668:P679),2)</f>
        <v>20507.759999999998</v>
      </c>
      <c r="AD681" s="2">
        <f>ROUND(SUMIF(AA668:AA679,"=16742901",Q668:Q679),2)</f>
        <v>8009.8</v>
      </c>
      <c r="AE681" s="2">
        <f>ROUND(SUMIF(AA668:AA679,"=16742901",R668:R679),2)</f>
        <v>1046.6400000000001</v>
      </c>
      <c r="AF681" s="2">
        <f>ROUND(SUMIF(AA668:AA679,"=16742901",S668:S679),2)</f>
        <v>11542.11</v>
      </c>
      <c r="AG681" s="2">
        <f>ROUND(SUMIF(AA668:AA679,"=16742901",T668:T679),2)</f>
        <v>0</v>
      </c>
      <c r="AH681" s="2">
        <f>SUMIF(AA668:AA679,"=16742901",U668:U679)</f>
        <v>179.64378335000001</v>
      </c>
      <c r="AI681" s="2">
        <f>SUMIF(AA668:AA679,"=16742901",V668:V679)</f>
        <v>11.854500000000002</v>
      </c>
      <c r="AJ681" s="2">
        <f>ROUND(SUMIF(AA668:AA679,"=16742901",W668:W679),2)</f>
        <v>0</v>
      </c>
      <c r="AK681" s="2">
        <f>ROUND(SUMIF(AA668:AA679,"=16742901",X668:X679),2)</f>
        <v>14079.76</v>
      </c>
      <c r="AL681" s="2">
        <f>ROUND(SUMIF(AA668:AA679,"=16742901",Y668:Y679),2)</f>
        <v>8734.52</v>
      </c>
      <c r="AM681" s="2"/>
      <c r="AN681" s="2"/>
      <c r="AO681" s="2">
        <f t="shared" ref="AO681:BC681" si="559">ROUND(BX681,2)</f>
        <v>0</v>
      </c>
      <c r="AP681" s="2">
        <f t="shared" si="559"/>
        <v>0</v>
      </c>
      <c r="AQ681" s="2">
        <f t="shared" si="559"/>
        <v>0</v>
      </c>
      <c r="AR681" s="2">
        <f t="shared" si="559"/>
        <v>62873.95</v>
      </c>
      <c r="AS681" s="2">
        <f t="shared" si="559"/>
        <v>62873.95</v>
      </c>
      <c r="AT681" s="2">
        <f t="shared" si="559"/>
        <v>0</v>
      </c>
      <c r="AU681" s="2">
        <f t="shared" si="559"/>
        <v>0</v>
      </c>
      <c r="AV681" s="2">
        <f t="shared" si="559"/>
        <v>20507.759999999998</v>
      </c>
      <c r="AW681" s="2">
        <f t="shared" si="559"/>
        <v>20507.759999999998</v>
      </c>
      <c r="AX681" s="2">
        <f t="shared" si="559"/>
        <v>0</v>
      </c>
      <c r="AY681" s="2">
        <f t="shared" si="559"/>
        <v>20507.759999999998</v>
      </c>
      <c r="AZ681" s="2">
        <f t="shared" si="559"/>
        <v>0</v>
      </c>
      <c r="BA681" s="2">
        <f t="shared" si="559"/>
        <v>0</v>
      </c>
      <c r="BB681" s="2">
        <f t="shared" si="559"/>
        <v>0</v>
      </c>
      <c r="BC681" s="2">
        <f t="shared" si="559"/>
        <v>0</v>
      </c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>
        <f>ROUND(SUMIF(AA668:AA679,"=16742901",FQ668:FQ679),2)</f>
        <v>0</v>
      </c>
      <c r="BY681" s="2">
        <f>ROUND(SUMIF(AA668:AA679,"=16742901",FR668:FR679),2)</f>
        <v>0</v>
      </c>
      <c r="BZ681" s="2">
        <f>ROUND(SUMIF(AA668:AA679,"=16742901",GL668:GL679),2)</f>
        <v>0</v>
      </c>
      <c r="CA681" s="2">
        <f>ROUND(SUMIF(AA668:AA679,"=16742901",GM668:GM679),2)</f>
        <v>62873.95</v>
      </c>
      <c r="CB681" s="2">
        <f>ROUND(SUMIF(AA668:AA679,"=16742901",GN668:GN679),2)</f>
        <v>62873.95</v>
      </c>
      <c r="CC681" s="2">
        <f>ROUND(SUMIF(AA668:AA679,"=16742901",GO668:GO679),2)</f>
        <v>0</v>
      </c>
      <c r="CD681" s="2">
        <f>ROUND(SUMIF(AA668:AA679,"=16742901",GP668:GP679),2)</f>
        <v>0</v>
      </c>
      <c r="CE681" s="2">
        <f>AC681-BX681</f>
        <v>20507.759999999998</v>
      </c>
      <c r="CF681" s="2">
        <f>AC681-BY681</f>
        <v>20507.759999999998</v>
      </c>
      <c r="CG681" s="2">
        <f>BX681-BZ681</f>
        <v>0</v>
      </c>
      <c r="CH681" s="2">
        <f>AC681-BX681-BY681+BZ681</f>
        <v>20507.759999999998</v>
      </c>
      <c r="CI681" s="2">
        <f>BY681-BZ681</f>
        <v>0</v>
      </c>
      <c r="CJ681" s="2">
        <f>ROUND(SUMIF(AA668:AA679,"=16742901",GX668:GX679),2)</f>
        <v>0</v>
      </c>
      <c r="CK681" s="2">
        <f>ROUND(SUMIF(AA668:AA679,"=16742901",GY668:GY679),2)</f>
        <v>0</v>
      </c>
      <c r="CL681" s="2">
        <f>ROUND(SUMIF(AA668:AA679,"=16742901",GZ668:GZ679),2)</f>
        <v>0</v>
      </c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3"/>
      <c r="EF681" s="3"/>
      <c r="EG681" s="3"/>
      <c r="EH681" s="3"/>
      <c r="EI681" s="3"/>
      <c r="EJ681" s="3"/>
      <c r="EK681" s="3"/>
      <c r="EL681" s="3"/>
      <c r="EM681" s="3"/>
      <c r="EN681" s="3"/>
      <c r="EO681" s="3"/>
      <c r="EP681" s="3"/>
      <c r="EQ681" s="3"/>
      <c r="ER681" s="3"/>
      <c r="ES681" s="3"/>
      <c r="ET681" s="3"/>
      <c r="EU681" s="3"/>
      <c r="EV681" s="3"/>
      <c r="EW681" s="3"/>
      <c r="EX681" s="3"/>
      <c r="EY681" s="3"/>
      <c r="EZ681" s="3"/>
      <c r="FA681" s="3"/>
      <c r="FB681" s="3"/>
      <c r="FC681" s="3"/>
      <c r="FD681" s="3"/>
      <c r="FE681" s="3"/>
      <c r="FF681" s="3"/>
      <c r="FG681" s="3"/>
      <c r="FH681" s="3"/>
      <c r="FI681" s="3"/>
      <c r="FJ681" s="3"/>
      <c r="FK681" s="3"/>
      <c r="FL681" s="3"/>
      <c r="FM681" s="3"/>
      <c r="FN681" s="3"/>
      <c r="FO681" s="3"/>
      <c r="FP681" s="3"/>
      <c r="FQ681" s="3"/>
      <c r="FR681" s="3"/>
      <c r="FS681" s="3"/>
      <c r="FT681" s="3"/>
      <c r="FU681" s="3"/>
      <c r="FV681" s="3"/>
      <c r="FW681" s="3"/>
      <c r="FX681" s="3"/>
      <c r="FY681" s="3"/>
      <c r="FZ681" s="3"/>
      <c r="GA681" s="3"/>
      <c r="GB681" s="3"/>
      <c r="GC681" s="3"/>
      <c r="GD681" s="3"/>
      <c r="GE681" s="3"/>
      <c r="GF681" s="3"/>
      <c r="GG681" s="3"/>
      <c r="GH681" s="3"/>
      <c r="GI681" s="3"/>
      <c r="GJ681" s="3"/>
      <c r="GK681" s="3"/>
      <c r="GL681" s="3"/>
      <c r="GM681" s="3"/>
      <c r="GN681" s="3"/>
      <c r="GO681" s="3"/>
      <c r="GP681" s="3"/>
      <c r="GQ681" s="3"/>
      <c r="GR681" s="3"/>
      <c r="GS681" s="3"/>
      <c r="GT681" s="3"/>
      <c r="GU681" s="3"/>
      <c r="GV681" s="3"/>
      <c r="GW681" s="3"/>
      <c r="GX681" s="3">
        <v>0</v>
      </c>
    </row>
    <row r="683" spans="1:245" x14ac:dyDescent="0.2">
      <c r="A683" s="4">
        <v>50</v>
      </c>
      <c r="B683" s="4">
        <v>0</v>
      </c>
      <c r="C683" s="4">
        <v>0</v>
      </c>
      <c r="D683" s="4">
        <v>1</v>
      </c>
      <c r="E683" s="4">
        <v>201</v>
      </c>
      <c r="F683" s="4">
        <f>ROUND(Source!O681,O683)</f>
        <v>40059.67</v>
      </c>
      <c r="G683" s="4" t="s">
        <v>130</v>
      </c>
      <c r="H683" s="4" t="s">
        <v>131</v>
      </c>
      <c r="I683" s="4"/>
      <c r="J683" s="4"/>
      <c r="K683" s="4">
        <v>201</v>
      </c>
      <c r="L683" s="4">
        <v>1</v>
      </c>
      <c r="M683" s="4">
        <v>3</v>
      </c>
      <c r="N683" s="4" t="s">
        <v>6</v>
      </c>
      <c r="O683" s="4">
        <v>2</v>
      </c>
      <c r="P683" s="4"/>
      <c r="Q683" s="4"/>
      <c r="R683" s="4"/>
      <c r="S683" s="4"/>
      <c r="T683" s="4"/>
      <c r="U683" s="4"/>
      <c r="V683" s="4"/>
      <c r="W683" s="4"/>
    </row>
    <row r="684" spans="1:245" x14ac:dyDescent="0.2">
      <c r="A684" s="4">
        <v>50</v>
      </c>
      <c r="B684" s="4">
        <v>0</v>
      </c>
      <c r="C684" s="4">
        <v>0</v>
      </c>
      <c r="D684" s="4">
        <v>1</v>
      </c>
      <c r="E684" s="4">
        <v>202</v>
      </c>
      <c r="F684" s="4">
        <f>ROUND(Source!P681,O684)</f>
        <v>20507.759999999998</v>
      </c>
      <c r="G684" s="4" t="s">
        <v>132</v>
      </c>
      <c r="H684" s="4" t="s">
        <v>133</v>
      </c>
      <c r="I684" s="4"/>
      <c r="J684" s="4"/>
      <c r="K684" s="4">
        <v>202</v>
      </c>
      <c r="L684" s="4">
        <v>2</v>
      </c>
      <c r="M684" s="4">
        <v>3</v>
      </c>
      <c r="N684" s="4" t="s">
        <v>6</v>
      </c>
      <c r="O684" s="4">
        <v>2</v>
      </c>
      <c r="P684" s="4"/>
      <c r="Q684" s="4"/>
      <c r="R684" s="4"/>
      <c r="S684" s="4"/>
      <c r="T684" s="4"/>
      <c r="U684" s="4"/>
      <c r="V684" s="4"/>
      <c r="W684" s="4"/>
    </row>
    <row r="685" spans="1:245" x14ac:dyDescent="0.2">
      <c r="A685" s="4">
        <v>50</v>
      </c>
      <c r="B685" s="4">
        <v>0</v>
      </c>
      <c r="C685" s="4">
        <v>0</v>
      </c>
      <c r="D685" s="4">
        <v>1</v>
      </c>
      <c r="E685" s="4">
        <v>222</v>
      </c>
      <c r="F685" s="4">
        <f>ROUND(Source!AO681,O685)</f>
        <v>0</v>
      </c>
      <c r="G685" s="4" t="s">
        <v>134</v>
      </c>
      <c r="H685" s="4" t="s">
        <v>135</v>
      </c>
      <c r="I685" s="4"/>
      <c r="J685" s="4"/>
      <c r="K685" s="4">
        <v>222</v>
      </c>
      <c r="L685" s="4">
        <v>3</v>
      </c>
      <c r="M685" s="4">
        <v>3</v>
      </c>
      <c r="N685" s="4" t="s">
        <v>6</v>
      </c>
      <c r="O685" s="4">
        <v>2</v>
      </c>
      <c r="P685" s="4"/>
      <c r="Q685" s="4"/>
      <c r="R685" s="4"/>
      <c r="S685" s="4"/>
      <c r="T685" s="4"/>
      <c r="U685" s="4"/>
      <c r="V685" s="4"/>
      <c r="W685" s="4"/>
    </row>
    <row r="686" spans="1:245" x14ac:dyDescent="0.2">
      <c r="A686" s="4">
        <v>50</v>
      </c>
      <c r="B686" s="4">
        <v>0</v>
      </c>
      <c r="C686" s="4">
        <v>0</v>
      </c>
      <c r="D686" s="4">
        <v>1</v>
      </c>
      <c r="E686" s="4">
        <v>225</v>
      </c>
      <c r="F686" s="4">
        <f>ROUND(Source!AV681,O686)</f>
        <v>20507.759999999998</v>
      </c>
      <c r="G686" s="4" t="s">
        <v>136</v>
      </c>
      <c r="H686" s="4" t="s">
        <v>137</v>
      </c>
      <c r="I686" s="4"/>
      <c r="J686" s="4"/>
      <c r="K686" s="4">
        <v>225</v>
      </c>
      <c r="L686" s="4">
        <v>4</v>
      </c>
      <c r="M686" s="4">
        <v>3</v>
      </c>
      <c r="N686" s="4" t="s">
        <v>6</v>
      </c>
      <c r="O686" s="4">
        <v>2</v>
      </c>
      <c r="P686" s="4"/>
      <c r="Q686" s="4"/>
      <c r="R686" s="4"/>
      <c r="S686" s="4"/>
      <c r="T686" s="4"/>
      <c r="U686" s="4"/>
      <c r="V686" s="4"/>
      <c r="W686" s="4"/>
    </row>
    <row r="687" spans="1:245" x14ac:dyDescent="0.2">
      <c r="A687" s="4">
        <v>50</v>
      </c>
      <c r="B687" s="4">
        <v>0</v>
      </c>
      <c r="C687" s="4">
        <v>0</v>
      </c>
      <c r="D687" s="4">
        <v>1</v>
      </c>
      <c r="E687" s="4">
        <v>226</v>
      </c>
      <c r="F687" s="4">
        <f>ROUND(Source!AW681,O687)</f>
        <v>20507.759999999998</v>
      </c>
      <c r="G687" s="4" t="s">
        <v>138</v>
      </c>
      <c r="H687" s="4" t="s">
        <v>139</v>
      </c>
      <c r="I687" s="4"/>
      <c r="J687" s="4"/>
      <c r="K687" s="4">
        <v>226</v>
      </c>
      <c r="L687" s="4">
        <v>5</v>
      </c>
      <c r="M687" s="4">
        <v>3</v>
      </c>
      <c r="N687" s="4" t="s">
        <v>6</v>
      </c>
      <c r="O687" s="4">
        <v>2</v>
      </c>
      <c r="P687" s="4"/>
      <c r="Q687" s="4"/>
      <c r="R687" s="4"/>
      <c r="S687" s="4"/>
      <c r="T687" s="4"/>
      <c r="U687" s="4"/>
      <c r="V687" s="4"/>
      <c r="W687" s="4"/>
    </row>
    <row r="688" spans="1:245" x14ac:dyDescent="0.2">
      <c r="A688" s="4">
        <v>50</v>
      </c>
      <c r="B688" s="4">
        <v>0</v>
      </c>
      <c r="C688" s="4">
        <v>0</v>
      </c>
      <c r="D688" s="4">
        <v>1</v>
      </c>
      <c r="E688" s="4">
        <v>227</v>
      </c>
      <c r="F688" s="4">
        <f>ROUND(Source!AX681,O688)</f>
        <v>0</v>
      </c>
      <c r="G688" s="4" t="s">
        <v>140</v>
      </c>
      <c r="H688" s="4" t="s">
        <v>141</v>
      </c>
      <c r="I688" s="4"/>
      <c r="J688" s="4"/>
      <c r="K688" s="4">
        <v>227</v>
      </c>
      <c r="L688" s="4">
        <v>6</v>
      </c>
      <c r="M688" s="4">
        <v>3</v>
      </c>
      <c r="N688" s="4" t="s">
        <v>6</v>
      </c>
      <c r="O688" s="4">
        <v>2</v>
      </c>
      <c r="P688" s="4"/>
      <c r="Q688" s="4"/>
      <c r="R688" s="4"/>
      <c r="S688" s="4"/>
      <c r="T688" s="4"/>
      <c r="U688" s="4"/>
      <c r="V688" s="4"/>
      <c r="W688" s="4"/>
    </row>
    <row r="689" spans="1:23" x14ac:dyDescent="0.2">
      <c r="A689" s="4">
        <v>50</v>
      </c>
      <c r="B689" s="4">
        <v>0</v>
      </c>
      <c r="C689" s="4">
        <v>0</v>
      </c>
      <c r="D689" s="4">
        <v>1</v>
      </c>
      <c r="E689" s="4">
        <v>228</v>
      </c>
      <c r="F689" s="4">
        <f>ROUND(Source!AY681,O689)</f>
        <v>20507.759999999998</v>
      </c>
      <c r="G689" s="4" t="s">
        <v>142</v>
      </c>
      <c r="H689" s="4" t="s">
        <v>143</v>
      </c>
      <c r="I689" s="4"/>
      <c r="J689" s="4"/>
      <c r="K689" s="4">
        <v>228</v>
      </c>
      <c r="L689" s="4">
        <v>7</v>
      </c>
      <c r="M689" s="4">
        <v>3</v>
      </c>
      <c r="N689" s="4" t="s">
        <v>6</v>
      </c>
      <c r="O689" s="4">
        <v>2</v>
      </c>
      <c r="P689" s="4"/>
      <c r="Q689" s="4"/>
      <c r="R689" s="4"/>
      <c r="S689" s="4"/>
      <c r="T689" s="4"/>
      <c r="U689" s="4"/>
      <c r="V689" s="4"/>
      <c r="W689" s="4"/>
    </row>
    <row r="690" spans="1:23" x14ac:dyDescent="0.2">
      <c r="A690" s="4">
        <v>50</v>
      </c>
      <c r="B690" s="4">
        <v>0</v>
      </c>
      <c r="C690" s="4">
        <v>0</v>
      </c>
      <c r="D690" s="4">
        <v>1</v>
      </c>
      <c r="E690" s="4">
        <v>216</v>
      </c>
      <c r="F690" s="4">
        <f>ROUND(Source!AP681,O690)</f>
        <v>0</v>
      </c>
      <c r="G690" s="4" t="s">
        <v>144</v>
      </c>
      <c r="H690" s="4" t="s">
        <v>145</v>
      </c>
      <c r="I690" s="4"/>
      <c r="J690" s="4"/>
      <c r="K690" s="4">
        <v>216</v>
      </c>
      <c r="L690" s="4">
        <v>8</v>
      </c>
      <c r="M690" s="4">
        <v>3</v>
      </c>
      <c r="N690" s="4" t="s">
        <v>6</v>
      </c>
      <c r="O690" s="4">
        <v>2</v>
      </c>
      <c r="P690" s="4"/>
      <c r="Q690" s="4"/>
      <c r="R690" s="4"/>
      <c r="S690" s="4"/>
      <c r="T690" s="4"/>
      <c r="U690" s="4"/>
      <c r="V690" s="4"/>
      <c r="W690" s="4"/>
    </row>
    <row r="691" spans="1:23" x14ac:dyDescent="0.2">
      <c r="A691" s="4">
        <v>50</v>
      </c>
      <c r="B691" s="4">
        <v>0</v>
      </c>
      <c r="C691" s="4">
        <v>0</v>
      </c>
      <c r="D691" s="4">
        <v>1</v>
      </c>
      <c r="E691" s="4">
        <v>223</v>
      </c>
      <c r="F691" s="4">
        <f>ROUND(Source!AQ681,O691)</f>
        <v>0</v>
      </c>
      <c r="G691" s="4" t="s">
        <v>146</v>
      </c>
      <c r="H691" s="4" t="s">
        <v>147</v>
      </c>
      <c r="I691" s="4"/>
      <c r="J691" s="4"/>
      <c r="K691" s="4">
        <v>223</v>
      </c>
      <c r="L691" s="4">
        <v>9</v>
      </c>
      <c r="M691" s="4">
        <v>3</v>
      </c>
      <c r="N691" s="4" t="s">
        <v>6</v>
      </c>
      <c r="O691" s="4">
        <v>2</v>
      </c>
      <c r="P691" s="4"/>
      <c r="Q691" s="4"/>
      <c r="R691" s="4"/>
      <c r="S691" s="4"/>
      <c r="T691" s="4"/>
      <c r="U691" s="4"/>
      <c r="V691" s="4"/>
      <c r="W691" s="4"/>
    </row>
    <row r="692" spans="1:23" x14ac:dyDescent="0.2">
      <c r="A692" s="4">
        <v>50</v>
      </c>
      <c r="B692" s="4">
        <v>0</v>
      </c>
      <c r="C692" s="4">
        <v>0</v>
      </c>
      <c r="D692" s="4">
        <v>1</v>
      </c>
      <c r="E692" s="4">
        <v>229</v>
      </c>
      <c r="F692" s="4">
        <f>ROUND(Source!AZ681,O692)</f>
        <v>0</v>
      </c>
      <c r="G692" s="4" t="s">
        <v>148</v>
      </c>
      <c r="H692" s="4" t="s">
        <v>149</v>
      </c>
      <c r="I692" s="4"/>
      <c r="J692" s="4"/>
      <c r="K692" s="4">
        <v>229</v>
      </c>
      <c r="L692" s="4">
        <v>10</v>
      </c>
      <c r="M692" s="4">
        <v>3</v>
      </c>
      <c r="N692" s="4" t="s">
        <v>6</v>
      </c>
      <c r="O692" s="4">
        <v>2</v>
      </c>
      <c r="P692" s="4"/>
      <c r="Q692" s="4"/>
      <c r="R692" s="4"/>
      <c r="S692" s="4"/>
      <c r="T692" s="4"/>
      <c r="U692" s="4"/>
      <c r="V692" s="4"/>
      <c r="W692" s="4"/>
    </row>
    <row r="693" spans="1:23" x14ac:dyDescent="0.2">
      <c r="A693" s="4">
        <v>50</v>
      </c>
      <c r="B693" s="4">
        <v>0</v>
      </c>
      <c r="C693" s="4">
        <v>0</v>
      </c>
      <c r="D693" s="4">
        <v>1</v>
      </c>
      <c r="E693" s="4">
        <v>203</v>
      </c>
      <c r="F693" s="4">
        <f>ROUND(Source!Q681,O693)</f>
        <v>8009.8</v>
      </c>
      <c r="G693" s="4" t="s">
        <v>150</v>
      </c>
      <c r="H693" s="4" t="s">
        <v>151</v>
      </c>
      <c r="I693" s="4"/>
      <c r="J693" s="4"/>
      <c r="K693" s="4">
        <v>203</v>
      </c>
      <c r="L693" s="4">
        <v>11</v>
      </c>
      <c r="M693" s="4">
        <v>3</v>
      </c>
      <c r="N693" s="4" t="s">
        <v>6</v>
      </c>
      <c r="O693" s="4">
        <v>2</v>
      </c>
      <c r="P693" s="4"/>
      <c r="Q693" s="4"/>
      <c r="R693" s="4"/>
      <c r="S693" s="4"/>
      <c r="T693" s="4"/>
      <c r="U693" s="4"/>
      <c r="V693" s="4"/>
      <c r="W693" s="4"/>
    </row>
    <row r="694" spans="1:23" x14ac:dyDescent="0.2">
      <c r="A694" s="4">
        <v>50</v>
      </c>
      <c r="B694" s="4">
        <v>0</v>
      </c>
      <c r="C694" s="4">
        <v>0</v>
      </c>
      <c r="D694" s="4">
        <v>1</v>
      </c>
      <c r="E694" s="4">
        <v>231</v>
      </c>
      <c r="F694" s="4">
        <f>ROUND(Source!BB681,O694)</f>
        <v>0</v>
      </c>
      <c r="G694" s="4" t="s">
        <v>152</v>
      </c>
      <c r="H694" s="4" t="s">
        <v>153</v>
      </c>
      <c r="I694" s="4"/>
      <c r="J694" s="4"/>
      <c r="K694" s="4">
        <v>231</v>
      </c>
      <c r="L694" s="4">
        <v>12</v>
      </c>
      <c r="M694" s="4">
        <v>3</v>
      </c>
      <c r="N694" s="4" t="s">
        <v>6</v>
      </c>
      <c r="O694" s="4">
        <v>2</v>
      </c>
      <c r="P694" s="4"/>
      <c r="Q694" s="4"/>
      <c r="R694" s="4"/>
      <c r="S694" s="4"/>
      <c r="T694" s="4"/>
      <c r="U694" s="4"/>
      <c r="V694" s="4"/>
      <c r="W694" s="4"/>
    </row>
    <row r="695" spans="1:23" x14ac:dyDescent="0.2">
      <c r="A695" s="4">
        <v>50</v>
      </c>
      <c r="B695" s="4">
        <v>0</v>
      </c>
      <c r="C695" s="4">
        <v>0</v>
      </c>
      <c r="D695" s="4">
        <v>1</v>
      </c>
      <c r="E695" s="4">
        <v>204</v>
      </c>
      <c r="F695" s="4">
        <f>ROUND(Source!R681,O695)</f>
        <v>1046.6400000000001</v>
      </c>
      <c r="G695" s="4" t="s">
        <v>154</v>
      </c>
      <c r="H695" s="4" t="s">
        <v>155</v>
      </c>
      <c r="I695" s="4"/>
      <c r="J695" s="4"/>
      <c r="K695" s="4">
        <v>204</v>
      </c>
      <c r="L695" s="4">
        <v>13</v>
      </c>
      <c r="M695" s="4">
        <v>3</v>
      </c>
      <c r="N695" s="4" t="s">
        <v>6</v>
      </c>
      <c r="O695" s="4">
        <v>2</v>
      </c>
      <c r="P695" s="4"/>
      <c r="Q695" s="4"/>
      <c r="R695" s="4"/>
      <c r="S695" s="4"/>
      <c r="T695" s="4"/>
      <c r="U695" s="4"/>
      <c r="V695" s="4"/>
      <c r="W695" s="4"/>
    </row>
    <row r="696" spans="1:23" x14ac:dyDescent="0.2">
      <c r="A696" s="4">
        <v>50</v>
      </c>
      <c r="B696" s="4">
        <v>0</v>
      </c>
      <c r="C696" s="4">
        <v>0</v>
      </c>
      <c r="D696" s="4">
        <v>1</v>
      </c>
      <c r="E696" s="4">
        <v>205</v>
      </c>
      <c r="F696" s="4">
        <f>ROUND(Source!S681,O696)</f>
        <v>11542.11</v>
      </c>
      <c r="G696" s="4" t="s">
        <v>156</v>
      </c>
      <c r="H696" s="4" t="s">
        <v>157</v>
      </c>
      <c r="I696" s="4"/>
      <c r="J696" s="4"/>
      <c r="K696" s="4">
        <v>205</v>
      </c>
      <c r="L696" s="4">
        <v>14</v>
      </c>
      <c r="M696" s="4">
        <v>3</v>
      </c>
      <c r="N696" s="4" t="s">
        <v>6</v>
      </c>
      <c r="O696" s="4">
        <v>2</v>
      </c>
      <c r="P696" s="4"/>
      <c r="Q696" s="4"/>
      <c r="R696" s="4"/>
      <c r="S696" s="4"/>
      <c r="T696" s="4"/>
      <c r="U696" s="4"/>
      <c r="V696" s="4"/>
      <c r="W696" s="4"/>
    </row>
    <row r="697" spans="1:23" x14ac:dyDescent="0.2">
      <c r="A697" s="4">
        <v>50</v>
      </c>
      <c r="B697" s="4">
        <v>0</v>
      </c>
      <c r="C697" s="4">
        <v>0</v>
      </c>
      <c r="D697" s="4">
        <v>1</v>
      </c>
      <c r="E697" s="4">
        <v>232</v>
      </c>
      <c r="F697" s="4">
        <f>ROUND(Source!BC681,O697)</f>
        <v>0</v>
      </c>
      <c r="G697" s="4" t="s">
        <v>158</v>
      </c>
      <c r="H697" s="4" t="s">
        <v>159</v>
      </c>
      <c r="I697" s="4"/>
      <c r="J697" s="4"/>
      <c r="K697" s="4">
        <v>232</v>
      </c>
      <c r="L697" s="4">
        <v>15</v>
      </c>
      <c r="M697" s="4">
        <v>3</v>
      </c>
      <c r="N697" s="4" t="s">
        <v>6</v>
      </c>
      <c r="O697" s="4">
        <v>2</v>
      </c>
      <c r="P697" s="4"/>
      <c r="Q697" s="4"/>
      <c r="R697" s="4"/>
      <c r="S697" s="4"/>
      <c r="T697" s="4"/>
      <c r="U697" s="4"/>
      <c r="V697" s="4"/>
      <c r="W697" s="4"/>
    </row>
    <row r="698" spans="1:23" x14ac:dyDescent="0.2">
      <c r="A698" s="4">
        <v>50</v>
      </c>
      <c r="B698" s="4">
        <v>0</v>
      </c>
      <c r="C698" s="4">
        <v>0</v>
      </c>
      <c r="D698" s="4">
        <v>1</v>
      </c>
      <c r="E698" s="4">
        <v>214</v>
      </c>
      <c r="F698" s="4">
        <f>ROUND(Source!AS681,O698)</f>
        <v>62873.95</v>
      </c>
      <c r="G698" s="4" t="s">
        <v>160</v>
      </c>
      <c r="H698" s="4" t="s">
        <v>161</v>
      </c>
      <c r="I698" s="4"/>
      <c r="J698" s="4"/>
      <c r="K698" s="4">
        <v>214</v>
      </c>
      <c r="L698" s="4">
        <v>16</v>
      </c>
      <c r="M698" s="4">
        <v>3</v>
      </c>
      <c r="N698" s="4" t="s">
        <v>6</v>
      </c>
      <c r="O698" s="4">
        <v>2</v>
      </c>
      <c r="P698" s="4"/>
      <c r="Q698" s="4"/>
      <c r="R698" s="4"/>
      <c r="S698" s="4"/>
      <c r="T698" s="4"/>
      <c r="U698" s="4"/>
      <c r="V698" s="4"/>
      <c r="W698" s="4"/>
    </row>
    <row r="699" spans="1:23" x14ac:dyDescent="0.2">
      <c r="A699" s="4">
        <v>50</v>
      </c>
      <c r="B699" s="4">
        <v>0</v>
      </c>
      <c r="C699" s="4">
        <v>0</v>
      </c>
      <c r="D699" s="4">
        <v>1</v>
      </c>
      <c r="E699" s="4">
        <v>215</v>
      </c>
      <c r="F699" s="4">
        <f>ROUND(Source!AT681,O699)</f>
        <v>0</v>
      </c>
      <c r="G699" s="4" t="s">
        <v>162</v>
      </c>
      <c r="H699" s="4" t="s">
        <v>163</v>
      </c>
      <c r="I699" s="4"/>
      <c r="J699" s="4"/>
      <c r="K699" s="4">
        <v>215</v>
      </c>
      <c r="L699" s="4">
        <v>17</v>
      </c>
      <c r="M699" s="4">
        <v>3</v>
      </c>
      <c r="N699" s="4" t="s">
        <v>6</v>
      </c>
      <c r="O699" s="4">
        <v>2</v>
      </c>
      <c r="P699" s="4"/>
      <c r="Q699" s="4"/>
      <c r="R699" s="4"/>
      <c r="S699" s="4"/>
      <c r="T699" s="4"/>
      <c r="U699" s="4"/>
      <c r="V699" s="4"/>
      <c r="W699" s="4"/>
    </row>
    <row r="700" spans="1:23" x14ac:dyDescent="0.2">
      <c r="A700" s="4">
        <v>50</v>
      </c>
      <c r="B700" s="4">
        <v>0</v>
      </c>
      <c r="C700" s="4">
        <v>0</v>
      </c>
      <c r="D700" s="4">
        <v>1</v>
      </c>
      <c r="E700" s="4">
        <v>217</v>
      </c>
      <c r="F700" s="4">
        <f>ROUND(Source!AU681,O700)</f>
        <v>0</v>
      </c>
      <c r="G700" s="4" t="s">
        <v>164</v>
      </c>
      <c r="H700" s="4" t="s">
        <v>165</v>
      </c>
      <c r="I700" s="4"/>
      <c r="J700" s="4"/>
      <c r="K700" s="4">
        <v>217</v>
      </c>
      <c r="L700" s="4">
        <v>18</v>
      </c>
      <c r="M700" s="4">
        <v>3</v>
      </c>
      <c r="N700" s="4" t="s">
        <v>6</v>
      </c>
      <c r="O700" s="4">
        <v>2</v>
      </c>
      <c r="P700" s="4"/>
      <c r="Q700" s="4"/>
      <c r="R700" s="4"/>
      <c r="S700" s="4"/>
      <c r="T700" s="4"/>
      <c r="U700" s="4"/>
      <c r="V700" s="4"/>
      <c r="W700" s="4"/>
    </row>
    <row r="701" spans="1:23" x14ac:dyDescent="0.2">
      <c r="A701" s="4">
        <v>50</v>
      </c>
      <c r="B701" s="4">
        <v>0</v>
      </c>
      <c r="C701" s="4">
        <v>0</v>
      </c>
      <c r="D701" s="4">
        <v>1</v>
      </c>
      <c r="E701" s="4">
        <v>230</v>
      </c>
      <c r="F701" s="4">
        <f>ROUND(Source!BA681,O701)</f>
        <v>0</v>
      </c>
      <c r="G701" s="4" t="s">
        <v>166</v>
      </c>
      <c r="H701" s="4" t="s">
        <v>167</v>
      </c>
      <c r="I701" s="4"/>
      <c r="J701" s="4"/>
      <c r="K701" s="4">
        <v>230</v>
      </c>
      <c r="L701" s="4">
        <v>19</v>
      </c>
      <c r="M701" s="4">
        <v>3</v>
      </c>
      <c r="N701" s="4" t="s">
        <v>6</v>
      </c>
      <c r="O701" s="4">
        <v>2</v>
      </c>
      <c r="P701" s="4"/>
      <c r="Q701" s="4"/>
      <c r="R701" s="4"/>
      <c r="S701" s="4"/>
      <c r="T701" s="4"/>
      <c r="U701" s="4"/>
      <c r="V701" s="4"/>
      <c r="W701" s="4"/>
    </row>
    <row r="702" spans="1:23" x14ac:dyDescent="0.2">
      <c r="A702" s="4">
        <v>50</v>
      </c>
      <c r="B702" s="4">
        <v>0</v>
      </c>
      <c r="C702" s="4">
        <v>0</v>
      </c>
      <c r="D702" s="4">
        <v>1</v>
      </c>
      <c r="E702" s="4">
        <v>206</v>
      </c>
      <c r="F702" s="4">
        <f>ROUND(Source!T681,O702)</f>
        <v>0</v>
      </c>
      <c r="G702" s="4" t="s">
        <v>168</v>
      </c>
      <c r="H702" s="4" t="s">
        <v>169</v>
      </c>
      <c r="I702" s="4"/>
      <c r="J702" s="4"/>
      <c r="K702" s="4">
        <v>206</v>
      </c>
      <c r="L702" s="4">
        <v>20</v>
      </c>
      <c r="M702" s="4">
        <v>3</v>
      </c>
      <c r="N702" s="4" t="s">
        <v>6</v>
      </c>
      <c r="O702" s="4">
        <v>2</v>
      </c>
      <c r="P702" s="4"/>
      <c r="Q702" s="4"/>
      <c r="R702" s="4"/>
      <c r="S702" s="4"/>
      <c r="T702" s="4"/>
      <c r="U702" s="4"/>
      <c r="V702" s="4"/>
      <c r="W702" s="4"/>
    </row>
    <row r="703" spans="1:23" x14ac:dyDescent="0.2">
      <c r="A703" s="4">
        <v>50</v>
      </c>
      <c r="B703" s="4">
        <v>0</v>
      </c>
      <c r="C703" s="4">
        <v>0</v>
      </c>
      <c r="D703" s="4">
        <v>1</v>
      </c>
      <c r="E703" s="4">
        <v>207</v>
      </c>
      <c r="F703" s="4">
        <f>Source!U681</f>
        <v>179.64378335000001</v>
      </c>
      <c r="G703" s="4" t="s">
        <v>170</v>
      </c>
      <c r="H703" s="4" t="s">
        <v>171</v>
      </c>
      <c r="I703" s="4"/>
      <c r="J703" s="4"/>
      <c r="K703" s="4">
        <v>207</v>
      </c>
      <c r="L703" s="4">
        <v>21</v>
      </c>
      <c r="M703" s="4">
        <v>3</v>
      </c>
      <c r="N703" s="4" t="s">
        <v>6</v>
      </c>
      <c r="O703" s="4">
        <v>-1</v>
      </c>
      <c r="P703" s="4"/>
      <c r="Q703" s="4"/>
      <c r="R703" s="4"/>
      <c r="S703" s="4"/>
      <c r="T703" s="4"/>
      <c r="U703" s="4"/>
      <c r="V703" s="4"/>
      <c r="W703" s="4"/>
    </row>
    <row r="704" spans="1:23" x14ac:dyDescent="0.2">
      <c r="A704" s="4">
        <v>50</v>
      </c>
      <c r="B704" s="4">
        <v>0</v>
      </c>
      <c r="C704" s="4">
        <v>0</v>
      </c>
      <c r="D704" s="4">
        <v>1</v>
      </c>
      <c r="E704" s="4">
        <v>208</v>
      </c>
      <c r="F704" s="4">
        <f>Source!V681</f>
        <v>11.854500000000002</v>
      </c>
      <c r="G704" s="4" t="s">
        <v>172</v>
      </c>
      <c r="H704" s="4" t="s">
        <v>173</v>
      </c>
      <c r="I704" s="4"/>
      <c r="J704" s="4"/>
      <c r="K704" s="4">
        <v>208</v>
      </c>
      <c r="L704" s="4">
        <v>22</v>
      </c>
      <c r="M704" s="4">
        <v>3</v>
      </c>
      <c r="N704" s="4" t="s">
        <v>6</v>
      </c>
      <c r="O704" s="4">
        <v>-1</v>
      </c>
      <c r="P704" s="4"/>
      <c r="Q704" s="4"/>
      <c r="R704" s="4"/>
      <c r="S704" s="4"/>
      <c r="T704" s="4"/>
      <c r="U704" s="4"/>
      <c r="V704" s="4"/>
      <c r="W704" s="4"/>
    </row>
    <row r="705" spans="1:245" x14ac:dyDescent="0.2">
      <c r="A705" s="4">
        <v>50</v>
      </c>
      <c r="B705" s="4">
        <v>0</v>
      </c>
      <c r="C705" s="4">
        <v>0</v>
      </c>
      <c r="D705" s="4">
        <v>1</v>
      </c>
      <c r="E705" s="4">
        <v>209</v>
      </c>
      <c r="F705" s="4">
        <f>ROUND(Source!W681,O705)</f>
        <v>0</v>
      </c>
      <c r="G705" s="4" t="s">
        <v>174</v>
      </c>
      <c r="H705" s="4" t="s">
        <v>175</v>
      </c>
      <c r="I705" s="4"/>
      <c r="J705" s="4"/>
      <c r="K705" s="4">
        <v>209</v>
      </c>
      <c r="L705" s="4">
        <v>23</v>
      </c>
      <c r="M705" s="4">
        <v>3</v>
      </c>
      <c r="N705" s="4" t="s">
        <v>6</v>
      </c>
      <c r="O705" s="4">
        <v>2</v>
      </c>
      <c r="P705" s="4"/>
      <c r="Q705" s="4"/>
      <c r="R705" s="4"/>
      <c r="S705" s="4"/>
      <c r="T705" s="4"/>
      <c r="U705" s="4"/>
      <c r="V705" s="4"/>
      <c r="W705" s="4"/>
    </row>
    <row r="706" spans="1:245" x14ac:dyDescent="0.2">
      <c r="A706" s="4">
        <v>50</v>
      </c>
      <c r="B706" s="4">
        <v>0</v>
      </c>
      <c r="C706" s="4">
        <v>0</v>
      </c>
      <c r="D706" s="4">
        <v>1</v>
      </c>
      <c r="E706" s="4">
        <v>210</v>
      </c>
      <c r="F706" s="4">
        <f>ROUND(Source!X681,O706)</f>
        <v>14079.76</v>
      </c>
      <c r="G706" s="4" t="s">
        <v>176</v>
      </c>
      <c r="H706" s="4" t="s">
        <v>177</v>
      </c>
      <c r="I706" s="4"/>
      <c r="J706" s="4"/>
      <c r="K706" s="4">
        <v>210</v>
      </c>
      <c r="L706" s="4">
        <v>24</v>
      </c>
      <c r="M706" s="4">
        <v>3</v>
      </c>
      <c r="N706" s="4" t="s">
        <v>6</v>
      </c>
      <c r="O706" s="4">
        <v>2</v>
      </c>
      <c r="P706" s="4"/>
      <c r="Q706" s="4"/>
      <c r="R706" s="4"/>
      <c r="S706" s="4"/>
      <c r="T706" s="4"/>
      <c r="U706" s="4"/>
      <c r="V706" s="4"/>
      <c r="W706" s="4"/>
    </row>
    <row r="707" spans="1:245" x14ac:dyDescent="0.2">
      <c r="A707" s="4">
        <v>50</v>
      </c>
      <c r="B707" s="4">
        <v>0</v>
      </c>
      <c r="C707" s="4">
        <v>0</v>
      </c>
      <c r="D707" s="4">
        <v>1</v>
      </c>
      <c r="E707" s="4">
        <v>211</v>
      </c>
      <c r="F707" s="4">
        <f>ROUND(Source!Y681,O707)</f>
        <v>8734.52</v>
      </c>
      <c r="G707" s="4" t="s">
        <v>178</v>
      </c>
      <c r="H707" s="4" t="s">
        <v>179</v>
      </c>
      <c r="I707" s="4"/>
      <c r="J707" s="4"/>
      <c r="K707" s="4">
        <v>211</v>
      </c>
      <c r="L707" s="4">
        <v>25</v>
      </c>
      <c r="M707" s="4">
        <v>3</v>
      </c>
      <c r="N707" s="4" t="s">
        <v>6</v>
      </c>
      <c r="O707" s="4">
        <v>2</v>
      </c>
      <c r="P707" s="4"/>
      <c r="Q707" s="4"/>
      <c r="R707" s="4"/>
      <c r="S707" s="4"/>
      <c r="T707" s="4"/>
      <c r="U707" s="4"/>
      <c r="V707" s="4"/>
      <c r="W707" s="4"/>
    </row>
    <row r="708" spans="1:245" x14ac:dyDescent="0.2">
      <c r="A708" s="4">
        <v>50</v>
      </c>
      <c r="B708" s="4">
        <v>0</v>
      </c>
      <c r="C708" s="4">
        <v>0</v>
      </c>
      <c r="D708" s="4">
        <v>1</v>
      </c>
      <c r="E708" s="4">
        <v>224</v>
      </c>
      <c r="F708" s="4">
        <f>ROUND(Source!AR681,O708)</f>
        <v>62873.95</v>
      </c>
      <c r="G708" s="4" t="s">
        <v>180</v>
      </c>
      <c r="H708" s="4" t="s">
        <v>181</v>
      </c>
      <c r="I708" s="4"/>
      <c r="J708" s="4"/>
      <c r="K708" s="4">
        <v>224</v>
      </c>
      <c r="L708" s="4">
        <v>26</v>
      </c>
      <c r="M708" s="4">
        <v>3</v>
      </c>
      <c r="N708" s="4" t="s">
        <v>6</v>
      </c>
      <c r="O708" s="4">
        <v>2</v>
      </c>
      <c r="P708" s="4"/>
      <c r="Q708" s="4"/>
      <c r="R708" s="4"/>
      <c r="S708" s="4"/>
      <c r="T708" s="4"/>
      <c r="U708" s="4"/>
      <c r="V708" s="4"/>
      <c r="W708" s="4"/>
    </row>
    <row r="710" spans="1:245" x14ac:dyDescent="0.2">
      <c r="A710" s="1">
        <v>4</v>
      </c>
      <c r="B710" s="1">
        <v>1</v>
      </c>
      <c r="C710" s="1"/>
      <c r="D710" s="1">
        <f>ROW(A732)</f>
        <v>732</v>
      </c>
      <c r="E710" s="1"/>
      <c r="F710" s="1" t="s">
        <v>13</v>
      </c>
      <c r="G710" s="1" t="s">
        <v>1151</v>
      </c>
      <c r="H710" s="1" t="s">
        <v>6</v>
      </c>
      <c r="I710" s="1">
        <v>0</v>
      </c>
      <c r="J710" s="1"/>
      <c r="K710" s="1">
        <v>0</v>
      </c>
      <c r="L710" s="1"/>
      <c r="M710" s="1"/>
      <c r="N710" s="1"/>
      <c r="O710" s="1"/>
      <c r="P710" s="1"/>
      <c r="Q710" s="1"/>
      <c r="R710" s="1"/>
      <c r="S710" s="1"/>
      <c r="T710" s="1"/>
      <c r="U710" s="1" t="s">
        <v>6</v>
      </c>
      <c r="V710" s="1">
        <v>0</v>
      </c>
      <c r="W710" s="1"/>
      <c r="X710" s="1"/>
      <c r="Y710" s="1"/>
      <c r="Z710" s="1"/>
      <c r="AA710" s="1"/>
      <c r="AB710" s="1" t="s">
        <v>6</v>
      </c>
      <c r="AC710" s="1" t="s">
        <v>6</v>
      </c>
      <c r="AD710" s="1" t="s">
        <v>6</v>
      </c>
      <c r="AE710" s="1" t="s">
        <v>6</v>
      </c>
      <c r="AF710" s="1" t="s">
        <v>6</v>
      </c>
      <c r="AG710" s="1" t="s">
        <v>6</v>
      </c>
      <c r="AH710" s="1"/>
      <c r="AI710" s="1"/>
      <c r="AJ710" s="1"/>
      <c r="AK710" s="1"/>
      <c r="AL710" s="1"/>
      <c r="AM710" s="1"/>
      <c r="AN710" s="1"/>
      <c r="AO710" s="1"/>
      <c r="AP710" s="1" t="s">
        <v>6</v>
      </c>
      <c r="AQ710" s="1" t="s">
        <v>6</v>
      </c>
      <c r="AR710" s="1" t="s">
        <v>6</v>
      </c>
      <c r="AS710" s="1"/>
      <c r="AT710" s="1"/>
      <c r="AU710" s="1"/>
      <c r="AV710" s="1"/>
      <c r="AW710" s="1"/>
      <c r="AX710" s="1"/>
      <c r="AY710" s="1"/>
      <c r="AZ710" s="1" t="s">
        <v>6</v>
      </c>
      <c r="BA710" s="1"/>
      <c r="BB710" s="1" t="s">
        <v>6</v>
      </c>
      <c r="BC710" s="1" t="s">
        <v>6</v>
      </c>
      <c r="BD710" s="1" t="s">
        <v>6</v>
      </c>
      <c r="BE710" s="1" t="s">
        <v>6</v>
      </c>
      <c r="BF710" s="1" t="s">
        <v>6</v>
      </c>
      <c r="BG710" s="1" t="s">
        <v>6</v>
      </c>
      <c r="BH710" s="1" t="s">
        <v>6</v>
      </c>
      <c r="BI710" s="1" t="s">
        <v>6</v>
      </c>
      <c r="BJ710" s="1" t="s">
        <v>6</v>
      </c>
      <c r="BK710" s="1" t="s">
        <v>6</v>
      </c>
      <c r="BL710" s="1" t="s">
        <v>6</v>
      </c>
      <c r="BM710" s="1" t="s">
        <v>6</v>
      </c>
      <c r="BN710" s="1" t="s">
        <v>6</v>
      </c>
      <c r="BO710" s="1" t="s">
        <v>6</v>
      </c>
      <c r="BP710" s="1" t="s">
        <v>6</v>
      </c>
      <c r="BQ710" s="1"/>
      <c r="BR710" s="1"/>
      <c r="BS710" s="1"/>
      <c r="BT710" s="1"/>
      <c r="BU710" s="1"/>
      <c r="BV710" s="1"/>
      <c r="BW710" s="1"/>
      <c r="BX710" s="1">
        <v>0</v>
      </c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>
        <v>0</v>
      </c>
    </row>
    <row r="712" spans="1:245" x14ac:dyDescent="0.2">
      <c r="A712" s="2">
        <v>52</v>
      </c>
      <c r="B712" s="2">
        <f t="shared" ref="B712:G712" si="560">B732</f>
        <v>1</v>
      </c>
      <c r="C712" s="2">
        <f t="shared" si="560"/>
        <v>4</v>
      </c>
      <c r="D712" s="2">
        <f t="shared" si="560"/>
        <v>710</v>
      </c>
      <c r="E712" s="2">
        <f t="shared" si="560"/>
        <v>0</v>
      </c>
      <c r="F712" s="2" t="str">
        <f t="shared" si="560"/>
        <v>Новый раздел</v>
      </c>
      <c r="G712" s="2" t="str">
        <f t="shared" si="560"/>
        <v>8 Канализация</v>
      </c>
      <c r="H712" s="2"/>
      <c r="I712" s="2"/>
      <c r="J712" s="2"/>
      <c r="K712" s="2"/>
      <c r="L712" s="2"/>
      <c r="M712" s="2"/>
      <c r="N712" s="2"/>
      <c r="O712" s="2">
        <f t="shared" ref="O712:AT712" si="561">O732</f>
        <v>62268</v>
      </c>
      <c r="P712" s="2">
        <f t="shared" si="561"/>
        <v>55468.41</v>
      </c>
      <c r="Q712" s="2">
        <f t="shared" si="561"/>
        <v>736.71</v>
      </c>
      <c r="R712" s="2">
        <f t="shared" si="561"/>
        <v>145.99</v>
      </c>
      <c r="S712" s="2">
        <f t="shared" si="561"/>
        <v>6062.88</v>
      </c>
      <c r="T712" s="2">
        <f t="shared" si="561"/>
        <v>0</v>
      </c>
      <c r="U712" s="2">
        <f t="shared" si="561"/>
        <v>98.576779999999999</v>
      </c>
      <c r="V712" s="2">
        <f t="shared" si="561"/>
        <v>1.8482249999999998</v>
      </c>
      <c r="W712" s="2">
        <f t="shared" si="561"/>
        <v>0</v>
      </c>
      <c r="X712" s="2">
        <f t="shared" si="561"/>
        <v>6173.15</v>
      </c>
      <c r="Y712" s="2">
        <f t="shared" si="561"/>
        <v>3930.6</v>
      </c>
      <c r="Z712" s="2">
        <f t="shared" si="561"/>
        <v>0</v>
      </c>
      <c r="AA712" s="2">
        <f t="shared" si="561"/>
        <v>0</v>
      </c>
      <c r="AB712" s="2">
        <f t="shared" si="561"/>
        <v>62268</v>
      </c>
      <c r="AC712" s="2">
        <f t="shared" si="561"/>
        <v>55468.41</v>
      </c>
      <c r="AD712" s="2">
        <f t="shared" si="561"/>
        <v>736.71</v>
      </c>
      <c r="AE712" s="2">
        <f t="shared" si="561"/>
        <v>145.99</v>
      </c>
      <c r="AF712" s="2">
        <f t="shared" si="561"/>
        <v>6062.88</v>
      </c>
      <c r="AG712" s="2">
        <f t="shared" si="561"/>
        <v>0</v>
      </c>
      <c r="AH712" s="2">
        <f t="shared" si="561"/>
        <v>98.576779999999999</v>
      </c>
      <c r="AI712" s="2">
        <f t="shared" si="561"/>
        <v>1.8482249999999998</v>
      </c>
      <c r="AJ712" s="2">
        <f t="shared" si="561"/>
        <v>0</v>
      </c>
      <c r="AK712" s="2">
        <f t="shared" si="561"/>
        <v>6173.15</v>
      </c>
      <c r="AL712" s="2">
        <f t="shared" si="561"/>
        <v>3930.6</v>
      </c>
      <c r="AM712" s="2">
        <f t="shared" si="561"/>
        <v>0</v>
      </c>
      <c r="AN712" s="2">
        <f t="shared" si="561"/>
        <v>0</v>
      </c>
      <c r="AO712" s="2">
        <f t="shared" si="561"/>
        <v>0</v>
      </c>
      <c r="AP712" s="2">
        <f t="shared" si="561"/>
        <v>0</v>
      </c>
      <c r="AQ712" s="2">
        <f t="shared" si="561"/>
        <v>0</v>
      </c>
      <c r="AR712" s="2">
        <f t="shared" si="561"/>
        <v>72371.75</v>
      </c>
      <c r="AS712" s="2">
        <f t="shared" si="561"/>
        <v>72371.75</v>
      </c>
      <c r="AT712" s="2">
        <f t="shared" si="561"/>
        <v>0</v>
      </c>
      <c r="AU712" s="2">
        <f t="shared" ref="AU712:BZ712" si="562">AU732</f>
        <v>0</v>
      </c>
      <c r="AV712" s="2">
        <f t="shared" si="562"/>
        <v>55468.41</v>
      </c>
      <c r="AW712" s="2">
        <f t="shared" si="562"/>
        <v>55468.41</v>
      </c>
      <c r="AX712" s="2">
        <f t="shared" si="562"/>
        <v>0</v>
      </c>
      <c r="AY712" s="2">
        <f t="shared" si="562"/>
        <v>55468.41</v>
      </c>
      <c r="AZ712" s="2">
        <f t="shared" si="562"/>
        <v>0</v>
      </c>
      <c r="BA712" s="2">
        <f t="shared" si="562"/>
        <v>0</v>
      </c>
      <c r="BB712" s="2">
        <f t="shared" si="562"/>
        <v>0</v>
      </c>
      <c r="BC712" s="2">
        <f t="shared" si="562"/>
        <v>0</v>
      </c>
      <c r="BD712" s="2">
        <f t="shared" si="562"/>
        <v>0</v>
      </c>
      <c r="BE712" s="2">
        <f t="shared" si="562"/>
        <v>0</v>
      </c>
      <c r="BF712" s="2">
        <f t="shared" si="562"/>
        <v>0</v>
      </c>
      <c r="BG712" s="2">
        <f t="shared" si="562"/>
        <v>0</v>
      </c>
      <c r="BH712" s="2">
        <f t="shared" si="562"/>
        <v>0</v>
      </c>
      <c r="BI712" s="2">
        <f t="shared" si="562"/>
        <v>0</v>
      </c>
      <c r="BJ712" s="2">
        <f t="shared" si="562"/>
        <v>0</v>
      </c>
      <c r="BK712" s="2">
        <f t="shared" si="562"/>
        <v>0</v>
      </c>
      <c r="BL712" s="2">
        <f t="shared" si="562"/>
        <v>0</v>
      </c>
      <c r="BM712" s="2">
        <f t="shared" si="562"/>
        <v>0</v>
      </c>
      <c r="BN712" s="2">
        <f t="shared" si="562"/>
        <v>0</v>
      </c>
      <c r="BO712" s="2">
        <f t="shared" si="562"/>
        <v>0</v>
      </c>
      <c r="BP712" s="2">
        <f t="shared" si="562"/>
        <v>0</v>
      </c>
      <c r="BQ712" s="2">
        <f t="shared" si="562"/>
        <v>0</v>
      </c>
      <c r="BR712" s="2">
        <f t="shared" si="562"/>
        <v>0</v>
      </c>
      <c r="BS712" s="2">
        <f t="shared" si="562"/>
        <v>0</v>
      </c>
      <c r="BT712" s="2">
        <f t="shared" si="562"/>
        <v>0</v>
      </c>
      <c r="BU712" s="2">
        <f t="shared" si="562"/>
        <v>0</v>
      </c>
      <c r="BV712" s="2">
        <f t="shared" si="562"/>
        <v>0</v>
      </c>
      <c r="BW712" s="2">
        <f t="shared" si="562"/>
        <v>0</v>
      </c>
      <c r="BX712" s="2">
        <f t="shared" si="562"/>
        <v>0</v>
      </c>
      <c r="BY712" s="2">
        <f t="shared" si="562"/>
        <v>0</v>
      </c>
      <c r="BZ712" s="2">
        <f t="shared" si="562"/>
        <v>0</v>
      </c>
      <c r="CA712" s="2">
        <f t="shared" ref="CA712:DF712" si="563">CA732</f>
        <v>72371.75</v>
      </c>
      <c r="CB712" s="2">
        <f t="shared" si="563"/>
        <v>72371.75</v>
      </c>
      <c r="CC712" s="2">
        <f t="shared" si="563"/>
        <v>0</v>
      </c>
      <c r="CD712" s="2">
        <f t="shared" si="563"/>
        <v>0</v>
      </c>
      <c r="CE712" s="2">
        <f t="shared" si="563"/>
        <v>55468.41</v>
      </c>
      <c r="CF712" s="2">
        <f t="shared" si="563"/>
        <v>55468.41</v>
      </c>
      <c r="CG712" s="2">
        <f t="shared" si="563"/>
        <v>0</v>
      </c>
      <c r="CH712" s="2">
        <f t="shared" si="563"/>
        <v>55468.41</v>
      </c>
      <c r="CI712" s="2">
        <f t="shared" si="563"/>
        <v>0</v>
      </c>
      <c r="CJ712" s="2">
        <f t="shared" si="563"/>
        <v>0</v>
      </c>
      <c r="CK712" s="2">
        <f t="shared" si="563"/>
        <v>0</v>
      </c>
      <c r="CL712" s="2">
        <f t="shared" si="563"/>
        <v>0</v>
      </c>
      <c r="CM712" s="2">
        <f t="shared" si="563"/>
        <v>0</v>
      </c>
      <c r="CN712" s="2">
        <f t="shared" si="563"/>
        <v>0</v>
      </c>
      <c r="CO712" s="2">
        <f t="shared" si="563"/>
        <v>0</v>
      </c>
      <c r="CP712" s="2">
        <f t="shared" si="563"/>
        <v>0</v>
      </c>
      <c r="CQ712" s="2">
        <f t="shared" si="563"/>
        <v>0</v>
      </c>
      <c r="CR712" s="2">
        <f t="shared" si="563"/>
        <v>0</v>
      </c>
      <c r="CS712" s="2">
        <f t="shared" si="563"/>
        <v>0</v>
      </c>
      <c r="CT712" s="2">
        <f t="shared" si="563"/>
        <v>0</v>
      </c>
      <c r="CU712" s="2">
        <f t="shared" si="563"/>
        <v>0</v>
      </c>
      <c r="CV712" s="2">
        <f t="shared" si="563"/>
        <v>0</v>
      </c>
      <c r="CW712" s="2">
        <f t="shared" si="563"/>
        <v>0</v>
      </c>
      <c r="CX712" s="2">
        <f t="shared" si="563"/>
        <v>0</v>
      </c>
      <c r="CY712" s="2">
        <f t="shared" si="563"/>
        <v>0</v>
      </c>
      <c r="CZ712" s="2">
        <f t="shared" si="563"/>
        <v>0</v>
      </c>
      <c r="DA712" s="2">
        <f t="shared" si="563"/>
        <v>0</v>
      </c>
      <c r="DB712" s="2">
        <f t="shared" si="563"/>
        <v>0</v>
      </c>
      <c r="DC712" s="2">
        <f t="shared" si="563"/>
        <v>0</v>
      </c>
      <c r="DD712" s="2">
        <f t="shared" si="563"/>
        <v>0</v>
      </c>
      <c r="DE712" s="2">
        <f t="shared" si="563"/>
        <v>0</v>
      </c>
      <c r="DF712" s="2">
        <f t="shared" si="563"/>
        <v>0</v>
      </c>
      <c r="DG712" s="3">
        <f t="shared" ref="DG712:EL712" si="564">DG732</f>
        <v>0</v>
      </c>
      <c r="DH712" s="3">
        <f t="shared" si="564"/>
        <v>0</v>
      </c>
      <c r="DI712" s="3">
        <f t="shared" si="564"/>
        <v>0</v>
      </c>
      <c r="DJ712" s="3">
        <f t="shared" si="564"/>
        <v>0</v>
      </c>
      <c r="DK712" s="3">
        <f t="shared" si="564"/>
        <v>0</v>
      </c>
      <c r="DL712" s="3">
        <f t="shared" si="564"/>
        <v>0</v>
      </c>
      <c r="DM712" s="3">
        <f t="shared" si="564"/>
        <v>0</v>
      </c>
      <c r="DN712" s="3">
        <f t="shared" si="564"/>
        <v>0</v>
      </c>
      <c r="DO712" s="3">
        <f t="shared" si="564"/>
        <v>0</v>
      </c>
      <c r="DP712" s="3">
        <f t="shared" si="564"/>
        <v>0</v>
      </c>
      <c r="DQ712" s="3">
        <f t="shared" si="564"/>
        <v>0</v>
      </c>
      <c r="DR712" s="3">
        <f t="shared" si="564"/>
        <v>0</v>
      </c>
      <c r="DS712" s="3">
        <f t="shared" si="564"/>
        <v>0</v>
      </c>
      <c r="DT712" s="3">
        <f t="shared" si="564"/>
        <v>0</v>
      </c>
      <c r="DU712" s="3">
        <f t="shared" si="564"/>
        <v>0</v>
      </c>
      <c r="DV712" s="3">
        <f t="shared" si="564"/>
        <v>0</v>
      </c>
      <c r="DW712" s="3">
        <f t="shared" si="564"/>
        <v>0</v>
      </c>
      <c r="DX712" s="3">
        <f t="shared" si="564"/>
        <v>0</v>
      </c>
      <c r="DY712" s="3">
        <f t="shared" si="564"/>
        <v>0</v>
      </c>
      <c r="DZ712" s="3">
        <f t="shared" si="564"/>
        <v>0</v>
      </c>
      <c r="EA712" s="3">
        <f t="shared" si="564"/>
        <v>0</v>
      </c>
      <c r="EB712" s="3">
        <f t="shared" si="564"/>
        <v>0</v>
      </c>
      <c r="EC712" s="3">
        <f t="shared" si="564"/>
        <v>0</v>
      </c>
      <c r="ED712" s="3">
        <f t="shared" si="564"/>
        <v>0</v>
      </c>
      <c r="EE712" s="3">
        <f t="shared" si="564"/>
        <v>0</v>
      </c>
      <c r="EF712" s="3">
        <f t="shared" si="564"/>
        <v>0</v>
      </c>
      <c r="EG712" s="3">
        <f t="shared" si="564"/>
        <v>0</v>
      </c>
      <c r="EH712" s="3">
        <f t="shared" si="564"/>
        <v>0</v>
      </c>
      <c r="EI712" s="3">
        <f t="shared" si="564"/>
        <v>0</v>
      </c>
      <c r="EJ712" s="3">
        <f t="shared" si="564"/>
        <v>0</v>
      </c>
      <c r="EK712" s="3">
        <f t="shared" si="564"/>
        <v>0</v>
      </c>
      <c r="EL712" s="3">
        <f t="shared" si="564"/>
        <v>0</v>
      </c>
      <c r="EM712" s="3">
        <f t="shared" ref="EM712:FR712" si="565">EM732</f>
        <v>0</v>
      </c>
      <c r="EN712" s="3">
        <f t="shared" si="565"/>
        <v>0</v>
      </c>
      <c r="EO712" s="3">
        <f t="shared" si="565"/>
        <v>0</v>
      </c>
      <c r="EP712" s="3">
        <f t="shared" si="565"/>
        <v>0</v>
      </c>
      <c r="EQ712" s="3">
        <f t="shared" si="565"/>
        <v>0</v>
      </c>
      <c r="ER712" s="3">
        <f t="shared" si="565"/>
        <v>0</v>
      </c>
      <c r="ES712" s="3">
        <f t="shared" si="565"/>
        <v>0</v>
      </c>
      <c r="ET712" s="3">
        <f t="shared" si="565"/>
        <v>0</v>
      </c>
      <c r="EU712" s="3">
        <f t="shared" si="565"/>
        <v>0</v>
      </c>
      <c r="EV712" s="3">
        <f t="shared" si="565"/>
        <v>0</v>
      </c>
      <c r="EW712" s="3">
        <f t="shared" si="565"/>
        <v>0</v>
      </c>
      <c r="EX712" s="3">
        <f t="shared" si="565"/>
        <v>0</v>
      </c>
      <c r="EY712" s="3">
        <f t="shared" si="565"/>
        <v>0</v>
      </c>
      <c r="EZ712" s="3">
        <f t="shared" si="565"/>
        <v>0</v>
      </c>
      <c r="FA712" s="3">
        <f t="shared" si="565"/>
        <v>0</v>
      </c>
      <c r="FB712" s="3">
        <f t="shared" si="565"/>
        <v>0</v>
      </c>
      <c r="FC712" s="3">
        <f t="shared" si="565"/>
        <v>0</v>
      </c>
      <c r="FD712" s="3">
        <f t="shared" si="565"/>
        <v>0</v>
      </c>
      <c r="FE712" s="3">
        <f t="shared" si="565"/>
        <v>0</v>
      </c>
      <c r="FF712" s="3">
        <f t="shared" si="565"/>
        <v>0</v>
      </c>
      <c r="FG712" s="3">
        <f t="shared" si="565"/>
        <v>0</v>
      </c>
      <c r="FH712" s="3">
        <f t="shared" si="565"/>
        <v>0</v>
      </c>
      <c r="FI712" s="3">
        <f t="shared" si="565"/>
        <v>0</v>
      </c>
      <c r="FJ712" s="3">
        <f t="shared" si="565"/>
        <v>0</v>
      </c>
      <c r="FK712" s="3">
        <f t="shared" si="565"/>
        <v>0</v>
      </c>
      <c r="FL712" s="3">
        <f t="shared" si="565"/>
        <v>0</v>
      </c>
      <c r="FM712" s="3">
        <f t="shared" si="565"/>
        <v>0</v>
      </c>
      <c r="FN712" s="3">
        <f t="shared" si="565"/>
        <v>0</v>
      </c>
      <c r="FO712" s="3">
        <f t="shared" si="565"/>
        <v>0</v>
      </c>
      <c r="FP712" s="3">
        <f t="shared" si="565"/>
        <v>0</v>
      </c>
      <c r="FQ712" s="3">
        <f t="shared" si="565"/>
        <v>0</v>
      </c>
      <c r="FR712" s="3">
        <f t="shared" si="565"/>
        <v>0</v>
      </c>
      <c r="FS712" s="3">
        <f t="shared" ref="FS712:GX712" si="566">FS732</f>
        <v>0</v>
      </c>
      <c r="FT712" s="3">
        <f t="shared" si="566"/>
        <v>0</v>
      </c>
      <c r="FU712" s="3">
        <f t="shared" si="566"/>
        <v>0</v>
      </c>
      <c r="FV712" s="3">
        <f t="shared" si="566"/>
        <v>0</v>
      </c>
      <c r="FW712" s="3">
        <f t="shared" si="566"/>
        <v>0</v>
      </c>
      <c r="FX712" s="3">
        <f t="shared" si="566"/>
        <v>0</v>
      </c>
      <c r="FY712" s="3">
        <f t="shared" si="566"/>
        <v>0</v>
      </c>
      <c r="FZ712" s="3">
        <f t="shared" si="566"/>
        <v>0</v>
      </c>
      <c r="GA712" s="3">
        <f t="shared" si="566"/>
        <v>0</v>
      </c>
      <c r="GB712" s="3">
        <f t="shared" si="566"/>
        <v>0</v>
      </c>
      <c r="GC712" s="3">
        <f t="shared" si="566"/>
        <v>0</v>
      </c>
      <c r="GD712" s="3">
        <f t="shared" si="566"/>
        <v>0</v>
      </c>
      <c r="GE712" s="3">
        <f t="shared" si="566"/>
        <v>0</v>
      </c>
      <c r="GF712" s="3">
        <f t="shared" si="566"/>
        <v>0</v>
      </c>
      <c r="GG712" s="3">
        <f t="shared" si="566"/>
        <v>0</v>
      </c>
      <c r="GH712" s="3">
        <f t="shared" si="566"/>
        <v>0</v>
      </c>
      <c r="GI712" s="3">
        <f t="shared" si="566"/>
        <v>0</v>
      </c>
      <c r="GJ712" s="3">
        <f t="shared" si="566"/>
        <v>0</v>
      </c>
      <c r="GK712" s="3">
        <f t="shared" si="566"/>
        <v>0</v>
      </c>
      <c r="GL712" s="3">
        <f t="shared" si="566"/>
        <v>0</v>
      </c>
      <c r="GM712" s="3">
        <f t="shared" si="566"/>
        <v>0</v>
      </c>
      <c r="GN712" s="3">
        <f t="shared" si="566"/>
        <v>0</v>
      </c>
      <c r="GO712" s="3">
        <f t="shared" si="566"/>
        <v>0</v>
      </c>
      <c r="GP712" s="3">
        <f t="shared" si="566"/>
        <v>0</v>
      </c>
      <c r="GQ712" s="3">
        <f t="shared" si="566"/>
        <v>0</v>
      </c>
      <c r="GR712" s="3">
        <f t="shared" si="566"/>
        <v>0</v>
      </c>
      <c r="GS712" s="3">
        <f t="shared" si="566"/>
        <v>0</v>
      </c>
      <c r="GT712" s="3">
        <f t="shared" si="566"/>
        <v>0</v>
      </c>
      <c r="GU712" s="3">
        <f t="shared" si="566"/>
        <v>0</v>
      </c>
      <c r="GV712" s="3">
        <f t="shared" si="566"/>
        <v>0</v>
      </c>
      <c r="GW712" s="3">
        <f t="shared" si="566"/>
        <v>0</v>
      </c>
      <c r="GX712" s="3">
        <f t="shared" si="566"/>
        <v>0</v>
      </c>
    </row>
    <row r="714" spans="1:245" x14ac:dyDescent="0.2">
      <c r="A714">
        <v>17</v>
      </c>
      <c r="B714">
        <v>1</v>
      </c>
      <c r="C714">
        <f>ROW(SmtRes!A960)</f>
        <v>960</v>
      </c>
      <c r="D714">
        <f>ROW(EtalonRes!A900)</f>
        <v>900</v>
      </c>
      <c r="E714" t="s">
        <v>1152</v>
      </c>
      <c r="F714" t="s">
        <v>1153</v>
      </c>
      <c r="G714" t="s">
        <v>1154</v>
      </c>
      <c r="H714" t="s">
        <v>34</v>
      </c>
      <c r="I714">
        <f>ROUND(34/100,9)</f>
        <v>0.34</v>
      </c>
      <c r="J714">
        <v>0</v>
      </c>
      <c r="O714">
        <f t="shared" ref="O714:O730" si="567">ROUND(CP714,2)</f>
        <v>1631.85</v>
      </c>
      <c r="P714">
        <f t="shared" ref="P714:P730" si="568">ROUND(CQ714*I714,2)</f>
        <v>0</v>
      </c>
      <c r="Q714">
        <f t="shared" ref="Q714:Q730" si="569">ROUND(CR714*I714,2)</f>
        <v>22.3</v>
      </c>
      <c r="R714">
        <f t="shared" ref="R714:R730" si="570">ROUND(CS714*I714,2)</f>
        <v>9.64</v>
      </c>
      <c r="S714">
        <f t="shared" ref="S714:S730" si="571">ROUND(CT714*I714,2)</f>
        <v>1609.55</v>
      </c>
      <c r="T714">
        <f t="shared" ref="T714:T730" si="572">ROUND(CU714*I714,2)</f>
        <v>0</v>
      </c>
      <c r="U714">
        <f t="shared" ref="U714:U730" si="573">CV714*I714</f>
        <v>29.002000000000002</v>
      </c>
      <c r="V714">
        <f t="shared" ref="V714:V730" si="574">CW714*I714</f>
        <v>0.10880000000000001</v>
      </c>
      <c r="W714">
        <f t="shared" ref="W714:W730" si="575">ROUND(CX714*I714,2)</f>
        <v>0</v>
      </c>
      <c r="X714">
        <f t="shared" ref="X714:X730" si="576">ROUND(CY714,2)</f>
        <v>1198.2</v>
      </c>
      <c r="Y714">
        <f t="shared" ref="Y714:Y730" si="577">ROUND(CZ714,2)</f>
        <v>809.6</v>
      </c>
      <c r="AA714">
        <v>16742901</v>
      </c>
      <c r="AB714">
        <f t="shared" ref="AB714:AB730" si="578">ROUND((AC714+AD714+AF714),2)</f>
        <v>731.64</v>
      </c>
      <c r="AC714">
        <f>ROUND((ES714),2)</f>
        <v>0</v>
      </c>
      <c r="AD714">
        <f>ROUND((((ET714)-(EU714))+AE714),2)</f>
        <v>10</v>
      </c>
      <c r="AE714">
        <f>ROUND((EU714),2)</f>
        <v>4.32</v>
      </c>
      <c r="AF714">
        <f>ROUND((EV714),2)</f>
        <v>721.64</v>
      </c>
      <c r="AG714">
        <f t="shared" ref="AG714:AG730" si="579">ROUND((AP714),2)</f>
        <v>0</v>
      </c>
      <c r="AH714">
        <f>(EW714)</f>
        <v>85.3</v>
      </c>
      <c r="AI714">
        <f>(EX714)</f>
        <v>0.32</v>
      </c>
      <c r="AJ714">
        <f t="shared" ref="AJ714:AJ730" si="580">ROUND((AS714),2)</f>
        <v>0</v>
      </c>
      <c r="AK714">
        <v>731.64</v>
      </c>
      <c r="AL714">
        <v>0</v>
      </c>
      <c r="AM714">
        <v>10</v>
      </c>
      <c r="AN714">
        <v>4.32</v>
      </c>
      <c r="AO714">
        <v>721.64</v>
      </c>
      <c r="AP714">
        <v>0</v>
      </c>
      <c r="AQ714">
        <v>85.3</v>
      </c>
      <c r="AR714">
        <v>0.32</v>
      </c>
      <c r="AS714">
        <v>0</v>
      </c>
      <c r="AT714">
        <v>74</v>
      </c>
      <c r="AU714">
        <v>50</v>
      </c>
      <c r="AV714">
        <v>1</v>
      </c>
      <c r="AW714">
        <v>1</v>
      </c>
      <c r="AZ714">
        <v>6.56</v>
      </c>
      <c r="BA714">
        <v>6.56</v>
      </c>
      <c r="BB714">
        <v>6.56</v>
      </c>
      <c r="BC714">
        <v>6.56</v>
      </c>
      <c r="BD714" t="s">
        <v>6</v>
      </c>
      <c r="BE714" t="s">
        <v>6</v>
      </c>
      <c r="BF714" t="s">
        <v>6</v>
      </c>
      <c r="BG714" t="s">
        <v>6</v>
      </c>
      <c r="BH714">
        <v>0</v>
      </c>
      <c r="BI714">
        <v>1</v>
      </c>
      <c r="BJ714" t="s">
        <v>1155</v>
      </c>
      <c r="BM714">
        <v>65001</v>
      </c>
      <c r="BN714">
        <v>0</v>
      </c>
      <c r="BO714" t="s">
        <v>6</v>
      </c>
      <c r="BP714">
        <v>0</v>
      </c>
      <c r="BQ714">
        <v>6</v>
      </c>
      <c r="BR714">
        <v>0</v>
      </c>
      <c r="BS714">
        <v>6.56</v>
      </c>
      <c r="BT714">
        <v>1</v>
      </c>
      <c r="BU714">
        <v>1</v>
      </c>
      <c r="BV714">
        <v>1</v>
      </c>
      <c r="BW714">
        <v>1</v>
      </c>
      <c r="BX714">
        <v>1</v>
      </c>
      <c r="BY714" t="s">
        <v>6</v>
      </c>
      <c r="BZ714">
        <v>74</v>
      </c>
      <c r="CA714">
        <v>50</v>
      </c>
      <c r="CF714">
        <v>0</v>
      </c>
      <c r="CG714">
        <v>0</v>
      </c>
      <c r="CM714">
        <v>0</v>
      </c>
      <c r="CN714" t="s">
        <v>6</v>
      </c>
      <c r="CO714">
        <v>0</v>
      </c>
      <c r="CP714">
        <f t="shared" ref="CP714:CP730" si="581">(P714+Q714+S714)</f>
        <v>1631.85</v>
      </c>
      <c r="CQ714">
        <f t="shared" ref="CQ714:CQ730" si="582">AC714*BC714</f>
        <v>0</v>
      </c>
      <c r="CR714">
        <f t="shared" ref="CR714:CR730" si="583">AD714*BB714</f>
        <v>65.599999999999994</v>
      </c>
      <c r="CS714">
        <f t="shared" ref="CS714:CS730" si="584">AE714*BS714</f>
        <v>28.339200000000002</v>
      </c>
      <c r="CT714">
        <f t="shared" ref="CT714:CT730" si="585">AF714*BA714</f>
        <v>4733.9583999999995</v>
      </c>
      <c r="CU714">
        <f t="shared" ref="CU714:CU730" si="586">AG714</f>
        <v>0</v>
      </c>
      <c r="CV714">
        <f t="shared" ref="CV714:CV730" si="587">AH714</f>
        <v>85.3</v>
      </c>
      <c r="CW714">
        <f t="shared" ref="CW714:CW730" si="588">AI714</f>
        <v>0.32</v>
      </c>
      <c r="CX714">
        <f t="shared" ref="CX714:CX730" si="589">AJ714</f>
        <v>0</v>
      </c>
      <c r="CY714">
        <f t="shared" ref="CY714:CY730" si="590">(((S714+R714)*AT714)/100)</f>
        <v>1198.2005999999999</v>
      </c>
      <c r="CZ714">
        <f t="shared" ref="CZ714:CZ730" si="591">(((S714+R714)*AU714)/100)</f>
        <v>809.59500000000003</v>
      </c>
      <c r="DC714" t="s">
        <v>6</v>
      </c>
      <c r="DD714" t="s">
        <v>6</v>
      </c>
      <c r="DE714" t="s">
        <v>6</v>
      </c>
      <c r="DF714" t="s">
        <v>6</v>
      </c>
      <c r="DG714" t="s">
        <v>6</v>
      </c>
      <c r="DH714" t="s">
        <v>6</v>
      </c>
      <c r="DI714" t="s">
        <v>6</v>
      </c>
      <c r="DJ714" t="s">
        <v>6</v>
      </c>
      <c r="DK714" t="s">
        <v>6</v>
      </c>
      <c r="DL714" t="s">
        <v>6</v>
      </c>
      <c r="DM714" t="s">
        <v>6</v>
      </c>
      <c r="DN714">
        <v>0</v>
      </c>
      <c r="DO714">
        <v>0</v>
      </c>
      <c r="DP714">
        <v>1</v>
      </c>
      <c r="DQ714">
        <v>1</v>
      </c>
      <c r="DU714">
        <v>1003</v>
      </c>
      <c r="DV714" t="s">
        <v>34</v>
      </c>
      <c r="DW714" t="s">
        <v>34</v>
      </c>
      <c r="DX714">
        <v>100</v>
      </c>
      <c r="EE714">
        <v>16510574</v>
      </c>
      <c r="EF714">
        <v>6</v>
      </c>
      <c r="EG714" t="s">
        <v>36</v>
      </c>
      <c r="EH714">
        <v>0</v>
      </c>
      <c r="EI714" t="s">
        <v>6</v>
      </c>
      <c r="EJ714">
        <v>1</v>
      </c>
      <c r="EK714">
        <v>65001</v>
      </c>
      <c r="EL714" t="s">
        <v>1031</v>
      </c>
      <c r="EM714" t="s">
        <v>69</v>
      </c>
      <c r="EO714" t="s">
        <v>6</v>
      </c>
      <c r="EQ714">
        <v>131072</v>
      </c>
      <c r="ER714">
        <v>731.64</v>
      </c>
      <c r="ES714">
        <v>0</v>
      </c>
      <c r="ET714">
        <v>10</v>
      </c>
      <c r="EU714">
        <v>4.32</v>
      </c>
      <c r="EV714">
        <v>721.64</v>
      </c>
      <c r="EW714">
        <v>85.3</v>
      </c>
      <c r="EX714">
        <v>0.32</v>
      </c>
      <c r="EY714">
        <v>0</v>
      </c>
      <c r="FQ714">
        <v>0</v>
      </c>
      <c r="FR714">
        <f t="shared" ref="FR714:FR730" si="592">ROUND(IF(AND(BH714=3,BI714=3),P714,0),2)</f>
        <v>0</v>
      </c>
      <c r="FS714">
        <v>0</v>
      </c>
      <c r="FX714">
        <v>74</v>
      </c>
      <c r="FY714">
        <v>50</v>
      </c>
      <c r="GA714" t="s">
        <v>6</v>
      </c>
      <c r="GD714">
        <v>0</v>
      </c>
      <c r="GF714">
        <v>-607669651</v>
      </c>
      <c r="GG714">
        <v>1</v>
      </c>
      <c r="GH714">
        <v>1</v>
      </c>
      <c r="GI714">
        <v>4</v>
      </c>
      <c r="GJ714">
        <v>0</v>
      </c>
      <c r="GK714">
        <f>ROUND(R714*(R12)/100,2)</f>
        <v>0</v>
      </c>
      <c r="GL714">
        <f t="shared" ref="GL714:GL730" si="593">ROUND(IF(AND(BH714=3,BI714=3,FS714&lt;&gt;0),P714,0),2)</f>
        <v>0</v>
      </c>
      <c r="GM714">
        <f t="shared" ref="GM714:GM730" si="594">ROUND(O714+X714+Y714+GK714,2)+GX714</f>
        <v>3639.65</v>
      </c>
      <c r="GN714">
        <f t="shared" ref="GN714:GN730" si="595">IF(OR(BI714=0,BI714=1),ROUND(O714+X714+Y714+GK714,2),0)</f>
        <v>3639.65</v>
      </c>
      <c r="GO714">
        <f t="shared" ref="GO714:GO730" si="596">IF(BI714=2,ROUND(O714+X714+Y714+GK714,2),0)</f>
        <v>0</v>
      </c>
      <c r="GP714">
        <f t="shared" ref="GP714:GP730" si="597">IF(BI714=4,ROUND(O714+X714+Y714+GK714,2)+GX714,0)</f>
        <v>0</v>
      </c>
      <c r="GR714">
        <v>0</v>
      </c>
      <c r="GS714">
        <v>3</v>
      </c>
      <c r="GT714">
        <v>0</v>
      </c>
      <c r="GU714" t="s">
        <v>6</v>
      </c>
      <c r="GV714">
        <f t="shared" ref="GV714:GV730" si="598">ROUND(GT714,2)</f>
        <v>0</v>
      </c>
      <c r="GW714">
        <v>1</v>
      </c>
      <c r="GX714">
        <f t="shared" ref="GX714:GX730" si="599">ROUND(GV714*GW714*I714,2)</f>
        <v>0</v>
      </c>
      <c r="HA714">
        <v>0</v>
      </c>
      <c r="HB714">
        <v>0</v>
      </c>
      <c r="IK714">
        <v>0</v>
      </c>
    </row>
    <row r="715" spans="1:245" x14ac:dyDescent="0.2">
      <c r="A715">
        <v>17</v>
      </c>
      <c r="B715">
        <v>1</v>
      </c>
      <c r="C715">
        <f>ROW(SmtRes!A966)</f>
        <v>966</v>
      </c>
      <c r="D715">
        <f>ROW(EtalonRes!A907)</f>
        <v>907</v>
      </c>
      <c r="E715" t="s">
        <v>1156</v>
      </c>
      <c r="F715" t="s">
        <v>1157</v>
      </c>
      <c r="G715" t="s">
        <v>1158</v>
      </c>
      <c r="H715" t="s">
        <v>1126</v>
      </c>
      <c r="I715">
        <f>ROUND(2/10,9)</f>
        <v>0.2</v>
      </c>
      <c r="J715">
        <v>0</v>
      </c>
      <c r="O715">
        <f t="shared" si="567"/>
        <v>52.47</v>
      </c>
      <c r="P715">
        <f t="shared" si="568"/>
        <v>0</v>
      </c>
      <c r="Q715">
        <f t="shared" si="569"/>
        <v>8.19</v>
      </c>
      <c r="R715">
        <f t="shared" si="570"/>
        <v>1.86</v>
      </c>
      <c r="S715">
        <f t="shared" si="571"/>
        <v>44.28</v>
      </c>
      <c r="T715">
        <f t="shared" si="572"/>
        <v>0</v>
      </c>
      <c r="U715">
        <f t="shared" si="573"/>
        <v>0.7016</v>
      </c>
      <c r="V715">
        <f t="shared" si="574"/>
        <v>2.3199999999999998E-2</v>
      </c>
      <c r="W715">
        <f t="shared" si="575"/>
        <v>0</v>
      </c>
      <c r="X715">
        <f t="shared" si="576"/>
        <v>53.06</v>
      </c>
      <c r="Y715">
        <f t="shared" si="577"/>
        <v>32.76</v>
      </c>
      <c r="AA715">
        <v>16742901</v>
      </c>
      <c r="AB715">
        <f t="shared" si="578"/>
        <v>39.99</v>
      </c>
      <c r="AC715">
        <f>ROUND(((ES715*0)),2)</f>
        <v>0</v>
      </c>
      <c r="AD715">
        <f>ROUND(((((ET715*0.4))-((EU715*0.4)))+AE715),2)</f>
        <v>6.24</v>
      </c>
      <c r="AE715">
        <f>ROUND(((EU715*0.4)),2)</f>
        <v>1.42</v>
      </c>
      <c r="AF715">
        <f>ROUND(((EV715*0.4)),2)</f>
        <v>33.75</v>
      </c>
      <c r="AG715">
        <f t="shared" si="579"/>
        <v>0</v>
      </c>
      <c r="AH715">
        <f>((EW715*0.4))</f>
        <v>3.508</v>
      </c>
      <c r="AI715">
        <f>((EX715*0.4))</f>
        <v>0.11599999999999999</v>
      </c>
      <c r="AJ715">
        <f t="shared" si="580"/>
        <v>0</v>
      </c>
      <c r="AK715">
        <v>141.9</v>
      </c>
      <c r="AL715">
        <v>41.92</v>
      </c>
      <c r="AM715">
        <v>15.61</v>
      </c>
      <c r="AN715">
        <v>3.55</v>
      </c>
      <c r="AO715">
        <v>84.37</v>
      </c>
      <c r="AP715">
        <v>0</v>
      </c>
      <c r="AQ715">
        <v>8.77</v>
      </c>
      <c r="AR715">
        <v>0.28999999999999998</v>
      </c>
      <c r="AS715">
        <v>0</v>
      </c>
      <c r="AT715">
        <v>115</v>
      </c>
      <c r="AU715">
        <v>71</v>
      </c>
      <c r="AV715">
        <v>1</v>
      </c>
      <c r="AW715">
        <v>1</v>
      </c>
      <c r="AZ715">
        <v>6.56</v>
      </c>
      <c r="BA715">
        <v>6.56</v>
      </c>
      <c r="BB715">
        <v>6.56</v>
      </c>
      <c r="BC715">
        <v>6.56</v>
      </c>
      <c r="BD715" t="s">
        <v>6</v>
      </c>
      <c r="BE715" t="s">
        <v>6</v>
      </c>
      <c r="BF715" t="s">
        <v>6</v>
      </c>
      <c r="BG715" t="s">
        <v>6</v>
      </c>
      <c r="BH715">
        <v>0</v>
      </c>
      <c r="BI715">
        <v>1</v>
      </c>
      <c r="BJ715" t="s">
        <v>1159</v>
      </c>
      <c r="BM715">
        <v>17001</v>
      </c>
      <c r="BN715">
        <v>0</v>
      </c>
      <c r="BO715" t="s">
        <v>6</v>
      </c>
      <c r="BP715">
        <v>0</v>
      </c>
      <c r="BQ715">
        <v>2</v>
      </c>
      <c r="BR715">
        <v>0</v>
      </c>
      <c r="BS715">
        <v>6.56</v>
      </c>
      <c r="BT715">
        <v>1</v>
      </c>
      <c r="BU715">
        <v>1</v>
      </c>
      <c r="BV715">
        <v>1</v>
      </c>
      <c r="BW715">
        <v>1</v>
      </c>
      <c r="BX715">
        <v>1</v>
      </c>
      <c r="BY715" t="s">
        <v>6</v>
      </c>
      <c r="BZ715">
        <v>128</v>
      </c>
      <c r="CA715">
        <v>83</v>
      </c>
      <c r="CF715">
        <v>0</v>
      </c>
      <c r="CG715">
        <v>0</v>
      </c>
      <c r="CM715">
        <v>0</v>
      </c>
      <c r="CN715" t="s">
        <v>58</v>
      </c>
      <c r="CO715">
        <v>0</v>
      </c>
      <c r="CP715">
        <f t="shared" si="581"/>
        <v>52.47</v>
      </c>
      <c r="CQ715">
        <f t="shared" si="582"/>
        <v>0</v>
      </c>
      <c r="CR715">
        <f t="shared" si="583"/>
        <v>40.934399999999997</v>
      </c>
      <c r="CS715">
        <f t="shared" si="584"/>
        <v>9.315199999999999</v>
      </c>
      <c r="CT715">
        <f t="shared" si="585"/>
        <v>221.39999999999998</v>
      </c>
      <c r="CU715">
        <f t="shared" si="586"/>
        <v>0</v>
      </c>
      <c r="CV715">
        <f t="shared" si="587"/>
        <v>3.508</v>
      </c>
      <c r="CW715">
        <f t="shared" si="588"/>
        <v>0.11599999999999999</v>
      </c>
      <c r="CX715">
        <f t="shared" si="589"/>
        <v>0</v>
      </c>
      <c r="CY715">
        <f t="shared" si="590"/>
        <v>53.061000000000007</v>
      </c>
      <c r="CZ715">
        <f t="shared" si="591"/>
        <v>32.759399999999999</v>
      </c>
      <c r="DC715" t="s">
        <v>6</v>
      </c>
      <c r="DD715" t="s">
        <v>48</v>
      </c>
      <c r="DE715" t="s">
        <v>59</v>
      </c>
      <c r="DF715" t="s">
        <v>59</v>
      </c>
      <c r="DG715" t="s">
        <v>59</v>
      </c>
      <c r="DH715" t="s">
        <v>6</v>
      </c>
      <c r="DI715" t="s">
        <v>59</v>
      </c>
      <c r="DJ715" t="s">
        <v>59</v>
      </c>
      <c r="DK715" t="s">
        <v>6</v>
      </c>
      <c r="DL715" t="s">
        <v>6</v>
      </c>
      <c r="DM715" t="s">
        <v>6</v>
      </c>
      <c r="DN715">
        <v>0</v>
      </c>
      <c r="DO715">
        <v>0</v>
      </c>
      <c r="DP715">
        <v>1</v>
      </c>
      <c r="DQ715">
        <v>1</v>
      </c>
      <c r="DU715">
        <v>1013</v>
      </c>
      <c r="DV715" t="s">
        <v>1126</v>
      </c>
      <c r="DW715" t="s">
        <v>1126</v>
      </c>
      <c r="DX715">
        <v>1</v>
      </c>
      <c r="EE715">
        <v>16510515</v>
      </c>
      <c r="EF715">
        <v>2</v>
      </c>
      <c r="EG715" t="s">
        <v>22</v>
      </c>
      <c r="EH715">
        <v>0</v>
      </c>
      <c r="EI715" t="s">
        <v>6</v>
      </c>
      <c r="EJ715">
        <v>1</v>
      </c>
      <c r="EK715">
        <v>17001</v>
      </c>
      <c r="EL715" t="s">
        <v>1128</v>
      </c>
      <c r="EM715" t="s">
        <v>1129</v>
      </c>
      <c r="EO715" t="s">
        <v>62</v>
      </c>
      <c r="EQ715">
        <v>131072</v>
      </c>
      <c r="ER715">
        <v>141.9</v>
      </c>
      <c r="ES715">
        <v>41.92</v>
      </c>
      <c r="ET715">
        <v>15.61</v>
      </c>
      <c r="EU715">
        <v>3.55</v>
      </c>
      <c r="EV715">
        <v>84.37</v>
      </c>
      <c r="EW715">
        <v>8.77</v>
      </c>
      <c r="EX715">
        <v>0.28999999999999998</v>
      </c>
      <c r="EY715">
        <v>0</v>
      </c>
      <c r="FQ715">
        <v>0</v>
      </c>
      <c r="FR715">
        <f t="shared" si="592"/>
        <v>0</v>
      </c>
      <c r="FS715">
        <v>0</v>
      </c>
      <c r="FT715" t="s">
        <v>25</v>
      </c>
      <c r="FU715" t="s">
        <v>26</v>
      </c>
      <c r="FX715">
        <v>115.2</v>
      </c>
      <c r="FY715">
        <v>70.55</v>
      </c>
      <c r="GA715" t="s">
        <v>6</v>
      </c>
      <c r="GD715">
        <v>0</v>
      </c>
      <c r="GF715">
        <v>-986784289</v>
      </c>
      <c r="GG715">
        <v>1</v>
      </c>
      <c r="GH715">
        <v>1</v>
      </c>
      <c r="GI715">
        <v>4</v>
      </c>
      <c r="GJ715">
        <v>0</v>
      </c>
      <c r="GK715">
        <f>ROUND(R715*(R12)/100,2)</f>
        <v>0</v>
      </c>
      <c r="GL715">
        <f t="shared" si="593"/>
        <v>0</v>
      </c>
      <c r="GM715">
        <f t="shared" si="594"/>
        <v>138.29</v>
      </c>
      <c r="GN715">
        <f t="shared" si="595"/>
        <v>138.29</v>
      </c>
      <c r="GO715">
        <f t="shared" si="596"/>
        <v>0</v>
      </c>
      <c r="GP715">
        <f t="shared" si="597"/>
        <v>0</v>
      </c>
      <c r="GR715">
        <v>0</v>
      </c>
      <c r="GS715">
        <v>3</v>
      </c>
      <c r="GT715">
        <v>0</v>
      </c>
      <c r="GU715" t="s">
        <v>6</v>
      </c>
      <c r="GV715">
        <f t="shared" si="598"/>
        <v>0</v>
      </c>
      <c r="GW715">
        <v>1</v>
      </c>
      <c r="GX715">
        <f t="shared" si="599"/>
        <v>0</v>
      </c>
      <c r="HA715">
        <v>0</v>
      </c>
      <c r="HB715">
        <v>0</v>
      </c>
      <c r="IK715">
        <v>0</v>
      </c>
    </row>
    <row r="716" spans="1:245" x14ac:dyDescent="0.2">
      <c r="A716">
        <v>17</v>
      </c>
      <c r="B716">
        <v>1</v>
      </c>
      <c r="C716">
        <f>ROW(SmtRes!A969)</f>
        <v>969</v>
      </c>
      <c r="D716">
        <f>ROW(EtalonRes!A911)</f>
        <v>911</v>
      </c>
      <c r="E716" t="s">
        <v>1160</v>
      </c>
      <c r="F716" t="s">
        <v>1161</v>
      </c>
      <c r="G716" t="s">
        <v>1162</v>
      </c>
      <c r="H716" t="s">
        <v>66</v>
      </c>
      <c r="I716">
        <f>ROUND(4/100,9)</f>
        <v>0.04</v>
      </c>
      <c r="J716">
        <v>0</v>
      </c>
      <c r="O716">
        <f t="shared" si="567"/>
        <v>145.27000000000001</v>
      </c>
      <c r="P716">
        <f t="shared" si="568"/>
        <v>0</v>
      </c>
      <c r="Q716">
        <f t="shared" si="569"/>
        <v>2.38</v>
      </c>
      <c r="R716">
        <f t="shared" si="570"/>
        <v>1.03</v>
      </c>
      <c r="S716">
        <f t="shared" si="571"/>
        <v>142.88999999999999</v>
      </c>
      <c r="T716">
        <f t="shared" si="572"/>
        <v>0</v>
      </c>
      <c r="U716">
        <f t="shared" si="573"/>
        <v>2.5536000000000003</v>
      </c>
      <c r="V716">
        <f t="shared" si="574"/>
        <v>1.1599999999999999E-2</v>
      </c>
      <c r="W716">
        <f t="shared" si="575"/>
        <v>0</v>
      </c>
      <c r="X716">
        <f t="shared" si="576"/>
        <v>106.5</v>
      </c>
      <c r="Y716">
        <f t="shared" si="577"/>
        <v>71.959999999999994</v>
      </c>
      <c r="AA716">
        <v>16742901</v>
      </c>
      <c r="AB716">
        <f t="shared" si="578"/>
        <v>553.63</v>
      </c>
      <c r="AC716">
        <f t="shared" ref="AC716:AC730" si="600">ROUND((ES716),2)</f>
        <v>0</v>
      </c>
      <c r="AD716">
        <f>ROUND((((ET716)-(EU716))+AE716),2)</f>
        <v>9.07</v>
      </c>
      <c r="AE716">
        <f>ROUND((EU716),2)</f>
        <v>3.92</v>
      </c>
      <c r="AF716">
        <f>ROUND((EV716),2)</f>
        <v>544.55999999999995</v>
      </c>
      <c r="AG716">
        <f t="shared" si="579"/>
        <v>0</v>
      </c>
      <c r="AH716">
        <f>(EW716)</f>
        <v>63.84</v>
      </c>
      <c r="AI716">
        <f>(EX716)</f>
        <v>0.28999999999999998</v>
      </c>
      <c r="AJ716">
        <f t="shared" si="580"/>
        <v>0</v>
      </c>
      <c r="AK716">
        <v>553.63</v>
      </c>
      <c r="AL716">
        <v>0</v>
      </c>
      <c r="AM716">
        <v>9.07</v>
      </c>
      <c r="AN716">
        <v>3.92</v>
      </c>
      <c r="AO716">
        <v>544.55999999999995</v>
      </c>
      <c r="AP716">
        <v>0</v>
      </c>
      <c r="AQ716">
        <v>63.84</v>
      </c>
      <c r="AR716">
        <v>0.28999999999999998</v>
      </c>
      <c r="AS716">
        <v>0</v>
      </c>
      <c r="AT716">
        <v>74</v>
      </c>
      <c r="AU716">
        <v>50</v>
      </c>
      <c r="AV716">
        <v>1</v>
      </c>
      <c r="AW716">
        <v>1</v>
      </c>
      <c r="AZ716">
        <v>6.56</v>
      </c>
      <c r="BA716">
        <v>6.56</v>
      </c>
      <c r="BB716">
        <v>6.56</v>
      </c>
      <c r="BC716">
        <v>6.56</v>
      </c>
      <c r="BD716" t="s">
        <v>6</v>
      </c>
      <c r="BE716" t="s">
        <v>6</v>
      </c>
      <c r="BF716" t="s">
        <v>6</v>
      </c>
      <c r="BG716" t="s">
        <v>6</v>
      </c>
      <c r="BH716">
        <v>0</v>
      </c>
      <c r="BI716">
        <v>1</v>
      </c>
      <c r="BJ716" t="s">
        <v>1163</v>
      </c>
      <c r="BM716">
        <v>65001</v>
      </c>
      <c r="BN716">
        <v>0</v>
      </c>
      <c r="BO716" t="s">
        <v>6</v>
      </c>
      <c r="BP716">
        <v>0</v>
      </c>
      <c r="BQ716">
        <v>6</v>
      </c>
      <c r="BR716">
        <v>0</v>
      </c>
      <c r="BS716">
        <v>6.56</v>
      </c>
      <c r="BT716">
        <v>1</v>
      </c>
      <c r="BU716">
        <v>1</v>
      </c>
      <c r="BV716">
        <v>1</v>
      </c>
      <c r="BW716">
        <v>1</v>
      </c>
      <c r="BX716">
        <v>1</v>
      </c>
      <c r="BY716" t="s">
        <v>6</v>
      </c>
      <c r="BZ716">
        <v>74</v>
      </c>
      <c r="CA716">
        <v>50</v>
      </c>
      <c r="CF716">
        <v>0</v>
      </c>
      <c r="CG716">
        <v>0</v>
      </c>
      <c r="CM716">
        <v>0</v>
      </c>
      <c r="CN716" t="s">
        <v>6</v>
      </c>
      <c r="CO716">
        <v>0</v>
      </c>
      <c r="CP716">
        <f t="shared" si="581"/>
        <v>145.26999999999998</v>
      </c>
      <c r="CQ716">
        <f t="shared" si="582"/>
        <v>0</v>
      </c>
      <c r="CR716">
        <f t="shared" si="583"/>
        <v>59.499200000000002</v>
      </c>
      <c r="CS716">
        <f t="shared" si="584"/>
        <v>25.715199999999999</v>
      </c>
      <c r="CT716">
        <f t="shared" si="585"/>
        <v>3572.3135999999995</v>
      </c>
      <c r="CU716">
        <f t="shared" si="586"/>
        <v>0</v>
      </c>
      <c r="CV716">
        <f t="shared" si="587"/>
        <v>63.84</v>
      </c>
      <c r="CW716">
        <f t="shared" si="588"/>
        <v>0.28999999999999998</v>
      </c>
      <c r="CX716">
        <f t="shared" si="589"/>
        <v>0</v>
      </c>
      <c r="CY716">
        <f t="shared" si="590"/>
        <v>106.5008</v>
      </c>
      <c r="CZ716">
        <f t="shared" si="591"/>
        <v>71.959999999999994</v>
      </c>
      <c r="DC716" t="s">
        <v>6</v>
      </c>
      <c r="DD716" t="s">
        <v>6</v>
      </c>
      <c r="DE716" t="s">
        <v>6</v>
      </c>
      <c r="DF716" t="s">
        <v>6</v>
      </c>
      <c r="DG716" t="s">
        <v>6</v>
      </c>
      <c r="DH716" t="s">
        <v>6</v>
      </c>
      <c r="DI716" t="s">
        <v>6</v>
      </c>
      <c r="DJ716" t="s">
        <v>6</v>
      </c>
      <c r="DK716" t="s">
        <v>6</v>
      </c>
      <c r="DL716" t="s">
        <v>6</v>
      </c>
      <c r="DM716" t="s">
        <v>6</v>
      </c>
      <c r="DN716">
        <v>0</v>
      </c>
      <c r="DO716">
        <v>0</v>
      </c>
      <c r="DP716">
        <v>1</v>
      </c>
      <c r="DQ716">
        <v>1</v>
      </c>
      <c r="DU716">
        <v>1013</v>
      </c>
      <c r="DV716" t="s">
        <v>66</v>
      </c>
      <c r="DW716" t="s">
        <v>66</v>
      </c>
      <c r="DX716">
        <v>1</v>
      </c>
      <c r="EE716">
        <v>16510574</v>
      </c>
      <c r="EF716">
        <v>6</v>
      </c>
      <c r="EG716" t="s">
        <v>36</v>
      </c>
      <c r="EH716">
        <v>0</v>
      </c>
      <c r="EI716" t="s">
        <v>6</v>
      </c>
      <c r="EJ716">
        <v>1</v>
      </c>
      <c r="EK716">
        <v>65001</v>
      </c>
      <c r="EL716" t="s">
        <v>1031</v>
      </c>
      <c r="EM716" t="s">
        <v>69</v>
      </c>
      <c r="EO716" t="s">
        <v>6</v>
      </c>
      <c r="EQ716">
        <v>131072</v>
      </c>
      <c r="ER716">
        <v>553.63</v>
      </c>
      <c r="ES716">
        <v>0</v>
      </c>
      <c r="ET716">
        <v>9.07</v>
      </c>
      <c r="EU716">
        <v>3.92</v>
      </c>
      <c r="EV716">
        <v>544.55999999999995</v>
      </c>
      <c r="EW716">
        <v>63.84</v>
      </c>
      <c r="EX716">
        <v>0.28999999999999998</v>
      </c>
      <c r="EY716">
        <v>0</v>
      </c>
      <c r="FQ716">
        <v>0</v>
      </c>
      <c r="FR716">
        <f t="shared" si="592"/>
        <v>0</v>
      </c>
      <c r="FS716">
        <v>0</v>
      </c>
      <c r="FX716">
        <v>74</v>
      </c>
      <c r="FY716">
        <v>50</v>
      </c>
      <c r="GA716" t="s">
        <v>6</v>
      </c>
      <c r="GD716">
        <v>0</v>
      </c>
      <c r="GF716">
        <v>-1925511614</v>
      </c>
      <c r="GG716">
        <v>1</v>
      </c>
      <c r="GH716">
        <v>1</v>
      </c>
      <c r="GI716">
        <v>4</v>
      </c>
      <c r="GJ716">
        <v>0</v>
      </c>
      <c r="GK716">
        <f>ROUND(R716*(R12)/100,2)</f>
        <v>0</v>
      </c>
      <c r="GL716">
        <f t="shared" si="593"/>
        <v>0</v>
      </c>
      <c r="GM716">
        <f t="shared" si="594"/>
        <v>323.73</v>
      </c>
      <c r="GN716">
        <f t="shared" si="595"/>
        <v>323.73</v>
      </c>
      <c r="GO716">
        <f t="shared" si="596"/>
        <v>0</v>
      </c>
      <c r="GP716">
        <f t="shared" si="597"/>
        <v>0</v>
      </c>
      <c r="GR716">
        <v>0</v>
      </c>
      <c r="GS716">
        <v>3</v>
      </c>
      <c r="GT716">
        <v>0</v>
      </c>
      <c r="GU716" t="s">
        <v>6</v>
      </c>
      <c r="GV716">
        <f t="shared" si="598"/>
        <v>0</v>
      </c>
      <c r="GW716">
        <v>1</v>
      </c>
      <c r="GX716">
        <f t="shared" si="599"/>
        <v>0</v>
      </c>
      <c r="HA716">
        <v>0</v>
      </c>
      <c r="HB716">
        <v>0</v>
      </c>
      <c r="IK716">
        <v>0</v>
      </c>
    </row>
    <row r="717" spans="1:245" x14ac:dyDescent="0.2">
      <c r="A717">
        <v>17</v>
      </c>
      <c r="B717">
        <v>1</v>
      </c>
      <c r="C717">
        <f>ROW(SmtRes!A982)</f>
        <v>982</v>
      </c>
      <c r="D717">
        <f>ROW(EtalonRes!A926)</f>
        <v>926</v>
      </c>
      <c r="E717" t="s">
        <v>1164</v>
      </c>
      <c r="F717" t="s">
        <v>1165</v>
      </c>
      <c r="G717" t="s">
        <v>1166</v>
      </c>
      <c r="H717" t="s">
        <v>1126</v>
      </c>
      <c r="I717">
        <f>ROUND(6/10,9)</f>
        <v>0.6</v>
      </c>
      <c r="J717">
        <v>0</v>
      </c>
      <c r="O717">
        <f t="shared" si="567"/>
        <v>1990.39</v>
      </c>
      <c r="P717">
        <f t="shared" si="568"/>
        <v>754.41</v>
      </c>
      <c r="Q717">
        <f t="shared" si="569"/>
        <v>175.31</v>
      </c>
      <c r="R717">
        <f t="shared" si="570"/>
        <v>43.49</v>
      </c>
      <c r="S717">
        <f t="shared" si="571"/>
        <v>1060.67</v>
      </c>
      <c r="T717">
        <f t="shared" si="572"/>
        <v>0</v>
      </c>
      <c r="U717">
        <f t="shared" si="573"/>
        <v>17.0016</v>
      </c>
      <c r="V717">
        <f t="shared" si="574"/>
        <v>0.53249999999999997</v>
      </c>
      <c r="W717">
        <f t="shared" si="575"/>
        <v>0</v>
      </c>
      <c r="X717">
        <f t="shared" si="576"/>
        <v>1269.78</v>
      </c>
      <c r="Y717">
        <f t="shared" si="577"/>
        <v>783.95</v>
      </c>
      <c r="AA717">
        <v>16742901</v>
      </c>
      <c r="AB717">
        <f t="shared" si="578"/>
        <v>505.69</v>
      </c>
      <c r="AC717">
        <f t="shared" si="600"/>
        <v>191.67</v>
      </c>
      <c r="AD717">
        <f>ROUND(((((ET717*1.25))-((EU717*1.25)))+AE717),2)</f>
        <v>44.54</v>
      </c>
      <c r="AE717">
        <f>ROUND(((EU717*1.25)),2)</f>
        <v>11.05</v>
      </c>
      <c r="AF717">
        <f>ROUND(((EV717*1.15)),2)</f>
        <v>269.48</v>
      </c>
      <c r="AG717">
        <f t="shared" si="579"/>
        <v>0</v>
      </c>
      <c r="AH717">
        <f>((EW717*1.15))</f>
        <v>28.335999999999999</v>
      </c>
      <c r="AI717">
        <f>((EX717*1.25))</f>
        <v>0.88749999999999996</v>
      </c>
      <c r="AJ717">
        <f t="shared" si="580"/>
        <v>0</v>
      </c>
      <c r="AK717">
        <v>461.63</v>
      </c>
      <c r="AL717">
        <v>191.67</v>
      </c>
      <c r="AM717">
        <v>35.630000000000003</v>
      </c>
      <c r="AN717">
        <v>8.84</v>
      </c>
      <c r="AO717">
        <v>234.33</v>
      </c>
      <c r="AP717">
        <v>0</v>
      </c>
      <c r="AQ717">
        <v>24.64</v>
      </c>
      <c r="AR717">
        <v>0.71</v>
      </c>
      <c r="AS717">
        <v>0</v>
      </c>
      <c r="AT717">
        <v>115</v>
      </c>
      <c r="AU717">
        <v>71</v>
      </c>
      <c r="AV717">
        <v>1</v>
      </c>
      <c r="AW717">
        <v>1</v>
      </c>
      <c r="AZ717">
        <v>6.56</v>
      </c>
      <c r="BA717">
        <v>6.56</v>
      </c>
      <c r="BB717">
        <v>6.56</v>
      </c>
      <c r="BC717">
        <v>6.56</v>
      </c>
      <c r="BD717" t="s">
        <v>6</v>
      </c>
      <c r="BE717" t="s">
        <v>6</v>
      </c>
      <c r="BF717" t="s">
        <v>6</v>
      </c>
      <c r="BG717" t="s">
        <v>6</v>
      </c>
      <c r="BH717">
        <v>0</v>
      </c>
      <c r="BI717">
        <v>1</v>
      </c>
      <c r="BJ717" t="s">
        <v>1167</v>
      </c>
      <c r="BM717">
        <v>17001</v>
      </c>
      <c r="BN717">
        <v>0</v>
      </c>
      <c r="BO717" t="s">
        <v>6</v>
      </c>
      <c r="BP717">
        <v>0</v>
      </c>
      <c r="BQ717">
        <v>2</v>
      </c>
      <c r="BR717">
        <v>0</v>
      </c>
      <c r="BS717">
        <v>6.56</v>
      </c>
      <c r="BT717">
        <v>1</v>
      </c>
      <c r="BU717">
        <v>1</v>
      </c>
      <c r="BV717">
        <v>1</v>
      </c>
      <c r="BW717">
        <v>1</v>
      </c>
      <c r="BX717">
        <v>1</v>
      </c>
      <c r="BY717" t="s">
        <v>6</v>
      </c>
      <c r="BZ717">
        <v>128</v>
      </c>
      <c r="CA717">
        <v>83</v>
      </c>
      <c r="CF717">
        <v>0</v>
      </c>
      <c r="CG717">
        <v>0</v>
      </c>
      <c r="CM717">
        <v>0</v>
      </c>
      <c r="CN717" t="s">
        <v>1902</v>
      </c>
      <c r="CO717">
        <v>0</v>
      </c>
      <c r="CP717">
        <f t="shared" si="581"/>
        <v>1990.39</v>
      </c>
      <c r="CQ717">
        <f t="shared" si="582"/>
        <v>1257.3551999999997</v>
      </c>
      <c r="CR717">
        <f t="shared" si="583"/>
        <v>292.18239999999997</v>
      </c>
      <c r="CS717">
        <f t="shared" si="584"/>
        <v>72.488</v>
      </c>
      <c r="CT717">
        <f t="shared" si="585"/>
        <v>1767.7888</v>
      </c>
      <c r="CU717">
        <f t="shared" si="586"/>
        <v>0</v>
      </c>
      <c r="CV717">
        <f t="shared" si="587"/>
        <v>28.335999999999999</v>
      </c>
      <c r="CW717">
        <f t="shared" si="588"/>
        <v>0.88749999999999996</v>
      </c>
      <c r="CX717">
        <f t="shared" si="589"/>
        <v>0</v>
      </c>
      <c r="CY717">
        <f t="shared" si="590"/>
        <v>1269.7840000000001</v>
      </c>
      <c r="CZ717">
        <f t="shared" si="591"/>
        <v>783.95360000000005</v>
      </c>
      <c r="DC717" t="s">
        <v>6</v>
      </c>
      <c r="DD717" t="s">
        <v>6</v>
      </c>
      <c r="DE717" t="s">
        <v>187</v>
      </c>
      <c r="DF717" t="s">
        <v>187</v>
      </c>
      <c r="DG717" t="s">
        <v>188</v>
      </c>
      <c r="DH717" t="s">
        <v>6</v>
      </c>
      <c r="DI717" t="s">
        <v>188</v>
      </c>
      <c r="DJ717" t="s">
        <v>187</v>
      </c>
      <c r="DK717" t="s">
        <v>6</v>
      </c>
      <c r="DL717" t="s">
        <v>6</v>
      </c>
      <c r="DM717" t="s">
        <v>6</v>
      </c>
      <c r="DN717">
        <v>0</v>
      </c>
      <c r="DO717">
        <v>0</v>
      </c>
      <c r="DP717">
        <v>1</v>
      </c>
      <c r="DQ717">
        <v>1</v>
      </c>
      <c r="DU717">
        <v>1013</v>
      </c>
      <c r="DV717" t="s">
        <v>1126</v>
      </c>
      <c r="DW717" t="s">
        <v>1126</v>
      </c>
      <c r="DX717">
        <v>1</v>
      </c>
      <c r="EE717">
        <v>16510515</v>
      </c>
      <c r="EF717">
        <v>2</v>
      </c>
      <c r="EG717" t="s">
        <v>22</v>
      </c>
      <c r="EH717">
        <v>0</v>
      </c>
      <c r="EI717" t="s">
        <v>6</v>
      </c>
      <c r="EJ717">
        <v>1</v>
      </c>
      <c r="EK717">
        <v>17001</v>
      </c>
      <c r="EL717" t="s">
        <v>1128</v>
      </c>
      <c r="EM717" t="s">
        <v>1129</v>
      </c>
      <c r="EO717" t="s">
        <v>189</v>
      </c>
      <c r="EQ717">
        <v>131072</v>
      </c>
      <c r="ER717">
        <v>461.63</v>
      </c>
      <c r="ES717">
        <v>191.67</v>
      </c>
      <c r="ET717">
        <v>35.630000000000003</v>
      </c>
      <c r="EU717">
        <v>8.84</v>
      </c>
      <c r="EV717">
        <v>234.33</v>
      </c>
      <c r="EW717">
        <v>24.64</v>
      </c>
      <c r="EX717">
        <v>0.71</v>
      </c>
      <c r="EY717">
        <v>0</v>
      </c>
      <c r="FQ717">
        <v>0</v>
      </c>
      <c r="FR717">
        <f t="shared" si="592"/>
        <v>0</v>
      </c>
      <c r="FS717">
        <v>0</v>
      </c>
      <c r="FT717" t="s">
        <v>25</v>
      </c>
      <c r="FU717" t="s">
        <v>26</v>
      </c>
      <c r="FX717">
        <v>115.2</v>
      </c>
      <c r="FY717">
        <v>70.55</v>
      </c>
      <c r="GA717" t="s">
        <v>6</v>
      </c>
      <c r="GD717">
        <v>0</v>
      </c>
      <c r="GF717">
        <v>316104546</v>
      </c>
      <c r="GG717">
        <v>1</v>
      </c>
      <c r="GH717">
        <v>1</v>
      </c>
      <c r="GI717">
        <v>4</v>
      </c>
      <c r="GJ717">
        <v>0</v>
      </c>
      <c r="GK717">
        <f>ROUND(R717*(R12)/100,2)</f>
        <v>0</v>
      </c>
      <c r="GL717">
        <f t="shared" si="593"/>
        <v>0</v>
      </c>
      <c r="GM717">
        <f t="shared" si="594"/>
        <v>4044.12</v>
      </c>
      <c r="GN717">
        <f t="shared" si="595"/>
        <v>4044.12</v>
      </c>
      <c r="GO717">
        <f t="shared" si="596"/>
        <v>0</v>
      </c>
      <c r="GP717">
        <f t="shared" si="597"/>
        <v>0</v>
      </c>
      <c r="GR717">
        <v>0</v>
      </c>
      <c r="GS717">
        <v>3</v>
      </c>
      <c r="GT717">
        <v>0</v>
      </c>
      <c r="GU717" t="s">
        <v>6</v>
      </c>
      <c r="GV717">
        <f t="shared" si="598"/>
        <v>0</v>
      </c>
      <c r="GW717">
        <v>1</v>
      </c>
      <c r="GX717">
        <f t="shared" si="599"/>
        <v>0</v>
      </c>
      <c r="HA717">
        <v>0</v>
      </c>
      <c r="HB717">
        <v>0</v>
      </c>
      <c r="IK717">
        <v>0</v>
      </c>
    </row>
    <row r="718" spans="1:245" x14ac:dyDescent="0.2">
      <c r="A718">
        <v>18</v>
      </c>
      <c r="B718">
        <v>1</v>
      </c>
      <c r="C718">
        <v>982</v>
      </c>
      <c r="E718" t="s">
        <v>1168</v>
      </c>
      <c r="F718" t="s">
        <v>1139</v>
      </c>
      <c r="G718" t="s">
        <v>1140</v>
      </c>
      <c r="H718" t="s">
        <v>723</v>
      </c>
      <c r="I718">
        <f>I717*J718</f>
        <v>0.6</v>
      </c>
      <c r="J718">
        <v>1</v>
      </c>
      <c r="O718">
        <f t="shared" si="567"/>
        <v>630.54999999999995</v>
      </c>
      <c r="P718">
        <f t="shared" si="568"/>
        <v>630.54999999999995</v>
      </c>
      <c r="Q718">
        <f t="shared" si="569"/>
        <v>0</v>
      </c>
      <c r="R718">
        <f t="shared" si="570"/>
        <v>0</v>
      </c>
      <c r="S718">
        <f t="shared" si="571"/>
        <v>0</v>
      </c>
      <c r="T718">
        <f t="shared" si="572"/>
        <v>0</v>
      </c>
      <c r="U718">
        <f t="shared" si="573"/>
        <v>0</v>
      </c>
      <c r="V718">
        <f t="shared" si="574"/>
        <v>0</v>
      </c>
      <c r="W718">
        <f t="shared" si="575"/>
        <v>0</v>
      </c>
      <c r="X718">
        <f t="shared" si="576"/>
        <v>0</v>
      </c>
      <c r="Y718">
        <f t="shared" si="577"/>
        <v>0</v>
      </c>
      <c r="AA718">
        <v>16742901</v>
      </c>
      <c r="AB718">
        <f t="shared" si="578"/>
        <v>160.19999999999999</v>
      </c>
      <c r="AC718">
        <f t="shared" si="600"/>
        <v>160.19999999999999</v>
      </c>
      <c r="AD718">
        <f>ROUND((((ET718)-(EU718))+AE718),2)</f>
        <v>0</v>
      </c>
      <c r="AE718">
        <f>ROUND((EU718),2)</f>
        <v>0</v>
      </c>
      <c r="AF718">
        <f>ROUND((EV718),2)</f>
        <v>0</v>
      </c>
      <c r="AG718">
        <f t="shared" si="579"/>
        <v>0</v>
      </c>
      <c r="AH718">
        <f>(EW718)</f>
        <v>0</v>
      </c>
      <c r="AI718">
        <f>(EX718)</f>
        <v>0</v>
      </c>
      <c r="AJ718">
        <f t="shared" si="580"/>
        <v>0</v>
      </c>
      <c r="AK718">
        <v>160.19999999999999</v>
      </c>
      <c r="AL718">
        <v>160.19999999999999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115</v>
      </c>
      <c r="AU718">
        <v>71</v>
      </c>
      <c r="AV718">
        <v>1</v>
      </c>
      <c r="AW718">
        <v>1</v>
      </c>
      <c r="AZ718">
        <v>6.56</v>
      </c>
      <c r="BA718">
        <v>1</v>
      </c>
      <c r="BB718">
        <v>1</v>
      </c>
      <c r="BC718">
        <v>6.56</v>
      </c>
      <c r="BD718" t="s">
        <v>6</v>
      </c>
      <c r="BE718" t="s">
        <v>6</v>
      </c>
      <c r="BF718" t="s">
        <v>6</v>
      </c>
      <c r="BG718" t="s">
        <v>6</v>
      </c>
      <c r="BH718">
        <v>3</v>
      </c>
      <c r="BI718">
        <v>1</v>
      </c>
      <c r="BJ718" t="s">
        <v>1141</v>
      </c>
      <c r="BM718">
        <v>17001</v>
      </c>
      <c r="BN718">
        <v>0</v>
      </c>
      <c r="BO718" t="s">
        <v>6</v>
      </c>
      <c r="BP718">
        <v>0</v>
      </c>
      <c r="BQ718">
        <v>2</v>
      </c>
      <c r="BR718">
        <v>0</v>
      </c>
      <c r="BS718">
        <v>1</v>
      </c>
      <c r="BT718">
        <v>1</v>
      </c>
      <c r="BU718">
        <v>1</v>
      </c>
      <c r="BV718">
        <v>1</v>
      </c>
      <c r="BW718">
        <v>1</v>
      </c>
      <c r="BX718">
        <v>1</v>
      </c>
      <c r="BY718" t="s">
        <v>6</v>
      </c>
      <c r="BZ718">
        <v>128</v>
      </c>
      <c r="CA718">
        <v>83</v>
      </c>
      <c r="CF718">
        <v>0</v>
      </c>
      <c r="CG718">
        <v>0</v>
      </c>
      <c r="CM718">
        <v>0</v>
      </c>
      <c r="CN718" t="s">
        <v>6</v>
      </c>
      <c r="CO718">
        <v>0</v>
      </c>
      <c r="CP718">
        <f t="shared" si="581"/>
        <v>630.54999999999995</v>
      </c>
      <c r="CQ718">
        <f t="shared" si="582"/>
        <v>1050.9119999999998</v>
      </c>
      <c r="CR718">
        <f t="shared" si="583"/>
        <v>0</v>
      </c>
      <c r="CS718">
        <f t="shared" si="584"/>
        <v>0</v>
      </c>
      <c r="CT718">
        <f t="shared" si="585"/>
        <v>0</v>
      </c>
      <c r="CU718">
        <f t="shared" si="586"/>
        <v>0</v>
      </c>
      <c r="CV718">
        <f t="shared" si="587"/>
        <v>0</v>
      </c>
      <c r="CW718">
        <f t="shared" si="588"/>
        <v>0</v>
      </c>
      <c r="CX718">
        <f t="shared" si="589"/>
        <v>0</v>
      </c>
      <c r="CY718">
        <f t="shared" si="590"/>
        <v>0</v>
      </c>
      <c r="CZ718">
        <f t="shared" si="591"/>
        <v>0</v>
      </c>
      <c r="DC718" t="s">
        <v>6</v>
      </c>
      <c r="DD718" t="s">
        <v>6</v>
      </c>
      <c r="DE718" t="s">
        <v>6</v>
      </c>
      <c r="DF718" t="s">
        <v>6</v>
      </c>
      <c r="DG718" t="s">
        <v>6</v>
      </c>
      <c r="DH718" t="s">
        <v>6</v>
      </c>
      <c r="DI718" t="s">
        <v>6</v>
      </c>
      <c r="DJ718" t="s">
        <v>6</v>
      </c>
      <c r="DK718" t="s">
        <v>6</v>
      </c>
      <c r="DL718" t="s">
        <v>6</v>
      </c>
      <c r="DM718" t="s">
        <v>6</v>
      </c>
      <c r="DN718">
        <v>0</v>
      </c>
      <c r="DO718">
        <v>0</v>
      </c>
      <c r="DP718">
        <v>1</v>
      </c>
      <c r="DQ718">
        <v>1</v>
      </c>
      <c r="DU718">
        <v>1010</v>
      </c>
      <c r="DV718" t="s">
        <v>723</v>
      </c>
      <c r="DW718" t="s">
        <v>723</v>
      </c>
      <c r="DX718">
        <v>10</v>
      </c>
      <c r="EE718">
        <v>16510515</v>
      </c>
      <c r="EF718">
        <v>2</v>
      </c>
      <c r="EG718" t="s">
        <v>22</v>
      </c>
      <c r="EH718">
        <v>0</v>
      </c>
      <c r="EI718" t="s">
        <v>6</v>
      </c>
      <c r="EJ718">
        <v>1</v>
      </c>
      <c r="EK718">
        <v>17001</v>
      </c>
      <c r="EL718" t="s">
        <v>1128</v>
      </c>
      <c r="EM718" t="s">
        <v>1129</v>
      </c>
      <c r="EO718" t="s">
        <v>6</v>
      </c>
      <c r="EQ718">
        <v>0</v>
      </c>
      <c r="ER718">
        <v>160.19999999999999</v>
      </c>
      <c r="ES718">
        <v>160.19999999999999</v>
      </c>
      <c r="ET718">
        <v>0</v>
      </c>
      <c r="EU718">
        <v>0</v>
      </c>
      <c r="EV718">
        <v>0</v>
      </c>
      <c r="EW718">
        <v>0</v>
      </c>
      <c r="EX718">
        <v>0</v>
      </c>
      <c r="FQ718">
        <v>0</v>
      </c>
      <c r="FR718">
        <f t="shared" si="592"/>
        <v>0</v>
      </c>
      <c r="FS718">
        <v>0</v>
      </c>
      <c r="FT718" t="s">
        <v>25</v>
      </c>
      <c r="FU718" t="s">
        <v>26</v>
      </c>
      <c r="FX718">
        <v>115.2</v>
      </c>
      <c r="FY718">
        <v>70.55</v>
      </c>
      <c r="GA718" t="s">
        <v>6</v>
      </c>
      <c r="GD718">
        <v>0</v>
      </c>
      <c r="GF718">
        <v>-62785007</v>
      </c>
      <c r="GG718">
        <v>1</v>
      </c>
      <c r="GH718">
        <v>1</v>
      </c>
      <c r="GI718">
        <v>4</v>
      </c>
      <c r="GJ718">
        <v>0</v>
      </c>
      <c r="GK718">
        <f>ROUND(R718*(R12)/100,2)</f>
        <v>0</v>
      </c>
      <c r="GL718">
        <f t="shared" si="593"/>
        <v>0</v>
      </c>
      <c r="GM718">
        <f t="shared" si="594"/>
        <v>630.54999999999995</v>
      </c>
      <c r="GN718">
        <f t="shared" si="595"/>
        <v>630.54999999999995</v>
      </c>
      <c r="GO718">
        <f t="shared" si="596"/>
        <v>0</v>
      </c>
      <c r="GP718">
        <f t="shared" si="597"/>
        <v>0</v>
      </c>
      <c r="GR718">
        <v>0</v>
      </c>
      <c r="GS718">
        <v>3</v>
      </c>
      <c r="GT718">
        <v>0</v>
      </c>
      <c r="GU718" t="s">
        <v>6</v>
      </c>
      <c r="GV718">
        <f t="shared" si="598"/>
        <v>0</v>
      </c>
      <c r="GW718">
        <v>1</v>
      </c>
      <c r="GX718">
        <f t="shared" si="599"/>
        <v>0</v>
      </c>
      <c r="HA718">
        <v>0</v>
      </c>
      <c r="HB718">
        <v>0</v>
      </c>
      <c r="IK718">
        <v>0</v>
      </c>
    </row>
    <row r="719" spans="1:245" x14ac:dyDescent="0.2">
      <c r="A719">
        <v>18</v>
      </c>
      <c r="B719">
        <v>1</v>
      </c>
      <c r="C719">
        <v>981</v>
      </c>
      <c r="E719" t="s">
        <v>1169</v>
      </c>
      <c r="F719" t="s">
        <v>1170</v>
      </c>
      <c r="G719" t="s">
        <v>1171</v>
      </c>
      <c r="H719" t="s">
        <v>249</v>
      </c>
      <c r="I719">
        <f>I717*J719</f>
        <v>6</v>
      </c>
      <c r="J719">
        <v>10</v>
      </c>
      <c r="O719">
        <f t="shared" si="567"/>
        <v>12516.48</v>
      </c>
      <c r="P719">
        <f t="shared" si="568"/>
        <v>12516.48</v>
      </c>
      <c r="Q719">
        <f t="shared" si="569"/>
        <v>0</v>
      </c>
      <c r="R719">
        <f t="shared" si="570"/>
        <v>0</v>
      </c>
      <c r="S719">
        <f t="shared" si="571"/>
        <v>0</v>
      </c>
      <c r="T719">
        <f t="shared" si="572"/>
        <v>0</v>
      </c>
      <c r="U719">
        <f t="shared" si="573"/>
        <v>0</v>
      </c>
      <c r="V719">
        <f t="shared" si="574"/>
        <v>0</v>
      </c>
      <c r="W719">
        <f t="shared" si="575"/>
        <v>0</v>
      </c>
      <c r="X719">
        <f t="shared" si="576"/>
        <v>0</v>
      </c>
      <c r="Y719">
        <f t="shared" si="577"/>
        <v>0</v>
      </c>
      <c r="AA719">
        <v>16742901</v>
      </c>
      <c r="AB719">
        <f t="shared" si="578"/>
        <v>318</v>
      </c>
      <c r="AC719">
        <f t="shared" si="600"/>
        <v>318</v>
      </c>
      <c r="AD719">
        <f>ROUND((((ET719)-(EU719))+AE719),2)</f>
        <v>0</v>
      </c>
      <c r="AE719">
        <f>ROUND((EU719),2)</f>
        <v>0</v>
      </c>
      <c r="AF719">
        <f>ROUND((EV719),2)</f>
        <v>0</v>
      </c>
      <c r="AG719">
        <f t="shared" si="579"/>
        <v>0</v>
      </c>
      <c r="AH719">
        <f>(EW719)</f>
        <v>0</v>
      </c>
      <c r="AI719">
        <f>(EX719)</f>
        <v>0</v>
      </c>
      <c r="AJ719">
        <f t="shared" si="580"/>
        <v>0</v>
      </c>
      <c r="AK719">
        <v>318</v>
      </c>
      <c r="AL719">
        <v>318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115</v>
      </c>
      <c r="AU719">
        <v>71</v>
      </c>
      <c r="AV719">
        <v>1</v>
      </c>
      <c r="AW719">
        <v>1</v>
      </c>
      <c r="AZ719">
        <v>6.56</v>
      </c>
      <c r="BA719">
        <v>1</v>
      </c>
      <c r="BB719">
        <v>1</v>
      </c>
      <c r="BC719">
        <v>6.56</v>
      </c>
      <c r="BD719" t="s">
        <v>6</v>
      </c>
      <c r="BE719" t="s">
        <v>6</v>
      </c>
      <c r="BF719" t="s">
        <v>6</v>
      </c>
      <c r="BG719" t="s">
        <v>6</v>
      </c>
      <c r="BH719">
        <v>3</v>
      </c>
      <c r="BI719">
        <v>1</v>
      </c>
      <c r="BJ719" t="s">
        <v>1172</v>
      </c>
      <c r="BM719">
        <v>17001</v>
      </c>
      <c r="BN719">
        <v>0</v>
      </c>
      <c r="BO719" t="s">
        <v>6</v>
      </c>
      <c r="BP719">
        <v>0</v>
      </c>
      <c r="BQ719">
        <v>2</v>
      </c>
      <c r="BR719">
        <v>0</v>
      </c>
      <c r="BS719">
        <v>1</v>
      </c>
      <c r="BT719">
        <v>1</v>
      </c>
      <c r="BU719">
        <v>1</v>
      </c>
      <c r="BV719">
        <v>1</v>
      </c>
      <c r="BW719">
        <v>1</v>
      </c>
      <c r="BX719">
        <v>1</v>
      </c>
      <c r="BY719" t="s">
        <v>6</v>
      </c>
      <c r="BZ719">
        <v>128</v>
      </c>
      <c r="CA719">
        <v>83</v>
      </c>
      <c r="CF719">
        <v>0</v>
      </c>
      <c r="CG719">
        <v>0</v>
      </c>
      <c r="CM719">
        <v>0</v>
      </c>
      <c r="CN719" t="s">
        <v>6</v>
      </c>
      <c r="CO719">
        <v>0</v>
      </c>
      <c r="CP719">
        <f t="shared" si="581"/>
        <v>12516.48</v>
      </c>
      <c r="CQ719">
        <f t="shared" si="582"/>
        <v>2086.08</v>
      </c>
      <c r="CR719">
        <f t="shared" si="583"/>
        <v>0</v>
      </c>
      <c r="CS719">
        <f t="shared" si="584"/>
        <v>0</v>
      </c>
      <c r="CT719">
        <f t="shared" si="585"/>
        <v>0</v>
      </c>
      <c r="CU719">
        <f t="shared" si="586"/>
        <v>0</v>
      </c>
      <c r="CV719">
        <f t="shared" si="587"/>
        <v>0</v>
      </c>
      <c r="CW719">
        <f t="shared" si="588"/>
        <v>0</v>
      </c>
      <c r="CX719">
        <f t="shared" si="589"/>
        <v>0</v>
      </c>
      <c r="CY719">
        <f t="shared" si="590"/>
        <v>0</v>
      </c>
      <c r="CZ719">
        <f t="shared" si="591"/>
        <v>0</v>
      </c>
      <c r="DC719" t="s">
        <v>6</v>
      </c>
      <c r="DD719" t="s">
        <v>6</v>
      </c>
      <c r="DE719" t="s">
        <v>6</v>
      </c>
      <c r="DF719" t="s">
        <v>6</v>
      </c>
      <c r="DG719" t="s">
        <v>6</v>
      </c>
      <c r="DH719" t="s">
        <v>6</v>
      </c>
      <c r="DI719" t="s">
        <v>6</v>
      </c>
      <c r="DJ719" t="s">
        <v>6</v>
      </c>
      <c r="DK719" t="s">
        <v>6</v>
      </c>
      <c r="DL719" t="s">
        <v>6</v>
      </c>
      <c r="DM719" t="s">
        <v>6</v>
      </c>
      <c r="DN719">
        <v>0</v>
      </c>
      <c r="DO719">
        <v>0</v>
      </c>
      <c r="DP719">
        <v>1</v>
      </c>
      <c r="DQ719">
        <v>1</v>
      </c>
      <c r="DU719">
        <v>1013</v>
      </c>
      <c r="DV719" t="s">
        <v>249</v>
      </c>
      <c r="DW719" t="s">
        <v>249</v>
      </c>
      <c r="DX719">
        <v>1</v>
      </c>
      <c r="EE719">
        <v>16510515</v>
      </c>
      <c r="EF719">
        <v>2</v>
      </c>
      <c r="EG719" t="s">
        <v>22</v>
      </c>
      <c r="EH719">
        <v>0</v>
      </c>
      <c r="EI719" t="s">
        <v>6</v>
      </c>
      <c r="EJ719">
        <v>1</v>
      </c>
      <c r="EK719">
        <v>17001</v>
      </c>
      <c r="EL719" t="s">
        <v>1128</v>
      </c>
      <c r="EM719" t="s">
        <v>1129</v>
      </c>
      <c r="EO719" t="s">
        <v>6</v>
      </c>
      <c r="EQ719">
        <v>0</v>
      </c>
      <c r="ER719">
        <v>318</v>
      </c>
      <c r="ES719">
        <v>318</v>
      </c>
      <c r="ET719">
        <v>0</v>
      </c>
      <c r="EU719">
        <v>0</v>
      </c>
      <c r="EV719">
        <v>0</v>
      </c>
      <c r="EW719">
        <v>0</v>
      </c>
      <c r="EX719">
        <v>0</v>
      </c>
      <c r="FQ719">
        <v>0</v>
      </c>
      <c r="FR719">
        <f t="shared" si="592"/>
        <v>0</v>
      </c>
      <c r="FS719">
        <v>0</v>
      </c>
      <c r="FT719" t="s">
        <v>25</v>
      </c>
      <c r="FU719" t="s">
        <v>26</v>
      </c>
      <c r="FX719">
        <v>115.2</v>
      </c>
      <c r="FY719">
        <v>70.55</v>
      </c>
      <c r="GA719" t="s">
        <v>6</v>
      </c>
      <c r="GD719">
        <v>0</v>
      </c>
      <c r="GF719">
        <v>1607095739</v>
      </c>
      <c r="GG719">
        <v>1</v>
      </c>
      <c r="GH719">
        <v>1</v>
      </c>
      <c r="GI719">
        <v>4</v>
      </c>
      <c r="GJ719">
        <v>0</v>
      </c>
      <c r="GK719">
        <f>ROUND(R719*(R12)/100,2)</f>
        <v>0</v>
      </c>
      <c r="GL719">
        <f t="shared" si="593"/>
        <v>0</v>
      </c>
      <c r="GM719">
        <f t="shared" si="594"/>
        <v>12516.48</v>
      </c>
      <c r="GN719">
        <f t="shared" si="595"/>
        <v>12516.48</v>
      </c>
      <c r="GO719">
        <f t="shared" si="596"/>
        <v>0</v>
      </c>
      <c r="GP719">
        <f t="shared" si="597"/>
        <v>0</v>
      </c>
      <c r="GR719">
        <v>0</v>
      </c>
      <c r="GS719">
        <v>3</v>
      </c>
      <c r="GT719">
        <v>0</v>
      </c>
      <c r="GU719" t="s">
        <v>6</v>
      </c>
      <c r="GV719">
        <f t="shared" si="598"/>
        <v>0</v>
      </c>
      <c r="GW719">
        <v>1</v>
      </c>
      <c r="GX719">
        <f t="shared" si="599"/>
        <v>0</v>
      </c>
      <c r="HA719">
        <v>0</v>
      </c>
      <c r="HB719">
        <v>0</v>
      </c>
      <c r="IK719">
        <v>0</v>
      </c>
    </row>
    <row r="720" spans="1:245" x14ac:dyDescent="0.2">
      <c r="A720">
        <v>17</v>
      </c>
      <c r="B720">
        <v>1</v>
      </c>
      <c r="C720">
        <f>ROW(SmtRes!A989)</f>
        <v>989</v>
      </c>
      <c r="D720">
        <f>ROW(EtalonRes!A933)</f>
        <v>933</v>
      </c>
      <c r="E720" t="s">
        <v>1173</v>
      </c>
      <c r="F720" t="s">
        <v>1157</v>
      </c>
      <c r="G720" t="s">
        <v>1174</v>
      </c>
      <c r="H720" t="s">
        <v>1126</v>
      </c>
      <c r="I720">
        <f>ROUND(2/10,9)</f>
        <v>0.2</v>
      </c>
      <c r="J720">
        <v>0</v>
      </c>
      <c r="O720">
        <f t="shared" si="567"/>
        <v>207.91</v>
      </c>
      <c r="P720">
        <f t="shared" si="568"/>
        <v>55</v>
      </c>
      <c r="Q720">
        <f t="shared" si="569"/>
        <v>25.61</v>
      </c>
      <c r="R720">
        <f t="shared" si="570"/>
        <v>5.83</v>
      </c>
      <c r="S720">
        <f t="shared" si="571"/>
        <v>127.3</v>
      </c>
      <c r="T720">
        <f t="shared" si="572"/>
        <v>0</v>
      </c>
      <c r="U720">
        <f t="shared" si="573"/>
        <v>2.0170999999999997</v>
      </c>
      <c r="V720">
        <f t="shared" si="574"/>
        <v>7.2499999999999995E-2</v>
      </c>
      <c r="W720">
        <f t="shared" si="575"/>
        <v>0</v>
      </c>
      <c r="X720">
        <f t="shared" si="576"/>
        <v>153.1</v>
      </c>
      <c r="Y720">
        <f t="shared" si="577"/>
        <v>94.52</v>
      </c>
      <c r="AA720">
        <v>16742901</v>
      </c>
      <c r="AB720">
        <f t="shared" si="578"/>
        <v>158.47</v>
      </c>
      <c r="AC720">
        <f t="shared" si="600"/>
        <v>41.92</v>
      </c>
      <c r="AD720">
        <f>ROUND(((((ET720*1.25))-((EU720*1.25)))+AE720),2)</f>
        <v>19.52</v>
      </c>
      <c r="AE720">
        <f>ROUND(((EU720*1.25)),2)</f>
        <v>4.4400000000000004</v>
      </c>
      <c r="AF720">
        <f>ROUND(((EV720*1.15)),2)</f>
        <v>97.03</v>
      </c>
      <c r="AG720">
        <f t="shared" si="579"/>
        <v>0</v>
      </c>
      <c r="AH720">
        <f>((EW720*1.15))</f>
        <v>10.085499999999998</v>
      </c>
      <c r="AI720">
        <f>((EX720*1.25))</f>
        <v>0.36249999999999999</v>
      </c>
      <c r="AJ720">
        <f t="shared" si="580"/>
        <v>0</v>
      </c>
      <c r="AK720">
        <v>141.9</v>
      </c>
      <c r="AL720">
        <v>41.92</v>
      </c>
      <c r="AM720">
        <v>15.61</v>
      </c>
      <c r="AN720">
        <v>3.55</v>
      </c>
      <c r="AO720">
        <v>84.37</v>
      </c>
      <c r="AP720">
        <v>0</v>
      </c>
      <c r="AQ720">
        <v>8.77</v>
      </c>
      <c r="AR720">
        <v>0.28999999999999998</v>
      </c>
      <c r="AS720">
        <v>0</v>
      </c>
      <c r="AT720">
        <v>115</v>
      </c>
      <c r="AU720">
        <v>71</v>
      </c>
      <c r="AV720">
        <v>1</v>
      </c>
      <c r="AW720">
        <v>1</v>
      </c>
      <c r="AZ720">
        <v>6.56</v>
      </c>
      <c r="BA720">
        <v>6.56</v>
      </c>
      <c r="BB720">
        <v>6.56</v>
      </c>
      <c r="BC720">
        <v>6.56</v>
      </c>
      <c r="BD720" t="s">
        <v>6</v>
      </c>
      <c r="BE720" t="s">
        <v>6</v>
      </c>
      <c r="BF720" t="s">
        <v>6</v>
      </c>
      <c r="BG720" t="s">
        <v>6</v>
      </c>
      <c r="BH720">
        <v>0</v>
      </c>
      <c r="BI720">
        <v>1</v>
      </c>
      <c r="BJ720" t="s">
        <v>1159</v>
      </c>
      <c r="BM720">
        <v>17001</v>
      </c>
      <c r="BN720">
        <v>0</v>
      </c>
      <c r="BO720" t="s">
        <v>6</v>
      </c>
      <c r="BP720">
        <v>0</v>
      </c>
      <c r="BQ720">
        <v>2</v>
      </c>
      <c r="BR720">
        <v>0</v>
      </c>
      <c r="BS720">
        <v>6.56</v>
      </c>
      <c r="BT720">
        <v>1</v>
      </c>
      <c r="BU720">
        <v>1</v>
      </c>
      <c r="BV720">
        <v>1</v>
      </c>
      <c r="BW720">
        <v>1</v>
      </c>
      <c r="BX720">
        <v>1</v>
      </c>
      <c r="BY720" t="s">
        <v>6</v>
      </c>
      <c r="BZ720">
        <v>128</v>
      </c>
      <c r="CA720">
        <v>83</v>
      </c>
      <c r="CF720">
        <v>0</v>
      </c>
      <c r="CG720">
        <v>0</v>
      </c>
      <c r="CM720">
        <v>0</v>
      </c>
      <c r="CN720" t="s">
        <v>1902</v>
      </c>
      <c r="CO720">
        <v>0</v>
      </c>
      <c r="CP720">
        <f t="shared" si="581"/>
        <v>207.91</v>
      </c>
      <c r="CQ720">
        <f t="shared" si="582"/>
        <v>274.99520000000001</v>
      </c>
      <c r="CR720">
        <f t="shared" si="583"/>
        <v>128.05119999999999</v>
      </c>
      <c r="CS720">
        <f t="shared" si="584"/>
        <v>29.1264</v>
      </c>
      <c r="CT720">
        <f t="shared" si="585"/>
        <v>636.51679999999999</v>
      </c>
      <c r="CU720">
        <f t="shared" si="586"/>
        <v>0</v>
      </c>
      <c r="CV720">
        <f t="shared" si="587"/>
        <v>10.085499999999998</v>
      </c>
      <c r="CW720">
        <f t="shared" si="588"/>
        <v>0.36249999999999999</v>
      </c>
      <c r="CX720">
        <f t="shared" si="589"/>
        <v>0</v>
      </c>
      <c r="CY720">
        <f t="shared" si="590"/>
        <v>153.09949999999998</v>
      </c>
      <c r="CZ720">
        <f t="shared" si="591"/>
        <v>94.522300000000001</v>
      </c>
      <c r="DC720" t="s">
        <v>6</v>
      </c>
      <c r="DD720" t="s">
        <v>6</v>
      </c>
      <c r="DE720" t="s">
        <v>187</v>
      </c>
      <c r="DF720" t="s">
        <v>187</v>
      </c>
      <c r="DG720" t="s">
        <v>188</v>
      </c>
      <c r="DH720" t="s">
        <v>6</v>
      </c>
      <c r="DI720" t="s">
        <v>188</v>
      </c>
      <c r="DJ720" t="s">
        <v>187</v>
      </c>
      <c r="DK720" t="s">
        <v>6</v>
      </c>
      <c r="DL720" t="s">
        <v>6</v>
      </c>
      <c r="DM720" t="s">
        <v>6</v>
      </c>
      <c r="DN720">
        <v>0</v>
      </c>
      <c r="DO720">
        <v>0</v>
      </c>
      <c r="DP720">
        <v>1</v>
      </c>
      <c r="DQ720">
        <v>1</v>
      </c>
      <c r="DU720">
        <v>1013</v>
      </c>
      <c r="DV720" t="s">
        <v>1126</v>
      </c>
      <c r="DW720" t="s">
        <v>1126</v>
      </c>
      <c r="DX720">
        <v>1</v>
      </c>
      <c r="EE720">
        <v>16510515</v>
      </c>
      <c r="EF720">
        <v>2</v>
      </c>
      <c r="EG720" t="s">
        <v>22</v>
      </c>
      <c r="EH720">
        <v>0</v>
      </c>
      <c r="EI720" t="s">
        <v>6</v>
      </c>
      <c r="EJ720">
        <v>1</v>
      </c>
      <c r="EK720">
        <v>17001</v>
      </c>
      <c r="EL720" t="s">
        <v>1128</v>
      </c>
      <c r="EM720" t="s">
        <v>1129</v>
      </c>
      <c r="EO720" t="s">
        <v>189</v>
      </c>
      <c r="EQ720">
        <v>131072</v>
      </c>
      <c r="ER720">
        <v>141.9</v>
      </c>
      <c r="ES720">
        <v>41.92</v>
      </c>
      <c r="ET720">
        <v>15.61</v>
      </c>
      <c r="EU720">
        <v>3.55</v>
      </c>
      <c r="EV720">
        <v>84.37</v>
      </c>
      <c r="EW720">
        <v>8.77</v>
      </c>
      <c r="EX720">
        <v>0.28999999999999998</v>
      </c>
      <c r="EY720">
        <v>0</v>
      </c>
      <c r="FQ720">
        <v>0</v>
      </c>
      <c r="FR720">
        <f t="shared" si="592"/>
        <v>0</v>
      </c>
      <c r="FS720">
        <v>0</v>
      </c>
      <c r="FT720" t="s">
        <v>25</v>
      </c>
      <c r="FU720" t="s">
        <v>26</v>
      </c>
      <c r="FX720">
        <v>115.2</v>
      </c>
      <c r="FY720">
        <v>70.55</v>
      </c>
      <c r="GA720" t="s">
        <v>6</v>
      </c>
      <c r="GD720">
        <v>0</v>
      </c>
      <c r="GF720">
        <v>-953762339</v>
      </c>
      <c r="GG720">
        <v>1</v>
      </c>
      <c r="GH720">
        <v>1</v>
      </c>
      <c r="GI720">
        <v>4</v>
      </c>
      <c r="GJ720">
        <v>0</v>
      </c>
      <c r="GK720">
        <f>ROUND(R720*(R12)/100,2)</f>
        <v>0</v>
      </c>
      <c r="GL720">
        <f t="shared" si="593"/>
        <v>0</v>
      </c>
      <c r="GM720">
        <f t="shared" si="594"/>
        <v>455.53</v>
      </c>
      <c r="GN720">
        <f t="shared" si="595"/>
        <v>455.53</v>
      </c>
      <c r="GO720">
        <f t="shared" si="596"/>
        <v>0</v>
      </c>
      <c r="GP720">
        <f t="shared" si="597"/>
        <v>0</v>
      </c>
      <c r="GR720">
        <v>0</v>
      </c>
      <c r="GS720">
        <v>3</v>
      </c>
      <c r="GT720">
        <v>0</v>
      </c>
      <c r="GU720" t="s">
        <v>6</v>
      </c>
      <c r="GV720">
        <f t="shared" si="598"/>
        <v>0</v>
      </c>
      <c r="GW720">
        <v>1</v>
      </c>
      <c r="GX720">
        <f t="shared" si="599"/>
        <v>0</v>
      </c>
      <c r="HA720">
        <v>0</v>
      </c>
      <c r="HB720">
        <v>0</v>
      </c>
      <c r="IK720">
        <v>0</v>
      </c>
    </row>
    <row r="721" spans="1:245" x14ac:dyDescent="0.2">
      <c r="A721">
        <v>18</v>
      </c>
      <c r="B721">
        <v>1</v>
      </c>
      <c r="C721">
        <v>989</v>
      </c>
      <c r="E721" t="s">
        <v>1175</v>
      </c>
      <c r="F721" t="s">
        <v>1176</v>
      </c>
      <c r="G721" t="s">
        <v>1177</v>
      </c>
      <c r="H721" t="s">
        <v>73</v>
      </c>
      <c r="I721">
        <f>I720*J721</f>
        <v>2</v>
      </c>
      <c r="J721">
        <v>10</v>
      </c>
      <c r="O721">
        <f t="shared" si="567"/>
        <v>3958.3</v>
      </c>
      <c r="P721">
        <f t="shared" si="568"/>
        <v>3958.3</v>
      </c>
      <c r="Q721">
        <f t="shared" si="569"/>
        <v>0</v>
      </c>
      <c r="R721">
        <f t="shared" si="570"/>
        <v>0</v>
      </c>
      <c r="S721">
        <f t="shared" si="571"/>
        <v>0</v>
      </c>
      <c r="T721">
        <f t="shared" si="572"/>
        <v>0</v>
      </c>
      <c r="U721">
        <f t="shared" si="573"/>
        <v>0</v>
      </c>
      <c r="V721">
        <f t="shared" si="574"/>
        <v>0</v>
      </c>
      <c r="W721">
        <f t="shared" si="575"/>
        <v>0</v>
      </c>
      <c r="X721">
        <f t="shared" si="576"/>
        <v>0</v>
      </c>
      <c r="Y721">
        <f t="shared" si="577"/>
        <v>0</v>
      </c>
      <c r="AA721">
        <v>16742901</v>
      </c>
      <c r="AB721">
        <f t="shared" si="578"/>
        <v>301.7</v>
      </c>
      <c r="AC721">
        <f t="shared" si="600"/>
        <v>301.7</v>
      </c>
      <c r="AD721">
        <f>ROUND((((ET721)-(EU721))+AE721),2)</f>
        <v>0</v>
      </c>
      <c r="AE721">
        <f>ROUND((EU721),2)</f>
        <v>0</v>
      </c>
      <c r="AF721">
        <f>ROUND((EV721),2)</f>
        <v>0</v>
      </c>
      <c r="AG721">
        <f t="shared" si="579"/>
        <v>0</v>
      </c>
      <c r="AH721">
        <f>(EW721)</f>
        <v>0</v>
      </c>
      <c r="AI721">
        <f>(EX721)</f>
        <v>0</v>
      </c>
      <c r="AJ721">
        <f t="shared" si="580"/>
        <v>0</v>
      </c>
      <c r="AK721">
        <v>301.7</v>
      </c>
      <c r="AL721">
        <v>301.7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115</v>
      </c>
      <c r="AU721">
        <v>71</v>
      </c>
      <c r="AV721">
        <v>1</v>
      </c>
      <c r="AW721">
        <v>1</v>
      </c>
      <c r="AZ721">
        <v>6.56</v>
      </c>
      <c r="BA721">
        <v>1</v>
      </c>
      <c r="BB721">
        <v>1</v>
      </c>
      <c r="BC721">
        <v>6.56</v>
      </c>
      <c r="BD721" t="s">
        <v>6</v>
      </c>
      <c r="BE721" t="s">
        <v>6</v>
      </c>
      <c r="BF721" t="s">
        <v>6</v>
      </c>
      <c r="BG721" t="s">
        <v>6</v>
      </c>
      <c r="BH721">
        <v>3</v>
      </c>
      <c r="BI721">
        <v>1</v>
      </c>
      <c r="BJ721" t="s">
        <v>1178</v>
      </c>
      <c r="BM721">
        <v>17001</v>
      </c>
      <c r="BN721">
        <v>0</v>
      </c>
      <c r="BO721" t="s">
        <v>6</v>
      </c>
      <c r="BP721">
        <v>0</v>
      </c>
      <c r="BQ721">
        <v>2</v>
      </c>
      <c r="BR721">
        <v>0</v>
      </c>
      <c r="BS721">
        <v>1</v>
      </c>
      <c r="BT721">
        <v>1</v>
      </c>
      <c r="BU721">
        <v>1</v>
      </c>
      <c r="BV721">
        <v>1</v>
      </c>
      <c r="BW721">
        <v>1</v>
      </c>
      <c r="BX721">
        <v>1</v>
      </c>
      <c r="BY721" t="s">
        <v>6</v>
      </c>
      <c r="BZ721">
        <v>128</v>
      </c>
      <c r="CA721">
        <v>83</v>
      </c>
      <c r="CF721">
        <v>0</v>
      </c>
      <c r="CG721">
        <v>0</v>
      </c>
      <c r="CM721">
        <v>0</v>
      </c>
      <c r="CN721" t="s">
        <v>6</v>
      </c>
      <c r="CO721">
        <v>0</v>
      </c>
      <c r="CP721">
        <f t="shared" si="581"/>
        <v>3958.3</v>
      </c>
      <c r="CQ721">
        <f t="shared" si="582"/>
        <v>1979.1519999999998</v>
      </c>
      <c r="CR721">
        <f t="shared" si="583"/>
        <v>0</v>
      </c>
      <c r="CS721">
        <f t="shared" si="584"/>
        <v>0</v>
      </c>
      <c r="CT721">
        <f t="shared" si="585"/>
        <v>0</v>
      </c>
      <c r="CU721">
        <f t="shared" si="586"/>
        <v>0</v>
      </c>
      <c r="CV721">
        <f t="shared" si="587"/>
        <v>0</v>
      </c>
      <c r="CW721">
        <f t="shared" si="588"/>
        <v>0</v>
      </c>
      <c r="CX721">
        <f t="shared" si="589"/>
        <v>0</v>
      </c>
      <c r="CY721">
        <f t="shared" si="590"/>
        <v>0</v>
      </c>
      <c r="CZ721">
        <f t="shared" si="591"/>
        <v>0</v>
      </c>
      <c r="DC721" t="s">
        <v>6</v>
      </c>
      <c r="DD721" t="s">
        <v>6</v>
      </c>
      <c r="DE721" t="s">
        <v>6</v>
      </c>
      <c r="DF721" t="s">
        <v>6</v>
      </c>
      <c r="DG721" t="s">
        <v>6</v>
      </c>
      <c r="DH721" t="s">
        <v>6</v>
      </c>
      <c r="DI721" t="s">
        <v>6</v>
      </c>
      <c r="DJ721" t="s">
        <v>6</v>
      </c>
      <c r="DK721" t="s">
        <v>6</v>
      </c>
      <c r="DL721" t="s">
        <v>6</v>
      </c>
      <c r="DM721" t="s">
        <v>6</v>
      </c>
      <c r="DN721">
        <v>0</v>
      </c>
      <c r="DO721">
        <v>0</v>
      </c>
      <c r="DP721">
        <v>1</v>
      </c>
      <c r="DQ721">
        <v>1</v>
      </c>
      <c r="DU721">
        <v>1010</v>
      </c>
      <c r="DV721" t="s">
        <v>73</v>
      </c>
      <c r="DW721" t="s">
        <v>73</v>
      </c>
      <c r="DX721">
        <v>1</v>
      </c>
      <c r="EE721">
        <v>16510515</v>
      </c>
      <c r="EF721">
        <v>2</v>
      </c>
      <c r="EG721" t="s">
        <v>22</v>
      </c>
      <c r="EH721">
        <v>0</v>
      </c>
      <c r="EI721" t="s">
        <v>6</v>
      </c>
      <c r="EJ721">
        <v>1</v>
      </c>
      <c r="EK721">
        <v>17001</v>
      </c>
      <c r="EL721" t="s">
        <v>1128</v>
      </c>
      <c r="EM721" t="s">
        <v>1129</v>
      </c>
      <c r="EO721" t="s">
        <v>6</v>
      </c>
      <c r="EQ721">
        <v>0</v>
      </c>
      <c r="ER721">
        <v>301.7</v>
      </c>
      <c r="ES721">
        <v>301.7</v>
      </c>
      <c r="ET721">
        <v>0</v>
      </c>
      <c r="EU721">
        <v>0</v>
      </c>
      <c r="EV721">
        <v>0</v>
      </c>
      <c r="EW721">
        <v>0</v>
      </c>
      <c r="EX721">
        <v>0</v>
      </c>
      <c r="FQ721">
        <v>0</v>
      </c>
      <c r="FR721">
        <f t="shared" si="592"/>
        <v>0</v>
      </c>
      <c r="FS721">
        <v>0</v>
      </c>
      <c r="FT721" t="s">
        <v>25</v>
      </c>
      <c r="FU721" t="s">
        <v>26</v>
      </c>
      <c r="FX721">
        <v>115.2</v>
      </c>
      <c r="FY721">
        <v>70.55</v>
      </c>
      <c r="GA721" t="s">
        <v>6</v>
      </c>
      <c r="GD721">
        <v>0</v>
      </c>
      <c r="GF721">
        <v>-93666246</v>
      </c>
      <c r="GG721">
        <v>1</v>
      </c>
      <c r="GH721">
        <v>1</v>
      </c>
      <c r="GI721">
        <v>4</v>
      </c>
      <c r="GJ721">
        <v>0</v>
      </c>
      <c r="GK721">
        <f>ROUND(R721*(R12)/100,2)</f>
        <v>0</v>
      </c>
      <c r="GL721">
        <f t="shared" si="593"/>
        <v>0</v>
      </c>
      <c r="GM721">
        <f t="shared" si="594"/>
        <v>3958.3</v>
      </c>
      <c r="GN721">
        <f t="shared" si="595"/>
        <v>3958.3</v>
      </c>
      <c r="GO721">
        <f t="shared" si="596"/>
        <v>0</v>
      </c>
      <c r="GP721">
        <f t="shared" si="597"/>
        <v>0</v>
      </c>
      <c r="GR721">
        <v>0</v>
      </c>
      <c r="GS721">
        <v>3</v>
      </c>
      <c r="GT721">
        <v>0</v>
      </c>
      <c r="GU721" t="s">
        <v>6</v>
      </c>
      <c r="GV721">
        <f t="shared" si="598"/>
        <v>0</v>
      </c>
      <c r="GW721">
        <v>1</v>
      </c>
      <c r="GX721">
        <f t="shared" si="599"/>
        <v>0</v>
      </c>
      <c r="HA721">
        <v>0</v>
      </c>
      <c r="HB721">
        <v>0</v>
      </c>
      <c r="IK721">
        <v>0</v>
      </c>
    </row>
    <row r="722" spans="1:245" x14ac:dyDescent="0.2">
      <c r="A722">
        <v>17</v>
      </c>
      <c r="B722">
        <v>1</v>
      </c>
      <c r="C722">
        <f>ROW(SmtRes!A999)</f>
        <v>999</v>
      </c>
      <c r="D722">
        <f>ROW(EtalonRes!A944)</f>
        <v>944</v>
      </c>
      <c r="E722" t="s">
        <v>1179</v>
      </c>
      <c r="F722" t="s">
        <v>1180</v>
      </c>
      <c r="G722" t="s">
        <v>1181</v>
      </c>
      <c r="H722" t="s">
        <v>34</v>
      </c>
      <c r="I722">
        <f>ROUND(39/100,9)</f>
        <v>0.39</v>
      </c>
      <c r="J722">
        <v>0</v>
      </c>
      <c r="O722">
        <f t="shared" si="567"/>
        <v>2178.04</v>
      </c>
      <c r="P722">
        <f t="shared" si="568"/>
        <v>360.53</v>
      </c>
      <c r="Q722">
        <f t="shared" si="569"/>
        <v>19.649999999999999</v>
      </c>
      <c r="R722">
        <f t="shared" si="570"/>
        <v>2.92</v>
      </c>
      <c r="S722">
        <f t="shared" si="571"/>
        <v>1797.86</v>
      </c>
      <c r="T722">
        <f t="shared" si="572"/>
        <v>0</v>
      </c>
      <c r="U722">
        <f t="shared" si="573"/>
        <v>27.627599999999997</v>
      </c>
      <c r="V722">
        <f t="shared" si="574"/>
        <v>3.4125000000000003E-2</v>
      </c>
      <c r="W722">
        <f t="shared" si="575"/>
        <v>0</v>
      </c>
      <c r="X722">
        <f t="shared" si="576"/>
        <v>2070.9</v>
      </c>
      <c r="Y722">
        <f t="shared" si="577"/>
        <v>1278.55</v>
      </c>
      <c r="AA722">
        <v>16742901</v>
      </c>
      <c r="AB722">
        <f t="shared" si="578"/>
        <v>851.33</v>
      </c>
      <c r="AC722">
        <f t="shared" si="600"/>
        <v>140.91999999999999</v>
      </c>
      <c r="AD722">
        <f>ROUND(((((ET722*1.25))-((EU722*1.25)))+AE722),2)</f>
        <v>7.68</v>
      </c>
      <c r="AE722">
        <f>ROUND(((EU722*1.25)),2)</f>
        <v>1.1399999999999999</v>
      </c>
      <c r="AF722">
        <f>ROUND(((EV722*1.15)),2)</f>
        <v>702.73</v>
      </c>
      <c r="AG722">
        <f t="shared" si="579"/>
        <v>0</v>
      </c>
      <c r="AH722">
        <f>((EW722*1.15))</f>
        <v>70.839999999999989</v>
      </c>
      <c r="AI722">
        <f>((EX722*1.25))</f>
        <v>8.7500000000000008E-2</v>
      </c>
      <c r="AJ722">
        <f t="shared" si="580"/>
        <v>0</v>
      </c>
      <c r="AK722">
        <v>758.13</v>
      </c>
      <c r="AL722">
        <v>140.91999999999999</v>
      </c>
      <c r="AM722">
        <v>6.14</v>
      </c>
      <c r="AN722">
        <v>0.91</v>
      </c>
      <c r="AO722">
        <v>611.07000000000005</v>
      </c>
      <c r="AP722">
        <v>0</v>
      </c>
      <c r="AQ722">
        <v>61.6</v>
      </c>
      <c r="AR722">
        <v>7.0000000000000007E-2</v>
      </c>
      <c r="AS722">
        <v>0</v>
      </c>
      <c r="AT722">
        <v>115</v>
      </c>
      <c r="AU722">
        <v>71</v>
      </c>
      <c r="AV722">
        <v>1</v>
      </c>
      <c r="AW722">
        <v>1</v>
      </c>
      <c r="AZ722">
        <v>6.56</v>
      </c>
      <c r="BA722">
        <v>6.56</v>
      </c>
      <c r="BB722">
        <v>6.56</v>
      </c>
      <c r="BC722">
        <v>6.56</v>
      </c>
      <c r="BD722" t="s">
        <v>6</v>
      </c>
      <c r="BE722" t="s">
        <v>6</v>
      </c>
      <c r="BF722" t="s">
        <v>6</v>
      </c>
      <c r="BG722" t="s">
        <v>6</v>
      </c>
      <c r="BH722">
        <v>0</v>
      </c>
      <c r="BI722">
        <v>1</v>
      </c>
      <c r="BJ722" t="s">
        <v>1182</v>
      </c>
      <c r="BM722">
        <v>16001</v>
      </c>
      <c r="BN722">
        <v>0</v>
      </c>
      <c r="BO722" t="s">
        <v>6</v>
      </c>
      <c r="BP722">
        <v>0</v>
      </c>
      <c r="BQ722">
        <v>2</v>
      </c>
      <c r="BR722">
        <v>0</v>
      </c>
      <c r="BS722">
        <v>6.56</v>
      </c>
      <c r="BT722">
        <v>1</v>
      </c>
      <c r="BU722">
        <v>1</v>
      </c>
      <c r="BV722">
        <v>1</v>
      </c>
      <c r="BW722">
        <v>1</v>
      </c>
      <c r="BX722">
        <v>1</v>
      </c>
      <c r="BY722" t="s">
        <v>6</v>
      </c>
      <c r="BZ722">
        <v>128</v>
      </c>
      <c r="CA722">
        <v>83</v>
      </c>
      <c r="CF722">
        <v>0</v>
      </c>
      <c r="CG722">
        <v>0</v>
      </c>
      <c r="CM722">
        <v>0</v>
      </c>
      <c r="CN722" t="s">
        <v>1902</v>
      </c>
      <c r="CO722">
        <v>0</v>
      </c>
      <c r="CP722">
        <f t="shared" si="581"/>
        <v>2178.04</v>
      </c>
      <c r="CQ722">
        <f t="shared" si="582"/>
        <v>924.4351999999999</v>
      </c>
      <c r="CR722">
        <f t="shared" si="583"/>
        <v>50.380799999999994</v>
      </c>
      <c r="CS722">
        <f t="shared" si="584"/>
        <v>7.4783999999999988</v>
      </c>
      <c r="CT722">
        <f t="shared" si="585"/>
        <v>4609.9088000000002</v>
      </c>
      <c r="CU722">
        <f t="shared" si="586"/>
        <v>0</v>
      </c>
      <c r="CV722">
        <f t="shared" si="587"/>
        <v>70.839999999999989</v>
      </c>
      <c r="CW722">
        <f t="shared" si="588"/>
        <v>8.7500000000000008E-2</v>
      </c>
      <c r="CX722">
        <f t="shared" si="589"/>
        <v>0</v>
      </c>
      <c r="CY722">
        <f t="shared" si="590"/>
        <v>2070.8969999999999</v>
      </c>
      <c r="CZ722">
        <f t="shared" si="591"/>
        <v>1278.5538000000001</v>
      </c>
      <c r="DC722" t="s">
        <v>6</v>
      </c>
      <c r="DD722" t="s">
        <v>6</v>
      </c>
      <c r="DE722" t="s">
        <v>187</v>
      </c>
      <c r="DF722" t="s">
        <v>187</v>
      </c>
      <c r="DG722" t="s">
        <v>188</v>
      </c>
      <c r="DH722" t="s">
        <v>6</v>
      </c>
      <c r="DI722" t="s">
        <v>188</v>
      </c>
      <c r="DJ722" t="s">
        <v>187</v>
      </c>
      <c r="DK722" t="s">
        <v>6</v>
      </c>
      <c r="DL722" t="s">
        <v>6</v>
      </c>
      <c r="DM722" t="s">
        <v>6</v>
      </c>
      <c r="DN722">
        <v>0</v>
      </c>
      <c r="DO722">
        <v>0</v>
      </c>
      <c r="DP722">
        <v>1</v>
      </c>
      <c r="DQ722">
        <v>1</v>
      </c>
      <c r="DU722">
        <v>1003</v>
      </c>
      <c r="DV722" t="s">
        <v>34</v>
      </c>
      <c r="DW722" t="s">
        <v>34</v>
      </c>
      <c r="DX722">
        <v>100</v>
      </c>
      <c r="EE722">
        <v>16510514</v>
      </c>
      <c r="EF722">
        <v>2</v>
      </c>
      <c r="EG722" t="s">
        <v>22</v>
      </c>
      <c r="EH722">
        <v>0</v>
      </c>
      <c r="EI722" t="s">
        <v>6</v>
      </c>
      <c r="EJ722">
        <v>1</v>
      </c>
      <c r="EK722">
        <v>16001</v>
      </c>
      <c r="EL722" t="s">
        <v>1063</v>
      </c>
      <c r="EM722" t="s">
        <v>1064</v>
      </c>
      <c r="EO722" t="s">
        <v>189</v>
      </c>
      <c r="EQ722">
        <v>131072</v>
      </c>
      <c r="ER722">
        <v>758.13</v>
      </c>
      <c r="ES722">
        <v>140.91999999999999</v>
      </c>
      <c r="ET722">
        <v>6.14</v>
      </c>
      <c r="EU722">
        <v>0.91</v>
      </c>
      <c r="EV722">
        <v>611.07000000000005</v>
      </c>
      <c r="EW722">
        <v>61.6</v>
      </c>
      <c r="EX722">
        <v>7.0000000000000007E-2</v>
      </c>
      <c r="EY722">
        <v>0</v>
      </c>
      <c r="FQ722">
        <v>0</v>
      </c>
      <c r="FR722">
        <f t="shared" si="592"/>
        <v>0</v>
      </c>
      <c r="FS722">
        <v>0</v>
      </c>
      <c r="FT722" t="s">
        <v>25</v>
      </c>
      <c r="FU722" t="s">
        <v>26</v>
      </c>
      <c r="FX722">
        <v>115.2</v>
      </c>
      <c r="FY722">
        <v>70.55</v>
      </c>
      <c r="GA722" t="s">
        <v>6</v>
      </c>
      <c r="GD722">
        <v>0</v>
      </c>
      <c r="GF722">
        <v>1989847972</v>
      </c>
      <c r="GG722">
        <v>1</v>
      </c>
      <c r="GH722">
        <v>1</v>
      </c>
      <c r="GI722">
        <v>4</v>
      </c>
      <c r="GJ722">
        <v>0</v>
      </c>
      <c r="GK722">
        <f>ROUND(R722*(R12)/100,2)</f>
        <v>0</v>
      </c>
      <c r="GL722">
        <f t="shared" si="593"/>
        <v>0</v>
      </c>
      <c r="GM722">
        <f t="shared" si="594"/>
        <v>5527.49</v>
      </c>
      <c r="GN722">
        <f t="shared" si="595"/>
        <v>5527.49</v>
      </c>
      <c r="GO722">
        <f t="shared" si="596"/>
        <v>0</v>
      </c>
      <c r="GP722">
        <f t="shared" si="597"/>
        <v>0</v>
      </c>
      <c r="GR722">
        <v>0</v>
      </c>
      <c r="GS722">
        <v>3</v>
      </c>
      <c r="GT722">
        <v>0</v>
      </c>
      <c r="GU722" t="s">
        <v>6</v>
      </c>
      <c r="GV722">
        <f t="shared" si="598"/>
        <v>0</v>
      </c>
      <c r="GW722">
        <v>1</v>
      </c>
      <c r="GX722">
        <f t="shared" si="599"/>
        <v>0</v>
      </c>
      <c r="HA722">
        <v>0</v>
      </c>
      <c r="HB722">
        <v>0</v>
      </c>
      <c r="IK722">
        <v>0</v>
      </c>
    </row>
    <row r="723" spans="1:245" x14ac:dyDescent="0.2">
      <c r="A723">
        <v>18</v>
      </c>
      <c r="B723">
        <v>1</v>
      </c>
      <c r="C723">
        <v>998</v>
      </c>
      <c r="E723" t="s">
        <v>1183</v>
      </c>
      <c r="F723" t="s">
        <v>1184</v>
      </c>
      <c r="G723" t="s">
        <v>1185</v>
      </c>
      <c r="H723" t="s">
        <v>100</v>
      </c>
      <c r="I723">
        <f>I722*J723</f>
        <v>1.06E-3</v>
      </c>
      <c r="J723">
        <v>2.7179487179487178E-3</v>
      </c>
      <c r="O723">
        <f t="shared" si="567"/>
        <v>260.95999999999998</v>
      </c>
      <c r="P723">
        <f t="shared" si="568"/>
        <v>260.95999999999998</v>
      </c>
      <c r="Q723">
        <f t="shared" si="569"/>
        <v>0</v>
      </c>
      <c r="R723">
        <f t="shared" si="570"/>
        <v>0</v>
      </c>
      <c r="S723">
        <f t="shared" si="571"/>
        <v>0</v>
      </c>
      <c r="T723">
        <f t="shared" si="572"/>
        <v>0</v>
      </c>
      <c r="U723">
        <f t="shared" si="573"/>
        <v>0</v>
      </c>
      <c r="V723">
        <f t="shared" si="574"/>
        <v>0</v>
      </c>
      <c r="W723">
        <f t="shared" si="575"/>
        <v>0</v>
      </c>
      <c r="X723">
        <f t="shared" si="576"/>
        <v>0</v>
      </c>
      <c r="Y723">
        <f t="shared" si="577"/>
        <v>0</v>
      </c>
      <c r="AA723">
        <v>16742901</v>
      </c>
      <c r="AB723">
        <f t="shared" si="578"/>
        <v>37529.15</v>
      </c>
      <c r="AC723">
        <f t="shared" si="600"/>
        <v>37529.15</v>
      </c>
      <c r="AD723">
        <f>ROUND((((ET723)-(EU723))+AE723),2)</f>
        <v>0</v>
      </c>
      <c r="AE723">
        <f>ROUND((EU723),2)</f>
        <v>0</v>
      </c>
      <c r="AF723">
        <f>ROUND((EV723),2)</f>
        <v>0</v>
      </c>
      <c r="AG723">
        <f t="shared" si="579"/>
        <v>0</v>
      </c>
      <c r="AH723">
        <f>(EW723)</f>
        <v>0</v>
      </c>
      <c r="AI723">
        <f>(EX723)</f>
        <v>0</v>
      </c>
      <c r="AJ723">
        <f t="shared" si="580"/>
        <v>0</v>
      </c>
      <c r="AK723">
        <v>37529.15</v>
      </c>
      <c r="AL723">
        <v>37529.15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115</v>
      </c>
      <c r="AU723">
        <v>71</v>
      </c>
      <c r="AV723">
        <v>1</v>
      </c>
      <c r="AW723">
        <v>1</v>
      </c>
      <c r="AZ723">
        <v>6.56</v>
      </c>
      <c r="BA723">
        <v>1</v>
      </c>
      <c r="BB723">
        <v>1</v>
      </c>
      <c r="BC723">
        <v>6.56</v>
      </c>
      <c r="BD723" t="s">
        <v>6</v>
      </c>
      <c r="BE723" t="s">
        <v>6</v>
      </c>
      <c r="BF723" t="s">
        <v>6</v>
      </c>
      <c r="BG723" t="s">
        <v>6</v>
      </c>
      <c r="BH723">
        <v>3</v>
      </c>
      <c r="BI723">
        <v>1</v>
      </c>
      <c r="BJ723" t="s">
        <v>1186</v>
      </c>
      <c r="BM723">
        <v>16001</v>
      </c>
      <c r="BN723">
        <v>0</v>
      </c>
      <c r="BO723" t="s">
        <v>6</v>
      </c>
      <c r="BP723">
        <v>0</v>
      </c>
      <c r="BQ723">
        <v>2</v>
      </c>
      <c r="BR723">
        <v>0</v>
      </c>
      <c r="BS723">
        <v>1</v>
      </c>
      <c r="BT723">
        <v>1</v>
      </c>
      <c r="BU723">
        <v>1</v>
      </c>
      <c r="BV723">
        <v>1</v>
      </c>
      <c r="BW723">
        <v>1</v>
      </c>
      <c r="BX723">
        <v>1</v>
      </c>
      <c r="BY723" t="s">
        <v>6</v>
      </c>
      <c r="BZ723">
        <v>128</v>
      </c>
      <c r="CA723">
        <v>83</v>
      </c>
      <c r="CF723">
        <v>0</v>
      </c>
      <c r="CG723">
        <v>0</v>
      </c>
      <c r="CM723">
        <v>0</v>
      </c>
      <c r="CN723" t="s">
        <v>6</v>
      </c>
      <c r="CO723">
        <v>0</v>
      </c>
      <c r="CP723">
        <f t="shared" si="581"/>
        <v>260.95999999999998</v>
      </c>
      <c r="CQ723">
        <f t="shared" si="582"/>
        <v>246191.22399999999</v>
      </c>
      <c r="CR723">
        <f t="shared" si="583"/>
        <v>0</v>
      </c>
      <c r="CS723">
        <f t="shared" si="584"/>
        <v>0</v>
      </c>
      <c r="CT723">
        <f t="shared" si="585"/>
        <v>0</v>
      </c>
      <c r="CU723">
        <f t="shared" si="586"/>
        <v>0</v>
      </c>
      <c r="CV723">
        <f t="shared" si="587"/>
        <v>0</v>
      </c>
      <c r="CW723">
        <f t="shared" si="588"/>
        <v>0</v>
      </c>
      <c r="CX723">
        <f t="shared" si="589"/>
        <v>0</v>
      </c>
      <c r="CY723">
        <f t="shared" si="590"/>
        <v>0</v>
      </c>
      <c r="CZ723">
        <f t="shared" si="591"/>
        <v>0</v>
      </c>
      <c r="DC723" t="s">
        <v>6</v>
      </c>
      <c r="DD723" t="s">
        <v>6</v>
      </c>
      <c r="DE723" t="s">
        <v>6</v>
      </c>
      <c r="DF723" t="s">
        <v>6</v>
      </c>
      <c r="DG723" t="s">
        <v>6</v>
      </c>
      <c r="DH723" t="s">
        <v>6</v>
      </c>
      <c r="DI723" t="s">
        <v>6</v>
      </c>
      <c r="DJ723" t="s">
        <v>6</v>
      </c>
      <c r="DK723" t="s">
        <v>6</v>
      </c>
      <c r="DL723" t="s">
        <v>6</v>
      </c>
      <c r="DM723" t="s">
        <v>6</v>
      </c>
      <c r="DN723">
        <v>0</v>
      </c>
      <c r="DO723">
        <v>0</v>
      </c>
      <c r="DP723">
        <v>1</v>
      </c>
      <c r="DQ723">
        <v>1</v>
      </c>
      <c r="DU723">
        <v>1009</v>
      </c>
      <c r="DV723" t="s">
        <v>100</v>
      </c>
      <c r="DW723" t="s">
        <v>100</v>
      </c>
      <c r="DX723">
        <v>1000</v>
      </c>
      <c r="EE723">
        <v>16510514</v>
      </c>
      <c r="EF723">
        <v>2</v>
      </c>
      <c r="EG723" t="s">
        <v>22</v>
      </c>
      <c r="EH723">
        <v>0</v>
      </c>
      <c r="EI723" t="s">
        <v>6</v>
      </c>
      <c r="EJ723">
        <v>1</v>
      </c>
      <c r="EK723">
        <v>16001</v>
      </c>
      <c r="EL723" t="s">
        <v>1063</v>
      </c>
      <c r="EM723" t="s">
        <v>1064</v>
      </c>
      <c r="EO723" t="s">
        <v>6</v>
      </c>
      <c r="EQ723">
        <v>0</v>
      </c>
      <c r="ER723">
        <v>37529.15</v>
      </c>
      <c r="ES723">
        <v>37529.15</v>
      </c>
      <c r="ET723">
        <v>0</v>
      </c>
      <c r="EU723">
        <v>0</v>
      </c>
      <c r="EV723">
        <v>0</v>
      </c>
      <c r="EW723">
        <v>0</v>
      </c>
      <c r="EX723">
        <v>0</v>
      </c>
      <c r="FQ723">
        <v>0</v>
      </c>
      <c r="FR723">
        <f t="shared" si="592"/>
        <v>0</v>
      </c>
      <c r="FS723">
        <v>0</v>
      </c>
      <c r="FT723" t="s">
        <v>25</v>
      </c>
      <c r="FU723" t="s">
        <v>26</v>
      </c>
      <c r="FX723">
        <v>115.2</v>
      </c>
      <c r="FY723">
        <v>70.55</v>
      </c>
      <c r="GA723" t="s">
        <v>6</v>
      </c>
      <c r="GD723">
        <v>0</v>
      </c>
      <c r="GF723">
        <v>351021885</v>
      </c>
      <c r="GG723">
        <v>1</v>
      </c>
      <c r="GH723">
        <v>1</v>
      </c>
      <c r="GI723">
        <v>4</v>
      </c>
      <c r="GJ723">
        <v>0</v>
      </c>
      <c r="GK723">
        <f>ROUND(R723*(R12)/100,2)</f>
        <v>0</v>
      </c>
      <c r="GL723">
        <f t="shared" si="593"/>
        <v>0</v>
      </c>
      <c r="GM723">
        <f t="shared" si="594"/>
        <v>260.95999999999998</v>
      </c>
      <c r="GN723">
        <f t="shared" si="595"/>
        <v>260.95999999999998</v>
      </c>
      <c r="GO723">
        <f t="shared" si="596"/>
        <v>0</v>
      </c>
      <c r="GP723">
        <f t="shared" si="597"/>
        <v>0</v>
      </c>
      <c r="GR723">
        <v>0</v>
      </c>
      <c r="GS723">
        <v>3</v>
      </c>
      <c r="GT723">
        <v>0</v>
      </c>
      <c r="GU723" t="s">
        <v>6</v>
      </c>
      <c r="GV723">
        <f t="shared" si="598"/>
        <v>0</v>
      </c>
      <c r="GW723">
        <v>1</v>
      </c>
      <c r="GX723">
        <f t="shared" si="599"/>
        <v>0</v>
      </c>
      <c r="HA723">
        <v>0</v>
      </c>
      <c r="HB723">
        <v>0</v>
      </c>
      <c r="IK723">
        <v>0</v>
      </c>
    </row>
    <row r="724" spans="1:245" x14ac:dyDescent="0.2">
      <c r="A724">
        <v>18</v>
      </c>
      <c r="B724">
        <v>1</v>
      </c>
      <c r="C724">
        <v>999</v>
      </c>
      <c r="E724" t="s">
        <v>1187</v>
      </c>
      <c r="F724" t="s">
        <v>1188</v>
      </c>
      <c r="G724" t="s">
        <v>1189</v>
      </c>
      <c r="H724" t="s">
        <v>220</v>
      </c>
      <c r="I724">
        <f>I722*J724</f>
        <v>39</v>
      </c>
      <c r="J724">
        <v>100</v>
      </c>
      <c r="O724">
        <f t="shared" si="567"/>
        <v>26625.27</v>
      </c>
      <c r="P724">
        <f t="shared" si="568"/>
        <v>26625.27</v>
      </c>
      <c r="Q724">
        <f t="shared" si="569"/>
        <v>0</v>
      </c>
      <c r="R724">
        <f t="shared" si="570"/>
        <v>0</v>
      </c>
      <c r="S724">
        <f t="shared" si="571"/>
        <v>0</v>
      </c>
      <c r="T724">
        <f t="shared" si="572"/>
        <v>0</v>
      </c>
      <c r="U724">
        <f t="shared" si="573"/>
        <v>0</v>
      </c>
      <c r="V724">
        <f t="shared" si="574"/>
        <v>0</v>
      </c>
      <c r="W724">
        <f t="shared" si="575"/>
        <v>0</v>
      </c>
      <c r="X724">
        <f t="shared" si="576"/>
        <v>0</v>
      </c>
      <c r="Y724">
        <f t="shared" si="577"/>
        <v>0</v>
      </c>
      <c r="AA724">
        <v>16742901</v>
      </c>
      <c r="AB724">
        <f t="shared" si="578"/>
        <v>104.07</v>
      </c>
      <c r="AC724">
        <f t="shared" si="600"/>
        <v>104.07</v>
      </c>
      <c r="AD724">
        <f>ROUND((((ET724)-(EU724))+AE724),2)</f>
        <v>0</v>
      </c>
      <c r="AE724">
        <f>ROUND((EU724),2)</f>
        <v>0</v>
      </c>
      <c r="AF724">
        <f>ROUND((EV724),2)</f>
        <v>0</v>
      </c>
      <c r="AG724">
        <f t="shared" si="579"/>
        <v>0</v>
      </c>
      <c r="AH724">
        <f>(EW724)</f>
        <v>0</v>
      </c>
      <c r="AI724">
        <f>(EX724)</f>
        <v>0</v>
      </c>
      <c r="AJ724">
        <f t="shared" si="580"/>
        <v>0</v>
      </c>
      <c r="AK724">
        <v>104.07</v>
      </c>
      <c r="AL724">
        <v>104.07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115</v>
      </c>
      <c r="AU724">
        <v>71</v>
      </c>
      <c r="AV724">
        <v>1</v>
      </c>
      <c r="AW724">
        <v>1</v>
      </c>
      <c r="AZ724">
        <v>6.56</v>
      </c>
      <c r="BA724">
        <v>1</v>
      </c>
      <c r="BB724">
        <v>1</v>
      </c>
      <c r="BC724">
        <v>6.56</v>
      </c>
      <c r="BD724" t="s">
        <v>6</v>
      </c>
      <c r="BE724" t="s">
        <v>6</v>
      </c>
      <c r="BF724" t="s">
        <v>6</v>
      </c>
      <c r="BG724" t="s">
        <v>6</v>
      </c>
      <c r="BH724">
        <v>3</v>
      </c>
      <c r="BI724">
        <v>1</v>
      </c>
      <c r="BJ724" t="s">
        <v>1190</v>
      </c>
      <c r="BM724">
        <v>16001</v>
      </c>
      <c r="BN724">
        <v>0</v>
      </c>
      <c r="BO724" t="s">
        <v>6</v>
      </c>
      <c r="BP724">
        <v>0</v>
      </c>
      <c r="BQ724">
        <v>2</v>
      </c>
      <c r="BR724">
        <v>0</v>
      </c>
      <c r="BS724">
        <v>1</v>
      </c>
      <c r="BT724">
        <v>1</v>
      </c>
      <c r="BU724">
        <v>1</v>
      </c>
      <c r="BV724">
        <v>1</v>
      </c>
      <c r="BW724">
        <v>1</v>
      </c>
      <c r="BX724">
        <v>1</v>
      </c>
      <c r="BY724" t="s">
        <v>6</v>
      </c>
      <c r="BZ724">
        <v>128</v>
      </c>
      <c r="CA724">
        <v>83</v>
      </c>
      <c r="CF724">
        <v>0</v>
      </c>
      <c r="CG724">
        <v>0</v>
      </c>
      <c r="CM724">
        <v>0</v>
      </c>
      <c r="CN724" t="s">
        <v>6</v>
      </c>
      <c r="CO724">
        <v>0</v>
      </c>
      <c r="CP724">
        <f t="shared" si="581"/>
        <v>26625.27</v>
      </c>
      <c r="CQ724">
        <f t="shared" si="582"/>
        <v>682.69919999999991</v>
      </c>
      <c r="CR724">
        <f t="shared" si="583"/>
        <v>0</v>
      </c>
      <c r="CS724">
        <f t="shared" si="584"/>
        <v>0</v>
      </c>
      <c r="CT724">
        <f t="shared" si="585"/>
        <v>0</v>
      </c>
      <c r="CU724">
        <f t="shared" si="586"/>
        <v>0</v>
      </c>
      <c r="CV724">
        <f t="shared" si="587"/>
        <v>0</v>
      </c>
      <c r="CW724">
        <f t="shared" si="588"/>
        <v>0</v>
      </c>
      <c r="CX724">
        <f t="shared" si="589"/>
        <v>0</v>
      </c>
      <c r="CY724">
        <f t="shared" si="590"/>
        <v>0</v>
      </c>
      <c r="CZ724">
        <f t="shared" si="591"/>
        <v>0</v>
      </c>
      <c r="DC724" t="s">
        <v>6</v>
      </c>
      <c r="DD724" t="s">
        <v>6</v>
      </c>
      <c r="DE724" t="s">
        <v>6</v>
      </c>
      <c r="DF724" t="s">
        <v>6</v>
      </c>
      <c r="DG724" t="s">
        <v>6</v>
      </c>
      <c r="DH724" t="s">
        <v>6</v>
      </c>
      <c r="DI724" t="s">
        <v>6</v>
      </c>
      <c r="DJ724" t="s">
        <v>6</v>
      </c>
      <c r="DK724" t="s">
        <v>6</v>
      </c>
      <c r="DL724" t="s">
        <v>6</v>
      </c>
      <c r="DM724" t="s">
        <v>6</v>
      </c>
      <c r="DN724">
        <v>0</v>
      </c>
      <c r="DO724">
        <v>0</v>
      </c>
      <c r="DP724">
        <v>1</v>
      </c>
      <c r="DQ724">
        <v>1</v>
      </c>
      <c r="DU724">
        <v>1003</v>
      </c>
      <c r="DV724" t="s">
        <v>220</v>
      </c>
      <c r="DW724" t="s">
        <v>220</v>
      </c>
      <c r="DX724">
        <v>1</v>
      </c>
      <c r="EE724">
        <v>16510514</v>
      </c>
      <c r="EF724">
        <v>2</v>
      </c>
      <c r="EG724" t="s">
        <v>22</v>
      </c>
      <c r="EH724">
        <v>0</v>
      </c>
      <c r="EI724" t="s">
        <v>6</v>
      </c>
      <c r="EJ724">
        <v>1</v>
      </c>
      <c r="EK724">
        <v>16001</v>
      </c>
      <c r="EL724" t="s">
        <v>1063</v>
      </c>
      <c r="EM724" t="s">
        <v>1064</v>
      </c>
      <c r="EO724" t="s">
        <v>6</v>
      </c>
      <c r="EQ724">
        <v>0</v>
      </c>
      <c r="ER724">
        <v>104.07</v>
      </c>
      <c r="ES724">
        <v>104.07</v>
      </c>
      <c r="ET724">
        <v>0</v>
      </c>
      <c r="EU724">
        <v>0</v>
      </c>
      <c r="EV724">
        <v>0</v>
      </c>
      <c r="EW724">
        <v>0</v>
      </c>
      <c r="EX724">
        <v>0</v>
      </c>
      <c r="FQ724">
        <v>0</v>
      </c>
      <c r="FR724">
        <f t="shared" si="592"/>
        <v>0</v>
      </c>
      <c r="FS724">
        <v>0</v>
      </c>
      <c r="FT724" t="s">
        <v>25</v>
      </c>
      <c r="FU724" t="s">
        <v>26</v>
      </c>
      <c r="FX724">
        <v>115.2</v>
      </c>
      <c r="FY724">
        <v>70.55</v>
      </c>
      <c r="GA724" t="s">
        <v>6</v>
      </c>
      <c r="GD724">
        <v>0</v>
      </c>
      <c r="GF724">
        <v>-1622480074</v>
      </c>
      <c r="GG724">
        <v>1</v>
      </c>
      <c r="GH724">
        <v>1</v>
      </c>
      <c r="GI724">
        <v>4</v>
      </c>
      <c r="GJ724">
        <v>0</v>
      </c>
      <c r="GK724">
        <f>ROUND(R724*(R12)/100,2)</f>
        <v>0</v>
      </c>
      <c r="GL724">
        <f t="shared" si="593"/>
        <v>0</v>
      </c>
      <c r="GM724">
        <f t="shared" si="594"/>
        <v>26625.27</v>
      </c>
      <c r="GN724">
        <f t="shared" si="595"/>
        <v>26625.27</v>
      </c>
      <c r="GO724">
        <f t="shared" si="596"/>
        <v>0</v>
      </c>
      <c r="GP724">
        <f t="shared" si="597"/>
        <v>0</v>
      </c>
      <c r="GR724">
        <v>0</v>
      </c>
      <c r="GS724">
        <v>3</v>
      </c>
      <c r="GT724">
        <v>0</v>
      </c>
      <c r="GU724" t="s">
        <v>6</v>
      </c>
      <c r="GV724">
        <f t="shared" si="598"/>
        <v>0</v>
      </c>
      <c r="GW724">
        <v>1</v>
      </c>
      <c r="GX724">
        <f t="shared" si="599"/>
        <v>0</v>
      </c>
      <c r="HA724">
        <v>0</v>
      </c>
      <c r="HB724">
        <v>0</v>
      </c>
      <c r="IK724">
        <v>0</v>
      </c>
    </row>
    <row r="725" spans="1:245" x14ac:dyDescent="0.2">
      <c r="A725">
        <v>17</v>
      </c>
      <c r="B725">
        <v>1</v>
      </c>
      <c r="C725">
        <f>ROW(SmtRes!A1009)</f>
        <v>1009</v>
      </c>
      <c r="D725">
        <f>ROW(EtalonRes!A955)</f>
        <v>955</v>
      </c>
      <c r="E725" t="s">
        <v>1191</v>
      </c>
      <c r="F725" t="s">
        <v>1192</v>
      </c>
      <c r="G725" t="s">
        <v>1193</v>
      </c>
      <c r="H725" t="s">
        <v>34</v>
      </c>
      <c r="I725">
        <f>ROUND(8/100,9)</f>
        <v>0.08</v>
      </c>
      <c r="J725">
        <v>0</v>
      </c>
      <c r="O725">
        <f t="shared" si="567"/>
        <v>415.39</v>
      </c>
      <c r="P725">
        <f t="shared" si="568"/>
        <v>29.06</v>
      </c>
      <c r="Q725">
        <f t="shared" si="569"/>
        <v>1.73</v>
      </c>
      <c r="R725">
        <f t="shared" si="570"/>
        <v>0.26</v>
      </c>
      <c r="S725">
        <f t="shared" si="571"/>
        <v>384.6</v>
      </c>
      <c r="T725">
        <f t="shared" si="572"/>
        <v>0</v>
      </c>
      <c r="U725">
        <f t="shared" si="573"/>
        <v>5.9100799999999998</v>
      </c>
      <c r="V725">
        <f t="shared" si="574"/>
        <v>3.0000000000000001E-3</v>
      </c>
      <c r="W725">
        <f t="shared" si="575"/>
        <v>0</v>
      </c>
      <c r="X725">
        <f t="shared" si="576"/>
        <v>442.59</v>
      </c>
      <c r="Y725">
        <f t="shared" si="577"/>
        <v>273.25</v>
      </c>
      <c r="AA725">
        <v>16742901</v>
      </c>
      <c r="AB725">
        <f t="shared" si="578"/>
        <v>791.52</v>
      </c>
      <c r="AC725">
        <f t="shared" si="600"/>
        <v>55.37</v>
      </c>
      <c r="AD725">
        <f>ROUND(((((ET725*1.25))-((EU725*1.25)))+AE725),2)</f>
        <v>3.3</v>
      </c>
      <c r="AE725">
        <f>ROUND(((EU725*1.25)),2)</f>
        <v>0.5</v>
      </c>
      <c r="AF725">
        <f>ROUND(((EV725*1.15)),2)</f>
        <v>732.85</v>
      </c>
      <c r="AG725">
        <f t="shared" si="579"/>
        <v>0</v>
      </c>
      <c r="AH725">
        <f>((EW725*1.15))</f>
        <v>73.875999999999991</v>
      </c>
      <c r="AI725">
        <f>((EX725*1.25))</f>
        <v>3.7499999999999999E-2</v>
      </c>
      <c r="AJ725">
        <f t="shared" si="580"/>
        <v>0</v>
      </c>
      <c r="AK725">
        <v>695.27</v>
      </c>
      <c r="AL725">
        <v>55.37</v>
      </c>
      <c r="AM725">
        <v>2.64</v>
      </c>
      <c r="AN725">
        <v>0.4</v>
      </c>
      <c r="AO725">
        <v>637.26</v>
      </c>
      <c r="AP725">
        <v>0</v>
      </c>
      <c r="AQ725">
        <v>64.239999999999995</v>
      </c>
      <c r="AR725">
        <v>0.03</v>
      </c>
      <c r="AS725">
        <v>0</v>
      </c>
      <c r="AT725">
        <v>115</v>
      </c>
      <c r="AU725">
        <v>71</v>
      </c>
      <c r="AV725">
        <v>1</v>
      </c>
      <c r="AW725">
        <v>1</v>
      </c>
      <c r="AZ725">
        <v>6.56</v>
      </c>
      <c r="BA725">
        <v>6.56</v>
      </c>
      <c r="BB725">
        <v>6.56</v>
      </c>
      <c r="BC725">
        <v>6.56</v>
      </c>
      <c r="BD725" t="s">
        <v>6</v>
      </c>
      <c r="BE725" t="s">
        <v>6</v>
      </c>
      <c r="BF725" t="s">
        <v>6</v>
      </c>
      <c r="BG725" t="s">
        <v>6</v>
      </c>
      <c r="BH725">
        <v>0</v>
      </c>
      <c r="BI725">
        <v>1</v>
      </c>
      <c r="BJ725" t="s">
        <v>1194</v>
      </c>
      <c r="BM725">
        <v>16001</v>
      </c>
      <c r="BN725">
        <v>0</v>
      </c>
      <c r="BO725" t="s">
        <v>6</v>
      </c>
      <c r="BP725">
        <v>0</v>
      </c>
      <c r="BQ725">
        <v>2</v>
      </c>
      <c r="BR725">
        <v>0</v>
      </c>
      <c r="BS725">
        <v>6.56</v>
      </c>
      <c r="BT725">
        <v>1</v>
      </c>
      <c r="BU725">
        <v>1</v>
      </c>
      <c r="BV725">
        <v>1</v>
      </c>
      <c r="BW725">
        <v>1</v>
      </c>
      <c r="BX725">
        <v>1</v>
      </c>
      <c r="BY725" t="s">
        <v>6</v>
      </c>
      <c r="BZ725">
        <v>128</v>
      </c>
      <c r="CA725">
        <v>83</v>
      </c>
      <c r="CF725">
        <v>0</v>
      </c>
      <c r="CG725">
        <v>0</v>
      </c>
      <c r="CM725">
        <v>0</v>
      </c>
      <c r="CN725" t="s">
        <v>1902</v>
      </c>
      <c r="CO725">
        <v>0</v>
      </c>
      <c r="CP725">
        <f t="shared" si="581"/>
        <v>415.39000000000004</v>
      </c>
      <c r="CQ725">
        <f t="shared" si="582"/>
        <v>363.22719999999998</v>
      </c>
      <c r="CR725">
        <f t="shared" si="583"/>
        <v>21.647999999999996</v>
      </c>
      <c r="CS725">
        <f t="shared" si="584"/>
        <v>3.28</v>
      </c>
      <c r="CT725">
        <f t="shared" si="585"/>
        <v>4807.4960000000001</v>
      </c>
      <c r="CU725">
        <f t="shared" si="586"/>
        <v>0</v>
      </c>
      <c r="CV725">
        <f t="shared" si="587"/>
        <v>73.875999999999991</v>
      </c>
      <c r="CW725">
        <f t="shared" si="588"/>
        <v>3.7499999999999999E-2</v>
      </c>
      <c r="CX725">
        <f t="shared" si="589"/>
        <v>0</v>
      </c>
      <c r="CY725">
        <f t="shared" si="590"/>
        <v>442.589</v>
      </c>
      <c r="CZ725">
        <f t="shared" si="591"/>
        <v>273.25060000000002</v>
      </c>
      <c r="DC725" t="s">
        <v>6</v>
      </c>
      <c r="DD725" t="s">
        <v>6</v>
      </c>
      <c r="DE725" t="s">
        <v>187</v>
      </c>
      <c r="DF725" t="s">
        <v>187</v>
      </c>
      <c r="DG725" t="s">
        <v>188</v>
      </c>
      <c r="DH725" t="s">
        <v>6</v>
      </c>
      <c r="DI725" t="s">
        <v>188</v>
      </c>
      <c r="DJ725" t="s">
        <v>187</v>
      </c>
      <c r="DK725" t="s">
        <v>6</v>
      </c>
      <c r="DL725" t="s">
        <v>6</v>
      </c>
      <c r="DM725" t="s">
        <v>6</v>
      </c>
      <c r="DN725">
        <v>0</v>
      </c>
      <c r="DO725">
        <v>0</v>
      </c>
      <c r="DP725">
        <v>1</v>
      </c>
      <c r="DQ725">
        <v>1</v>
      </c>
      <c r="DU725">
        <v>1003</v>
      </c>
      <c r="DV725" t="s">
        <v>34</v>
      </c>
      <c r="DW725" t="s">
        <v>34</v>
      </c>
      <c r="DX725">
        <v>100</v>
      </c>
      <c r="EE725">
        <v>16510514</v>
      </c>
      <c r="EF725">
        <v>2</v>
      </c>
      <c r="EG725" t="s">
        <v>22</v>
      </c>
      <c r="EH725">
        <v>0</v>
      </c>
      <c r="EI725" t="s">
        <v>6</v>
      </c>
      <c r="EJ725">
        <v>1</v>
      </c>
      <c r="EK725">
        <v>16001</v>
      </c>
      <c r="EL725" t="s">
        <v>1063</v>
      </c>
      <c r="EM725" t="s">
        <v>1064</v>
      </c>
      <c r="EO725" t="s">
        <v>189</v>
      </c>
      <c r="EQ725">
        <v>131072</v>
      </c>
      <c r="ER725">
        <v>695.27</v>
      </c>
      <c r="ES725">
        <v>55.37</v>
      </c>
      <c r="ET725">
        <v>2.64</v>
      </c>
      <c r="EU725">
        <v>0.4</v>
      </c>
      <c r="EV725">
        <v>637.26</v>
      </c>
      <c r="EW725">
        <v>64.239999999999995</v>
      </c>
      <c r="EX725">
        <v>0.03</v>
      </c>
      <c r="EY725">
        <v>0</v>
      </c>
      <c r="FQ725">
        <v>0</v>
      </c>
      <c r="FR725">
        <f t="shared" si="592"/>
        <v>0</v>
      </c>
      <c r="FS725">
        <v>0</v>
      </c>
      <c r="FT725" t="s">
        <v>25</v>
      </c>
      <c r="FU725" t="s">
        <v>26</v>
      </c>
      <c r="FX725">
        <v>115.2</v>
      </c>
      <c r="FY725">
        <v>70.55</v>
      </c>
      <c r="GA725" t="s">
        <v>6</v>
      </c>
      <c r="GD725">
        <v>0</v>
      </c>
      <c r="GF725">
        <v>77844681</v>
      </c>
      <c r="GG725">
        <v>1</v>
      </c>
      <c r="GH725">
        <v>1</v>
      </c>
      <c r="GI725">
        <v>4</v>
      </c>
      <c r="GJ725">
        <v>0</v>
      </c>
      <c r="GK725">
        <f>ROUND(R725*(R12)/100,2)</f>
        <v>0</v>
      </c>
      <c r="GL725">
        <f t="shared" si="593"/>
        <v>0</v>
      </c>
      <c r="GM725">
        <f t="shared" si="594"/>
        <v>1131.23</v>
      </c>
      <c r="GN725">
        <f t="shared" si="595"/>
        <v>1131.23</v>
      </c>
      <c r="GO725">
        <f t="shared" si="596"/>
        <v>0</v>
      </c>
      <c r="GP725">
        <f t="shared" si="597"/>
        <v>0</v>
      </c>
      <c r="GR725">
        <v>0</v>
      </c>
      <c r="GS725">
        <v>3</v>
      </c>
      <c r="GT725">
        <v>0</v>
      </c>
      <c r="GU725" t="s">
        <v>6</v>
      </c>
      <c r="GV725">
        <f t="shared" si="598"/>
        <v>0</v>
      </c>
      <c r="GW725">
        <v>1</v>
      </c>
      <c r="GX725">
        <f t="shared" si="599"/>
        <v>0</v>
      </c>
      <c r="HA725">
        <v>0</v>
      </c>
      <c r="HB725">
        <v>0</v>
      </c>
      <c r="IK725">
        <v>0</v>
      </c>
    </row>
    <row r="726" spans="1:245" x14ac:dyDescent="0.2">
      <c r="A726">
        <v>18</v>
      </c>
      <c r="B726">
        <v>1</v>
      </c>
      <c r="C726">
        <v>1009</v>
      </c>
      <c r="E726" t="s">
        <v>1195</v>
      </c>
      <c r="F726" t="s">
        <v>1196</v>
      </c>
      <c r="G726" t="s">
        <v>1197</v>
      </c>
      <c r="H726" t="s">
        <v>220</v>
      </c>
      <c r="I726">
        <f>I725*J726</f>
        <v>8</v>
      </c>
      <c r="J726">
        <v>100</v>
      </c>
      <c r="O726">
        <f t="shared" si="567"/>
        <v>2490.6999999999998</v>
      </c>
      <c r="P726">
        <f t="shared" si="568"/>
        <v>2490.6999999999998</v>
      </c>
      <c r="Q726">
        <f t="shared" si="569"/>
        <v>0</v>
      </c>
      <c r="R726">
        <f t="shared" si="570"/>
        <v>0</v>
      </c>
      <c r="S726">
        <f t="shared" si="571"/>
        <v>0</v>
      </c>
      <c r="T726">
        <f t="shared" si="572"/>
        <v>0</v>
      </c>
      <c r="U726">
        <f t="shared" si="573"/>
        <v>0</v>
      </c>
      <c r="V726">
        <f t="shared" si="574"/>
        <v>0</v>
      </c>
      <c r="W726">
        <f t="shared" si="575"/>
        <v>0</v>
      </c>
      <c r="X726">
        <f t="shared" si="576"/>
        <v>0</v>
      </c>
      <c r="Y726">
        <f t="shared" si="577"/>
        <v>0</v>
      </c>
      <c r="AA726">
        <v>16742901</v>
      </c>
      <c r="AB726">
        <f t="shared" si="578"/>
        <v>47.46</v>
      </c>
      <c r="AC726">
        <f t="shared" si="600"/>
        <v>47.46</v>
      </c>
      <c r="AD726">
        <f>ROUND((((ET726)-(EU726))+AE726),2)</f>
        <v>0</v>
      </c>
      <c r="AE726">
        <f>ROUND((EU726),2)</f>
        <v>0</v>
      </c>
      <c r="AF726">
        <f>ROUND((EV726),2)</f>
        <v>0</v>
      </c>
      <c r="AG726">
        <f t="shared" si="579"/>
        <v>0</v>
      </c>
      <c r="AH726">
        <f>(EW726)</f>
        <v>0</v>
      </c>
      <c r="AI726">
        <f>(EX726)</f>
        <v>0</v>
      </c>
      <c r="AJ726">
        <f t="shared" si="580"/>
        <v>0</v>
      </c>
      <c r="AK726">
        <v>47.46</v>
      </c>
      <c r="AL726">
        <v>47.46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115</v>
      </c>
      <c r="AU726">
        <v>71</v>
      </c>
      <c r="AV726">
        <v>1</v>
      </c>
      <c r="AW726">
        <v>1</v>
      </c>
      <c r="AZ726">
        <v>6.56</v>
      </c>
      <c r="BA726">
        <v>1</v>
      </c>
      <c r="BB726">
        <v>1</v>
      </c>
      <c r="BC726">
        <v>6.56</v>
      </c>
      <c r="BD726" t="s">
        <v>6</v>
      </c>
      <c r="BE726" t="s">
        <v>6</v>
      </c>
      <c r="BF726" t="s">
        <v>6</v>
      </c>
      <c r="BG726" t="s">
        <v>6</v>
      </c>
      <c r="BH726">
        <v>3</v>
      </c>
      <c r="BI726">
        <v>1</v>
      </c>
      <c r="BJ726" t="s">
        <v>1198</v>
      </c>
      <c r="BM726">
        <v>16001</v>
      </c>
      <c r="BN726">
        <v>0</v>
      </c>
      <c r="BO726" t="s">
        <v>6</v>
      </c>
      <c r="BP726">
        <v>0</v>
      </c>
      <c r="BQ726">
        <v>2</v>
      </c>
      <c r="BR726">
        <v>0</v>
      </c>
      <c r="BS726">
        <v>1</v>
      </c>
      <c r="BT726">
        <v>1</v>
      </c>
      <c r="BU726">
        <v>1</v>
      </c>
      <c r="BV726">
        <v>1</v>
      </c>
      <c r="BW726">
        <v>1</v>
      </c>
      <c r="BX726">
        <v>1</v>
      </c>
      <c r="BY726" t="s">
        <v>6</v>
      </c>
      <c r="BZ726">
        <v>128</v>
      </c>
      <c r="CA726">
        <v>83</v>
      </c>
      <c r="CF726">
        <v>0</v>
      </c>
      <c r="CG726">
        <v>0</v>
      </c>
      <c r="CM726">
        <v>0</v>
      </c>
      <c r="CN726" t="s">
        <v>6</v>
      </c>
      <c r="CO726">
        <v>0</v>
      </c>
      <c r="CP726">
        <f t="shared" si="581"/>
        <v>2490.6999999999998</v>
      </c>
      <c r="CQ726">
        <f t="shared" si="582"/>
        <v>311.33760000000001</v>
      </c>
      <c r="CR726">
        <f t="shared" si="583"/>
        <v>0</v>
      </c>
      <c r="CS726">
        <f t="shared" si="584"/>
        <v>0</v>
      </c>
      <c r="CT726">
        <f t="shared" si="585"/>
        <v>0</v>
      </c>
      <c r="CU726">
        <f t="shared" si="586"/>
        <v>0</v>
      </c>
      <c r="CV726">
        <f t="shared" si="587"/>
        <v>0</v>
      </c>
      <c r="CW726">
        <f t="shared" si="588"/>
        <v>0</v>
      </c>
      <c r="CX726">
        <f t="shared" si="589"/>
        <v>0</v>
      </c>
      <c r="CY726">
        <f t="shared" si="590"/>
        <v>0</v>
      </c>
      <c r="CZ726">
        <f t="shared" si="591"/>
        <v>0</v>
      </c>
      <c r="DC726" t="s">
        <v>6</v>
      </c>
      <c r="DD726" t="s">
        <v>6</v>
      </c>
      <c r="DE726" t="s">
        <v>6</v>
      </c>
      <c r="DF726" t="s">
        <v>6</v>
      </c>
      <c r="DG726" t="s">
        <v>6</v>
      </c>
      <c r="DH726" t="s">
        <v>6</v>
      </c>
      <c r="DI726" t="s">
        <v>6</v>
      </c>
      <c r="DJ726" t="s">
        <v>6</v>
      </c>
      <c r="DK726" t="s">
        <v>6</v>
      </c>
      <c r="DL726" t="s">
        <v>6</v>
      </c>
      <c r="DM726" t="s">
        <v>6</v>
      </c>
      <c r="DN726">
        <v>0</v>
      </c>
      <c r="DO726">
        <v>0</v>
      </c>
      <c r="DP726">
        <v>1</v>
      </c>
      <c r="DQ726">
        <v>1</v>
      </c>
      <c r="DU726">
        <v>1003</v>
      </c>
      <c r="DV726" t="s">
        <v>220</v>
      </c>
      <c r="DW726" t="s">
        <v>220</v>
      </c>
      <c r="DX726">
        <v>1</v>
      </c>
      <c r="EE726">
        <v>16510514</v>
      </c>
      <c r="EF726">
        <v>2</v>
      </c>
      <c r="EG726" t="s">
        <v>22</v>
      </c>
      <c r="EH726">
        <v>0</v>
      </c>
      <c r="EI726" t="s">
        <v>6</v>
      </c>
      <c r="EJ726">
        <v>1</v>
      </c>
      <c r="EK726">
        <v>16001</v>
      </c>
      <c r="EL726" t="s">
        <v>1063</v>
      </c>
      <c r="EM726" t="s">
        <v>1064</v>
      </c>
      <c r="EO726" t="s">
        <v>6</v>
      </c>
      <c r="EQ726">
        <v>0</v>
      </c>
      <c r="ER726">
        <v>47.46</v>
      </c>
      <c r="ES726">
        <v>47.46</v>
      </c>
      <c r="ET726">
        <v>0</v>
      </c>
      <c r="EU726">
        <v>0</v>
      </c>
      <c r="EV726">
        <v>0</v>
      </c>
      <c r="EW726">
        <v>0</v>
      </c>
      <c r="EX726">
        <v>0</v>
      </c>
      <c r="FQ726">
        <v>0</v>
      </c>
      <c r="FR726">
        <f t="shared" si="592"/>
        <v>0</v>
      </c>
      <c r="FS726">
        <v>0</v>
      </c>
      <c r="FT726" t="s">
        <v>25</v>
      </c>
      <c r="FU726" t="s">
        <v>26</v>
      </c>
      <c r="FX726">
        <v>115.2</v>
      </c>
      <c r="FY726">
        <v>70.55</v>
      </c>
      <c r="GA726" t="s">
        <v>6</v>
      </c>
      <c r="GD726">
        <v>0</v>
      </c>
      <c r="GF726">
        <v>-1292047200</v>
      </c>
      <c r="GG726">
        <v>1</v>
      </c>
      <c r="GH726">
        <v>1</v>
      </c>
      <c r="GI726">
        <v>4</v>
      </c>
      <c r="GJ726">
        <v>0</v>
      </c>
      <c r="GK726">
        <f>ROUND(R726*(R12)/100,2)</f>
        <v>0</v>
      </c>
      <c r="GL726">
        <f t="shared" si="593"/>
        <v>0</v>
      </c>
      <c r="GM726">
        <f t="shared" si="594"/>
        <v>2490.6999999999998</v>
      </c>
      <c r="GN726">
        <f t="shared" si="595"/>
        <v>2490.6999999999998</v>
      </c>
      <c r="GO726">
        <f t="shared" si="596"/>
        <v>0</v>
      </c>
      <c r="GP726">
        <f t="shared" si="597"/>
        <v>0</v>
      </c>
      <c r="GR726">
        <v>0</v>
      </c>
      <c r="GS726">
        <v>3</v>
      </c>
      <c r="GT726">
        <v>0</v>
      </c>
      <c r="GU726" t="s">
        <v>6</v>
      </c>
      <c r="GV726">
        <f t="shared" si="598"/>
        <v>0</v>
      </c>
      <c r="GW726">
        <v>1</v>
      </c>
      <c r="GX726">
        <f t="shared" si="599"/>
        <v>0</v>
      </c>
      <c r="HA726">
        <v>0</v>
      </c>
      <c r="HB726">
        <v>0</v>
      </c>
      <c r="IK726">
        <v>0</v>
      </c>
    </row>
    <row r="727" spans="1:245" x14ac:dyDescent="0.2">
      <c r="A727">
        <v>18</v>
      </c>
      <c r="B727">
        <v>1</v>
      </c>
      <c r="C727">
        <v>1008</v>
      </c>
      <c r="E727" t="s">
        <v>1199</v>
      </c>
      <c r="F727" t="s">
        <v>1200</v>
      </c>
      <c r="G727" t="s">
        <v>1201</v>
      </c>
      <c r="H727" t="s">
        <v>100</v>
      </c>
      <c r="I727">
        <f>I725*J727</f>
        <v>5.9999999999999995E-4</v>
      </c>
      <c r="J727">
        <v>7.4999999999999989E-3</v>
      </c>
      <c r="O727">
        <f t="shared" si="567"/>
        <v>105.21</v>
      </c>
      <c r="P727">
        <f t="shared" si="568"/>
        <v>105.21</v>
      </c>
      <c r="Q727">
        <f t="shared" si="569"/>
        <v>0</v>
      </c>
      <c r="R727">
        <f t="shared" si="570"/>
        <v>0</v>
      </c>
      <c r="S727">
        <f t="shared" si="571"/>
        <v>0</v>
      </c>
      <c r="T727">
        <f t="shared" si="572"/>
        <v>0</v>
      </c>
      <c r="U727">
        <f t="shared" si="573"/>
        <v>0</v>
      </c>
      <c r="V727">
        <f t="shared" si="574"/>
        <v>0</v>
      </c>
      <c r="W727">
        <f t="shared" si="575"/>
        <v>0</v>
      </c>
      <c r="X727">
        <f t="shared" si="576"/>
        <v>0</v>
      </c>
      <c r="Y727">
        <f t="shared" si="577"/>
        <v>0</v>
      </c>
      <c r="AA727">
        <v>16742901</v>
      </c>
      <c r="AB727">
        <f t="shared" si="578"/>
        <v>26729.37</v>
      </c>
      <c r="AC727">
        <f t="shared" si="600"/>
        <v>26729.37</v>
      </c>
      <c r="AD727">
        <f>ROUND((((ET727)-(EU727))+AE727),2)</f>
        <v>0</v>
      </c>
      <c r="AE727">
        <f>ROUND((EU727),2)</f>
        <v>0</v>
      </c>
      <c r="AF727">
        <f>ROUND((EV727),2)</f>
        <v>0</v>
      </c>
      <c r="AG727">
        <f t="shared" si="579"/>
        <v>0</v>
      </c>
      <c r="AH727">
        <f>(EW727)</f>
        <v>0</v>
      </c>
      <c r="AI727">
        <f>(EX727)</f>
        <v>0</v>
      </c>
      <c r="AJ727">
        <f t="shared" si="580"/>
        <v>0</v>
      </c>
      <c r="AK727">
        <v>26729.37</v>
      </c>
      <c r="AL727">
        <v>26729.37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115</v>
      </c>
      <c r="AU727">
        <v>71</v>
      </c>
      <c r="AV727">
        <v>1</v>
      </c>
      <c r="AW727">
        <v>1</v>
      </c>
      <c r="AZ727">
        <v>6.56</v>
      </c>
      <c r="BA727">
        <v>1</v>
      </c>
      <c r="BB727">
        <v>1</v>
      </c>
      <c r="BC727">
        <v>6.56</v>
      </c>
      <c r="BD727" t="s">
        <v>6</v>
      </c>
      <c r="BE727" t="s">
        <v>6</v>
      </c>
      <c r="BF727" t="s">
        <v>6</v>
      </c>
      <c r="BG727" t="s">
        <v>6</v>
      </c>
      <c r="BH727">
        <v>3</v>
      </c>
      <c r="BI727">
        <v>1</v>
      </c>
      <c r="BJ727" t="s">
        <v>1202</v>
      </c>
      <c r="BM727">
        <v>16001</v>
      </c>
      <c r="BN727">
        <v>0</v>
      </c>
      <c r="BO727" t="s">
        <v>6</v>
      </c>
      <c r="BP727">
        <v>0</v>
      </c>
      <c r="BQ727">
        <v>2</v>
      </c>
      <c r="BR727">
        <v>0</v>
      </c>
      <c r="BS727">
        <v>1</v>
      </c>
      <c r="BT727">
        <v>1</v>
      </c>
      <c r="BU727">
        <v>1</v>
      </c>
      <c r="BV727">
        <v>1</v>
      </c>
      <c r="BW727">
        <v>1</v>
      </c>
      <c r="BX727">
        <v>1</v>
      </c>
      <c r="BY727" t="s">
        <v>6</v>
      </c>
      <c r="BZ727">
        <v>128</v>
      </c>
      <c r="CA727">
        <v>83</v>
      </c>
      <c r="CF727">
        <v>0</v>
      </c>
      <c r="CG727">
        <v>0</v>
      </c>
      <c r="CM727">
        <v>0</v>
      </c>
      <c r="CN727" t="s">
        <v>6</v>
      </c>
      <c r="CO727">
        <v>0</v>
      </c>
      <c r="CP727">
        <f t="shared" si="581"/>
        <v>105.21</v>
      </c>
      <c r="CQ727">
        <f t="shared" si="582"/>
        <v>175344.6672</v>
      </c>
      <c r="CR727">
        <f t="shared" si="583"/>
        <v>0</v>
      </c>
      <c r="CS727">
        <f t="shared" si="584"/>
        <v>0</v>
      </c>
      <c r="CT727">
        <f t="shared" si="585"/>
        <v>0</v>
      </c>
      <c r="CU727">
        <f t="shared" si="586"/>
        <v>0</v>
      </c>
      <c r="CV727">
        <f t="shared" si="587"/>
        <v>0</v>
      </c>
      <c r="CW727">
        <f t="shared" si="588"/>
        <v>0</v>
      </c>
      <c r="CX727">
        <f t="shared" si="589"/>
        <v>0</v>
      </c>
      <c r="CY727">
        <f t="shared" si="590"/>
        <v>0</v>
      </c>
      <c r="CZ727">
        <f t="shared" si="591"/>
        <v>0</v>
      </c>
      <c r="DC727" t="s">
        <v>6</v>
      </c>
      <c r="DD727" t="s">
        <v>6</v>
      </c>
      <c r="DE727" t="s">
        <v>6</v>
      </c>
      <c r="DF727" t="s">
        <v>6</v>
      </c>
      <c r="DG727" t="s">
        <v>6</v>
      </c>
      <c r="DH727" t="s">
        <v>6</v>
      </c>
      <c r="DI727" t="s">
        <v>6</v>
      </c>
      <c r="DJ727" t="s">
        <v>6</v>
      </c>
      <c r="DK727" t="s">
        <v>6</v>
      </c>
      <c r="DL727" t="s">
        <v>6</v>
      </c>
      <c r="DM727" t="s">
        <v>6</v>
      </c>
      <c r="DN727">
        <v>0</v>
      </c>
      <c r="DO727">
        <v>0</v>
      </c>
      <c r="DP727">
        <v>1</v>
      </c>
      <c r="DQ727">
        <v>1</v>
      </c>
      <c r="DU727">
        <v>1009</v>
      </c>
      <c r="DV727" t="s">
        <v>100</v>
      </c>
      <c r="DW727" t="s">
        <v>100</v>
      </c>
      <c r="DX727">
        <v>1000</v>
      </c>
      <c r="EE727">
        <v>16510514</v>
      </c>
      <c r="EF727">
        <v>2</v>
      </c>
      <c r="EG727" t="s">
        <v>22</v>
      </c>
      <c r="EH727">
        <v>0</v>
      </c>
      <c r="EI727" t="s">
        <v>6</v>
      </c>
      <c r="EJ727">
        <v>1</v>
      </c>
      <c r="EK727">
        <v>16001</v>
      </c>
      <c r="EL727" t="s">
        <v>1063</v>
      </c>
      <c r="EM727" t="s">
        <v>1064</v>
      </c>
      <c r="EO727" t="s">
        <v>6</v>
      </c>
      <c r="EQ727">
        <v>0</v>
      </c>
      <c r="ER727">
        <v>26729.37</v>
      </c>
      <c r="ES727">
        <v>26729.37</v>
      </c>
      <c r="ET727">
        <v>0</v>
      </c>
      <c r="EU727">
        <v>0</v>
      </c>
      <c r="EV727">
        <v>0</v>
      </c>
      <c r="EW727">
        <v>0</v>
      </c>
      <c r="EX727">
        <v>0</v>
      </c>
      <c r="FQ727">
        <v>0</v>
      </c>
      <c r="FR727">
        <f t="shared" si="592"/>
        <v>0</v>
      </c>
      <c r="FS727">
        <v>0</v>
      </c>
      <c r="FT727" t="s">
        <v>25</v>
      </c>
      <c r="FU727" t="s">
        <v>26</v>
      </c>
      <c r="FX727">
        <v>115.2</v>
      </c>
      <c r="FY727">
        <v>70.55</v>
      </c>
      <c r="GA727" t="s">
        <v>6</v>
      </c>
      <c r="GD727">
        <v>0</v>
      </c>
      <c r="GF727">
        <v>-1558467010</v>
      </c>
      <c r="GG727">
        <v>1</v>
      </c>
      <c r="GH727">
        <v>1</v>
      </c>
      <c r="GI727">
        <v>4</v>
      </c>
      <c r="GJ727">
        <v>0</v>
      </c>
      <c r="GK727">
        <f>ROUND(R727*(R12)/100,2)</f>
        <v>0</v>
      </c>
      <c r="GL727">
        <f t="shared" si="593"/>
        <v>0</v>
      </c>
      <c r="GM727">
        <f t="shared" si="594"/>
        <v>105.21</v>
      </c>
      <c r="GN727">
        <f t="shared" si="595"/>
        <v>105.21</v>
      </c>
      <c r="GO727">
        <f t="shared" si="596"/>
        <v>0</v>
      </c>
      <c r="GP727">
        <f t="shared" si="597"/>
        <v>0</v>
      </c>
      <c r="GR727">
        <v>0</v>
      </c>
      <c r="GS727">
        <v>3</v>
      </c>
      <c r="GT727">
        <v>0</v>
      </c>
      <c r="GU727" t="s">
        <v>6</v>
      </c>
      <c r="GV727">
        <f t="shared" si="598"/>
        <v>0</v>
      </c>
      <c r="GW727">
        <v>1</v>
      </c>
      <c r="GX727">
        <f t="shared" si="599"/>
        <v>0</v>
      </c>
      <c r="HA727">
        <v>0</v>
      </c>
      <c r="HB727">
        <v>0</v>
      </c>
      <c r="IK727">
        <v>0</v>
      </c>
    </row>
    <row r="728" spans="1:245" x14ac:dyDescent="0.2">
      <c r="A728">
        <v>17</v>
      </c>
      <c r="B728">
        <v>1</v>
      </c>
      <c r="C728">
        <f>ROW(SmtRes!A1020)</f>
        <v>1020</v>
      </c>
      <c r="D728">
        <f>ROW(EtalonRes!A966)</f>
        <v>966</v>
      </c>
      <c r="E728" t="s">
        <v>1203</v>
      </c>
      <c r="F728" t="s">
        <v>1204</v>
      </c>
      <c r="G728" t="s">
        <v>1205</v>
      </c>
      <c r="H728" t="s">
        <v>740</v>
      </c>
      <c r="I728">
        <f>ROUND(34/10,9)</f>
        <v>3.4</v>
      </c>
      <c r="J728">
        <v>0</v>
      </c>
      <c r="O728">
        <f t="shared" si="567"/>
        <v>3379.72</v>
      </c>
      <c r="P728">
        <f t="shared" si="568"/>
        <v>2002.45</v>
      </c>
      <c r="Q728">
        <f t="shared" si="569"/>
        <v>481.54</v>
      </c>
      <c r="R728">
        <f t="shared" si="570"/>
        <v>80.959999999999994</v>
      </c>
      <c r="S728">
        <f t="shared" si="571"/>
        <v>895.73</v>
      </c>
      <c r="T728">
        <f t="shared" si="572"/>
        <v>0</v>
      </c>
      <c r="U728">
        <f t="shared" si="573"/>
        <v>13.763199999999999</v>
      </c>
      <c r="V728">
        <f t="shared" si="574"/>
        <v>1.0625</v>
      </c>
      <c r="W728">
        <f t="shared" si="575"/>
        <v>0</v>
      </c>
      <c r="X728">
        <f t="shared" si="576"/>
        <v>879.02</v>
      </c>
      <c r="Y728">
        <f t="shared" si="577"/>
        <v>586.01</v>
      </c>
      <c r="AA728">
        <v>16742901</v>
      </c>
      <c r="AB728">
        <f t="shared" si="578"/>
        <v>151.53</v>
      </c>
      <c r="AC728">
        <f t="shared" si="600"/>
        <v>89.78</v>
      </c>
      <c r="AD728">
        <f>ROUND(((((ET728*1.25))-((EU728*1.25)))+AE728),2)</f>
        <v>21.59</v>
      </c>
      <c r="AE728">
        <f>ROUND(((EU728*1.25)),2)</f>
        <v>3.63</v>
      </c>
      <c r="AF728">
        <f>ROUND(((EV728*1.15)),2)</f>
        <v>40.159999999999997</v>
      </c>
      <c r="AG728">
        <f t="shared" si="579"/>
        <v>0</v>
      </c>
      <c r="AH728">
        <f>((EW728*1.15))</f>
        <v>4.048</v>
      </c>
      <c r="AI728">
        <f>((EX728*1.25))</f>
        <v>0.3125</v>
      </c>
      <c r="AJ728">
        <f t="shared" si="580"/>
        <v>0</v>
      </c>
      <c r="AK728">
        <v>141.97</v>
      </c>
      <c r="AL728">
        <v>89.78</v>
      </c>
      <c r="AM728">
        <v>17.27</v>
      </c>
      <c r="AN728">
        <v>2.9</v>
      </c>
      <c r="AO728">
        <v>34.92</v>
      </c>
      <c r="AP728">
        <v>0</v>
      </c>
      <c r="AQ728">
        <v>3.52</v>
      </c>
      <c r="AR728">
        <v>0.25</v>
      </c>
      <c r="AS728">
        <v>0</v>
      </c>
      <c r="AT728">
        <v>90</v>
      </c>
      <c r="AU728">
        <v>60</v>
      </c>
      <c r="AV728">
        <v>1</v>
      </c>
      <c r="AW728">
        <v>1</v>
      </c>
      <c r="AZ728">
        <v>6.56</v>
      </c>
      <c r="BA728">
        <v>6.56</v>
      </c>
      <c r="BB728">
        <v>6.56</v>
      </c>
      <c r="BC728">
        <v>6.56</v>
      </c>
      <c r="BD728" t="s">
        <v>6</v>
      </c>
      <c r="BE728" t="s">
        <v>6</v>
      </c>
      <c r="BF728" t="s">
        <v>6</v>
      </c>
      <c r="BG728" t="s">
        <v>6</v>
      </c>
      <c r="BH728">
        <v>0</v>
      </c>
      <c r="BI728">
        <v>1</v>
      </c>
      <c r="BJ728" t="s">
        <v>1206</v>
      </c>
      <c r="BM728">
        <v>26001</v>
      </c>
      <c r="BN728">
        <v>0</v>
      </c>
      <c r="BO728" t="s">
        <v>6</v>
      </c>
      <c r="BP728">
        <v>0</v>
      </c>
      <c r="BQ728">
        <v>2</v>
      </c>
      <c r="BR728">
        <v>0</v>
      </c>
      <c r="BS728">
        <v>6.56</v>
      </c>
      <c r="BT728">
        <v>1</v>
      </c>
      <c r="BU728">
        <v>1</v>
      </c>
      <c r="BV728">
        <v>1</v>
      </c>
      <c r="BW728">
        <v>1</v>
      </c>
      <c r="BX728">
        <v>1</v>
      </c>
      <c r="BY728" t="s">
        <v>6</v>
      </c>
      <c r="BZ728">
        <v>100</v>
      </c>
      <c r="CA728">
        <v>70</v>
      </c>
      <c r="CF728">
        <v>0</v>
      </c>
      <c r="CG728">
        <v>0</v>
      </c>
      <c r="CM728">
        <v>0</v>
      </c>
      <c r="CN728" t="s">
        <v>1902</v>
      </c>
      <c r="CO728">
        <v>0</v>
      </c>
      <c r="CP728">
        <f t="shared" si="581"/>
        <v>3379.7200000000003</v>
      </c>
      <c r="CQ728">
        <f t="shared" si="582"/>
        <v>588.95679999999993</v>
      </c>
      <c r="CR728">
        <f t="shared" si="583"/>
        <v>141.63039999999998</v>
      </c>
      <c r="CS728">
        <f t="shared" si="584"/>
        <v>23.812799999999999</v>
      </c>
      <c r="CT728">
        <f t="shared" si="585"/>
        <v>263.44959999999998</v>
      </c>
      <c r="CU728">
        <f t="shared" si="586"/>
        <v>0</v>
      </c>
      <c r="CV728">
        <f t="shared" si="587"/>
        <v>4.048</v>
      </c>
      <c r="CW728">
        <f t="shared" si="588"/>
        <v>0.3125</v>
      </c>
      <c r="CX728">
        <f t="shared" si="589"/>
        <v>0</v>
      </c>
      <c r="CY728">
        <f t="shared" si="590"/>
        <v>879.02100000000007</v>
      </c>
      <c r="CZ728">
        <f t="shared" si="591"/>
        <v>586.01400000000001</v>
      </c>
      <c r="DC728" t="s">
        <v>6</v>
      </c>
      <c r="DD728" t="s">
        <v>6</v>
      </c>
      <c r="DE728" t="s">
        <v>187</v>
      </c>
      <c r="DF728" t="s">
        <v>187</v>
      </c>
      <c r="DG728" t="s">
        <v>188</v>
      </c>
      <c r="DH728" t="s">
        <v>6</v>
      </c>
      <c r="DI728" t="s">
        <v>188</v>
      </c>
      <c r="DJ728" t="s">
        <v>187</v>
      </c>
      <c r="DK728" t="s">
        <v>6</v>
      </c>
      <c r="DL728" t="s">
        <v>6</v>
      </c>
      <c r="DM728" t="s">
        <v>6</v>
      </c>
      <c r="DN728">
        <v>0</v>
      </c>
      <c r="DO728">
        <v>0</v>
      </c>
      <c r="DP728">
        <v>1</v>
      </c>
      <c r="DQ728">
        <v>1</v>
      </c>
      <c r="DU728">
        <v>1003</v>
      </c>
      <c r="DV728" t="s">
        <v>740</v>
      </c>
      <c r="DW728" t="s">
        <v>740</v>
      </c>
      <c r="DX728">
        <v>10</v>
      </c>
      <c r="EE728">
        <v>16510527</v>
      </c>
      <c r="EF728">
        <v>2</v>
      </c>
      <c r="EG728" t="s">
        <v>22</v>
      </c>
      <c r="EH728">
        <v>0</v>
      </c>
      <c r="EI728" t="s">
        <v>6</v>
      </c>
      <c r="EJ728">
        <v>1</v>
      </c>
      <c r="EK728">
        <v>26001</v>
      </c>
      <c r="EL728" t="s">
        <v>1207</v>
      </c>
      <c r="EM728" t="s">
        <v>1208</v>
      </c>
      <c r="EO728" t="s">
        <v>189</v>
      </c>
      <c r="EQ728">
        <v>131072</v>
      </c>
      <c r="ER728">
        <v>141.97</v>
      </c>
      <c r="ES728">
        <v>89.78</v>
      </c>
      <c r="ET728">
        <v>17.27</v>
      </c>
      <c r="EU728">
        <v>2.9</v>
      </c>
      <c r="EV728">
        <v>34.92</v>
      </c>
      <c r="EW728">
        <v>3.52</v>
      </c>
      <c r="EX728">
        <v>0.25</v>
      </c>
      <c r="EY728">
        <v>0</v>
      </c>
      <c r="FQ728">
        <v>0</v>
      </c>
      <c r="FR728">
        <f t="shared" si="592"/>
        <v>0</v>
      </c>
      <c r="FS728">
        <v>0</v>
      </c>
      <c r="FT728" t="s">
        <v>25</v>
      </c>
      <c r="FU728" t="s">
        <v>26</v>
      </c>
      <c r="FX728">
        <v>90</v>
      </c>
      <c r="FY728">
        <v>59.5</v>
      </c>
      <c r="GA728" t="s">
        <v>6</v>
      </c>
      <c r="GD728">
        <v>0</v>
      </c>
      <c r="GF728">
        <v>-132543621</v>
      </c>
      <c r="GG728">
        <v>1</v>
      </c>
      <c r="GH728">
        <v>1</v>
      </c>
      <c r="GI728">
        <v>4</v>
      </c>
      <c r="GJ728">
        <v>0</v>
      </c>
      <c r="GK728">
        <f>ROUND(R728*(R12)/100,2)</f>
        <v>0</v>
      </c>
      <c r="GL728">
        <f t="shared" si="593"/>
        <v>0</v>
      </c>
      <c r="GM728">
        <f t="shared" si="594"/>
        <v>4844.75</v>
      </c>
      <c r="GN728">
        <f t="shared" si="595"/>
        <v>4844.75</v>
      </c>
      <c r="GO728">
        <f t="shared" si="596"/>
        <v>0</v>
      </c>
      <c r="GP728">
        <f t="shared" si="597"/>
        <v>0</v>
      </c>
      <c r="GR728">
        <v>0</v>
      </c>
      <c r="GS728">
        <v>3</v>
      </c>
      <c r="GT728">
        <v>0</v>
      </c>
      <c r="GU728" t="s">
        <v>6</v>
      </c>
      <c r="GV728">
        <f t="shared" si="598"/>
        <v>0</v>
      </c>
      <c r="GW728">
        <v>1</v>
      </c>
      <c r="GX728">
        <f t="shared" si="599"/>
        <v>0</v>
      </c>
      <c r="HA728">
        <v>0</v>
      </c>
      <c r="HB728">
        <v>0</v>
      </c>
      <c r="IK728">
        <v>0</v>
      </c>
    </row>
    <row r="729" spans="1:245" x14ac:dyDescent="0.2">
      <c r="A729">
        <v>18</v>
      </c>
      <c r="B729">
        <v>1</v>
      </c>
      <c r="C729">
        <v>1018</v>
      </c>
      <c r="E729" t="s">
        <v>1209</v>
      </c>
      <c r="F729" t="s">
        <v>1210</v>
      </c>
      <c r="G729" t="s">
        <v>1211</v>
      </c>
      <c r="H729" t="s">
        <v>34</v>
      </c>
      <c r="I729">
        <f>I728*J729</f>
        <v>0.374</v>
      </c>
      <c r="J729">
        <v>0.11</v>
      </c>
      <c r="O729">
        <f t="shared" si="567"/>
        <v>5679.49</v>
      </c>
      <c r="P729">
        <f t="shared" si="568"/>
        <v>5679.49</v>
      </c>
      <c r="Q729">
        <f t="shared" si="569"/>
        <v>0</v>
      </c>
      <c r="R729">
        <f t="shared" si="570"/>
        <v>0</v>
      </c>
      <c r="S729">
        <f t="shared" si="571"/>
        <v>0</v>
      </c>
      <c r="T729">
        <f t="shared" si="572"/>
        <v>0</v>
      </c>
      <c r="U729">
        <f t="shared" si="573"/>
        <v>0</v>
      </c>
      <c r="V729">
        <f t="shared" si="574"/>
        <v>0</v>
      </c>
      <c r="W729">
        <f t="shared" si="575"/>
        <v>0</v>
      </c>
      <c r="X729">
        <f t="shared" si="576"/>
        <v>0</v>
      </c>
      <c r="Y729">
        <f t="shared" si="577"/>
        <v>0</v>
      </c>
      <c r="AA729">
        <v>16742901</v>
      </c>
      <c r="AB729">
        <f t="shared" si="578"/>
        <v>2314.91</v>
      </c>
      <c r="AC729">
        <f t="shared" si="600"/>
        <v>2314.91</v>
      </c>
      <c r="AD729">
        <f>ROUND((((ET729)-(EU729))+AE729),2)</f>
        <v>0</v>
      </c>
      <c r="AE729">
        <f>ROUND((EU729),2)</f>
        <v>0</v>
      </c>
      <c r="AF729">
        <f>ROUND((EV729),2)</f>
        <v>0</v>
      </c>
      <c r="AG729">
        <f t="shared" si="579"/>
        <v>0</v>
      </c>
      <c r="AH729">
        <f>(EW729)</f>
        <v>0</v>
      </c>
      <c r="AI729">
        <f>(EX729)</f>
        <v>0</v>
      </c>
      <c r="AJ729">
        <f t="shared" si="580"/>
        <v>0</v>
      </c>
      <c r="AK729">
        <v>2314.91</v>
      </c>
      <c r="AL729">
        <v>2314.91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90</v>
      </c>
      <c r="AU729">
        <v>60</v>
      </c>
      <c r="AV729">
        <v>1</v>
      </c>
      <c r="AW729">
        <v>1</v>
      </c>
      <c r="AZ729">
        <v>6.56</v>
      </c>
      <c r="BA729">
        <v>1</v>
      </c>
      <c r="BB729">
        <v>1</v>
      </c>
      <c r="BC729">
        <v>6.56</v>
      </c>
      <c r="BD729" t="s">
        <v>6</v>
      </c>
      <c r="BE729" t="s">
        <v>6</v>
      </c>
      <c r="BF729" t="s">
        <v>6</v>
      </c>
      <c r="BG729" t="s">
        <v>6</v>
      </c>
      <c r="BH729">
        <v>3</v>
      </c>
      <c r="BI729">
        <v>1</v>
      </c>
      <c r="BJ729" t="s">
        <v>1212</v>
      </c>
      <c r="BM729">
        <v>26001</v>
      </c>
      <c r="BN729">
        <v>0</v>
      </c>
      <c r="BO729" t="s">
        <v>6</v>
      </c>
      <c r="BP729">
        <v>0</v>
      </c>
      <c r="BQ729">
        <v>2</v>
      </c>
      <c r="BR729">
        <v>0</v>
      </c>
      <c r="BS729">
        <v>1</v>
      </c>
      <c r="BT729">
        <v>1</v>
      </c>
      <c r="BU729">
        <v>1</v>
      </c>
      <c r="BV729">
        <v>1</v>
      </c>
      <c r="BW729">
        <v>1</v>
      </c>
      <c r="BX729">
        <v>1</v>
      </c>
      <c r="BY729" t="s">
        <v>6</v>
      </c>
      <c r="BZ729">
        <v>100</v>
      </c>
      <c r="CA729">
        <v>70</v>
      </c>
      <c r="CF729">
        <v>0</v>
      </c>
      <c r="CG729">
        <v>0</v>
      </c>
      <c r="CM729">
        <v>0</v>
      </c>
      <c r="CN729" t="s">
        <v>6</v>
      </c>
      <c r="CO729">
        <v>0</v>
      </c>
      <c r="CP729">
        <f t="shared" si="581"/>
        <v>5679.49</v>
      </c>
      <c r="CQ729">
        <f t="shared" si="582"/>
        <v>15185.809599999999</v>
      </c>
      <c r="CR729">
        <f t="shared" si="583"/>
        <v>0</v>
      </c>
      <c r="CS729">
        <f t="shared" si="584"/>
        <v>0</v>
      </c>
      <c r="CT729">
        <f t="shared" si="585"/>
        <v>0</v>
      </c>
      <c r="CU729">
        <f t="shared" si="586"/>
        <v>0</v>
      </c>
      <c r="CV729">
        <f t="shared" si="587"/>
        <v>0</v>
      </c>
      <c r="CW729">
        <f t="shared" si="588"/>
        <v>0</v>
      </c>
      <c r="CX729">
        <f t="shared" si="589"/>
        <v>0</v>
      </c>
      <c r="CY729">
        <f t="shared" si="590"/>
        <v>0</v>
      </c>
      <c r="CZ729">
        <f t="shared" si="591"/>
        <v>0</v>
      </c>
      <c r="DC729" t="s">
        <v>6</v>
      </c>
      <c r="DD729" t="s">
        <v>6</v>
      </c>
      <c r="DE729" t="s">
        <v>6</v>
      </c>
      <c r="DF729" t="s">
        <v>6</v>
      </c>
      <c r="DG729" t="s">
        <v>6</v>
      </c>
      <c r="DH729" t="s">
        <v>6</v>
      </c>
      <c r="DI729" t="s">
        <v>6</v>
      </c>
      <c r="DJ729" t="s">
        <v>6</v>
      </c>
      <c r="DK729" t="s">
        <v>6</v>
      </c>
      <c r="DL729" t="s">
        <v>6</v>
      </c>
      <c r="DM729" t="s">
        <v>6</v>
      </c>
      <c r="DN729">
        <v>0</v>
      </c>
      <c r="DO729">
        <v>0</v>
      </c>
      <c r="DP729">
        <v>1</v>
      </c>
      <c r="DQ729">
        <v>1</v>
      </c>
      <c r="DU729">
        <v>1003</v>
      </c>
      <c r="DV729" t="s">
        <v>34</v>
      </c>
      <c r="DW729" t="s">
        <v>34</v>
      </c>
      <c r="DX729">
        <v>100</v>
      </c>
      <c r="EE729">
        <v>16510527</v>
      </c>
      <c r="EF729">
        <v>2</v>
      </c>
      <c r="EG729" t="s">
        <v>22</v>
      </c>
      <c r="EH729">
        <v>0</v>
      </c>
      <c r="EI729" t="s">
        <v>6</v>
      </c>
      <c r="EJ729">
        <v>1</v>
      </c>
      <c r="EK729">
        <v>26001</v>
      </c>
      <c r="EL729" t="s">
        <v>1207</v>
      </c>
      <c r="EM729" t="s">
        <v>1208</v>
      </c>
      <c r="EO729" t="s">
        <v>6</v>
      </c>
      <c r="EQ729">
        <v>0</v>
      </c>
      <c r="ER729">
        <v>2314.91</v>
      </c>
      <c r="ES729">
        <v>2314.91</v>
      </c>
      <c r="ET729">
        <v>0</v>
      </c>
      <c r="EU729">
        <v>0</v>
      </c>
      <c r="EV729">
        <v>0</v>
      </c>
      <c r="EW729">
        <v>0</v>
      </c>
      <c r="EX729">
        <v>0</v>
      </c>
      <c r="FQ729">
        <v>0</v>
      </c>
      <c r="FR729">
        <f t="shared" si="592"/>
        <v>0</v>
      </c>
      <c r="FS729">
        <v>0</v>
      </c>
      <c r="FT729" t="s">
        <v>25</v>
      </c>
      <c r="FU729" t="s">
        <v>26</v>
      </c>
      <c r="FX729">
        <v>90</v>
      </c>
      <c r="FY729">
        <v>59.5</v>
      </c>
      <c r="GA729" t="s">
        <v>6</v>
      </c>
      <c r="GD729">
        <v>0</v>
      </c>
      <c r="GF729">
        <v>1427324163</v>
      </c>
      <c r="GG729">
        <v>1</v>
      </c>
      <c r="GH729">
        <v>1</v>
      </c>
      <c r="GI729">
        <v>4</v>
      </c>
      <c r="GJ729">
        <v>0</v>
      </c>
      <c r="GK729">
        <f>ROUND(R729*(R12)/100,2)</f>
        <v>0</v>
      </c>
      <c r="GL729">
        <f t="shared" si="593"/>
        <v>0</v>
      </c>
      <c r="GM729">
        <f t="shared" si="594"/>
        <v>5679.49</v>
      </c>
      <c r="GN729">
        <f t="shared" si="595"/>
        <v>5679.49</v>
      </c>
      <c r="GO729">
        <f t="shared" si="596"/>
        <v>0</v>
      </c>
      <c r="GP729">
        <f t="shared" si="597"/>
        <v>0</v>
      </c>
      <c r="GR729">
        <v>0</v>
      </c>
      <c r="GS729">
        <v>3</v>
      </c>
      <c r="GT729">
        <v>0</v>
      </c>
      <c r="GU729" t="s">
        <v>6</v>
      </c>
      <c r="GV729">
        <f t="shared" si="598"/>
        <v>0</v>
      </c>
      <c r="GW729">
        <v>1</v>
      </c>
      <c r="GX729">
        <f t="shared" si="599"/>
        <v>0</v>
      </c>
      <c r="HA729">
        <v>0</v>
      </c>
      <c r="HB729">
        <v>0</v>
      </c>
      <c r="IK729">
        <v>0</v>
      </c>
    </row>
    <row r="730" spans="1:245" x14ac:dyDescent="0.2">
      <c r="A730">
        <v>18</v>
      </c>
      <c r="B730">
        <v>1</v>
      </c>
      <c r="C730">
        <v>1017</v>
      </c>
      <c r="E730" t="s">
        <v>1213</v>
      </c>
      <c r="F730" t="s">
        <v>1214</v>
      </c>
      <c r="G730" t="s">
        <v>1215</v>
      </c>
      <c r="H730" t="s">
        <v>220</v>
      </c>
      <c r="I730">
        <f>I728*J730</f>
        <v>37.4</v>
      </c>
      <c r="J730">
        <v>11</v>
      </c>
      <c r="O730">
        <f t="shared" si="567"/>
        <v>0</v>
      </c>
      <c r="P730">
        <f t="shared" si="568"/>
        <v>0</v>
      </c>
      <c r="Q730">
        <f t="shared" si="569"/>
        <v>0</v>
      </c>
      <c r="R730">
        <f t="shared" si="570"/>
        <v>0</v>
      </c>
      <c r="S730">
        <f t="shared" si="571"/>
        <v>0</v>
      </c>
      <c r="T730">
        <f t="shared" si="572"/>
        <v>0</v>
      </c>
      <c r="U730">
        <f t="shared" si="573"/>
        <v>0</v>
      </c>
      <c r="V730">
        <f t="shared" si="574"/>
        <v>0</v>
      </c>
      <c r="W730">
        <f t="shared" si="575"/>
        <v>0</v>
      </c>
      <c r="X730">
        <f t="shared" si="576"/>
        <v>0</v>
      </c>
      <c r="Y730">
        <f t="shared" si="577"/>
        <v>0</v>
      </c>
      <c r="AA730">
        <v>16742901</v>
      </c>
      <c r="AB730">
        <f t="shared" si="578"/>
        <v>0</v>
      </c>
      <c r="AC730">
        <f t="shared" si="600"/>
        <v>0</v>
      </c>
      <c r="AD730">
        <f>ROUND((((ET730)-(EU730))+AE730),2)</f>
        <v>0</v>
      </c>
      <c r="AE730">
        <f>ROUND((EU730),2)</f>
        <v>0</v>
      </c>
      <c r="AF730">
        <f>ROUND((EV730),2)</f>
        <v>0</v>
      </c>
      <c r="AG730">
        <f t="shared" si="579"/>
        <v>0</v>
      </c>
      <c r="AH730">
        <f>(EW730)</f>
        <v>0</v>
      </c>
      <c r="AI730">
        <f>(EX730)</f>
        <v>0</v>
      </c>
      <c r="AJ730">
        <f t="shared" si="580"/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90</v>
      </c>
      <c r="AU730">
        <v>60</v>
      </c>
      <c r="AV730">
        <v>1</v>
      </c>
      <c r="AW730">
        <v>1</v>
      </c>
      <c r="AZ730">
        <v>6.56</v>
      </c>
      <c r="BA730">
        <v>1</v>
      </c>
      <c r="BB730">
        <v>1</v>
      </c>
      <c r="BC730">
        <v>6.56</v>
      </c>
      <c r="BD730" t="s">
        <v>6</v>
      </c>
      <c r="BE730" t="s">
        <v>6</v>
      </c>
      <c r="BF730" t="s">
        <v>6</v>
      </c>
      <c r="BG730" t="s">
        <v>6</v>
      </c>
      <c r="BH730">
        <v>3</v>
      </c>
      <c r="BI730">
        <v>1</v>
      </c>
      <c r="BJ730" t="s">
        <v>6</v>
      </c>
      <c r="BM730">
        <v>26001</v>
      </c>
      <c r="BN730">
        <v>0</v>
      </c>
      <c r="BO730" t="s">
        <v>6</v>
      </c>
      <c r="BP730">
        <v>0</v>
      </c>
      <c r="BQ730">
        <v>2</v>
      </c>
      <c r="BR730">
        <v>0</v>
      </c>
      <c r="BS730">
        <v>1</v>
      </c>
      <c r="BT730">
        <v>1</v>
      </c>
      <c r="BU730">
        <v>1</v>
      </c>
      <c r="BV730">
        <v>1</v>
      </c>
      <c r="BW730">
        <v>1</v>
      </c>
      <c r="BX730">
        <v>1</v>
      </c>
      <c r="BY730" t="s">
        <v>6</v>
      </c>
      <c r="BZ730">
        <v>100</v>
      </c>
      <c r="CA730">
        <v>70</v>
      </c>
      <c r="CF730">
        <v>0</v>
      </c>
      <c r="CG730">
        <v>0</v>
      </c>
      <c r="CM730">
        <v>0</v>
      </c>
      <c r="CN730" t="s">
        <v>6</v>
      </c>
      <c r="CO730">
        <v>0</v>
      </c>
      <c r="CP730">
        <f t="shared" si="581"/>
        <v>0</v>
      </c>
      <c r="CQ730">
        <f t="shared" si="582"/>
        <v>0</v>
      </c>
      <c r="CR730">
        <f t="shared" si="583"/>
        <v>0</v>
      </c>
      <c r="CS730">
        <f t="shared" si="584"/>
        <v>0</v>
      </c>
      <c r="CT730">
        <f t="shared" si="585"/>
        <v>0</v>
      </c>
      <c r="CU730">
        <f t="shared" si="586"/>
        <v>0</v>
      </c>
      <c r="CV730">
        <f t="shared" si="587"/>
        <v>0</v>
      </c>
      <c r="CW730">
        <f t="shared" si="588"/>
        <v>0</v>
      </c>
      <c r="CX730">
        <f t="shared" si="589"/>
        <v>0</v>
      </c>
      <c r="CY730">
        <f t="shared" si="590"/>
        <v>0</v>
      </c>
      <c r="CZ730">
        <f t="shared" si="591"/>
        <v>0</v>
      </c>
      <c r="DC730" t="s">
        <v>6</v>
      </c>
      <c r="DD730" t="s">
        <v>6</v>
      </c>
      <c r="DE730" t="s">
        <v>6</v>
      </c>
      <c r="DF730" t="s">
        <v>6</v>
      </c>
      <c r="DG730" t="s">
        <v>6</v>
      </c>
      <c r="DH730" t="s">
        <v>6</v>
      </c>
      <c r="DI730" t="s">
        <v>6</v>
      </c>
      <c r="DJ730" t="s">
        <v>6</v>
      </c>
      <c r="DK730" t="s">
        <v>6</v>
      </c>
      <c r="DL730" t="s">
        <v>6</v>
      </c>
      <c r="DM730" t="s">
        <v>6</v>
      </c>
      <c r="DN730">
        <v>0</v>
      </c>
      <c r="DO730">
        <v>0</v>
      </c>
      <c r="DP730">
        <v>1</v>
      </c>
      <c r="DQ730">
        <v>1</v>
      </c>
      <c r="DU730">
        <v>1003</v>
      </c>
      <c r="DV730" t="s">
        <v>220</v>
      </c>
      <c r="DW730" t="s">
        <v>220</v>
      </c>
      <c r="DX730">
        <v>1</v>
      </c>
      <c r="EE730">
        <v>16510527</v>
      </c>
      <c r="EF730">
        <v>2</v>
      </c>
      <c r="EG730" t="s">
        <v>22</v>
      </c>
      <c r="EH730">
        <v>0</v>
      </c>
      <c r="EI730" t="s">
        <v>6</v>
      </c>
      <c r="EJ730">
        <v>1</v>
      </c>
      <c r="EK730">
        <v>26001</v>
      </c>
      <c r="EL730" t="s">
        <v>1207</v>
      </c>
      <c r="EM730" t="s">
        <v>1208</v>
      </c>
      <c r="EO730" t="s">
        <v>6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0</v>
      </c>
      <c r="EW730">
        <v>0</v>
      </c>
      <c r="EX730">
        <v>0</v>
      </c>
      <c r="FQ730">
        <v>0</v>
      </c>
      <c r="FR730">
        <f t="shared" si="592"/>
        <v>0</v>
      </c>
      <c r="FS730">
        <v>0</v>
      </c>
      <c r="FT730" t="s">
        <v>25</v>
      </c>
      <c r="FU730" t="s">
        <v>26</v>
      </c>
      <c r="FX730">
        <v>90</v>
      </c>
      <c r="FY730">
        <v>59.5</v>
      </c>
      <c r="GA730" t="s">
        <v>6</v>
      </c>
      <c r="GD730">
        <v>0</v>
      </c>
      <c r="GF730">
        <v>1915593491</v>
      </c>
      <c r="GG730">
        <v>1</v>
      </c>
      <c r="GH730">
        <v>1</v>
      </c>
      <c r="GI730">
        <v>4</v>
      </c>
      <c r="GJ730">
        <v>0</v>
      </c>
      <c r="GK730">
        <f>ROUND(R730*(R12)/100,2)</f>
        <v>0</v>
      </c>
      <c r="GL730">
        <f t="shared" si="593"/>
        <v>0</v>
      </c>
      <c r="GM730">
        <f t="shared" si="594"/>
        <v>0</v>
      </c>
      <c r="GN730">
        <f t="shared" si="595"/>
        <v>0</v>
      </c>
      <c r="GO730">
        <f t="shared" si="596"/>
        <v>0</v>
      </c>
      <c r="GP730">
        <f t="shared" si="597"/>
        <v>0</v>
      </c>
      <c r="GR730">
        <v>0</v>
      </c>
      <c r="GS730">
        <v>3</v>
      </c>
      <c r="GT730">
        <v>0</v>
      </c>
      <c r="GU730" t="s">
        <v>6</v>
      </c>
      <c r="GV730">
        <f t="shared" si="598"/>
        <v>0</v>
      </c>
      <c r="GW730">
        <v>1</v>
      </c>
      <c r="GX730">
        <f t="shared" si="599"/>
        <v>0</v>
      </c>
      <c r="HA730">
        <v>0</v>
      </c>
      <c r="HB730">
        <v>0</v>
      </c>
      <c r="IK730">
        <v>0</v>
      </c>
    </row>
    <row r="732" spans="1:245" x14ac:dyDescent="0.2">
      <c r="A732" s="2">
        <v>51</v>
      </c>
      <c r="B732" s="2">
        <f>B710</f>
        <v>1</v>
      </c>
      <c r="C732" s="2">
        <f>A710</f>
        <v>4</v>
      </c>
      <c r="D732" s="2">
        <f>ROW(A710)</f>
        <v>710</v>
      </c>
      <c r="E732" s="2"/>
      <c r="F732" s="2" t="str">
        <f>IF(F710&lt;&gt;"",F710,"")</f>
        <v>Новый раздел</v>
      </c>
      <c r="G732" s="2" t="str">
        <f>IF(G710&lt;&gt;"",G710,"")</f>
        <v>8 Канализация</v>
      </c>
      <c r="H732" s="2">
        <v>0</v>
      </c>
      <c r="I732" s="2"/>
      <c r="J732" s="2"/>
      <c r="K732" s="2"/>
      <c r="L732" s="2"/>
      <c r="M732" s="2"/>
      <c r="N732" s="2"/>
      <c r="O732" s="2">
        <f t="shared" ref="O732:T732" si="601">ROUND(AB732,2)</f>
        <v>62268</v>
      </c>
      <c r="P732" s="2">
        <f t="shared" si="601"/>
        <v>55468.41</v>
      </c>
      <c r="Q732" s="2">
        <f t="shared" si="601"/>
        <v>736.71</v>
      </c>
      <c r="R732" s="2">
        <f t="shared" si="601"/>
        <v>145.99</v>
      </c>
      <c r="S732" s="2">
        <f t="shared" si="601"/>
        <v>6062.88</v>
      </c>
      <c r="T732" s="2">
        <f t="shared" si="601"/>
        <v>0</v>
      </c>
      <c r="U732" s="2">
        <f>AH732</f>
        <v>98.576779999999999</v>
      </c>
      <c r="V732" s="2">
        <f>AI732</f>
        <v>1.8482249999999998</v>
      </c>
      <c r="W732" s="2">
        <f>ROUND(AJ732,2)</f>
        <v>0</v>
      </c>
      <c r="X732" s="2">
        <f>ROUND(AK732,2)</f>
        <v>6173.15</v>
      </c>
      <c r="Y732" s="2">
        <f>ROUND(AL732,2)</f>
        <v>3930.6</v>
      </c>
      <c r="Z732" s="2"/>
      <c r="AA732" s="2"/>
      <c r="AB732" s="2">
        <f>ROUND(SUMIF(AA714:AA730,"=16742901",O714:O730),2)</f>
        <v>62268</v>
      </c>
      <c r="AC732" s="2">
        <f>ROUND(SUMIF(AA714:AA730,"=16742901",P714:P730),2)</f>
        <v>55468.41</v>
      </c>
      <c r="AD732" s="2">
        <f>ROUND(SUMIF(AA714:AA730,"=16742901",Q714:Q730),2)</f>
        <v>736.71</v>
      </c>
      <c r="AE732" s="2">
        <f>ROUND(SUMIF(AA714:AA730,"=16742901",R714:R730),2)</f>
        <v>145.99</v>
      </c>
      <c r="AF732" s="2">
        <f>ROUND(SUMIF(AA714:AA730,"=16742901",S714:S730),2)</f>
        <v>6062.88</v>
      </c>
      <c r="AG732" s="2">
        <f>ROUND(SUMIF(AA714:AA730,"=16742901",T714:T730),2)</f>
        <v>0</v>
      </c>
      <c r="AH732" s="2">
        <f>SUMIF(AA714:AA730,"=16742901",U714:U730)</f>
        <v>98.576779999999999</v>
      </c>
      <c r="AI732" s="2">
        <f>SUMIF(AA714:AA730,"=16742901",V714:V730)</f>
        <v>1.8482249999999998</v>
      </c>
      <c r="AJ732" s="2">
        <f>ROUND(SUMIF(AA714:AA730,"=16742901",W714:W730),2)</f>
        <v>0</v>
      </c>
      <c r="AK732" s="2">
        <f>ROUND(SUMIF(AA714:AA730,"=16742901",X714:X730),2)</f>
        <v>6173.15</v>
      </c>
      <c r="AL732" s="2">
        <f>ROUND(SUMIF(AA714:AA730,"=16742901",Y714:Y730),2)</f>
        <v>3930.6</v>
      </c>
      <c r="AM732" s="2"/>
      <c r="AN732" s="2"/>
      <c r="AO732" s="2">
        <f t="shared" ref="AO732:BC732" si="602">ROUND(BX732,2)</f>
        <v>0</v>
      </c>
      <c r="AP732" s="2">
        <f t="shared" si="602"/>
        <v>0</v>
      </c>
      <c r="AQ732" s="2">
        <f t="shared" si="602"/>
        <v>0</v>
      </c>
      <c r="AR732" s="2">
        <f t="shared" si="602"/>
        <v>72371.75</v>
      </c>
      <c r="AS732" s="2">
        <f t="shared" si="602"/>
        <v>72371.75</v>
      </c>
      <c r="AT732" s="2">
        <f t="shared" si="602"/>
        <v>0</v>
      </c>
      <c r="AU732" s="2">
        <f t="shared" si="602"/>
        <v>0</v>
      </c>
      <c r="AV732" s="2">
        <f t="shared" si="602"/>
        <v>55468.41</v>
      </c>
      <c r="AW732" s="2">
        <f t="shared" si="602"/>
        <v>55468.41</v>
      </c>
      <c r="AX732" s="2">
        <f t="shared" si="602"/>
        <v>0</v>
      </c>
      <c r="AY732" s="2">
        <f t="shared" si="602"/>
        <v>55468.41</v>
      </c>
      <c r="AZ732" s="2">
        <f t="shared" si="602"/>
        <v>0</v>
      </c>
      <c r="BA732" s="2">
        <f t="shared" si="602"/>
        <v>0</v>
      </c>
      <c r="BB732" s="2">
        <f t="shared" si="602"/>
        <v>0</v>
      </c>
      <c r="BC732" s="2">
        <f t="shared" si="602"/>
        <v>0</v>
      </c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>
        <f>ROUND(SUMIF(AA714:AA730,"=16742901",FQ714:FQ730),2)</f>
        <v>0</v>
      </c>
      <c r="BY732" s="2">
        <f>ROUND(SUMIF(AA714:AA730,"=16742901",FR714:FR730),2)</f>
        <v>0</v>
      </c>
      <c r="BZ732" s="2">
        <f>ROUND(SUMIF(AA714:AA730,"=16742901",GL714:GL730),2)</f>
        <v>0</v>
      </c>
      <c r="CA732" s="2">
        <f>ROUND(SUMIF(AA714:AA730,"=16742901",GM714:GM730),2)</f>
        <v>72371.75</v>
      </c>
      <c r="CB732" s="2">
        <f>ROUND(SUMIF(AA714:AA730,"=16742901",GN714:GN730),2)</f>
        <v>72371.75</v>
      </c>
      <c r="CC732" s="2">
        <f>ROUND(SUMIF(AA714:AA730,"=16742901",GO714:GO730),2)</f>
        <v>0</v>
      </c>
      <c r="CD732" s="2">
        <f>ROUND(SUMIF(AA714:AA730,"=16742901",GP714:GP730),2)</f>
        <v>0</v>
      </c>
      <c r="CE732" s="2">
        <f>AC732-BX732</f>
        <v>55468.41</v>
      </c>
      <c r="CF732" s="2">
        <f>AC732-BY732</f>
        <v>55468.41</v>
      </c>
      <c r="CG732" s="2">
        <f>BX732-BZ732</f>
        <v>0</v>
      </c>
      <c r="CH732" s="2">
        <f>AC732-BX732-BY732+BZ732</f>
        <v>55468.41</v>
      </c>
      <c r="CI732" s="2">
        <f>BY732-BZ732</f>
        <v>0</v>
      </c>
      <c r="CJ732" s="2">
        <f>ROUND(SUMIF(AA714:AA730,"=16742901",GX714:GX730),2)</f>
        <v>0</v>
      </c>
      <c r="CK732" s="2">
        <f>ROUND(SUMIF(AA714:AA730,"=16742901",GY714:GY730),2)</f>
        <v>0</v>
      </c>
      <c r="CL732" s="2">
        <f>ROUND(SUMIF(AA714:AA730,"=16742901",GZ714:GZ730),2)</f>
        <v>0</v>
      </c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  <c r="FS732" s="3"/>
      <c r="FT732" s="3"/>
      <c r="FU732" s="3"/>
      <c r="FV732" s="3"/>
      <c r="FW732" s="3"/>
      <c r="FX732" s="3"/>
      <c r="FY732" s="3"/>
      <c r="FZ732" s="3"/>
      <c r="GA732" s="3"/>
      <c r="GB732" s="3"/>
      <c r="GC732" s="3"/>
      <c r="GD732" s="3"/>
      <c r="GE732" s="3"/>
      <c r="GF732" s="3"/>
      <c r="GG732" s="3"/>
      <c r="GH732" s="3"/>
      <c r="GI732" s="3"/>
      <c r="GJ732" s="3"/>
      <c r="GK732" s="3"/>
      <c r="GL732" s="3"/>
      <c r="GM732" s="3"/>
      <c r="GN732" s="3"/>
      <c r="GO732" s="3"/>
      <c r="GP732" s="3"/>
      <c r="GQ732" s="3"/>
      <c r="GR732" s="3"/>
      <c r="GS732" s="3"/>
      <c r="GT732" s="3"/>
      <c r="GU732" s="3"/>
      <c r="GV732" s="3"/>
      <c r="GW732" s="3"/>
      <c r="GX732" s="3">
        <v>0</v>
      </c>
    </row>
    <row r="734" spans="1:245" x14ac:dyDescent="0.2">
      <c r="A734" s="4">
        <v>50</v>
      </c>
      <c r="B734" s="4">
        <v>0</v>
      </c>
      <c r="C734" s="4">
        <v>0</v>
      </c>
      <c r="D734" s="4">
        <v>1</v>
      </c>
      <c r="E734" s="4">
        <v>201</v>
      </c>
      <c r="F734" s="4">
        <f>ROUND(Source!O732,O734)</f>
        <v>62268</v>
      </c>
      <c r="G734" s="4" t="s">
        <v>130</v>
      </c>
      <c r="H734" s="4" t="s">
        <v>131</v>
      </c>
      <c r="I734" s="4"/>
      <c r="J734" s="4"/>
      <c r="K734" s="4">
        <v>201</v>
      </c>
      <c r="L734" s="4">
        <v>1</v>
      </c>
      <c r="M734" s="4">
        <v>3</v>
      </c>
      <c r="N734" s="4" t="s">
        <v>6</v>
      </c>
      <c r="O734" s="4">
        <v>2</v>
      </c>
      <c r="P734" s="4"/>
      <c r="Q734" s="4"/>
      <c r="R734" s="4"/>
      <c r="S734" s="4"/>
      <c r="T734" s="4"/>
      <c r="U734" s="4"/>
      <c r="V734" s="4"/>
      <c r="W734" s="4"/>
    </row>
    <row r="735" spans="1:245" x14ac:dyDescent="0.2">
      <c r="A735" s="4">
        <v>50</v>
      </c>
      <c r="B735" s="4">
        <v>0</v>
      </c>
      <c r="C735" s="4">
        <v>0</v>
      </c>
      <c r="D735" s="4">
        <v>1</v>
      </c>
      <c r="E735" s="4">
        <v>202</v>
      </c>
      <c r="F735" s="4">
        <f>ROUND(Source!P732,O735)</f>
        <v>55468.41</v>
      </c>
      <c r="G735" s="4" t="s">
        <v>132</v>
      </c>
      <c r="H735" s="4" t="s">
        <v>133</v>
      </c>
      <c r="I735" s="4"/>
      <c r="J735" s="4"/>
      <c r="K735" s="4">
        <v>202</v>
      </c>
      <c r="L735" s="4">
        <v>2</v>
      </c>
      <c r="M735" s="4">
        <v>3</v>
      </c>
      <c r="N735" s="4" t="s">
        <v>6</v>
      </c>
      <c r="O735" s="4">
        <v>2</v>
      </c>
      <c r="P735" s="4"/>
      <c r="Q735" s="4"/>
      <c r="R735" s="4"/>
      <c r="S735" s="4"/>
      <c r="T735" s="4"/>
      <c r="U735" s="4"/>
      <c r="V735" s="4"/>
      <c r="W735" s="4"/>
    </row>
    <row r="736" spans="1:245" x14ac:dyDescent="0.2">
      <c r="A736" s="4">
        <v>50</v>
      </c>
      <c r="B736" s="4">
        <v>0</v>
      </c>
      <c r="C736" s="4">
        <v>0</v>
      </c>
      <c r="D736" s="4">
        <v>1</v>
      </c>
      <c r="E736" s="4">
        <v>222</v>
      </c>
      <c r="F736" s="4">
        <f>ROUND(Source!AO732,O736)</f>
        <v>0</v>
      </c>
      <c r="G736" s="4" t="s">
        <v>134</v>
      </c>
      <c r="H736" s="4" t="s">
        <v>135</v>
      </c>
      <c r="I736" s="4"/>
      <c r="J736" s="4"/>
      <c r="K736" s="4">
        <v>222</v>
      </c>
      <c r="L736" s="4">
        <v>3</v>
      </c>
      <c r="M736" s="4">
        <v>3</v>
      </c>
      <c r="N736" s="4" t="s">
        <v>6</v>
      </c>
      <c r="O736" s="4">
        <v>2</v>
      </c>
      <c r="P736" s="4"/>
      <c r="Q736" s="4"/>
      <c r="R736" s="4"/>
      <c r="S736" s="4"/>
      <c r="T736" s="4"/>
      <c r="U736" s="4"/>
      <c r="V736" s="4"/>
      <c r="W736" s="4"/>
    </row>
    <row r="737" spans="1:23" x14ac:dyDescent="0.2">
      <c r="A737" s="4">
        <v>50</v>
      </c>
      <c r="B737" s="4">
        <v>0</v>
      </c>
      <c r="C737" s="4">
        <v>0</v>
      </c>
      <c r="D737" s="4">
        <v>1</v>
      </c>
      <c r="E737" s="4">
        <v>225</v>
      </c>
      <c r="F737" s="4">
        <f>ROUND(Source!AV732,O737)</f>
        <v>55468.41</v>
      </c>
      <c r="G737" s="4" t="s">
        <v>136</v>
      </c>
      <c r="H737" s="4" t="s">
        <v>137</v>
      </c>
      <c r="I737" s="4"/>
      <c r="J737" s="4"/>
      <c r="K737" s="4">
        <v>225</v>
      </c>
      <c r="L737" s="4">
        <v>4</v>
      </c>
      <c r="M737" s="4">
        <v>3</v>
      </c>
      <c r="N737" s="4" t="s">
        <v>6</v>
      </c>
      <c r="O737" s="4">
        <v>2</v>
      </c>
      <c r="P737" s="4"/>
      <c r="Q737" s="4"/>
      <c r="R737" s="4"/>
      <c r="S737" s="4"/>
      <c r="T737" s="4"/>
      <c r="U737" s="4"/>
      <c r="V737" s="4"/>
      <c r="W737" s="4"/>
    </row>
    <row r="738" spans="1:23" x14ac:dyDescent="0.2">
      <c r="A738" s="4">
        <v>50</v>
      </c>
      <c r="B738" s="4">
        <v>0</v>
      </c>
      <c r="C738" s="4">
        <v>0</v>
      </c>
      <c r="D738" s="4">
        <v>1</v>
      </c>
      <c r="E738" s="4">
        <v>226</v>
      </c>
      <c r="F738" s="4">
        <f>ROUND(Source!AW732,O738)</f>
        <v>55468.41</v>
      </c>
      <c r="G738" s="4" t="s">
        <v>138</v>
      </c>
      <c r="H738" s="4" t="s">
        <v>139</v>
      </c>
      <c r="I738" s="4"/>
      <c r="J738" s="4"/>
      <c r="K738" s="4">
        <v>226</v>
      </c>
      <c r="L738" s="4">
        <v>5</v>
      </c>
      <c r="M738" s="4">
        <v>3</v>
      </c>
      <c r="N738" s="4" t="s">
        <v>6</v>
      </c>
      <c r="O738" s="4">
        <v>2</v>
      </c>
      <c r="P738" s="4"/>
      <c r="Q738" s="4"/>
      <c r="R738" s="4"/>
      <c r="S738" s="4"/>
      <c r="T738" s="4"/>
      <c r="U738" s="4"/>
      <c r="V738" s="4"/>
      <c r="W738" s="4"/>
    </row>
    <row r="739" spans="1:23" x14ac:dyDescent="0.2">
      <c r="A739" s="4">
        <v>50</v>
      </c>
      <c r="B739" s="4">
        <v>0</v>
      </c>
      <c r="C739" s="4">
        <v>0</v>
      </c>
      <c r="D739" s="4">
        <v>1</v>
      </c>
      <c r="E739" s="4">
        <v>227</v>
      </c>
      <c r="F739" s="4">
        <f>ROUND(Source!AX732,O739)</f>
        <v>0</v>
      </c>
      <c r="G739" s="4" t="s">
        <v>140</v>
      </c>
      <c r="H739" s="4" t="s">
        <v>141</v>
      </c>
      <c r="I739" s="4"/>
      <c r="J739" s="4"/>
      <c r="K739" s="4">
        <v>227</v>
      </c>
      <c r="L739" s="4">
        <v>6</v>
      </c>
      <c r="M739" s="4">
        <v>3</v>
      </c>
      <c r="N739" s="4" t="s">
        <v>6</v>
      </c>
      <c r="O739" s="4">
        <v>2</v>
      </c>
      <c r="P739" s="4"/>
      <c r="Q739" s="4"/>
      <c r="R739" s="4"/>
      <c r="S739" s="4"/>
      <c r="T739" s="4"/>
      <c r="U739" s="4"/>
      <c r="V739" s="4"/>
      <c r="W739" s="4"/>
    </row>
    <row r="740" spans="1:23" x14ac:dyDescent="0.2">
      <c r="A740" s="4">
        <v>50</v>
      </c>
      <c r="B740" s="4">
        <v>0</v>
      </c>
      <c r="C740" s="4">
        <v>0</v>
      </c>
      <c r="D740" s="4">
        <v>1</v>
      </c>
      <c r="E740" s="4">
        <v>228</v>
      </c>
      <c r="F740" s="4">
        <f>ROUND(Source!AY732,O740)</f>
        <v>55468.41</v>
      </c>
      <c r="G740" s="4" t="s">
        <v>142</v>
      </c>
      <c r="H740" s="4" t="s">
        <v>143</v>
      </c>
      <c r="I740" s="4"/>
      <c r="J740" s="4"/>
      <c r="K740" s="4">
        <v>228</v>
      </c>
      <c r="L740" s="4">
        <v>7</v>
      </c>
      <c r="M740" s="4">
        <v>3</v>
      </c>
      <c r="N740" s="4" t="s">
        <v>6</v>
      </c>
      <c r="O740" s="4">
        <v>2</v>
      </c>
      <c r="P740" s="4"/>
      <c r="Q740" s="4"/>
      <c r="R740" s="4"/>
      <c r="S740" s="4"/>
      <c r="T740" s="4"/>
      <c r="U740" s="4"/>
      <c r="V740" s="4"/>
      <c r="W740" s="4"/>
    </row>
    <row r="741" spans="1:23" x14ac:dyDescent="0.2">
      <c r="A741" s="4">
        <v>50</v>
      </c>
      <c r="B741" s="4">
        <v>0</v>
      </c>
      <c r="C741" s="4">
        <v>0</v>
      </c>
      <c r="D741" s="4">
        <v>1</v>
      </c>
      <c r="E741" s="4">
        <v>216</v>
      </c>
      <c r="F741" s="4">
        <f>ROUND(Source!AP732,O741)</f>
        <v>0</v>
      </c>
      <c r="G741" s="4" t="s">
        <v>144</v>
      </c>
      <c r="H741" s="4" t="s">
        <v>145</v>
      </c>
      <c r="I741" s="4"/>
      <c r="J741" s="4"/>
      <c r="K741" s="4">
        <v>216</v>
      </c>
      <c r="L741" s="4">
        <v>8</v>
      </c>
      <c r="M741" s="4">
        <v>3</v>
      </c>
      <c r="N741" s="4" t="s">
        <v>6</v>
      </c>
      <c r="O741" s="4">
        <v>2</v>
      </c>
      <c r="P741" s="4"/>
      <c r="Q741" s="4"/>
      <c r="R741" s="4"/>
      <c r="S741" s="4"/>
      <c r="T741" s="4"/>
      <c r="U741" s="4"/>
      <c r="V741" s="4"/>
      <c r="W741" s="4"/>
    </row>
    <row r="742" spans="1:23" x14ac:dyDescent="0.2">
      <c r="A742" s="4">
        <v>50</v>
      </c>
      <c r="B742" s="4">
        <v>0</v>
      </c>
      <c r="C742" s="4">
        <v>0</v>
      </c>
      <c r="D742" s="4">
        <v>1</v>
      </c>
      <c r="E742" s="4">
        <v>223</v>
      </c>
      <c r="F742" s="4">
        <f>ROUND(Source!AQ732,O742)</f>
        <v>0</v>
      </c>
      <c r="G742" s="4" t="s">
        <v>146</v>
      </c>
      <c r="H742" s="4" t="s">
        <v>147</v>
      </c>
      <c r="I742" s="4"/>
      <c r="J742" s="4"/>
      <c r="K742" s="4">
        <v>223</v>
      </c>
      <c r="L742" s="4">
        <v>9</v>
      </c>
      <c r="M742" s="4">
        <v>3</v>
      </c>
      <c r="N742" s="4" t="s">
        <v>6</v>
      </c>
      <c r="O742" s="4">
        <v>2</v>
      </c>
      <c r="P742" s="4"/>
      <c r="Q742" s="4"/>
      <c r="R742" s="4"/>
      <c r="S742" s="4"/>
      <c r="T742" s="4"/>
      <c r="U742" s="4"/>
      <c r="V742" s="4"/>
      <c r="W742" s="4"/>
    </row>
    <row r="743" spans="1:23" x14ac:dyDescent="0.2">
      <c r="A743" s="4">
        <v>50</v>
      </c>
      <c r="B743" s="4">
        <v>0</v>
      </c>
      <c r="C743" s="4">
        <v>0</v>
      </c>
      <c r="D743" s="4">
        <v>1</v>
      </c>
      <c r="E743" s="4">
        <v>229</v>
      </c>
      <c r="F743" s="4">
        <f>ROUND(Source!AZ732,O743)</f>
        <v>0</v>
      </c>
      <c r="G743" s="4" t="s">
        <v>148</v>
      </c>
      <c r="H743" s="4" t="s">
        <v>149</v>
      </c>
      <c r="I743" s="4"/>
      <c r="J743" s="4"/>
      <c r="K743" s="4">
        <v>229</v>
      </c>
      <c r="L743" s="4">
        <v>10</v>
      </c>
      <c r="M743" s="4">
        <v>3</v>
      </c>
      <c r="N743" s="4" t="s">
        <v>6</v>
      </c>
      <c r="O743" s="4">
        <v>2</v>
      </c>
      <c r="P743" s="4"/>
      <c r="Q743" s="4"/>
      <c r="R743" s="4"/>
      <c r="S743" s="4"/>
      <c r="T743" s="4"/>
      <c r="U743" s="4"/>
      <c r="V743" s="4"/>
      <c r="W743" s="4"/>
    </row>
    <row r="744" spans="1:23" x14ac:dyDescent="0.2">
      <c r="A744" s="4">
        <v>50</v>
      </c>
      <c r="B744" s="4">
        <v>0</v>
      </c>
      <c r="C744" s="4">
        <v>0</v>
      </c>
      <c r="D744" s="4">
        <v>1</v>
      </c>
      <c r="E744" s="4">
        <v>203</v>
      </c>
      <c r="F744" s="4">
        <f>ROUND(Source!Q732,O744)</f>
        <v>736.71</v>
      </c>
      <c r="G744" s="4" t="s">
        <v>150</v>
      </c>
      <c r="H744" s="4" t="s">
        <v>151</v>
      </c>
      <c r="I744" s="4"/>
      <c r="J744" s="4"/>
      <c r="K744" s="4">
        <v>203</v>
      </c>
      <c r="L744" s="4">
        <v>11</v>
      </c>
      <c r="M744" s="4">
        <v>3</v>
      </c>
      <c r="N744" s="4" t="s">
        <v>6</v>
      </c>
      <c r="O744" s="4">
        <v>2</v>
      </c>
      <c r="P744" s="4"/>
      <c r="Q744" s="4"/>
      <c r="R744" s="4"/>
      <c r="S744" s="4"/>
      <c r="T744" s="4"/>
      <c r="U744" s="4"/>
      <c r="V744" s="4"/>
      <c r="W744" s="4"/>
    </row>
    <row r="745" spans="1:23" x14ac:dyDescent="0.2">
      <c r="A745" s="4">
        <v>50</v>
      </c>
      <c r="B745" s="4">
        <v>0</v>
      </c>
      <c r="C745" s="4">
        <v>0</v>
      </c>
      <c r="D745" s="4">
        <v>1</v>
      </c>
      <c r="E745" s="4">
        <v>231</v>
      </c>
      <c r="F745" s="4">
        <f>ROUND(Source!BB732,O745)</f>
        <v>0</v>
      </c>
      <c r="G745" s="4" t="s">
        <v>152</v>
      </c>
      <c r="H745" s="4" t="s">
        <v>153</v>
      </c>
      <c r="I745" s="4"/>
      <c r="J745" s="4"/>
      <c r="K745" s="4">
        <v>231</v>
      </c>
      <c r="L745" s="4">
        <v>12</v>
      </c>
      <c r="M745" s="4">
        <v>3</v>
      </c>
      <c r="N745" s="4" t="s">
        <v>6</v>
      </c>
      <c r="O745" s="4">
        <v>2</v>
      </c>
      <c r="P745" s="4"/>
      <c r="Q745" s="4"/>
      <c r="R745" s="4"/>
      <c r="S745" s="4"/>
      <c r="T745" s="4"/>
      <c r="U745" s="4"/>
      <c r="V745" s="4"/>
      <c r="W745" s="4"/>
    </row>
    <row r="746" spans="1:23" x14ac:dyDescent="0.2">
      <c r="A746" s="4">
        <v>50</v>
      </c>
      <c r="B746" s="4">
        <v>0</v>
      </c>
      <c r="C746" s="4">
        <v>0</v>
      </c>
      <c r="D746" s="4">
        <v>1</v>
      </c>
      <c r="E746" s="4">
        <v>204</v>
      </c>
      <c r="F746" s="4">
        <f>ROUND(Source!R732,O746)</f>
        <v>145.99</v>
      </c>
      <c r="G746" s="4" t="s">
        <v>154</v>
      </c>
      <c r="H746" s="4" t="s">
        <v>155</v>
      </c>
      <c r="I746" s="4"/>
      <c r="J746" s="4"/>
      <c r="K746" s="4">
        <v>204</v>
      </c>
      <c r="L746" s="4">
        <v>13</v>
      </c>
      <c r="M746" s="4">
        <v>3</v>
      </c>
      <c r="N746" s="4" t="s">
        <v>6</v>
      </c>
      <c r="O746" s="4">
        <v>2</v>
      </c>
      <c r="P746" s="4"/>
      <c r="Q746" s="4"/>
      <c r="R746" s="4"/>
      <c r="S746" s="4"/>
      <c r="T746" s="4"/>
      <c r="U746" s="4"/>
      <c r="V746" s="4"/>
      <c r="W746" s="4"/>
    </row>
    <row r="747" spans="1:23" x14ac:dyDescent="0.2">
      <c r="A747" s="4">
        <v>50</v>
      </c>
      <c r="B747" s="4">
        <v>0</v>
      </c>
      <c r="C747" s="4">
        <v>0</v>
      </c>
      <c r="D747" s="4">
        <v>1</v>
      </c>
      <c r="E747" s="4">
        <v>205</v>
      </c>
      <c r="F747" s="4">
        <f>ROUND(Source!S732,O747)</f>
        <v>6062.88</v>
      </c>
      <c r="G747" s="4" t="s">
        <v>156</v>
      </c>
      <c r="H747" s="4" t="s">
        <v>157</v>
      </c>
      <c r="I747" s="4"/>
      <c r="J747" s="4"/>
      <c r="K747" s="4">
        <v>205</v>
      </c>
      <c r="L747" s="4">
        <v>14</v>
      </c>
      <c r="M747" s="4">
        <v>3</v>
      </c>
      <c r="N747" s="4" t="s">
        <v>6</v>
      </c>
      <c r="O747" s="4">
        <v>2</v>
      </c>
      <c r="P747" s="4"/>
      <c r="Q747" s="4"/>
      <c r="R747" s="4"/>
      <c r="S747" s="4"/>
      <c r="T747" s="4"/>
      <c r="U747" s="4"/>
      <c r="V747" s="4"/>
      <c r="W747" s="4"/>
    </row>
    <row r="748" spans="1:23" x14ac:dyDescent="0.2">
      <c r="A748" s="4">
        <v>50</v>
      </c>
      <c r="B748" s="4">
        <v>0</v>
      </c>
      <c r="C748" s="4">
        <v>0</v>
      </c>
      <c r="D748" s="4">
        <v>1</v>
      </c>
      <c r="E748" s="4">
        <v>232</v>
      </c>
      <c r="F748" s="4">
        <f>ROUND(Source!BC732,O748)</f>
        <v>0</v>
      </c>
      <c r="G748" s="4" t="s">
        <v>158</v>
      </c>
      <c r="H748" s="4" t="s">
        <v>159</v>
      </c>
      <c r="I748" s="4"/>
      <c r="J748" s="4"/>
      <c r="K748" s="4">
        <v>232</v>
      </c>
      <c r="L748" s="4">
        <v>15</v>
      </c>
      <c r="M748" s="4">
        <v>3</v>
      </c>
      <c r="N748" s="4" t="s">
        <v>6</v>
      </c>
      <c r="O748" s="4">
        <v>2</v>
      </c>
      <c r="P748" s="4"/>
      <c r="Q748" s="4"/>
      <c r="R748" s="4"/>
      <c r="S748" s="4"/>
      <c r="T748" s="4"/>
      <c r="U748" s="4"/>
      <c r="V748" s="4"/>
      <c r="W748" s="4"/>
    </row>
    <row r="749" spans="1:23" x14ac:dyDescent="0.2">
      <c r="A749" s="4">
        <v>50</v>
      </c>
      <c r="B749" s="4">
        <v>0</v>
      </c>
      <c r="C749" s="4">
        <v>0</v>
      </c>
      <c r="D749" s="4">
        <v>1</v>
      </c>
      <c r="E749" s="4">
        <v>214</v>
      </c>
      <c r="F749" s="4">
        <f>ROUND(Source!AS732,O749)</f>
        <v>72371.75</v>
      </c>
      <c r="G749" s="4" t="s">
        <v>160</v>
      </c>
      <c r="H749" s="4" t="s">
        <v>161</v>
      </c>
      <c r="I749" s="4"/>
      <c r="J749" s="4"/>
      <c r="K749" s="4">
        <v>214</v>
      </c>
      <c r="L749" s="4">
        <v>16</v>
      </c>
      <c r="M749" s="4">
        <v>3</v>
      </c>
      <c r="N749" s="4" t="s">
        <v>6</v>
      </c>
      <c r="O749" s="4">
        <v>2</v>
      </c>
      <c r="P749" s="4"/>
      <c r="Q749" s="4"/>
      <c r="R749" s="4"/>
      <c r="S749" s="4"/>
      <c r="T749" s="4"/>
      <c r="U749" s="4"/>
      <c r="V749" s="4"/>
      <c r="W749" s="4"/>
    </row>
    <row r="750" spans="1:23" x14ac:dyDescent="0.2">
      <c r="A750" s="4">
        <v>50</v>
      </c>
      <c r="B750" s="4">
        <v>0</v>
      </c>
      <c r="C750" s="4">
        <v>0</v>
      </c>
      <c r="D750" s="4">
        <v>1</v>
      </c>
      <c r="E750" s="4">
        <v>215</v>
      </c>
      <c r="F750" s="4">
        <f>ROUND(Source!AT732,O750)</f>
        <v>0</v>
      </c>
      <c r="G750" s="4" t="s">
        <v>162</v>
      </c>
      <c r="H750" s="4" t="s">
        <v>163</v>
      </c>
      <c r="I750" s="4"/>
      <c r="J750" s="4"/>
      <c r="K750" s="4">
        <v>215</v>
      </c>
      <c r="L750" s="4">
        <v>17</v>
      </c>
      <c r="M750" s="4">
        <v>3</v>
      </c>
      <c r="N750" s="4" t="s">
        <v>6</v>
      </c>
      <c r="O750" s="4">
        <v>2</v>
      </c>
      <c r="P750" s="4"/>
      <c r="Q750" s="4"/>
      <c r="R750" s="4"/>
      <c r="S750" s="4"/>
      <c r="T750" s="4"/>
      <c r="U750" s="4"/>
      <c r="V750" s="4"/>
      <c r="W750" s="4"/>
    </row>
    <row r="751" spans="1:23" x14ac:dyDescent="0.2">
      <c r="A751" s="4">
        <v>50</v>
      </c>
      <c r="B751" s="4">
        <v>0</v>
      </c>
      <c r="C751" s="4">
        <v>0</v>
      </c>
      <c r="D751" s="4">
        <v>1</v>
      </c>
      <c r="E751" s="4">
        <v>217</v>
      </c>
      <c r="F751" s="4">
        <f>ROUND(Source!AU732,O751)</f>
        <v>0</v>
      </c>
      <c r="G751" s="4" t="s">
        <v>164</v>
      </c>
      <c r="H751" s="4" t="s">
        <v>165</v>
      </c>
      <c r="I751" s="4"/>
      <c r="J751" s="4"/>
      <c r="K751" s="4">
        <v>217</v>
      </c>
      <c r="L751" s="4">
        <v>18</v>
      </c>
      <c r="M751" s="4">
        <v>3</v>
      </c>
      <c r="N751" s="4" t="s">
        <v>6</v>
      </c>
      <c r="O751" s="4">
        <v>2</v>
      </c>
      <c r="P751" s="4"/>
      <c r="Q751" s="4"/>
      <c r="R751" s="4"/>
      <c r="S751" s="4"/>
      <c r="T751" s="4"/>
      <c r="U751" s="4"/>
      <c r="V751" s="4"/>
      <c r="W751" s="4"/>
    </row>
    <row r="752" spans="1:23" x14ac:dyDescent="0.2">
      <c r="A752" s="4">
        <v>50</v>
      </c>
      <c r="B752" s="4">
        <v>0</v>
      </c>
      <c r="C752" s="4">
        <v>0</v>
      </c>
      <c r="D752" s="4">
        <v>1</v>
      </c>
      <c r="E752" s="4">
        <v>230</v>
      </c>
      <c r="F752" s="4">
        <f>ROUND(Source!BA732,O752)</f>
        <v>0</v>
      </c>
      <c r="G752" s="4" t="s">
        <v>166</v>
      </c>
      <c r="H752" s="4" t="s">
        <v>167</v>
      </c>
      <c r="I752" s="4"/>
      <c r="J752" s="4"/>
      <c r="K752" s="4">
        <v>230</v>
      </c>
      <c r="L752" s="4">
        <v>19</v>
      </c>
      <c r="M752" s="4">
        <v>3</v>
      </c>
      <c r="N752" s="4" t="s">
        <v>6</v>
      </c>
      <c r="O752" s="4">
        <v>2</v>
      </c>
      <c r="P752" s="4"/>
      <c r="Q752" s="4"/>
      <c r="R752" s="4"/>
      <c r="S752" s="4"/>
      <c r="T752" s="4"/>
      <c r="U752" s="4"/>
      <c r="V752" s="4"/>
      <c r="W752" s="4"/>
    </row>
    <row r="753" spans="1:206" x14ac:dyDescent="0.2">
      <c r="A753" s="4">
        <v>50</v>
      </c>
      <c r="B753" s="4">
        <v>0</v>
      </c>
      <c r="C753" s="4">
        <v>0</v>
      </c>
      <c r="D753" s="4">
        <v>1</v>
      </c>
      <c r="E753" s="4">
        <v>206</v>
      </c>
      <c r="F753" s="4">
        <f>ROUND(Source!T732,O753)</f>
        <v>0</v>
      </c>
      <c r="G753" s="4" t="s">
        <v>168</v>
      </c>
      <c r="H753" s="4" t="s">
        <v>169</v>
      </c>
      <c r="I753" s="4"/>
      <c r="J753" s="4"/>
      <c r="K753" s="4">
        <v>206</v>
      </c>
      <c r="L753" s="4">
        <v>20</v>
      </c>
      <c r="M753" s="4">
        <v>3</v>
      </c>
      <c r="N753" s="4" t="s">
        <v>6</v>
      </c>
      <c r="O753" s="4">
        <v>2</v>
      </c>
      <c r="P753" s="4"/>
      <c r="Q753" s="4"/>
      <c r="R753" s="4"/>
      <c r="S753" s="4"/>
      <c r="T753" s="4"/>
      <c r="U753" s="4"/>
      <c r="V753" s="4"/>
      <c r="W753" s="4"/>
    </row>
    <row r="754" spans="1:206" x14ac:dyDescent="0.2">
      <c r="A754" s="4">
        <v>50</v>
      </c>
      <c r="B754" s="4">
        <v>0</v>
      </c>
      <c r="C754" s="4">
        <v>0</v>
      </c>
      <c r="D754" s="4">
        <v>1</v>
      </c>
      <c r="E754" s="4">
        <v>207</v>
      </c>
      <c r="F754" s="4">
        <f>Source!U732</f>
        <v>98.576779999999999</v>
      </c>
      <c r="G754" s="4" t="s">
        <v>170</v>
      </c>
      <c r="H754" s="4" t="s">
        <v>171</v>
      </c>
      <c r="I754" s="4"/>
      <c r="J754" s="4"/>
      <c r="K754" s="4">
        <v>207</v>
      </c>
      <c r="L754" s="4">
        <v>21</v>
      </c>
      <c r="M754" s="4">
        <v>3</v>
      </c>
      <c r="N754" s="4" t="s">
        <v>6</v>
      </c>
      <c r="O754" s="4">
        <v>-1</v>
      </c>
      <c r="P754" s="4"/>
      <c r="Q754" s="4"/>
      <c r="R754" s="4"/>
      <c r="S754" s="4"/>
      <c r="T754" s="4"/>
      <c r="U754" s="4"/>
      <c r="V754" s="4"/>
      <c r="W754" s="4"/>
    </row>
    <row r="755" spans="1:206" x14ac:dyDescent="0.2">
      <c r="A755" s="4">
        <v>50</v>
      </c>
      <c r="B755" s="4">
        <v>0</v>
      </c>
      <c r="C755" s="4">
        <v>0</v>
      </c>
      <c r="D755" s="4">
        <v>1</v>
      </c>
      <c r="E755" s="4">
        <v>208</v>
      </c>
      <c r="F755" s="4">
        <f>Source!V732</f>
        <v>1.8482249999999998</v>
      </c>
      <c r="G755" s="4" t="s">
        <v>172</v>
      </c>
      <c r="H755" s="4" t="s">
        <v>173</v>
      </c>
      <c r="I755" s="4"/>
      <c r="J755" s="4"/>
      <c r="K755" s="4">
        <v>208</v>
      </c>
      <c r="L755" s="4">
        <v>22</v>
      </c>
      <c r="M755" s="4">
        <v>3</v>
      </c>
      <c r="N755" s="4" t="s">
        <v>6</v>
      </c>
      <c r="O755" s="4">
        <v>-1</v>
      </c>
      <c r="P755" s="4"/>
      <c r="Q755" s="4"/>
      <c r="R755" s="4"/>
      <c r="S755" s="4"/>
      <c r="T755" s="4"/>
      <c r="U755" s="4"/>
      <c r="V755" s="4"/>
      <c r="W755" s="4"/>
    </row>
    <row r="756" spans="1:206" x14ac:dyDescent="0.2">
      <c r="A756" s="4">
        <v>50</v>
      </c>
      <c r="B756" s="4">
        <v>0</v>
      </c>
      <c r="C756" s="4">
        <v>0</v>
      </c>
      <c r="D756" s="4">
        <v>1</v>
      </c>
      <c r="E756" s="4">
        <v>209</v>
      </c>
      <c r="F756" s="4">
        <f>ROUND(Source!W732,O756)</f>
        <v>0</v>
      </c>
      <c r="G756" s="4" t="s">
        <v>174</v>
      </c>
      <c r="H756" s="4" t="s">
        <v>175</v>
      </c>
      <c r="I756" s="4"/>
      <c r="J756" s="4"/>
      <c r="K756" s="4">
        <v>209</v>
      </c>
      <c r="L756" s="4">
        <v>23</v>
      </c>
      <c r="M756" s="4">
        <v>3</v>
      </c>
      <c r="N756" s="4" t="s">
        <v>6</v>
      </c>
      <c r="O756" s="4">
        <v>2</v>
      </c>
      <c r="P756" s="4"/>
      <c r="Q756" s="4"/>
      <c r="R756" s="4"/>
      <c r="S756" s="4"/>
      <c r="T756" s="4"/>
      <c r="U756" s="4"/>
      <c r="V756" s="4"/>
      <c r="W756" s="4"/>
    </row>
    <row r="757" spans="1:206" x14ac:dyDescent="0.2">
      <c r="A757" s="4">
        <v>50</v>
      </c>
      <c r="B757" s="4">
        <v>0</v>
      </c>
      <c r="C757" s="4">
        <v>0</v>
      </c>
      <c r="D757" s="4">
        <v>1</v>
      </c>
      <c r="E757" s="4">
        <v>210</v>
      </c>
      <c r="F757" s="4">
        <f>ROUND(Source!X732,O757)</f>
        <v>6173.15</v>
      </c>
      <c r="G757" s="4" t="s">
        <v>176</v>
      </c>
      <c r="H757" s="4" t="s">
        <v>177</v>
      </c>
      <c r="I757" s="4"/>
      <c r="J757" s="4"/>
      <c r="K757" s="4">
        <v>210</v>
      </c>
      <c r="L757" s="4">
        <v>24</v>
      </c>
      <c r="M757" s="4">
        <v>3</v>
      </c>
      <c r="N757" s="4" t="s">
        <v>6</v>
      </c>
      <c r="O757" s="4">
        <v>2</v>
      </c>
      <c r="P757" s="4"/>
      <c r="Q757" s="4"/>
      <c r="R757" s="4"/>
      <c r="S757" s="4"/>
      <c r="T757" s="4"/>
      <c r="U757" s="4"/>
      <c r="V757" s="4"/>
      <c r="W757" s="4"/>
    </row>
    <row r="758" spans="1:206" x14ac:dyDescent="0.2">
      <c r="A758" s="4">
        <v>50</v>
      </c>
      <c r="B758" s="4">
        <v>0</v>
      </c>
      <c r="C758" s="4">
        <v>0</v>
      </c>
      <c r="D758" s="4">
        <v>1</v>
      </c>
      <c r="E758" s="4">
        <v>211</v>
      </c>
      <c r="F758" s="4">
        <f>ROUND(Source!Y732,O758)</f>
        <v>3930.6</v>
      </c>
      <c r="G758" s="4" t="s">
        <v>178</v>
      </c>
      <c r="H758" s="4" t="s">
        <v>179</v>
      </c>
      <c r="I758" s="4"/>
      <c r="J758" s="4"/>
      <c r="K758" s="4">
        <v>211</v>
      </c>
      <c r="L758" s="4">
        <v>25</v>
      </c>
      <c r="M758" s="4">
        <v>3</v>
      </c>
      <c r="N758" s="4" t="s">
        <v>6</v>
      </c>
      <c r="O758" s="4">
        <v>2</v>
      </c>
      <c r="P758" s="4"/>
      <c r="Q758" s="4"/>
      <c r="R758" s="4"/>
      <c r="S758" s="4"/>
      <c r="T758" s="4"/>
      <c r="U758" s="4"/>
      <c r="V758" s="4"/>
      <c r="W758" s="4"/>
    </row>
    <row r="759" spans="1:206" x14ac:dyDescent="0.2">
      <c r="A759" s="4">
        <v>50</v>
      </c>
      <c r="B759" s="4">
        <v>0</v>
      </c>
      <c r="C759" s="4">
        <v>0</v>
      </c>
      <c r="D759" s="4">
        <v>1</v>
      </c>
      <c r="E759" s="4">
        <v>224</v>
      </c>
      <c r="F759" s="4">
        <f>ROUND(Source!AR732,O759)</f>
        <v>72371.75</v>
      </c>
      <c r="G759" s="4" t="s">
        <v>180</v>
      </c>
      <c r="H759" s="4" t="s">
        <v>181</v>
      </c>
      <c r="I759" s="4"/>
      <c r="J759" s="4"/>
      <c r="K759" s="4">
        <v>224</v>
      </c>
      <c r="L759" s="4">
        <v>26</v>
      </c>
      <c r="M759" s="4">
        <v>3</v>
      </c>
      <c r="N759" s="4" t="s">
        <v>6</v>
      </c>
      <c r="O759" s="4">
        <v>2</v>
      </c>
      <c r="P759" s="4"/>
      <c r="Q759" s="4"/>
      <c r="R759" s="4"/>
      <c r="S759" s="4"/>
      <c r="T759" s="4"/>
      <c r="U759" s="4"/>
      <c r="V759" s="4"/>
      <c r="W759" s="4"/>
    </row>
    <row r="761" spans="1:206" x14ac:dyDescent="0.2">
      <c r="A761" s="2">
        <v>51</v>
      </c>
      <c r="B761" s="2">
        <f>B20</f>
        <v>1</v>
      </c>
      <c r="C761" s="2">
        <f>A20</f>
        <v>3</v>
      </c>
      <c r="D761" s="2">
        <f>ROW(A20)</f>
        <v>20</v>
      </c>
      <c r="E761" s="2"/>
      <c r="F761" s="2" t="str">
        <f>IF(F20&lt;&gt;"",F20,"")</f>
        <v>Новая локальная смета</v>
      </c>
      <c r="G761" s="2" t="str">
        <f>IF(G20&lt;&gt;"",G20,"")</f>
        <v>Новая локальная смета</v>
      </c>
      <c r="H761" s="2">
        <v>0</v>
      </c>
      <c r="I761" s="2"/>
      <c r="J761" s="2"/>
      <c r="K761" s="2"/>
      <c r="L761" s="2"/>
      <c r="M761" s="2"/>
      <c r="N761" s="2"/>
      <c r="O761" s="2">
        <f t="shared" ref="O761:T761" si="603">ROUND(O247+O460+O498+O539+O582+O635+O681+O732+AB761,2)</f>
        <v>3422285.86</v>
      </c>
      <c r="P761" s="2">
        <f t="shared" si="603"/>
        <v>3122490.5</v>
      </c>
      <c r="Q761" s="2">
        <f t="shared" si="603"/>
        <v>39693.620000000003</v>
      </c>
      <c r="R761" s="2">
        <f t="shared" si="603"/>
        <v>7261.57</v>
      </c>
      <c r="S761" s="2">
        <f t="shared" si="603"/>
        <v>260101.74</v>
      </c>
      <c r="T761" s="2">
        <f t="shared" si="603"/>
        <v>0</v>
      </c>
      <c r="U761" s="2">
        <f>U247+U460+U498+U539+U582+U635+U681+U732+AH761</f>
        <v>3961.4573397999998</v>
      </c>
      <c r="V761" s="2">
        <f>V247+V460+V498+V539+V582+V635+V681+V732+AI761</f>
        <v>92.493072749999982</v>
      </c>
      <c r="W761" s="2">
        <f>ROUND(W247+W460+W498+W539+W582+W635+W681+W732+AJ761,2)</f>
        <v>0</v>
      </c>
      <c r="X761" s="2">
        <f>ROUND(X247+X460+X498+X539+X582+X635+X681+X732+AK761,2)</f>
        <v>242673.83</v>
      </c>
      <c r="Y761" s="2">
        <f>ROUND(Y247+Y460+Y498+Y539+Y582+Y635+Y681+Y732+AL761,2)</f>
        <v>149339.60999999999</v>
      </c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>
        <f t="shared" ref="AO761:BC761" si="604">ROUND(AO247+AO460+AO498+AO539+AO582+AO635+AO681+AO732+BX761,2)</f>
        <v>0</v>
      </c>
      <c r="AP761" s="2">
        <f t="shared" si="604"/>
        <v>0</v>
      </c>
      <c r="AQ761" s="2">
        <f t="shared" si="604"/>
        <v>0</v>
      </c>
      <c r="AR761" s="2">
        <f t="shared" si="604"/>
        <v>3827013.36</v>
      </c>
      <c r="AS761" s="2">
        <f t="shared" si="604"/>
        <v>2911229.38</v>
      </c>
      <c r="AT761" s="2">
        <f t="shared" si="604"/>
        <v>860158.46</v>
      </c>
      <c r="AU761" s="2">
        <f t="shared" si="604"/>
        <v>55625.52</v>
      </c>
      <c r="AV761" s="2">
        <f t="shared" si="604"/>
        <v>3122490.5</v>
      </c>
      <c r="AW761" s="2">
        <f t="shared" si="604"/>
        <v>3122490.5</v>
      </c>
      <c r="AX761" s="2">
        <f t="shared" si="604"/>
        <v>0</v>
      </c>
      <c r="AY761" s="2">
        <f t="shared" si="604"/>
        <v>3122490.5</v>
      </c>
      <c r="AZ761" s="2">
        <f t="shared" si="604"/>
        <v>0</v>
      </c>
      <c r="BA761" s="2">
        <f t="shared" si="604"/>
        <v>0</v>
      </c>
      <c r="BB761" s="2">
        <f t="shared" si="604"/>
        <v>0</v>
      </c>
      <c r="BC761" s="2">
        <f t="shared" si="604"/>
        <v>0</v>
      </c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3"/>
      <c r="EF761" s="3"/>
      <c r="EG761" s="3"/>
      <c r="EH761" s="3"/>
      <c r="EI761" s="3"/>
      <c r="EJ761" s="3"/>
      <c r="EK761" s="3"/>
      <c r="EL761" s="3"/>
      <c r="EM761" s="3"/>
      <c r="EN761" s="3"/>
      <c r="EO761" s="3"/>
      <c r="EP761" s="3"/>
      <c r="EQ761" s="3"/>
      <c r="ER761" s="3"/>
      <c r="ES761" s="3"/>
      <c r="ET761" s="3"/>
      <c r="EU761" s="3"/>
      <c r="EV761" s="3"/>
      <c r="EW761" s="3"/>
      <c r="EX761" s="3"/>
      <c r="EY761" s="3"/>
      <c r="EZ761" s="3"/>
      <c r="FA761" s="3"/>
      <c r="FB761" s="3"/>
      <c r="FC761" s="3"/>
      <c r="FD761" s="3"/>
      <c r="FE761" s="3"/>
      <c r="FF761" s="3"/>
      <c r="FG761" s="3"/>
      <c r="FH761" s="3"/>
      <c r="FI761" s="3"/>
      <c r="FJ761" s="3"/>
      <c r="FK761" s="3"/>
      <c r="FL761" s="3"/>
      <c r="FM761" s="3"/>
      <c r="FN761" s="3"/>
      <c r="FO761" s="3"/>
      <c r="FP761" s="3"/>
      <c r="FQ761" s="3"/>
      <c r="FR761" s="3"/>
      <c r="FS761" s="3"/>
      <c r="FT761" s="3"/>
      <c r="FU761" s="3"/>
      <c r="FV761" s="3"/>
      <c r="FW761" s="3"/>
      <c r="FX761" s="3"/>
      <c r="FY761" s="3"/>
      <c r="FZ761" s="3"/>
      <c r="GA761" s="3"/>
      <c r="GB761" s="3"/>
      <c r="GC761" s="3"/>
      <c r="GD761" s="3"/>
      <c r="GE761" s="3"/>
      <c r="GF761" s="3"/>
      <c r="GG761" s="3"/>
      <c r="GH761" s="3"/>
      <c r="GI761" s="3"/>
      <c r="GJ761" s="3"/>
      <c r="GK761" s="3"/>
      <c r="GL761" s="3"/>
      <c r="GM761" s="3"/>
      <c r="GN761" s="3"/>
      <c r="GO761" s="3"/>
      <c r="GP761" s="3"/>
      <c r="GQ761" s="3"/>
      <c r="GR761" s="3"/>
      <c r="GS761" s="3"/>
      <c r="GT761" s="3"/>
      <c r="GU761" s="3"/>
      <c r="GV761" s="3"/>
      <c r="GW761" s="3"/>
      <c r="GX761" s="3">
        <v>0</v>
      </c>
    </row>
    <row r="763" spans="1:206" x14ac:dyDescent="0.2">
      <c r="A763" s="4">
        <v>50</v>
      </c>
      <c r="B763" s="4">
        <v>0</v>
      </c>
      <c r="C763" s="4">
        <v>0</v>
      </c>
      <c r="D763" s="4">
        <v>1</v>
      </c>
      <c r="E763" s="4">
        <v>201</v>
      </c>
      <c r="F763" s="4">
        <f>ROUND(Source!O761,O763)</f>
        <v>3422285.86</v>
      </c>
      <c r="G763" s="4" t="s">
        <v>130</v>
      </c>
      <c r="H763" s="4" t="s">
        <v>131</v>
      </c>
      <c r="I763" s="4"/>
      <c r="J763" s="4"/>
      <c r="K763" s="4">
        <v>201</v>
      </c>
      <c r="L763" s="4">
        <v>1</v>
      </c>
      <c r="M763" s="4">
        <v>3</v>
      </c>
      <c r="N763" s="4" t="s">
        <v>6</v>
      </c>
      <c r="O763" s="4">
        <v>2</v>
      </c>
      <c r="P763" s="4"/>
      <c r="Q763" s="4"/>
      <c r="R763" s="4"/>
      <c r="S763" s="4"/>
      <c r="T763" s="4"/>
      <c r="U763" s="4"/>
      <c r="V763" s="4"/>
      <c r="W763" s="4"/>
    </row>
    <row r="764" spans="1:206" x14ac:dyDescent="0.2">
      <c r="A764" s="4">
        <v>50</v>
      </c>
      <c r="B764" s="4">
        <v>0</v>
      </c>
      <c r="C764" s="4">
        <v>0</v>
      </c>
      <c r="D764" s="4">
        <v>1</v>
      </c>
      <c r="E764" s="4">
        <v>202</v>
      </c>
      <c r="F764" s="4">
        <f>ROUND(Source!P761,O764)</f>
        <v>3122490.5</v>
      </c>
      <c r="G764" s="4" t="s">
        <v>132</v>
      </c>
      <c r="H764" s="4" t="s">
        <v>133</v>
      </c>
      <c r="I764" s="4"/>
      <c r="J764" s="4"/>
      <c r="K764" s="4">
        <v>202</v>
      </c>
      <c r="L764" s="4">
        <v>2</v>
      </c>
      <c r="M764" s="4">
        <v>3</v>
      </c>
      <c r="N764" s="4" t="s">
        <v>6</v>
      </c>
      <c r="O764" s="4">
        <v>2</v>
      </c>
      <c r="P764" s="4"/>
      <c r="Q764" s="4"/>
      <c r="R764" s="4"/>
      <c r="S764" s="4"/>
      <c r="T764" s="4"/>
      <c r="U764" s="4"/>
      <c r="V764" s="4"/>
      <c r="W764" s="4"/>
    </row>
    <row r="765" spans="1:206" x14ac:dyDescent="0.2">
      <c r="A765" s="4">
        <v>50</v>
      </c>
      <c r="B765" s="4">
        <v>0</v>
      </c>
      <c r="C765" s="4">
        <v>0</v>
      </c>
      <c r="D765" s="4">
        <v>1</v>
      </c>
      <c r="E765" s="4">
        <v>222</v>
      </c>
      <c r="F765" s="4">
        <f>ROUND(Source!AO761,O765)</f>
        <v>0</v>
      </c>
      <c r="G765" s="4" t="s">
        <v>134</v>
      </c>
      <c r="H765" s="4" t="s">
        <v>135</v>
      </c>
      <c r="I765" s="4"/>
      <c r="J765" s="4"/>
      <c r="K765" s="4">
        <v>222</v>
      </c>
      <c r="L765" s="4">
        <v>3</v>
      </c>
      <c r="M765" s="4">
        <v>3</v>
      </c>
      <c r="N765" s="4" t="s">
        <v>6</v>
      </c>
      <c r="O765" s="4">
        <v>2</v>
      </c>
      <c r="P765" s="4"/>
      <c r="Q765" s="4"/>
      <c r="R765" s="4"/>
      <c r="S765" s="4"/>
      <c r="T765" s="4"/>
      <c r="U765" s="4"/>
      <c r="V765" s="4"/>
      <c r="W765" s="4"/>
    </row>
    <row r="766" spans="1:206" x14ac:dyDescent="0.2">
      <c r="A766" s="4">
        <v>50</v>
      </c>
      <c r="B766" s="4">
        <v>0</v>
      </c>
      <c r="C766" s="4">
        <v>0</v>
      </c>
      <c r="D766" s="4">
        <v>1</v>
      </c>
      <c r="E766" s="4">
        <v>225</v>
      </c>
      <c r="F766" s="4">
        <f>ROUND(Source!AV761,O766)</f>
        <v>3122490.5</v>
      </c>
      <c r="G766" s="4" t="s">
        <v>136</v>
      </c>
      <c r="H766" s="4" t="s">
        <v>137</v>
      </c>
      <c r="I766" s="4"/>
      <c r="J766" s="4"/>
      <c r="K766" s="4">
        <v>225</v>
      </c>
      <c r="L766" s="4">
        <v>4</v>
      </c>
      <c r="M766" s="4">
        <v>3</v>
      </c>
      <c r="N766" s="4" t="s">
        <v>6</v>
      </c>
      <c r="O766" s="4">
        <v>2</v>
      </c>
      <c r="P766" s="4"/>
      <c r="Q766" s="4"/>
      <c r="R766" s="4"/>
      <c r="S766" s="4"/>
      <c r="T766" s="4"/>
      <c r="U766" s="4"/>
      <c r="V766" s="4"/>
      <c r="W766" s="4"/>
    </row>
    <row r="767" spans="1:206" x14ac:dyDescent="0.2">
      <c r="A767" s="4">
        <v>50</v>
      </c>
      <c r="B767" s="4">
        <v>0</v>
      </c>
      <c r="C767" s="4">
        <v>0</v>
      </c>
      <c r="D767" s="4">
        <v>1</v>
      </c>
      <c r="E767" s="4">
        <v>226</v>
      </c>
      <c r="F767" s="4">
        <f>ROUND(Source!AW761,O767)</f>
        <v>3122490.5</v>
      </c>
      <c r="G767" s="4" t="s">
        <v>138</v>
      </c>
      <c r="H767" s="4" t="s">
        <v>139</v>
      </c>
      <c r="I767" s="4"/>
      <c r="J767" s="4"/>
      <c r="K767" s="4">
        <v>226</v>
      </c>
      <c r="L767" s="4">
        <v>5</v>
      </c>
      <c r="M767" s="4">
        <v>3</v>
      </c>
      <c r="N767" s="4" t="s">
        <v>6</v>
      </c>
      <c r="O767" s="4">
        <v>2</v>
      </c>
      <c r="P767" s="4"/>
      <c r="Q767" s="4"/>
      <c r="R767" s="4"/>
      <c r="S767" s="4"/>
      <c r="T767" s="4"/>
      <c r="U767" s="4"/>
      <c r="V767" s="4"/>
      <c r="W767" s="4"/>
    </row>
    <row r="768" spans="1:206" x14ac:dyDescent="0.2">
      <c r="A768" s="4">
        <v>50</v>
      </c>
      <c r="B768" s="4">
        <v>0</v>
      </c>
      <c r="C768" s="4">
        <v>0</v>
      </c>
      <c r="D768" s="4">
        <v>1</v>
      </c>
      <c r="E768" s="4">
        <v>227</v>
      </c>
      <c r="F768" s="4">
        <f>ROUND(Source!AX761,O768)</f>
        <v>0</v>
      </c>
      <c r="G768" s="4" t="s">
        <v>140</v>
      </c>
      <c r="H768" s="4" t="s">
        <v>141</v>
      </c>
      <c r="I768" s="4"/>
      <c r="J768" s="4"/>
      <c r="K768" s="4">
        <v>227</v>
      </c>
      <c r="L768" s="4">
        <v>6</v>
      </c>
      <c r="M768" s="4">
        <v>3</v>
      </c>
      <c r="N768" s="4" t="s">
        <v>6</v>
      </c>
      <c r="O768" s="4">
        <v>2</v>
      </c>
      <c r="P768" s="4"/>
      <c r="Q768" s="4"/>
      <c r="R768" s="4"/>
      <c r="S768" s="4"/>
      <c r="T768" s="4"/>
      <c r="U768" s="4"/>
      <c r="V768" s="4"/>
      <c r="W768" s="4"/>
    </row>
    <row r="769" spans="1:23" x14ac:dyDescent="0.2">
      <c r="A769" s="4">
        <v>50</v>
      </c>
      <c r="B769" s="4">
        <v>0</v>
      </c>
      <c r="C769" s="4">
        <v>0</v>
      </c>
      <c r="D769" s="4">
        <v>1</v>
      </c>
      <c r="E769" s="4">
        <v>228</v>
      </c>
      <c r="F769" s="4">
        <f>ROUND(Source!AY761,O769)</f>
        <v>3122490.5</v>
      </c>
      <c r="G769" s="4" t="s">
        <v>142</v>
      </c>
      <c r="H769" s="4" t="s">
        <v>143</v>
      </c>
      <c r="I769" s="4"/>
      <c r="J769" s="4"/>
      <c r="K769" s="4">
        <v>228</v>
      </c>
      <c r="L769" s="4">
        <v>7</v>
      </c>
      <c r="M769" s="4">
        <v>3</v>
      </c>
      <c r="N769" s="4" t="s">
        <v>6</v>
      </c>
      <c r="O769" s="4">
        <v>2</v>
      </c>
      <c r="P769" s="4"/>
      <c r="Q769" s="4"/>
      <c r="R769" s="4"/>
      <c r="S769" s="4"/>
      <c r="T769" s="4"/>
      <c r="U769" s="4"/>
      <c r="V769" s="4"/>
      <c r="W769" s="4"/>
    </row>
    <row r="770" spans="1:23" x14ac:dyDescent="0.2">
      <c r="A770" s="4">
        <v>50</v>
      </c>
      <c r="B770" s="4">
        <v>0</v>
      </c>
      <c r="C770" s="4">
        <v>0</v>
      </c>
      <c r="D770" s="4">
        <v>1</v>
      </c>
      <c r="E770" s="4">
        <v>216</v>
      </c>
      <c r="F770" s="4">
        <f>ROUND(Source!AP761,O770)</f>
        <v>0</v>
      </c>
      <c r="G770" s="4" t="s">
        <v>144</v>
      </c>
      <c r="H770" s="4" t="s">
        <v>145</v>
      </c>
      <c r="I770" s="4"/>
      <c r="J770" s="4"/>
      <c r="K770" s="4">
        <v>216</v>
      </c>
      <c r="L770" s="4">
        <v>8</v>
      </c>
      <c r="M770" s="4">
        <v>3</v>
      </c>
      <c r="N770" s="4" t="s">
        <v>6</v>
      </c>
      <c r="O770" s="4">
        <v>2</v>
      </c>
      <c r="P770" s="4"/>
      <c r="Q770" s="4"/>
      <c r="R770" s="4"/>
      <c r="S770" s="4"/>
      <c r="T770" s="4"/>
      <c r="U770" s="4"/>
      <c r="V770" s="4"/>
      <c r="W770" s="4"/>
    </row>
    <row r="771" spans="1:23" x14ac:dyDescent="0.2">
      <c r="A771" s="4">
        <v>50</v>
      </c>
      <c r="B771" s="4">
        <v>0</v>
      </c>
      <c r="C771" s="4">
        <v>0</v>
      </c>
      <c r="D771" s="4">
        <v>1</v>
      </c>
      <c r="E771" s="4">
        <v>223</v>
      </c>
      <c r="F771" s="4">
        <f>ROUND(Source!AQ761,O771)</f>
        <v>0</v>
      </c>
      <c r="G771" s="4" t="s">
        <v>146</v>
      </c>
      <c r="H771" s="4" t="s">
        <v>147</v>
      </c>
      <c r="I771" s="4"/>
      <c r="J771" s="4"/>
      <c r="K771" s="4">
        <v>223</v>
      </c>
      <c r="L771" s="4">
        <v>9</v>
      </c>
      <c r="M771" s="4">
        <v>3</v>
      </c>
      <c r="N771" s="4" t="s">
        <v>6</v>
      </c>
      <c r="O771" s="4">
        <v>2</v>
      </c>
      <c r="P771" s="4"/>
      <c r="Q771" s="4"/>
      <c r="R771" s="4"/>
      <c r="S771" s="4"/>
      <c r="T771" s="4"/>
      <c r="U771" s="4"/>
      <c r="V771" s="4"/>
      <c r="W771" s="4"/>
    </row>
    <row r="772" spans="1:23" x14ac:dyDescent="0.2">
      <c r="A772" s="4">
        <v>50</v>
      </c>
      <c r="B772" s="4">
        <v>0</v>
      </c>
      <c r="C772" s="4">
        <v>0</v>
      </c>
      <c r="D772" s="4">
        <v>1</v>
      </c>
      <c r="E772" s="4">
        <v>229</v>
      </c>
      <c r="F772" s="4">
        <f>ROUND(Source!AZ761,O772)</f>
        <v>0</v>
      </c>
      <c r="G772" s="4" t="s">
        <v>148</v>
      </c>
      <c r="H772" s="4" t="s">
        <v>149</v>
      </c>
      <c r="I772" s="4"/>
      <c r="J772" s="4"/>
      <c r="K772" s="4">
        <v>229</v>
      </c>
      <c r="L772" s="4">
        <v>10</v>
      </c>
      <c r="M772" s="4">
        <v>3</v>
      </c>
      <c r="N772" s="4" t="s">
        <v>6</v>
      </c>
      <c r="O772" s="4">
        <v>2</v>
      </c>
      <c r="P772" s="4"/>
      <c r="Q772" s="4"/>
      <c r="R772" s="4"/>
      <c r="S772" s="4"/>
      <c r="T772" s="4"/>
      <c r="U772" s="4"/>
      <c r="V772" s="4"/>
      <c r="W772" s="4"/>
    </row>
    <row r="773" spans="1:23" x14ac:dyDescent="0.2">
      <c r="A773" s="4">
        <v>50</v>
      </c>
      <c r="B773" s="4">
        <v>0</v>
      </c>
      <c r="C773" s="4">
        <v>0</v>
      </c>
      <c r="D773" s="4">
        <v>1</v>
      </c>
      <c r="E773" s="4">
        <v>203</v>
      </c>
      <c r="F773" s="4">
        <f>ROUND(Source!Q761,O773)</f>
        <v>39693.620000000003</v>
      </c>
      <c r="G773" s="4" t="s">
        <v>150</v>
      </c>
      <c r="H773" s="4" t="s">
        <v>151</v>
      </c>
      <c r="I773" s="4"/>
      <c r="J773" s="4"/>
      <c r="K773" s="4">
        <v>203</v>
      </c>
      <c r="L773" s="4">
        <v>11</v>
      </c>
      <c r="M773" s="4">
        <v>3</v>
      </c>
      <c r="N773" s="4" t="s">
        <v>6</v>
      </c>
      <c r="O773" s="4">
        <v>2</v>
      </c>
      <c r="P773" s="4"/>
      <c r="Q773" s="4"/>
      <c r="R773" s="4"/>
      <c r="S773" s="4"/>
      <c r="T773" s="4"/>
      <c r="U773" s="4"/>
      <c r="V773" s="4"/>
      <c r="W773" s="4"/>
    </row>
    <row r="774" spans="1:23" x14ac:dyDescent="0.2">
      <c r="A774" s="4">
        <v>50</v>
      </c>
      <c r="B774" s="4">
        <v>0</v>
      </c>
      <c r="C774" s="4">
        <v>0</v>
      </c>
      <c r="D774" s="4">
        <v>1</v>
      </c>
      <c r="E774" s="4">
        <v>231</v>
      </c>
      <c r="F774" s="4">
        <f>ROUND(Source!BB761,O774)</f>
        <v>0</v>
      </c>
      <c r="G774" s="4" t="s">
        <v>152</v>
      </c>
      <c r="H774" s="4" t="s">
        <v>153</v>
      </c>
      <c r="I774" s="4"/>
      <c r="J774" s="4"/>
      <c r="K774" s="4">
        <v>231</v>
      </c>
      <c r="L774" s="4">
        <v>12</v>
      </c>
      <c r="M774" s="4">
        <v>3</v>
      </c>
      <c r="N774" s="4" t="s">
        <v>6</v>
      </c>
      <c r="O774" s="4">
        <v>2</v>
      </c>
      <c r="P774" s="4"/>
      <c r="Q774" s="4"/>
      <c r="R774" s="4"/>
      <c r="S774" s="4"/>
      <c r="T774" s="4"/>
      <c r="U774" s="4"/>
      <c r="V774" s="4"/>
      <c r="W774" s="4"/>
    </row>
    <row r="775" spans="1:23" x14ac:dyDescent="0.2">
      <c r="A775" s="4">
        <v>50</v>
      </c>
      <c r="B775" s="4">
        <v>0</v>
      </c>
      <c r="C775" s="4">
        <v>0</v>
      </c>
      <c r="D775" s="4">
        <v>1</v>
      </c>
      <c r="E775" s="4">
        <v>204</v>
      </c>
      <c r="F775" s="4">
        <f>ROUND(Source!R761,O775)</f>
        <v>7261.57</v>
      </c>
      <c r="G775" s="4" t="s">
        <v>154</v>
      </c>
      <c r="H775" s="4" t="s">
        <v>155</v>
      </c>
      <c r="I775" s="4"/>
      <c r="J775" s="4"/>
      <c r="K775" s="4">
        <v>204</v>
      </c>
      <c r="L775" s="4">
        <v>13</v>
      </c>
      <c r="M775" s="4">
        <v>3</v>
      </c>
      <c r="N775" s="4" t="s">
        <v>6</v>
      </c>
      <c r="O775" s="4">
        <v>2</v>
      </c>
      <c r="P775" s="4"/>
      <c r="Q775" s="4"/>
      <c r="R775" s="4"/>
      <c r="S775" s="4"/>
      <c r="T775" s="4"/>
      <c r="U775" s="4"/>
      <c r="V775" s="4"/>
      <c r="W775" s="4"/>
    </row>
    <row r="776" spans="1:23" x14ac:dyDescent="0.2">
      <c r="A776" s="4">
        <v>50</v>
      </c>
      <c r="B776" s="4">
        <v>0</v>
      </c>
      <c r="C776" s="4">
        <v>0</v>
      </c>
      <c r="D776" s="4">
        <v>1</v>
      </c>
      <c r="E776" s="4">
        <v>205</v>
      </c>
      <c r="F776" s="4">
        <f>ROUND(Source!S761,O776)</f>
        <v>260101.74</v>
      </c>
      <c r="G776" s="4" t="s">
        <v>156</v>
      </c>
      <c r="H776" s="4" t="s">
        <v>157</v>
      </c>
      <c r="I776" s="4"/>
      <c r="J776" s="4"/>
      <c r="K776" s="4">
        <v>205</v>
      </c>
      <c r="L776" s="4">
        <v>14</v>
      </c>
      <c r="M776" s="4">
        <v>3</v>
      </c>
      <c r="N776" s="4" t="s">
        <v>6</v>
      </c>
      <c r="O776" s="4">
        <v>2</v>
      </c>
      <c r="P776" s="4"/>
      <c r="Q776" s="4"/>
      <c r="R776" s="4"/>
      <c r="S776" s="4"/>
      <c r="T776" s="4"/>
      <c r="U776" s="4"/>
      <c r="V776" s="4"/>
      <c r="W776" s="4"/>
    </row>
    <row r="777" spans="1:23" x14ac:dyDescent="0.2">
      <c r="A777" s="4">
        <v>50</v>
      </c>
      <c r="B777" s="4">
        <v>0</v>
      </c>
      <c r="C777" s="4">
        <v>0</v>
      </c>
      <c r="D777" s="4">
        <v>1</v>
      </c>
      <c r="E777" s="4">
        <v>232</v>
      </c>
      <c r="F777" s="4">
        <f>ROUND(Source!BC761,O777)</f>
        <v>0</v>
      </c>
      <c r="G777" s="4" t="s">
        <v>158</v>
      </c>
      <c r="H777" s="4" t="s">
        <v>159</v>
      </c>
      <c r="I777" s="4"/>
      <c r="J777" s="4"/>
      <c r="K777" s="4">
        <v>232</v>
      </c>
      <c r="L777" s="4">
        <v>15</v>
      </c>
      <c r="M777" s="4">
        <v>3</v>
      </c>
      <c r="N777" s="4" t="s">
        <v>6</v>
      </c>
      <c r="O777" s="4">
        <v>2</v>
      </c>
      <c r="P777" s="4"/>
      <c r="Q777" s="4"/>
      <c r="R777" s="4"/>
      <c r="S777" s="4"/>
      <c r="T777" s="4"/>
      <c r="U777" s="4"/>
      <c r="V777" s="4"/>
      <c r="W777" s="4"/>
    </row>
    <row r="778" spans="1:23" x14ac:dyDescent="0.2">
      <c r="A778" s="4">
        <v>50</v>
      </c>
      <c r="B778" s="4">
        <v>0</v>
      </c>
      <c r="C778" s="4">
        <v>0</v>
      </c>
      <c r="D778" s="4">
        <v>1</v>
      </c>
      <c r="E778" s="4">
        <v>214</v>
      </c>
      <c r="F778" s="4">
        <f>ROUND(Source!AS761,O778)</f>
        <v>2911229.38</v>
      </c>
      <c r="G778" s="4" t="s">
        <v>160</v>
      </c>
      <c r="H778" s="4" t="s">
        <v>161</v>
      </c>
      <c r="I778" s="4"/>
      <c r="J778" s="4"/>
      <c r="K778" s="4">
        <v>214</v>
      </c>
      <c r="L778" s="4">
        <v>16</v>
      </c>
      <c r="M778" s="4">
        <v>3</v>
      </c>
      <c r="N778" s="4" t="s">
        <v>6</v>
      </c>
      <c r="O778" s="4">
        <v>2</v>
      </c>
      <c r="P778" s="4"/>
      <c r="Q778" s="4"/>
      <c r="R778" s="4"/>
      <c r="S778" s="4"/>
      <c r="T778" s="4"/>
      <c r="U778" s="4"/>
      <c r="V778" s="4"/>
      <c r="W778" s="4"/>
    </row>
    <row r="779" spans="1:23" x14ac:dyDescent="0.2">
      <c r="A779" s="4">
        <v>50</v>
      </c>
      <c r="B779" s="4">
        <v>0</v>
      </c>
      <c r="C779" s="4">
        <v>0</v>
      </c>
      <c r="D779" s="4">
        <v>1</v>
      </c>
      <c r="E779" s="4">
        <v>215</v>
      </c>
      <c r="F779" s="4">
        <f>ROUND(Source!AT761,O779)</f>
        <v>860158.46</v>
      </c>
      <c r="G779" s="4" t="s">
        <v>162</v>
      </c>
      <c r="H779" s="4" t="s">
        <v>163</v>
      </c>
      <c r="I779" s="4"/>
      <c r="J779" s="4"/>
      <c r="K779" s="4">
        <v>215</v>
      </c>
      <c r="L779" s="4">
        <v>17</v>
      </c>
      <c r="M779" s="4">
        <v>3</v>
      </c>
      <c r="N779" s="4" t="s">
        <v>6</v>
      </c>
      <c r="O779" s="4">
        <v>2</v>
      </c>
      <c r="P779" s="4"/>
      <c r="Q779" s="4"/>
      <c r="R779" s="4"/>
      <c r="S779" s="4"/>
      <c r="T779" s="4"/>
      <c r="U779" s="4"/>
      <c r="V779" s="4"/>
      <c r="W779" s="4"/>
    </row>
    <row r="780" spans="1:23" x14ac:dyDescent="0.2">
      <c r="A780" s="4">
        <v>50</v>
      </c>
      <c r="B780" s="4">
        <v>0</v>
      </c>
      <c r="C780" s="4">
        <v>0</v>
      </c>
      <c r="D780" s="4">
        <v>1</v>
      </c>
      <c r="E780" s="4">
        <v>217</v>
      </c>
      <c r="F780" s="4">
        <f>ROUND(Source!AU761,O780)</f>
        <v>55625.52</v>
      </c>
      <c r="G780" s="4" t="s">
        <v>164</v>
      </c>
      <c r="H780" s="4" t="s">
        <v>165</v>
      </c>
      <c r="I780" s="4"/>
      <c r="J780" s="4"/>
      <c r="K780" s="4">
        <v>217</v>
      </c>
      <c r="L780" s="4">
        <v>18</v>
      </c>
      <c r="M780" s="4">
        <v>3</v>
      </c>
      <c r="N780" s="4" t="s">
        <v>6</v>
      </c>
      <c r="O780" s="4">
        <v>2</v>
      </c>
      <c r="P780" s="4"/>
      <c r="Q780" s="4"/>
      <c r="R780" s="4"/>
      <c r="S780" s="4"/>
      <c r="T780" s="4"/>
      <c r="U780" s="4"/>
      <c r="V780" s="4"/>
      <c r="W780" s="4"/>
    </row>
    <row r="781" spans="1:23" x14ac:dyDescent="0.2">
      <c r="A781" s="4">
        <v>50</v>
      </c>
      <c r="B781" s="4">
        <v>0</v>
      </c>
      <c r="C781" s="4">
        <v>0</v>
      </c>
      <c r="D781" s="4">
        <v>1</v>
      </c>
      <c r="E781" s="4">
        <v>230</v>
      </c>
      <c r="F781" s="4">
        <f>ROUND(Source!BA761,O781)</f>
        <v>0</v>
      </c>
      <c r="G781" s="4" t="s">
        <v>166</v>
      </c>
      <c r="H781" s="4" t="s">
        <v>167</v>
      </c>
      <c r="I781" s="4"/>
      <c r="J781" s="4"/>
      <c r="K781" s="4">
        <v>230</v>
      </c>
      <c r="L781" s="4">
        <v>19</v>
      </c>
      <c r="M781" s="4">
        <v>3</v>
      </c>
      <c r="N781" s="4" t="s">
        <v>6</v>
      </c>
      <c r="O781" s="4">
        <v>2</v>
      </c>
      <c r="P781" s="4"/>
      <c r="Q781" s="4"/>
      <c r="R781" s="4"/>
      <c r="S781" s="4"/>
      <c r="T781" s="4"/>
      <c r="U781" s="4"/>
      <c r="V781" s="4"/>
      <c r="W781" s="4"/>
    </row>
    <row r="782" spans="1:23" x14ac:dyDescent="0.2">
      <c r="A782" s="4">
        <v>50</v>
      </c>
      <c r="B782" s="4">
        <v>0</v>
      </c>
      <c r="C782" s="4">
        <v>0</v>
      </c>
      <c r="D782" s="4">
        <v>1</v>
      </c>
      <c r="E782" s="4">
        <v>206</v>
      </c>
      <c r="F782" s="4">
        <f>ROUND(Source!T761,O782)</f>
        <v>0</v>
      </c>
      <c r="G782" s="4" t="s">
        <v>168</v>
      </c>
      <c r="H782" s="4" t="s">
        <v>169</v>
      </c>
      <c r="I782" s="4"/>
      <c r="J782" s="4"/>
      <c r="K782" s="4">
        <v>206</v>
      </c>
      <c r="L782" s="4">
        <v>20</v>
      </c>
      <c r="M782" s="4">
        <v>3</v>
      </c>
      <c r="N782" s="4" t="s">
        <v>6</v>
      </c>
      <c r="O782" s="4">
        <v>2</v>
      </c>
      <c r="P782" s="4"/>
      <c r="Q782" s="4"/>
      <c r="R782" s="4"/>
      <c r="S782" s="4"/>
      <c r="T782" s="4"/>
      <c r="U782" s="4"/>
      <c r="V782" s="4"/>
      <c r="W782" s="4"/>
    </row>
    <row r="783" spans="1:23" x14ac:dyDescent="0.2">
      <c r="A783" s="4">
        <v>50</v>
      </c>
      <c r="B783" s="4">
        <v>0</v>
      </c>
      <c r="C783" s="4">
        <v>0</v>
      </c>
      <c r="D783" s="4">
        <v>1</v>
      </c>
      <c r="E783" s="4">
        <v>207</v>
      </c>
      <c r="F783" s="4">
        <f>Source!U761</f>
        <v>3961.4573397999998</v>
      </c>
      <c r="G783" s="4" t="s">
        <v>170</v>
      </c>
      <c r="H783" s="4" t="s">
        <v>171</v>
      </c>
      <c r="I783" s="4"/>
      <c r="J783" s="4"/>
      <c r="K783" s="4">
        <v>207</v>
      </c>
      <c r="L783" s="4">
        <v>21</v>
      </c>
      <c r="M783" s="4">
        <v>3</v>
      </c>
      <c r="N783" s="4" t="s">
        <v>6</v>
      </c>
      <c r="O783" s="4">
        <v>-1</v>
      </c>
      <c r="P783" s="4"/>
      <c r="Q783" s="4"/>
      <c r="R783" s="4"/>
      <c r="S783" s="4"/>
      <c r="T783" s="4"/>
      <c r="U783" s="4"/>
      <c r="V783" s="4"/>
      <c r="W783" s="4"/>
    </row>
    <row r="784" spans="1:23" x14ac:dyDescent="0.2">
      <c r="A784" s="4">
        <v>50</v>
      </c>
      <c r="B784" s="4">
        <v>0</v>
      </c>
      <c r="C784" s="4">
        <v>0</v>
      </c>
      <c r="D784" s="4">
        <v>1</v>
      </c>
      <c r="E784" s="4">
        <v>208</v>
      </c>
      <c r="F784" s="4">
        <f>Source!V761</f>
        <v>92.493072749999982</v>
      </c>
      <c r="G784" s="4" t="s">
        <v>172</v>
      </c>
      <c r="H784" s="4" t="s">
        <v>173</v>
      </c>
      <c r="I784" s="4"/>
      <c r="J784" s="4"/>
      <c r="K784" s="4">
        <v>208</v>
      </c>
      <c r="L784" s="4">
        <v>22</v>
      </c>
      <c r="M784" s="4">
        <v>3</v>
      </c>
      <c r="N784" s="4" t="s">
        <v>6</v>
      </c>
      <c r="O784" s="4">
        <v>-1</v>
      </c>
      <c r="P784" s="4"/>
      <c r="Q784" s="4"/>
      <c r="R784" s="4"/>
      <c r="S784" s="4"/>
      <c r="T784" s="4"/>
      <c r="U784" s="4"/>
      <c r="V784" s="4"/>
      <c r="W784" s="4"/>
    </row>
    <row r="785" spans="1:206" x14ac:dyDescent="0.2">
      <c r="A785" s="4">
        <v>50</v>
      </c>
      <c r="B785" s="4">
        <v>0</v>
      </c>
      <c r="C785" s="4">
        <v>0</v>
      </c>
      <c r="D785" s="4">
        <v>1</v>
      </c>
      <c r="E785" s="4">
        <v>209</v>
      </c>
      <c r="F785" s="4">
        <f>ROUND(Source!W761,O785)</f>
        <v>0</v>
      </c>
      <c r="G785" s="4" t="s">
        <v>174</v>
      </c>
      <c r="H785" s="4" t="s">
        <v>175</v>
      </c>
      <c r="I785" s="4"/>
      <c r="J785" s="4"/>
      <c r="K785" s="4">
        <v>209</v>
      </c>
      <c r="L785" s="4">
        <v>23</v>
      </c>
      <c r="M785" s="4">
        <v>3</v>
      </c>
      <c r="N785" s="4" t="s">
        <v>6</v>
      </c>
      <c r="O785" s="4">
        <v>2</v>
      </c>
      <c r="P785" s="4"/>
      <c r="Q785" s="4"/>
      <c r="R785" s="4"/>
      <c r="S785" s="4"/>
      <c r="T785" s="4"/>
      <c r="U785" s="4"/>
      <c r="V785" s="4"/>
      <c r="W785" s="4"/>
    </row>
    <row r="786" spans="1:206" x14ac:dyDescent="0.2">
      <c r="A786" s="4">
        <v>50</v>
      </c>
      <c r="B786" s="4">
        <v>0</v>
      </c>
      <c r="C786" s="4">
        <v>0</v>
      </c>
      <c r="D786" s="4">
        <v>1</v>
      </c>
      <c r="E786" s="4">
        <v>210</v>
      </c>
      <c r="F786" s="4">
        <f>ROUND(Source!X761,O786)</f>
        <v>242673.83</v>
      </c>
      <c r="G786" s="4" t="s">
        <v>176</v>
      </c>
      <c r="H786" s="4" t="s">
        <v>177</v>
      </c>
      <c r="I786" s="4"/>
      <c r="J786" s="4"/>
      <c r="K786" s="4">
        <v>210</v>
      </c>
      <c r="L786" s="4">
        <v>24</v>
      </c>
      <c r="M786" s="4">
        <v>3</v>
      </c>
      <c r="N786" s="4" t="s">
        <v>6</v>
      </c>
      <c r="O786" s="4">
        <v>2</v>
      </c>
      <c r="P786" s="4"/>
      <c r="Q786" s="4"/>
      <c r="R786" s="4"/>
      <c r="S786" s="4"/>
      <c r="T786" s="4"/>
      <c r="U786" s="4"/>
      <c r="V786" s="4"/>
      <c r="W786" s="4"/>
    </row>
    <row r="787" spans="1:206" x14ac:dyDescent="0.2">
      <c r="A787" s="4">
        <v>50</v>
      </c>
      <c r="B787" s="4">
        <v>0</v>
      </c>
      <c r="C787" s="4">
        <v>0</v>
      </c>
      <c r="D787" s="4">
        <v>1</v>
      </c>
      <c r="E787" s="4">
        <v>211</v>
      </c>
      <c r="F787" s="4">
        <f>ROUND(Source!Y761,O787)</f>
        <v>149339.60999999999</v>
      </c>
      <c r="G787" s="4" t="s">
        <v>178</v>
      </c>
      <c r="H787" s="4" t="s">
        <v>179</v>
      </c>
      <c r="I787" s="4"/>
      <c r="J787" s="4"/>
      <c r="K787" s="4">
        <v>211</v>
      </c>
      <c r="L787" s="4">
        <v>25</v>
      </c>
      <c r="M787" s="4">
        <v>3</v>
      </c>
      <c r="N787" s="4" t="s">
        <v>6</v>
      </c>
      <c r="O787" s="4">
        <v>2</v>
      </c>
      <c r="P787" s="4"/>
      <c r="Q787" s="4"/>
      <c r="R787" s="4"/>
      <c r="S787" s="4"/>
      <c r="T787" s="4"/>
      <c r="U787" s="4"/>
      <c r="V787" s="4"/>
      <c r="W787" s="4"/>
    </row>
    <row r="788" spans="1:206" x14ac:dyDescent="0.2">
      <c r="A788" s="4">
        <v>50</v>
      </c>
      <c r="B788" s="4">
        <v>0</v>
      </c>
      <c r="C788" s="4">
        <v>0</v>
      </c>
      <c r="D788" s="4">
        <v>1</v>
      </c>
      <c r="E788" s="4">
        <v>224</v>
      </c>
      <c r="F788" s="4">
        <f>ROUND(Source!AR761,O788)</f>
        <v>3827013.36</v>
      </c>
      <c r="G788" s="4" t="s">
        <v>180</v>
      </c>
      <c r="H788" s="4" t="s">
        <v>181</v>
      </c>
      <c r="I788" s="4"/>
      <c r="J788" s="4"/>
      <c r="K788" s="4">
        <v>224</v>
      </c>
      <c r="L788" s="4">
        <v>26</v>
      </c>
      <c r="M788" s="4">
        <v>3</v>
      </c>
      <c r="N788" s="4" t="s">
        <v>6</v>
      </c>
      <c r="O788" s="4">
        <v>2</v>
      </c>
      <c r="P788" s="4"/>
      <c r="Q788" s="4"/>
      <c r="R788" s="4"/>
      <c r="S788" s="4"/>
      <c r="T788" s="4"/>
      <c r="U788" s="4"/>
      <c r="V788" s="4"/>
      <c r="W788" s="4"/>
    </row>
    <row r="789" spans="1:206" x14ac:dyDescent="0.2">
      <c r="A789" s="4">
        <v>50</v>
      </c>
      <c r="B789" s="4">
        <v>1</v>
      </c>
      <c r="C789" s="4">
        <v>0</v>
      </c>
      <c r="D789" s="4">
        <v>2</v>
      </c>
      <c r="E789" s="4">
        <v>0</v>
      </c>
      <c r="F789" s="4">
        <f>ROUND(F788,O789)</f>
        <v>3827013.36</v>
      </c>
      <c r="G789" s="4" t="s">
        <v>1216</v>
      </c>
      <c r="H789" s="4" t="s">
        <v>1217</v>
      </c>
      <c r="I789" s="4"/>
      <c r="J789" s="4"/>
      <c r="K789" s="4">
        <v>212</v>
      </c>
      <c r="L789" s="4">
        <v>27</v>
      </c>
      <c r="M789" s="4">
        <v>0</v>
      </c>
      <c r="N789" s="4" t="s">
        <v>6</v>
      </c>
      <c r="O789" s="4">
        <v>2</v>
      </c>
      <c r="P789" s="4"/>
      <c r="Q789" s="4"/>
      <c r="R789" s="4"/>
      <c r="S789" s="4"/>
      <c r="T789" s="4"/>
      <c r="U789" s="4"/>
      <c r="V789" s="4"/>
      <c r="W789" s="4"/>
    </row>
    <row r="790" spans="1:206" x14ac:dyDescent="0.2">
      <c r="A790" s="4">
        <v>50</v>
      </c>
      <c r="B790" s="4">
        <v>1</v>
      </c>
      <c r="C790" s="4">
        <v>0</v>
      </c>
      <c r="D790" s="4">
        <v>2</v>
      </c>
      <c r="E790" s="4">
        <v>0</v>
      </c>
      <c r="F790" s="4">
        <f>ROUND(F789*0.18,O790)</f>
        <v>688862.4</v>
      </c>
      <c r="G790" s="4" t="s">
        <v>1218</v>
      </c>
      <c r="H790" s="4" t="s">
        <v>1219</v>
      </c>
      <c r="I790" s="4"/>
      <c r="J790" s="4"/>
      <c r="K790" s="4">
        <v>212</v>
      </c>
      <c r="L790" s="4">
        <v>28</v>
      </c>
      <c r="M790" s="4">
        <v>0</v>
      </c>
      <c r="N790" s="4" t="s">
        <v>6</v>
      </c>
      <c r="O790" s="4">
        <v>2</v>
      </c>
      <c r="P790" s="4"/>
      <c r="Q790" s="4"/>
      <c r="R790" s="4"/>
      <c r="S790" s="4"/>
      <c r="T790" s="4"/>
      <c r="U790" s="4"/>
      <c r="V790" s="4"/>
      <c r="W790" s="4"/>
    </row>
    <row r="791" spans="1:206" x14ac:dyDescent="0.2">
      <c r="A791" s="4">
        <v>50</v>
      </c>
      <c r="B791" s="4">
        <v>1</v>
      </c>
      <c r="C791" s="4">
        <v>0</v>
      </c>
      <c r="D791" s="4">
        <v>2</v>
      </c>
      <c r="E791" s="4">
        <v>213</v>
      </c>
      <c r="F791" s="4">
        <f>ROUND(F789+F790,O791)</f>
        <v>4515875.76</v>
      </c>
      <c r="G791" s="4" t="s">
        <v>1220</v>
      </c>
      <c r="H791" s="4" t="s">
        <v>180</v>
      </c>
      <c r="I791" s="4"/>
      <c r="J791" s="4"/>
      <c r="K791" s="4">
        <v>212</v>
      </c>
      <c r="L791" s="4">
        <v>29</v>
      </c>
      <c r="M791" s="4">
        <v>0</v>
      </c>
      <c r="N791" s="4" t="s">
        <v>6</v>
      </c>
      <c r="O791" s="4">
        <v>2</v>
      </c>
      <c r="P791" s="4"/>
      <c r="Q791" s="4"/>
      <c r="R791" s="4"/>
      <c r="S791" s="4"/>
      <c r="T791" s="4"/>
      <c r="U791" s="4"/>
      <c r="V791" s="4"/>
      <c r="W791" s="4"/>
    </row>
    <row r="793" spans="1:206" x14ac:dyDescent="0.2">
      <c r="A793" s="2">
        <v>51</v>
      </c>
      <c r="B793" s="2">
        <f>B12</f>
        <v>851</v>
      </c>
      <c r="C793" s="2">
        <f>A12</f>
        <v>1</v>
      </c>
      <c r="D793" s="2">
        <f>ROW(A12)</f>
        <v>12</v>
      </c>
      <c r="E793" s="2"/>
      <c r="F793" s="2" t="str">
        <f>IF(F12&lt;&gt;"",F12,"")</f>
        <v>Новый объект</v>
      </c>
      <c r="G793" s="2" t="str">
        <f>IF(G12&lt;&gt;"",G12,"")</f>
        <v>на капитальный ремонт помещений №1,№2,№4,№5,№6,№8,№9,№10,№11,№13,№14,№15,№16,№17,№18 третьего этажа,помещений  №1,№2,№4,№5,№6, №7,№8,№9,№10,№11, №12,№13,№14,№15,№16 четвёртого  этажа  и  лестниц  А ,Б НИЯУ МИФИ по адресу: г.Москва,Каширское шоссе,д.64</v>
      </c>
      <c r="H793" s="2">
        <v>0</v>
      </c>
      <c r="I793" s="2"/>
      <c r="J793" s="2"/>
      <c r="K793" s="2"/>
      <c r="L793" s="2"/>
      <c r="M793" s="2"/>
      <c r="N793" s="2"/>
      <c r="O793" s="2">
        <f t="shared" ref="O793:T793" si="605">ROUND(O761,2)</f>
        <v>3422285.86</v>
      </c>
      <c r="P793" s="2">
        <f t="shared" si="605"/>
        <v>3122490.5</v>
      </c>
      <c r="Q793" s="2">
        <f t="shared" si="605"/>
        <v>39693.620000000003</v>
      </c>
      <c r="R793" s="2">
        <f t="shared" si="605"/>
        <v>7261.57</v>
      </c>
      <c r="S793" s="2">
        <f t="shared" si="605"/>
        <v>260101.74</v>
      </c>
      <c r="T793" s="2">
        <f t="shared" si="605"/>
        <v>0</v>
      </c>
      <c r="U793" s="2">
        <f>U761</f>
        <v>3961.4573397999998</v>
      </c>
      <c r="V793" s="2">
        <f>V761</f>
        <v>92.493072749999982</v>
      </c>
      <c r="W793" s="2">
        <f>ROUND(W761,2)</f>
        <v>0</v>
      </c>
      <c r="X793" s="2">
        <f>ROUND(X761,2)</f>
        <v>242673.83</v>
      </c>
      <c r="Y793" s="2">
        <f>ROUND(Y761,2)</f>
        <v>149339.60999999999</v>
      </c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>
        <f t="shared" ref="AO793:BC793" si="606">ROUND(AO761,2)</f>
        <v>0</v>
      </c>
      <c r="AP793" s="2">
        <f t="shared" si="606"/>
        <v>0</v>
      </c>
      <c r="AQ793" s="2">
        <f t="shared" si="606"/>
        <v>0</v>
      </c>
      <c r="AR793" s="2">
        <f t="shared" si="606"/>
        <v>3827013.36</v>
      </c>
      <c r="AS793" s="2">
        <f t="shared" si="606"/>
        <v>2911229.38</v>
      </c>
      <c r="AT793" s="2">
        <f t="shared" si="606"/>
        <v>860158.46</v>
      </c>
      <c r="AU793" s="2">
        <f t="shared" si="606"/>
        <v>55625.52</v>
      </c>
      <c r="AV793" s="2">
        <f t="shared" si="606"/>
        <v>3122490.5</v>
      </c>
      <c r="AW793" s="2">
        <f t="shared" si="606"/>
        <v>3122490.5</v>
      </c>
      <c r="AX793" s="2">
        <f t="shared" si="606"/>
        <v>0</v>
      </c>
      <c r="AY793" s="2">
        <f t="shared" si="606"/>
        <v>3122490.5</v>
      </c>
      <c r="AZ793" s="2">
        <f t="shared" si="606"/>
        <v>0</v>
      </c>
      <c r="BA793" s="2">
        <f t="shared" si="606"/>
        <v>0</v>
      </c>
      <c r="BB793" s="2">
        <f t="shared" si="606"/>
        <v>0</v>
      </c>
      <c r="BC793" s="2">
        <f t="shared" si="606"/>
        <v>0</v>
      </c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3"/>
      <c r="EF793" s="3"/>
      <c r="EG793" s="3"/>
      <c r="EH793" s="3"/>
      <c r="EI793" s="3"/>
      <c r="EJ793" s="3"/>
      <c r="EK793" s="3"/>
      <c r="EL793" s="3"/>
      <c r="EM793" s="3"/>
      <c r="EN793" s="3"/>
      <c r="EO793" s="3"/>
      <c r="EP793" s="3"/>
      <c r="EQ793" s="3"/>
      <c r="ER793" s="3"/>
      <c r="ES793" s="3"/>
      <c r="ET793" s="3"/>
      <c r="EU793" s="3"/>
      <c r="EV793" s="3"/>
      <c r="EW793" s="3"/>
      <c r="EX793" s="3"/>
      <c r="EY793" s="3"/>
      <c r="EZ793" s="3"/>
      <c r="FA793" s="3"/>
      <c r="FB793" s="3"/>
      <c r="FC793" s="3"/>
      <c r="FD793" s="3"/>
      <c r="FE793" s="3"/>
      <c r="FF793" s="3"/>
      <c r="FG793" s="3"/>
      <c r="FH793" s="3"/>
      <c r="FI793" s="3"/>
      <c r="FJ793" s="3"/>
      <c r="FK793" s="3"/>
      <c r="FL793" s="3"/>
      <c r="FM793" s="3"/>
      <c r="FN793" s="3"/>
      <c r="FO793" s="3"/>
      <c r="FP793" s="3"/>
      <c r="FQ793" s="3"/>
      <c r="FR793" s="3"/>
      <c r="FS793" s="3"/>
      <c r="FT793" s="3"/>
      <c r="FU793" s="3"/>
      <c r="FV793" s="3"/>
      <c r="FW793" s="3"/>
      <c r="FX793" s="3"/>
      <c r="FY793" s="3"/>
      <c r="FZ793" s="3"/>
      <c r="GA793" s="3"/>
      <c r="GB793" s="3"/>
      <c r="GC793" s="3"/>
      <c r="GD793" s="3"/>
      <c r="GE793" s="3"/>
      <c r="GF793" s="3"/>
      <c r="GG793" s="3"/>
      <c r="GH793" s="3"/>
      <c r="GI793" s="3"/>
      <c r="GJ793" s="3"/>
      <c r="GK793" s="3"/>
      <c r="GL793" s="3"/>
      <c r="GM793" s="3"/>
      <c r="GN793" s="3"/>
      <c r="GO793" s="3"/>
      <c r="GP793" s="3"/>
      <c r="GQ793" s="3"/>
      <c r="GR793" s="3"/>
      <c r="GS793" s="3"/>
      <c r="GT793" s="3"/>
      <c r="GU793" s="3"/>
      <c r="GV793" s="3"/>
      <c r="GW793" s="3"/>
      <c r="GX793" s="3">
        <v>0</v>
      </c>
    </row>
    <row r="795" spans="1:206" x14ac:dyDescent="0.2">
      <c r="A795" s="4">
        <v>50</v>
      </c>
      <c r="B795" s="4">
        <v>0</v>
      </c>
      <c r="C795" s="4">
        <v>0</v>
      </c>
      <c r="D795" s="4">
        <v>1</v>
      </c>
      <c r="E795" s="4">
        <v>201</v>
      </c>
      <c r="F795" s="4">
        <f>ROUND(Source!O793,O795)</f>
        <v>3422285.86</v>
      </c>
      <c r="G795" s="4" t="s">
        <v>130</v>
      </c>
      <c r="H795" s="4" t="s">
        <v>131</v>
      </c>
      <c r="I795" s="4"/>
      <c r="J795" s="4"/>
      <c r="K795" s="4">
        <v>201</v>
      </c>
      <c r="L795" s="4">
        <v>1</v>
      </c>
      <c r="M795" s="4">
        <v>3</v>
      </c>
      <c r="N795" s="4" t="s">
        <v>6</v>
      </c>
      <c r="O795" s="4">
        <v>2</v>
      </c>
      <c r="P795" s="4"/>
      <c r="Q795" s="4"/>
      <c r="R795" s="4"/>
      <c r="S795" s="4"/>
      <c r="T795" s="4"/>
      <c r="U795" s="4"/>
      <c r="V795" s="4"/>
      <c r="W795" s="4"/>
    </row>
    <row r="796" spans="1:206" x14ac:dyDescent="0.2">
      <c r="A796" s="4">
        <v>50</v>
      </c>
      <c r="B796" s="4">
        <v>0</v>
      </c>
      <c r="C796" s="4">
        <v>0</v>
      </c>
      <c r="D796" s="4">
        <v>1</v>
      </c>
      <c r="E796" s="4">
        <v>202</v>
      </c>
      <c r="F796" s="4">
        <f>ROUND(Source!P793,O796)</f>
        <v>3122490.5</v>
      </c>
      <c r="G796" s="4" t="s">
        <v>132</v>
      </c>
      <c r="H796" s="4" t="s">
        <v>133</v>
      </c>
      <c r="I796" s="4"/>
      <c r="J796" s="4"/>
      <c r="K796" s="4">
        <v>202</v>
      </c>
      <c r="L796" s="4">
        <v>2</v>
      </c>
      <c r="M796" s="4">
        <v>3</v>
      </c>
      <c r="N796" s="4" t="s">
        <v>6</v>
      </c>
      <c r="O796" s="4">
        <v>2</v>
      </c>
      <c r="P796" s="4"/>
      <c r="Q796" s="4"/>
      <c r="R796" s="4"/>
      <c r="S796" s="4"/>
      <c r="T796" s="4"/>
      <c r="U796" s="4"/>
      <c r="V796" s="4"/>
      <c r="W796" s="4"/>
    </row>
    <row r="797" spans="1:206" x14ac:dyDescent="0.2">
      <c r="A797" s="4">
        <v>50</v>
      </c>
      <c r="B797" s="4">
        <v>0</v>
      </c>
      <c r="C797" s="4">
        <v>0</v>
      </c>
      <c r="D797" s="4">
        <v>1</v>
      </c>
      <c r="E797" s="4">
        <v>222</v>
      </c>
      <c r="F797" s="4">
        <f>ROUND(Source!AO793,O797)</f>
        <v>0</v>
      </c>
      <c r="G797" s="4" t="s">
        <v>134</v>
      </c>
      <c r="H797" s="4" t="s">
        <v>135</v>
      </c>
      <c r="I797" s="4"/>
      <c r="J797" s="4"/>
      <c r="K797" s="4">
        <v>222</v>
      </c>
      <c r="L797" s="4">
        <v>3</v>
      </c>
      <c r="M797" s="4">
        <v>3</v>
      </c>
      <c r="N797" s="4" t="s">
        <v>6</v>
      </c>
      <c r="O797" s="4">
        <v>2</v>
      </c>
      <c r="P797" s="4"/>
      <c r="Q797" s="4"/>
      <c r="R797" s="4"/>
      <c r="S797" s="4"/>
      <c r="T797" s="4"/>
      <c r="U797" s="4"/>
      <c r="V797" s="4"/>
      <c r="W797" s="4"/>
    </row>
    <row r="798" spans="1:206" x14ac:dyDescent="0.2">
      <c r="A798" s="4">
        <v>50</v>
      </c>
      <c r="B798" s="4">
        <v>0</v>
      </c>
      <c r="C798" s="4">
        <v>0</v>
      </c>
      <c r="D798" s="4">
        <v>1</v>
      </c>
      <c r="E798" s="4">
        <v>225</v>
      </c>
      <c r="F798" s="4">
        <f>ROUND(Source!AV793,O798)</f>
        <v>3122490.5</v>
      </c>
      <c r="G798" s="4" t="s">
        <v>136</v>
      </c>
      <c r="H798" s="4" t="s">
        <v>137</v>
      </c>
      <c r="I798" s="4"/>
      <c r="J798" s="4"/>
      <c r="K798" s="4">
        <v>225</v>
      </c>
      <c r="L798" s="4">
        <v>4</v>
      </c>
      <c r="M798" s="4">
        <v>3</v>
      </c>
      <c r="N798" s="4" t="s">
        <v>6</v>
      </c>
      <c r="O798" s="4">
        <v>2</v>
      </c>
      <c r="P798" s="4"/>
      <c r="Q798" s="4"/>
      <c r="R798" s="4"/>
      <c r="S798" s="4"/>
      <c r="T798" s="4"/>
      <c r="U798" s="4"/>
      <c r="V798" s="4"/>
      <c r="W798" s="4"/>
    </row>
    <row r="799" spans="1:206" x14ac:dyDescent="0.2">
      <c r="A799" s="4">
        <v>50</v>
      </c>
      <c r="B799" s="4">
        <v>0</v>
      </c>
      <c r="C799" s="4">
        <v>0</v>
      </c>
      <c r="D799" s="4">
        <v>1</v>
      </c>
      <c r="E799" s="4">
        <v>226</v>
      </c>
      <c r="F799" s="4">
        <f>ROUND(Source!AW793,O799)</f>
        <v>3122490.5</v>
      </c>
      <c r="G799" s="4" t="s">
        <v>138</v>
      </c>
      <c r="H799" s="4" t="s">
        <v>139</v>
      </c>
      <c r="I799" s="4"/>
      <c r="J799" s="4"/>
      <c r="K799" s="4">
        <v>226</v>
      </c>
      <c r="L799" s="4">
        <v>5</v>
      </c>
      <c r="M799" s="4">
        <v>3</v>
      </c>
      <c r="N799" s="4" t="s">
        <v>6</v>
      </c>
      <c r="O799" s="4">
        <v>2</v>
      </c>
      <c r="P799" s="4"/>
      <c r="Q799" s="4"/>
      <c r="R799" s="4"/>
      <c r="S799" s="4"/>
      <c r="T799" s="4"/>
      <c r="U799" s="4"/>
      <c r="V799" s="4"/>
      <c r="W799" s="4"/>
    </row>
    <row r="800" spans="1:206" x14ac:dyDescent="0.2">
      <c r="A800" s="4">
        <v>50</v>
      </c>
      <c r="B800" s="4">
        <v>0</v>
      </c>
      <c r="C800" s="4">
        <v>0</v>
      </c>
      <c r="D800" s="4">
        <v>1</v>
      </c>
      <c r="E800" s="4">
        <v>227</v>
      </c>
      <c r="F800" s="4">
        <f>ROUND(Source!AX793,O800)</f>
        <v>0</v>
      </c>
      <c r="G800" s="4" t="s">
        <v>140</v>
      </c>
      <c r="H800" s="4" t="s">
        <v>141</v>
      </c>
      <c r="I800" s="4"/>
      <c r="J800" s="4"/>
      <c r="K800" s="4">
        <v>227</v>
      </c>
      <c r="L800" s="4">
        <v>6</v>
      </c>
      <c r="M800" s="4">
        <v>3</v>
      </c>
      <c r="N800" s="4" t="s">
        <v>6</v>
      </c>
      <c r="O800" s="4">
        <v>2</v>
      </c>
      <c r="P800" s="4"/>
      <c r="Q800" s="4"/>
      <c r="R800" s="4"/>
      <c r="S800" s="4"/>
      <c r="T800" s="4"/>
      <c r="U800" s="4"/>
      <c r="V800" s="4"/>
      <c r="W800" s="4"/>
    </row>
    <row r="801" spans="1:23" x14ac:dyDescent="0.2">
      <c r="A801" s="4">
        <v>50</v>
      </c>
      <c r="B801" s="4">
        <v>0</v>
      </c>
      <c r="C801" s="4">
        <v>0</v>
      </c>
      <c r="D801" s="4">
        <v>1</v>
      </c>
      <c r="E801" s="4">
        <v>228</v>
      </c>
      <c r="F801" s="4">
        <f>ROUND(Source!AY793,O801)</f>
        <v>3122490.5</v>
      </c>
      <c r="G801" s="4" t="s">
        <v>142</v>
      </c>
      <c r="H801" s="4" t="s">
        <v>143</v>
      </c>
      <c r="I801" s="4"/>
      <c r="J801" s="4"/>
      <c r="K801" s="4">
        <v>228</v>
      </c>
      <c r="L801" s="4">
        <v>7</v>
      </c>
      <c r="M801" s="4">
        <v>3</v>
      </c>
      <c r="N801" s="4" t="s">
        <v>6</v>
      </c>
      <c r="O801" s="4">
        <v>2</v>
      </c>
      <c r="P801" s="4"/>
      <c r="Q801" s="4"/>
      <c r="R801" s="4"/>
      <c r="S801" s="4"/>
      <c r="T801" s="4"/>
      <c r="U801" s="4"/>
      <c r="V801" s="4"/>
      <c r="W801" s="4"/>
    </row>
    <row r="802" spans="1:23" x14ac:dyDescent="0.2">
      <c r="A802" s="4">
        <v>50</v>
      </c>
      <c r="B802" s="4">
        <v>0</v>
      </c>
      <c r="C802" s="4">
        <v>0</v>
      </c>
      <c r="D802" s="4">
        <v>1</v>
      </c>
      <c r="E802" s="4">
        <v>216</v>
      </c>
      <c r="F802" s="4">
        <f>ROUND(Source!AP793,O802)</f>
        <v>0</v>
      </c>
      <c r="G802" s="4" t="s">
        <v>144</v>
      </c>
      <c r="H802" s="4" t="s">
        <v>145</v>
      </c>
      <c r="I802" s="4"/>
      <c r="J802" s="4"/>
      <c r="K802" s="4">
        <v>216</v>
      </c>
      <c r="L802" s="4">
        <v>8</v>
      </c>
      <c r="M802" s="4">
        <v>3</v>
      </c>
      <c r="N802" s="4" t="s">
        <v>6</v>
      </c>
      <c r="O802" s="4">
        <v>2</v>
      </c>
      <c r="P802" s="4"/>
      <c r="Q802" s="4"/>
      <c r="R802" s="4"/>
      <c r="S802" s="4"/>
      <c r="T802" s="4"/>
      <c r="U802" s="4"/>
      <c r="V802" s="4"/>
      <c r="W802" s="4"/>
    </row>
    <row r="803" spans="1:23" x14ac:dyDescent="0.2">
      <c r="A803" s="4">
        <v>50</v>
      </c>
      <c r="B803" s="4">
        <v>0</v>
      </c>
      <c r="C803" s="4">
        <v>0</v>
      </c>
      <c r="D803" s="4">
        <v>1</v>
      </c>
      <c r="E803" s="4">
        <v>223</v>
      </c>
      <c r="F803" s="4">
        <f>ROUND(Source!AQ793,O803)</f>
        <v>0</v>
      </c>
      <c r="G803" s="4" t="s">
        <v>146</v>
      </c>
      <c r="H803" s="4" t="s">
        <v>147</v>
      </c>
      <c r="I803" s="4"/>
      <c r="J803" s="4"/>
      <c r="K803" s="4">
        <v>223</v>
      </c>
      <c r="L803" s="4">
        <v>9</v>
      </c>
      <c r="M803" s="4">
        <v>3</v>
      </c>
      <c r="N803" s="4" t="s">
        <v>6</v>
      </c>
      <c r="O803" s="4">
        <v>2</v>
      </c>
      <c r="P803" s="4"/>
      <c r="Q803" s="4"/>
      <c r="R803" s="4"/>
      <c r="S803" s="4"/>
      <c r="T803" s="4"/>
      <c r="U803" s="4"/>
      <c r="V803" s="4"/>
      <c r="W803" s="4"/>
    </row>
    <row r="804" spans="1:23" x14ac:dyDescent="0.2">
      <c r="A804" s="4">
        <v>50</v>
      </c>
      <c r="B804" s="4">
        <v>0</v>
      </c>
      <c r="C804" s="4">
        <v>0</v>
      </c>
      <c r="D804" s="4">
        <v>1</v>
      </c>
      <c r="E804" s="4">
        <v>229</v>
      </c>
      <c r="F804" s="4">
        <f>ROUND(Source!AZ793,O804)</f>
        <v>0</v>
      </c>
      <c r="G804" s="4" t="s">
        <v>148</v>
      </c>
      <c r="H804" s="4" t="s">
        <v>149</v>
      </c>
      <c r="I804" s="4"/>
      <c r="J804" s="4"/>
      <c r="K804" s="4">
        <v>229</v>
      </c>
      <c r="L804" s="4">
        <v>10</v>
      </c>
      <c r="M804" s="4">
        <v>3</v>
      </c>
      <c r="N804" s="4" t="s">
        <v>6</v>
      </c>
      <c r="O804" s="4">
        <v>2</v>
      </c>
      <c r="P804" s="4"/>
      <c r="Q804" s="4"/>
      <c r="R804" s="4"/>
      <c r="S804" s="4"/>
      <c r="T804" s="4"/>
      <c r="U804" s="4"/>
      <c r="V804" s="4"/>
      <c r="W804" s="4"/>
    </row>
    <row r="805" spans="1:23" x14ac:dyDescent="0.2">
      <c r="A805" s="4">
        <v>50</v>
      </c>
      <c r="B805" s="4">
        <v>0</v>
      </c>
      <c r="C805" s="4">
        <v>0</v>
      </c>
      <c r="D805" s="4">
        <v>1</v>
      </c>
      <c r="E805" s="4">
        <v>203</v>
      </c>
      <c r="F805" s="4">
        <f>ROUND(Source!Q793,O805)</f>
        <v>39693.620000000003</v>
      </c>
      <c r="G805" s="4" t="s">
        <v>150</v>
      </c>
      <c r="H805" s="4" t="s">
        <v>151</v>
      </c>
      <c r="I805" s="4"/>
      <c r="J805" s="4"/>
      <c r="K805" s="4">
        <v>203</v>
      </c>
      <c r="L805" s="4">
        <v>11</v>
      </c>
      <c r="M805" s="4">
        <v>3</v>
      </c>
      <c r="N805" s="4" t="s">
        <v>6</v>
      </c>
      <c r="O805" s="4">
        <v>2</v>
      </c>
      <c r="P805" s="4"/>
      <c r="Q805" s="4"/>
      <c r="R805" s="4"/>
      <c r="S805" s="4"/>
      <c r="T805" s="4"/>
      <c r="U805" s="4"/>
      <c r="V805" s="4"/>
      <c r="W805" s="4"/>
    </row>
    <row r="806" spans="1:23" x14ac:dyDescent="0.2">
      <c r="A806" s="4">
        <v>50</v>
      </c>
      <c r="B806" s="4">
        <v>0</v>
      </c>
      <c r="C806" s="4">
        <v>0</v>
      </c>
      <c r="D806" s="4">
        <v>1</v>
      </c>
      <c r="E806" s="4">
        <v>231</v>
      </c>
      <c r="F806" s="4">
        <f>ROUND(Source!BB793,O806)</f>
        <v>0</v>
      </c>
      <c r="G806" s="4" t="s">
        <v>152</v>
      </c>
      <c r="H806" s="4" t="s">
        <v>153</v>
      </c>
      <c r="I806" s="4"/>
      <c r="J806" s="4"/>
      <c r="K806" s="4">
        <v>231</v>
      </c>
      <c r="L806" s="4">
        <v>12</v>
      </c>
      <c r="M806" s="4">
        <v>3</v>
      </c>
      <c r="N806" s="4" t="s">
        <v>6</v>
      </c>
      <c r="O806" s="4">
        <v>2</v>
      </c>
      <c r="P806" s="4"/>
      <c r="Q806" s="4"/>
      <c r="R806" s="4"/>
      <c r="S806" s="4"/>
      <c r="T806" s="4"/>
      <c r="U806" s="4"/>
      <c r="V806" s="4"/>
      <c r="W806" s="4"/>
    </row>
    <row r="807" spans="1:23" x14ac:dyDescent="0.2">
      <c r="A807" s="4">
        <v>50</v>
      </c>
      <c r="B807" s="4">
        <v>0</v>
      </c>
      <c r="C807" s="4">
        <v>0</v>
      </c>
      <c r="D807" s="4">
        <v>1</v>
      </c>
      <c r="E807" s="4">
        <v>204</v>
      </c>
      <c r="F807" s="4">
        <f>ROUND(Source!R793,O807)</f>
        <v>7261.57</v>
      </c>
      <c r="G807" s="4" t="s">
        <v>154</v>
      </c>
      <c r="H807" s="4" t="s">
        <v>155</v>
      </c>
      <c r="I807" s="4"/>
      <c r="J807" s="4"/>
      <c r="K807" s="4">
        <v>204</v>
      </c>
      <c r="L807" s="4">
        <v>13</v>
      </c>
      <c r="M807" s="4">
        <v>3</v>
      </c>
      <c r="N807" s="4" t="s">
        <v>6</v>
      </c>
      <c r="O807" s="4">
        <v>2</v>
      </c>
      <c r="P807" s="4"/>
      <c r="Q807" s="4"/>
      <c r="R807" s="4"/>
      <c r="S807" s="4"/>
      <c r="T807" s="4"/>
      <c r="U807" s="4"/>
      <c r="V807" s="4"/>
      <c r="W807" s="4"/>
    </row>
    <row r="808" spans="1:23" x14ac:dyDescent="0.2">
      <c r="A808" s="4">
        <v>50</v>
      </c>
      <c r="B808" s="4">
        <v>0</v>
      </c>
      <c r="C808" s="4">
        <v>0</v>
      </c>
      <c r="D808" s="4">
        <v>1</v>
      </c>
      <c r="E808" s="4">
        <v>205</v>
      </c>
      <c r="F808" s="4">
        <f>ROUND(Source!S793,O808)</f>
        <v>260101.74</v>
      </c>
      <c r="G808" s="4" t="s">
        <v>156</v>
      </c>
      <c r="H808" s="4" t="s">
        <v>157</v>
      </c>
      <c r="I808" s="4"/>
      <c r="J808" s="4"/>
      <c r="K808" s="4">
        <v>205</v>
      </c>
      <c r="L808" s="4">
        <v>14</v>
      </c>
      <c r="M808" s="4">
        <v>3</v>
      </c>
      <c r="N808" s="4" t="s">
        <v>6</v>
      </c>
      <c r="O808" s="4">
        <v>2</v>
      </c>
      <c r="P808" s="4"/>
      <c r="Q808" s="4"/>
      <c r="R808" s="4"/>
      <c r="S808" s="4"/>
      <c r="T808" s="4"/>
      <c r="U808" s="4"/>
      <c r="V808" s="4"/>
      <c r="W808" s="4"/>
    </row>
    <row r="809" spans="1:23" x14ac:dyDescent="0.2">
      <c r="A809" s="4">
        <v>50</v>
      </c>
      <c r="B809" s="4">
        <v>0</v>
      </c>
      <c r="C809" s="4">
        <v>0</v>
      </c>
      <c r="D809" s="4">
        <v>1</v>
      </c>
      <c r="E809" s="4">
        <v>232</v>
      </c>
      <c r="F809" s="4">
        <f>ROUND(Source!BC793,O809)</f>
        <v>0</v>
      </c>
      <c r="G809" s="4" t="s">
        <v>158</v>
      </c>
      <c r="H809" s="4" t="s">
        <v>159</v>
      </c>
      <c r="I809" s="4"/>
      <c r="J809" s="4"/>
      <c r="K809" s="4">
        <v>232</v>
      </c>
      <c r="L809" s="4">
        <v>15</v>
      </c>
      <c r="M809" s="4">
        <v>3</v>
      </c>
      <c r="N809" s="4" t="s">
        <v>6</v>
      </c>
      <c r="O809" s="4">
        <v>2</v>
      </c>
      <c r="P809" s="4"/>
      <c r="Q809" s="4"/>
      <c r="R809" s="4"/>
      <c r="S809" s="4"/>
      <c r="T809" s="4"/>
      <c r="U809" s="4"/>
      <c r="V809" s="4"/>
      <c r="W809" s="4"/>
    </row>
    <row r="810" spans="1:23" x14ac:dyDescent="0.2">
      <c r="A810" s="4">
        <v>50</v>
      </c>
      <c r="B810" s="4">
        <v>0</v>
      </c>
      <c r="C810" s="4">
        <v>0</v>
      </c>
      <c r="D810" s="4">
        <v>1</v>
      </c>
      <c r="E810" s="4">
        <v>214</v>
      </c>
      <c r="F810" s="4">
        <f>ROUND(Source!AS793,O810)</f>
        <v>2911229.38</v>
      </c>
      <c r="G810" s="4" t="s">
        <v>160</v>
      </c>
      <c r="H810" s="4" t="s">
        <v>161</v>
      </c>
      <c r="I810" s="4"/>
      <c r="J810" s="4"/>
      <c r="K810" s="4">
        <v>214</v>
      </c>
      <c r="L810" s="4">
        <v>16</v>
      </c>
      <c r="M810" s="4">
        <v>3</v>
      </c>
      <c r="N810" s="4" t="s">
        <v>6</v>
      </c>
      <c r="O810" s="4">
        <v>2</v>
      </c>
      <c r="P810" s="4"/>
      <c r="Q810" s="4"/>
      <c r="R810" s="4"/>
      <c r="S810" s="4"/>
      <c r="T810" s="4"/>
      <c r="U810" s="4"/>
      <c r="V810" s="4"/>
      <c r="W810" s="4"/>
    </row>
    <row r="811" spans="1:23" x14ac:dyDescent="0.2">
      <c r="A811" s="4">
        <v>50</v>
      </c>
      <c r="B811" s="4">
        <v>0</v>
      </c>
      <c r="C811" s="4">
        <v>0</v>
      </c>
      <c r="D811" s="4">
        <v>1</v>
      </c>
      <c r="E811" s="4">
        <v>215</v>
      </c>
      <c r="F811" s="4">
        <f>ROUND(Source!AT793,O811)</f>
        <v>860158.46</v>
      </c>
      <c r="G811" s="4" t="s">
        <v>162</v>
      </c>
      <c r="H811" s="4" t="s">
        <v>163</v>
      </c>
      <c r="I811" s="4"/>
      <c r="J811" s="4"/>
      <c r="K811" s="4">
        <v>215</v>
      </c>
      <c r="L811" s="4">
        <v>17</v>
      </c>
      <c r="M811" s="4">
        <v>3</v>
      </c>
      <c r="N811" s="4" t="s">
        <v>6</v>
      </c>
      <c r="O811" s="4">
        <v>2</v>
      </c>
      <c r="P811" s="4"/>
      <c r="Q811" s="4"/>
      <c r="R811" s="4"/>
      <c r="S811" s="4"/>
      <c r="T811" s="4"/>
      <c r="U811" s="4"/>
      <c r="V811" s="4"/>
      <c r="W811" s="4"/>
    </row>
    <row r="812" spans="1:23" x14ac:dyDescent="0.2">
      <c r="A812" s="4">
        <v>50</v>
      </c>
      <c r="B812" s="4">
        <v>0</v>
      </c>
      <c r="C812" s="4">
        <v>0</v>
      </c>
      <c r="D812" s="4">
        <v>1</v>
      </c>
      <c r="E812" s="4">
        <v>217</v>
      </c>
      <c r="F812" s="4">
        <f>ROUND(Source!AU793,O812)</f>
        <v>55625.52</v>
      </c>
      <c r="G812" s="4" t="s">
        <v>164</v>
      </c>
      <c r="H812" s="4" t="s">
        <v>165</v>
      </c>
      <c r="I812" s="4"/>
      <c r="J812" s="4"/>
      <c r="K812" s="4">
        <v>217</v>
      </c>
      <c r="L812" s="4">
        <v>18</v>
      </c>
      <c r="M812" s="4">
        <v>3</v>
      </c>
      <c r="N812" s="4" t="s">
        <v>6</v>
      </c>
      <c r="O812" s="4">
        <v>2</v>
      </c>
      <c r="P812" s="4"/>
      <c r="Q812" s="4"/>
      <c r="R812" s="4"/>
      <c r="S812" s="4"/>
      <c r="T812" s="4"/>
      <c r="U812" s="4"/>
      <c r="V812" s="4"/>
      <c r="W812" s="4"/>
    </row>
    <row r="813" spans="1:23" x14ac:dyDescent="0.2">
      <c r="A813" s="4">
        <v>50</v>
      </c>
      <c r="B813" s="4">
        <v>0</v>
      </c>
      <c r="C813" s="4">
        <v>0</v>
      </c>
      <c r="D813" s="4">
        <v>1</v>
      </c>
      <c r="E813" s="4">
        <v>230</v>
      </c>
      <c r="F813" s="4">
        <f>ROUND(Source!BA793,O813)</f>
        <v>0</v>
      </c>
      <c r="G813" s="4" t="s">
        <v>166</v>
      </c>
      <c r="H813" s="4" t="s">
        <v>167</v>
      </c>
      <c r="I813" s="4"/>
      <c r="J813" s="4"/>
      <c r="K813" s="4">
        <v>230</v>
      </c>
      <c r="L813" s="4">
        <v>19</v>
      </c>
      <c r="M813" s="4">
        <v>3</v>
      </c>
      <c r="N813" s="4" t="s">
        <v>6</v>
      </c>
      <c r="O813" s="4">
        <v>2</v>
      </c>
      <c r="P813" s="4"/>
      <c r="Q813" s="4"/>
      <c r="R813" s="4"/>
      <c r="S813" s="4"/>
      <c r="T813" s="4"/>
      <c r="U813" s="4"/>
      <c r="V813" s="4"/>
      <c r="W813" s="4"/>
    </row>
    <row r="814" spans="1:23" x14ac:dyDescent="0.2">
      <c r="A814" s="4">
        <v>50</v>
      </c>
      <c r="B814" s="4">
        <v>0</v>
      </c>
      <c r="C814" s="4">
        <v>0</v>
      </c>
      <c r="D814" s="4">
        <v>1</v>
      </c>
      <c r="E814" s="4">
        <v>206</v>
      </c>
      <c r="F814" s="4">
        <f>ROUND(Source!T793,O814)</f>
        <v>0</v>
      </c>
      <c r="G814" s="4" t="s">
        <v>168</v>
      </c>
      <c r="H814" s="4" t="s">
        <v>169</v>
      </c>
      <c r="I814" s="4"/>
      <c r="J814" s="4"/>
      <c r="K814" s="4">
        <v>206</v>
      </c>
      <c r="L814" s="4">
        <v>20</v>
      </c>
      <c r="M814" s="4">
        <v>3</v>
      </c>
      <c r="N814" s="4" t="s">
        <v>6</v>
      </c>
      <c r="O814" s="4">
        <v>2</v>
      </c>
      <c r="P814" s="4"/>
      <c r="Q814" s="4"/>
      <c r="R814" s="4"/>
      <c r="S814" s="4"/>
      <c r="T814" s="4"/>
      <c r="U814" s="4"/>
      <c r="V814" s="4"/>
      <c r="W814" s="4"/>
    </row>
    <row r="815" spans="1:23" x14ac:dyDescent="0.2">
      <c r="A815" s="4">
        <v>50</v>
      </c>
      <c r="B815" s="4">
        <v>0</v>
      </c>
      <c r="C815" s="4">
        <v>0</v>
      </c>
      <c r="D815" s="4">
        <v>1</v>
      </c>
      <c r="E815" s="4">
        <v>207</v>
      </c>
      <c r="F815" s="4">
        <f>Source!U793</f>
        <v>3961.4573397999998</v>
      </c>
      <c r="G815" s="4" t="s">
        <v>170</v>
      </c>
      <c r="H815" s="4" t="s">
        <v>171</v>
      </c>
      <c r="I815" s="4"/>
      <c r="J815" s="4"/>
      <c r="K815" s="4">
        <v>207</v>
      </c>
      <c r="L815" s="4">
        <v>21</v>
      </c>
      <c r="M815" s="4">
        <v>3</v>
      </c>
      <c r="N815" s="4" t="s">
        <v>6</v>
      </c>
      <c r="O815" s="4">
        <v>-1</v>
      </c>
      <c r="P815" s="4"/>
      <c r="Q815" s="4"/>
      <c r="R815" s="4"/>
      <c r="S815" s="4"/>
      <c r="T815" s="4"/>
      <c r="U815" s="4"/>
      <c r="V815" s="4"/>
      <c r="W815" s="4"/>
    </row>
    <row r="816" spans="1:23" x14ac:dyDescent="0.2">
      <c r="A816" s="4">
        <v>50</v>
      </c>
      <c r="B816" s="4">
        <v>0</v>
      </c>
      <c r="C816" s="4">
        <v>0</v>
      </c>
      <c r="D816" s="4">
        <v>1</v>
      </c>
      <c r="E816" s="4">
        <v>208</v>
      </c>
      <c r="F816" s="4">
        <f>Source!V793</f>
        <v>92.493072749999982</v>
      </c>
      <c r="G816" s="4" t="s">
        <v>172</v>
      </c>
      <c r="H816" s="4" t="s">
        <v>173</v>
      </c>
      <c r="I816" s="4"/>
      <c r="J816" s="4"/>
      <c r="K816" s="4">
        <v>208</v>
      </c>
      <c r="L816" s="4">
        <v>22</v>
      </c>
      <c r="M816" s="4">
        <v>3</v>
      </c>
      <c r="N816" s="4" t="s">
        <v>6</v>
      </c>
      <c r="O816" s="4">
        <v>-1</v>
      </c>
      <c r="P816" s="4"/>
      <c r="Q816" s="4"/>
      <c r="R816" s="4"/>
      <c r="S816" s="4"/>
      <c r="T816" s="4"/>
      <c r="U816" s="4"/>
      <c r="V816" s="4"/>
      <c r="W816" s="4"/>
    </row>
    <row r="817" spans="1:23" x14ac:dyDescent="0.2">
      <c r="A817" s="4">
        <v>50</v>
      </c>
      <c r="B817" s="4">
        <v>0</v>
      </c>
      <c r="C817" s="4">
        <v>0</v>
      </c>
      <c r="D817" s="4">
        <v>1</v>
      </c>
      <c r="E817" s="4">
        <v>209</v>
      </c>
      <c r="F817" s="4">
        <f>ROUND(Source!W793,O817)</f>
        <v>0</v>
      </c>
      <c r="G817" s="4" t="s">
        <v>174</v>
      </c>
      <c r="H817" s="4" t="s">
        <v>175</v>
      </c>
      <c r="I817" s="4"/>
      <c r="J817" s="4"/>
      <c r="K817" s="4">
        <v>209</v>
      </c>
      <c r="L817" s="4">
        <v>23</v>
      </c>
      <c r="M817" s="4">
        <v>3</v>
      </c>
      <c r="N817" s="4" t="s">
        <v>6</v>
      </c>
      <c r="O817" s="4">
        <v>2</v>
      </c>
      <c r="P817" s="4"/>
      <c r="Q817" s="4"/>
      <c r="R817" s="4"/>
      <c r="S817" s="4"/>
      <c r="T817" s="4"/>
      <c r="U817" s="4"/>
      <c r="V817" s="4"/>
      <c r="W817" s="4"/>
    </row>
    <row r="818" spans="1:23" x14ac:dyDescent="0.2">
      <c r="A818" s="4">
        <v>50</v>
      </c>
      <c r="B818" s="4">
        <v>0</v>
      </c>
      <c r="C818" s="4">
        <v>0</v>
      </c>
      <c r="D818" s="4">
        <v>1</v>
      </c>
      <c r="E818" s="4">
        <v>210</v>
      </c>
      <c r="F818" s="4">
        <f>ROUND(Source!X793,O818)</f>
        <v>242673.83</v>
      </c>
      <c r="G818" s="4" t="s">
        <v>176</v>
      </c>
      <c r="H818" s="4" t="s">
        <v>177</v>
      </c>
      <c r="I818" s="4"/>
      <c r="J818" s="4"/>
      <c r="K818" s="4">
        <v>210</v>
      </c>
      <c r="L818" s="4">
        <v>24</v>
      </c>
      <c r="M818" s="4">
        <v>3</v>
      </c>
      <c r="N818" s="4" t="s">
        <v>6</v>
      </c>
      <c r="O818" s="4">
        <v>2</v>
      </c>
      <c r="P818" s="4"/>
      <c r="Q818" s="4"/>
      <c r="R818" s="4"/>
      <c r="S818" s="4"/>
      <c r="T818" s="4"/>
      <c r="U818" s="4"/>
      <c r="V818" s="4"/>
      <c r="W818" s="4"/>
    </row>
    <row r="819" spans="1:23" x14ac:dyDescent="0.2">
      <c r="A819" s="4">
        <v>50</v>
      </c>
      <c r="B819" s="4">
        <v>0</v>
      </c>
      <c r="C819" s="4">
        <v>0</v>
      </c>
      <c r="D819" s="4">
        <v>1</v>
      </c>
      <c r="E819" s="4">
        <v>211</v>
      </c>
      <c r="F819" s="4">
        <f>ROUND(Source!Y793,O819)</f>
        <v>149339.60999999999</v>
      </c>
      <c r="G819" s="4" t="s">
        <v>178</v>
      </c>
      <c r="H819" s="4" t="s">
        <v>179</v>
      </c>
      <c r="I819" s="4"/>
      <c r="J819" s="4"/>
      <c r="K819" s="4">
        <v>211</v>
      </c>
      <c r="L819" s="4">
        <v>25</v>
      </c>
      <c r="M819" s="4">
        <v>3</v>
      </c>
      <c r="N819" s="4" t="s">
        <v>6</v>
      </c>
      <c r="O819" s="4">
        <v>2</v>
      </c>
      <c r="P819" s="4"/>
      <c r="Q819" s="4"/>
      <c r="R819" s="4"/>
      <c r="S819" s="4"/>
      <c r="T819" s="4"/>
      <c r="U819" s="4"/>
      <c r="V819" s="4"/>
      <c r="W819" s="4"/>
    </row>
    <row r="820" spans="1:23" x14ac:dyDescent="0.2">
      <c r="A820" s="4">
        <v>50</v>
      </c>
      <c r="B820" s="4">
        <v>0</v>
      </c>
      <c r="C820" s="4">
        <v>0</v>
      </c>
      <c r="D820" s="4">
        <v>1</v>
      </c>
      <c r="E820" s="4">
        <v>224</v>
      </c>
      <c r="F820" s="4">
        <f>ROUND(Source!AR793,O820)</f>
        <v>3827013.36</v>
      </c>
      <c r="G820" s="4" t="s">
        <v>180</v>
      </c>
      <c r="H820" s="4" t="s">
        <v>181</v>
      </c>
      <c r="I820" s="4"/>
      <c r="J820" s="4"/>
      <c r="K820" s="4">
        <v>224</v>
      </c>
      <c r="L820" s="4">
        <v>26</v>
      </c>
      <c r="M820" s="4">
        <v>3</v>
      </c>
      <c r="N820" s="4" t="s">
        <v>6</v>
      </c>
      <c r="O820" s="4">
        <v>2</v>
      </c>
      <c r="P820" s="4"/>
      <c r="Q820" s="4"/>
      <c r="R820" s="4"/>
      <c r="S820" s="4"/>
      <c r="T820" s="4"/>
      <c r="U820" s="4"/>
      <c r="V820" s="4"/>
      <c r="W820" s="4"/>
    </row>
    <row r="823" spans="1:23" x14ac:dyDescent="0.2">
      <c r="A823">
        <v>70</v>
      </c>
      <c r="B823">
        <v>1</v>
      </c>
      <c r="D823">
        <v>1</v>
      </c>
      <c r="E823" t="s">
        <v>1221</v>
      </c>
      <c r="F823" t="s">
        <v>1222</v>
      </c>
      <c r="G823">
        <v>0</v>
      </c>
      <c r="H823">
        <v>0</v>
      </c>
      <c r="I823" t="s">
        <v>6</v>
      </c>
      <c r="J823">
        <v>1</v>
      </c>
      <c r="K823">
        <v>0</v>
      </c>
      <c r="L823" t="s">
        <v>6</v>
      </c>
      <c r="M823" t="s">
        <v>6</v>
      </c>
      <c r="N823">
        <v>0</v>
      </c>
    </row>
    <row r="824" spans="1:23" x14ac:dyDescent="0.2">
      <c r="A824">
        <v>70</v>
      </c>
      <c r="B824">
        <v>1</v>
      </c>
      <c r="D824">
        <v>2</v>
      </c>
      <c r="E824" t="s">
        <v>1223</v>
      </c>
      <c r="F824" t="s">
        <v>1224</v>
      </c>
      <c r="G824">
        <v>1</v>
      </c>
      <c r="H824">
        <v>0</v>
      </c>
      <c r="I824" t="s">
        <v>6</v>
      </c>
      <c r="J824">
        <v>1</v>
      </c>
      <c r="K824">
        <v>0</v>
      </c>
      <c r="L824" t="s">
        <v>6</v>
      </c>
      <c r="M824" t="s">
        <v>6</v>
      </c>
      <c r="N824">
        <v>0</v>
      </c>
    </row>
    <row r="825" spans="1:23" x14ac:dyDescent="0.2">
      <c r="A825">
        <v>70</v>
      </c>
      <c r="B825">
        <v>1</v>
      </c>
      <c r="D825">
        <v>3</v>
      </c>
      <c r="E825" t="s">
        <v>1225</v>
      </c>
      <c r="F825" t="s">
        <v>1226</v>
      </c>
      <c r="G825">
        <v>0</v>
      </c>
      <c r="H825">
        <v>0</v>
      </c>
      <c r="I825" t="s">
        <v>6</v>
      </c>
      <c r="J825">
        <v>1</v>
      </c>
      <c r="K825">
        <v>0</v>
      </c>
      <c r="L825" t="s">
        <v>6</v>
      </c>
      <c r="M825" t="s">
        <v>6</v>
      </c>
      <c r="N825">
        <v>0</v>
      </c>
    </row>
    <row r="826" spans="1:23" x14ac:dyDescent="0.2">
      <c r="A826">
        <v>70</v>
      </c>
      <c r="B826">
        <v>1</v>
      </c>
      <c r="D826">
        <v>4</v>
      </c>
      <c r="E826" t="s">
        <v>1227</v>
      </c>
      <c r="F826" t="s">
        <v>1228</v>
      </c>
      <c r="G826">
        <v>0</v>
      </c>
      <c r="H826">
        <v>0</v>
      </c>
      <c r="I826" t="s">
        <v>1229</v>
      </c>
      <c r="J826">
        <v>0</v>
      </c>
      <c r="K826">
        <v>0</v>
      </c>
      <c r="L826" t="s">
        <v>6</v>
      </c>
      <c r="M826" t="s">
        <v>6</v>
      </c>
      <c r="N826">
        <v>0</v>
      </c>
    </row>
    <row r="827" spans="1:23" x14ac:dyDescent="0.2">
      <c r="A827">
        <v>70</v>
      </c>
      <c r="B827">
        <v>1</v>
      </c>
      <c r="D827">
        <v>5</v>
      </c>
      <c r="E827" t="s">
        <v>1230</v>
      </c>
      <c r="F827" t="s">
        <v>1231</v>
      </c>
      <c r="G827">
        <v>0</v>
      </c>
      <c r="H827">
        <v>0</v>
      </c>
      <c r="I827" t="s">
        <v>1232</v>
      </c>
      <c r="J827">
        <v>0</v>
      </c>
      <c r="K827">
        <v>0</v>
      </c>
      <c r="L827" t="s">
        <v>6</v>
      </c>
      <c r="M827" t="s">
        <v>6</v>
      </c>
      <c r="N827">
        <v>0</v>
      </c>
    </row>
    <row r="828" spans="1:23" x14ac:dyDescent="0.2">
      <c r="A828">
        <v>70</v>
      </c>
      <c r="B828">
        <v>1</v>
      </c>
      <c r="D828">
        <v>6</v>
      </c>
      <c r="E828" t="s">
        <v>1233</v>
      </c>
      <c r="F828" t="s">
        <v>1234</v>
      </c>
      <c r="G828">
        <v>0</v>
      </c>
      <c r="H828">
        <v>0</v>
      </c>
      <c r="I828" t="s">
        <v>1235</v>
      </c>
      <c r="J828">
        <v>0</v>
      </c>
      <c r="K828">
        <v>0</v>
      </c>
      <c r="L828" t="s">
        <v>6</v>
      </c>
      <c r="M828" t="s">
        <v>6</v>
      </c>
      <c r="N828">
        <v>0</v>
      </c>
    </row>
    <row r="829" spans="1:23" x14ac:dyDescent="0.2">
      <c r="A829">
        <v>70</v>
      </c>
      <c r="B829">
        <v>1</v>
      </c>
      <c r="D829">
        <v>7</v>
      </c>
      <c r="E829" t="s">
        <v>1236</v>
      </c>
      <c r="F829" t="s">
        <v>1237</v>
      </c>
      <c r="G829">
        <v>0</v>
      </c>
      <c r="H829">
        <v>0</v>
      </c>
      <c r="I829" t="s">
        <v>6</v>
      </c>
      <c r="J829">
        <v>0</v>
      </c>
      <c r="K829">
        <v>0</v>
      </c>
      <c r="L829" t="s">
        <v>6</v>
      </c>
      <c r="M829" t="s">
        <v>6</v>
      </c>
      <c r="N829">
        <v>0</v>
      </c>
    </row>
    <row r="830" spans="1:23" x14ac:dyDescent="0.2">
      <c r="A830">
        <v>70</v>
      </c>
      <c r="B830">
        <v>1</v>
      </c>
      <c r="D830">
        <v>8</v>
      </c>
      <c r="E830" t="s">
        <v>1238</v>
      </c>
      <c r="F830" t="s">
        <v>1239</v>
      </c>
      <c r="G830">
        <v>0</v>
      </c>
      <c r="H830">
        <v>0</v>
      </c>
      <c r="I830" t="s">
        <v>1240</v>
      </c>
      <c r="J830">
        <v>0</v>
      </c>
      <c r="K830">
        <v>0</v>
      </c>
      <c r="L830" t="s">
        <v>6</v>
      </c>
      <c r="M830" t="s">
        <v>6</v>
      </c>
      <c r="N830">
        <v>0</v>
      </c>
    </row>
    <row r="831" spans="1:23" x14ac:dyDescent="0.2">
      <c r="A831">
        <v>70</v>
      </c>
      <c r="B831">
        <v>1</v>
      </c>
      <c r="D831">
        <v>9</v>
      </c>
      <c r="E831" t="s">
        <v>1241</v>
      </c>
      <c r="F831" t="s">
        <v>1242</v>
      </c>
      <c r="G831">
        <v>0</v>
      </c>
      <c r="H831">
        <v>0</v>
      </c>
      <c r="I831" t="s">
        <v>1243</v>
      </c>
      <c r="J831">
        <v>0</v>
      </c>
      <c r="K831">
        <v>0</v>
      </c>
      <c r="L831" t="s">
        <v>6</v>
      </c>
      <c r="M831" t="s">
        <v>6</v>
      </c>
      <c r="N831">
        <v>0</v>
      </c>
    </row>
    <row r="832" spans="1:23" x14ac:dyDescent="0.2">
      <c r="A832">
        <v>70</v>
      </c>
      <c r="B832">
        <v>1</v>
      </c>
      <c r="D832">
        <v>10</v>
      </c>
      <c r="E832" t="s">
        <v>1244</v>
      </c>
      <c r="F832" t="s">
        <v>1245</v>
      </c>
      <c r="G832">
        <v>0</v>
      </c>
      <c r="H832">
        <v>0</v>
      </c>
      <c r="I832" t="s">
        <v>1246</v>
      </c>
      <c r="J832">
        <v>0</v>
      </c>
      <c r="K832">
        <v>0</v>
      </c>
      <c r="L832" t="s">
        <v>6</v>
      </c>
      <c r="M832" t="s">
        <v>6</v>
      </c>
      <c r="N832">
        <v>0</v>
      </c>
    </row>
    <row r="833" spans="1:14" x14ac:dyDescent="0.2">
      <c r="A833">
        <v>70</v>
      </c>
      <c r="B833">
        <v>1</v>
      </c>
      <c r="D833">
        <v>11</v>
      </c>
      <c r="E833" t="s">
        <v>1247</v>
      </c>
      <c r="F833" t="s">
        <v>1248</v>
      </c>
      <c r="G833">
        <v>0</v>
      </c>
      <c r="H833">
        <v>0</v>
      </c>
      <c r="I833" t="s">
        <v>1249</v>
      </c>
      <c r="J833">
        <v>0</v>
      </c>
      <c r="K833">
        <v>0</v>
      </c>
      <c r="L833" t="s">
        <v>6</v>
      </c>
      <c r="M833" t="s">
        <v>6</v>
      </c>
      <c r="N833">
        <v>0</v>
      </c>
    </row>
    <row r="834" spans="1:14" x14ac:dyDescent="0.2">
      <c r="A834">
        <v>70</v>
      </c>
      <c r="B834">
        <v>1</v>
      </c>
      <c r="D834">
        <v>12</v>
      </c>
      <c r="E834" t="s">
        <v>1250</v>
      </c>
      <c r="F834" t="s">
        <v>1251</v>
      </c>
      <c r="G834">
        <v>0</v>
      </c>
      <c r="H834">
        <v>0</v>
      </c>
      <c r="I834" t="s">
        <v>6</v>
      </c>
      <c r="J834">
        <v>0</v>
      </c>
      <c r="K834">
        <v>0</v>
      </c>
      <c r="L834" t="s">
        <v>6</v>
      </c>
      <c r="M834" t="s">
        <v>6</v>
      </c>
      <c r="N834">
        <v>0</v>
      </c>
    </row>
    <row r="835" spans="1:14" x14ac:dyDescent="0.2">
      <c r="A835">
        <v>70</v>
      </c>
      <c r="B835">
        <v>1</v>
      </c>
      <c r="D835">
        <v>1</v>
      </c>
      <c r="E835" t="s">
        <v>1252</v>
      </c>
      <c r="F835" t="s">
        <v>1253</v>
      </c>
      <c r="G835">
        <v>0.9</v>
      </c>
      <c r="H835">
        <v>1</v>
      </c>
      <c r="I835" t="s">
        <v>1254</v>
      </c>
      <c r="J835">
        <v>0</v>
      </c>
      <c r="K835">
        <v>0</v>
      </c>
      <c r="L835" t="s">
        <v>6</v>
      </c>
      <c r="M835" t="s">
        <v>6</v>
      </c>
      <c r="N835">
        <v>0</v>
      </c>
    </row>
    <row r="836" spans="1:14" x14ac:dyDescent="0.2">
      <c r="A836">
        <v>70</v>
      </c>
      <c r="B836">
        <v>1</v>
      </c>
      <c r="D836">
        <v>2</v>
      </c>
      <c r="E836" t="s">
        <v>1255</v>
      </c>
      <c r="F836" t="s">
        <v>1256</v>
      </c>
      <c r="G836">
        <v>0.85</v>
      </c>
      <c r="H836">
        <v>1</v>
      </c>
      <c r="I836" t="s">
        <v>1257</v>
      </c>
      <c r="J836">
        <v>0</v>
      </c>
      <c r="K836">
        <v>0</v>
      </c>
      <c r="L836" t="s">
        <v>6</v>
      </c>
      <c r="M836" t="s">
        <v>6</v>
      </c>
      <c r="N836">
        <v>0</v>
      </c>
    </row>
    <row r="837" spans="1:14" x14ac:dyDescent="0.2">
      <c r="A837">
        <v>70</v>
      </c>
      <c r="B837">
        <v>1</v>
      </c>
      <c r="D837">
        <v>3</v>
      </c>
      <c r="E837" t="s">
        <v>1258</v>
      </c>
      <c r="F837" t="s">
        <v>1259</v>
      </c>
      <c r="G837">
        <v>1</v>
      </c>
      <c r="H837">
        <v>0.85</v>
      </c>
      <c r="I837" t="s">
        <v>1260</v>
      </c>
      <c r="J837">
        <v>0</v>
      </c>
      <c r="K837">
        <v>0</v>
      </c>
      <c r="L837" t="s">
        <v>6</v>
      </c>
      <c r="M837" t="s">
        <v>6</v>
      </c>
      <c r="N837">
        <v>0</v>
      </c>
    </row>
    <row r="838" spans="1:14" x14ac:dyDescent="0.2">
      <c r="A838">
        <v>70</v>
      </c>
      <c r="B838">
        <v>1</v>
      </c>
      <c r="D838">
        <v>4</v>
      </c>
      <c r="E838" t="s">
        <v>1261</v>
      </c>
      <c r="F838" t="s">
        <v>1262</v>
      </c>
      <c r="G838">
        <v>1</v>
      </c>
      <c r="H838">
        <v>0</v>
      </c>
      <c r="I838" t="s">
        <v>6</v>
      </c>
      <c r="J838">
        <v>0</v>
      </c>
      <c r="K838">
        <v>0</v>
      </c>
      <c r="L838" t="s">
        <v>6</v>
      </c>
      <c r="M838" t="s">
        <v>6</v>
      </c>
      <c r="N838">
        <v>0</v>
      </c>
    </row>
    <row r="839" spans="1:14" x14ac:dyDescent="0.2">
      <c r="A839">
        <v>70</v>
      </c>
      <c r="B839">
        <v>1</v>
      </c>
      <c r="D839">
        <v>5</v>
      </c>
      <c r="E839" t="s">
        <v>1263</v>
      </c>
      <c r="F839" t="s">
        <v>1264</v>
      </c>
      <c r="G839">
        <v>1</v>
      </c>
      <c r="H839">
        <v>0.8</v>
      </c>
      <c r="I839" t="s">
        <v>1265</v>
      </c>
      <c r="J839">
        <v>0</v>
      </c>
      <c r="K839">
        <v>0</v>
      </c>
      <c r="L839" t="s">
        <v>6</v>
      </c>
      <c r="M839" t="s">
        <v>6</v>
      </c>
      <c r="N839">
        <v>0</v>
      </c>
    </row>
    <row r="840" spans="1:14" x14ac:dyDescent="0.2">
      <c r="A840">
        <v>70</v>
      </c>
      <c r="B840">
        <v>1</v>
      </c>
      <c r="D840">
        <v>6</v>
      </c>
      <c r="E840" t="s">
        <v>1266</v>
      </c>
      <c r="F840" t="s">
        <v>1267</v>
      </c>
      <c r="G840">
        <v>0.85</v>
      </c>
      <c r="H840">
        <v>0</v>
      </c>
      <c r="I840" t="s">
        <v>6</v>
      </c>
      <c r="J840">
        <v>0</v>
      </c>
      <c r="K840">
        <v>0</v>
      </c>
      <c r="L840" t="s">
        <v>6</v>
      </c>
      <c r="M840" t="s">
        <v>6</v>
      </c>
      <c r="N840">
        <v>0</v>
      </c>
    </row>
    <row r="841" spans="1:14" x14ac:dyDescent="0.2">
      <c r="A841">
        <v>70</v>
      </c>
      <c r="B841">
        <v>1</v>
      </c>
      <c r="D841">
        <v>7</v>
      </c>
      <c r="E841" t="s">
        <v>1268</v>
      </c>
      <c r="F841" t="s">
        <v>1269</v>
      </c>
      <c r="G841">
        <v>0.8</v>
      </c>
      <c r="H841">
        <v>0</v>
      </c>
      <c r="I841" t="s">
        <v>6</v>
      </c>
      <c r="J841">
        <v>0</v>
      </c>
      <c r="K841">
        <v>0</v>
      </c>
      <c r="L841" t="s">
        <v>6</v>
      </c>
      <c r="M841" t="s">
        <v>6</v>
      </c>
      <c r="N841">
        <v>0</v>
      </c>
    </row>
    <row r="842" spans="1:14" x14ac:dyDescent="0.2">
      <c r="A842">
        <v>70</v>
      </c>
      <c r="B842">
        <v>1</v>
      </c>
      <c r="D842">
        <v>8</v>
      </c>
      <c r="E842" t="s">
        <v>1270</v>
      </c>
      <c r="F842" t="s">
        <v>1271</v>
      </c>
      <c r="G842">
        <v>0.94</v>
      </c>
      <c r="H842">
        <v>0</v>
      </c>
      <c r="I842" t="s">
        <v>6</v>
      </c>
      <c r="J842">
        <v>0</v>
      </c>
      <c r="K842">
        <v>0</v>
      </c>
      <c r="L842" t="s">
        <v>6</v>
      </c>
      <c r="M842" t="s">
        <v>6</v>
      </c>
      <c r="N842">
        <v>0</v>
      </c>
    </row>
    <row r="843" spans="1:14" x14ac:dyDescent="0.2">
      <c r="A843">
        <v>70</v>
      </c>
      <c r="B843">
        <v>1</v>
      </c>
      <c r="D843">
        <v>9</v>
      </c>
      <c r="E843" t="s">
        <v>1272</v>
      </c>
      <c r="F843" t="s">
        <v>1273</v>
      </c>
      <c r="G843">
        <v>0.9</v>
      </c>
      <c r="H843">
        <v>0</v>
      </c>
      <c r="I843" t="s">
        <v>6</v>
      </c>
      <c r="J843">
        <v>0</v>
      </c>
      <c r="K843">
        <v>0</v>
      </c>
      <c r="L843" t="s">
        <v>6</v>
      </c>
      <c r="M843" t="s">
        <v>6</v>
      </c>
      <c r="N843">
        <v>0</v>
      </c>
    </row>
    <row r="844" spans="1:14" x14ac:dyDescent="0.2">
      <c r="A844">
        <v>70</v>
      </c>
      <c r="B844">
        <v>1</v>
      </c>
      <c r="D844">
        <v>10</v>
      </c>
      <c r="E844" t="s">
        <v>1274</v>
      </c>
      <c r="F844" t="s">
        <v>1275</v>
      </c>
      <c r="G844">
        <v>0.6</v>
      </c>
      <c r="H844">
        <v>0</v>
      </c>
      <c r="I844" t="s">
        <v>6</v>
      </c>
      <c r="J844">
        <v>0</v>
      </c>
      <c r="K844">
        <v>0</v>
      </c>
      <c r="L844" t="s">
        <v>6</v>
      </c>
      <c r="M844" t="s">
        <v>6</v>
      </c>
      <c r="N844">
        <v>0</v>
      </c>
    </row>
    <row r="845" spans="1:14" x14ac:dyDescent="0.2">
      <c r="A845">
        <v>70</v>
      </c>
      <c r="B845">
        <v>1</v>
      </c>
      <c r="D845">
        <v>11</v>
      </c>
      <c r="E845" t="s">
        <v>1276</v>
      </c>
      <c r="F845" t="s">
        <v>1277</v>
      </c>
      <c r="G845">
        <v>1.2</v>
      </c>
      <c r="H845">
        <v>0</v>
      </c>
      <c r="I845" t="s">
        <v>6</v>
      </c>
      <c r="J845">
        <v>0</v>
      </c>
      <c r="K845">
        <v>0</v>
      </c>
      <c r="L845" t="s">
        <v>6</v>
      </c>
      <c r="M845" t="s">
        <v>6</v>
      </c>
      <c r="N845">
        <v>0</v>
      </c>
    </row>
    <row r="846" spans="1:14" x14ac:dyDescent="0.2">
      <c r="A846">
        <v>70</v>
      </c>
      <c r="B846">
        <v>1</v>
      </c>
      <c r="D846">
        <v>12</v>
      </c>
      <c r="E846" t="s">
        <v>1278</v>
      </c>
      <c r="F846" t="s">
        <v>1279</v>
      </c>
      <c r="G846">
        <v>0</v>
      </c>
      <c r="H846">
        <v>0</v>
      </c>
      <c r="I846" t="s">
        <v>6</v>
      </c>
      <c r="J846">
        <v>0</v>
      </c>
      <c r="K846">
        <v>0</v>
      </c>
      <c r="L846" t="s">
        <v>6</v>
      </c>
      <c r="M846" t="s">
        <v>6</v>
      </c>
      <c r="N846">
        <v>0</v>
      </c>
    </row>
    <row r="847" spans="1:14" x14ac:dyDescent="0.2">
      <c r="A847">
        <v>70</v>
      </c>
      <c r="B847">
        <v>1</v>
      </c>
      <c r="D847">
        <v>13</v>
      </c>
      <c r="E847" t="s">
        <v>1280</v>
      </c>
      <c r="F847" t="s">
        <v>1281</v>
      </c>
      <c r="G847">
        <v>0.94</v>
      </c>
      <c r="H847">
        <v>0</v>
      </c>
      <c r="I847" t="s">
        <v>6</v>
      </c>
      <c r="J847">
        <v>0</v>
      </c>
      <c r="K847">
        <v>0</v>
      </c>
      <c r="L847" t="s">
        <v>6</v>
      </c>
      <c r="M847" t="s">
        <v>6</v>
      </c>
      <c r="N847">
        <v>0</v>
      </c>
    </row>
    <row r="849" spans="1:34" x14ac:dyDescent="0.2">
      <c r="A849">
        <v>-1</v>
      </c>
    </row>
    <row r="851" spans="1:34" x14ac:dyDescent="0.2">
      <c r="A851" s="3">
        <v>75</v>
      </c>
      <c r="B851" s="3" t="s">
        <v>1282</v>
      </c>
      <c r="C851" s="3">
        <v>2018</v>
      </c>
      <c r="D851" s="3">
        <v>2</v>
      </c>
      <c r="E851" s="3">
        <v>0</v>
      </c>
      <c r="F851" s="3">
        <v>0</v>
      </c>
      <c r="G851" s="3">
        <v>0</v>
      </c>
      <c r="H851" s="3">
        <v>1</v>
      </c>
      <c r="I851" s="3">
        <v>0</v>
      </c>
      <c r="J851" s="3">
        <v>1</v>
      </c>
      <c r="K851" s="3">
        <v>0</v>
      </c>
      <c r="L851" s="3">
        <v>0</v>
      </c>
      <c r="M851" s="3">
        <v>0</v>
      </c>
      <c r="N851" s="3">
        <v>16742901</v>
      </c>
      <c r="O851" s="3">
        <v>1</v>
      </c>
    </row>
    <row r="852" spans="1:34" x14ac:dyDescent="0.2">
      <c r="A852" s="5">
        <v>3</v>
      </c>
      <c r="B852" s="5" t="s">
        <v>1283</v>
      </c>
      <c r="C852" s="5">
        <v>6.56</v>
      </c>
      <c r="D852" s="5">
        <v>1</v>
      </c>
      <c r="E852" s="5">
        <v>1</v>
      </c>
      <c r="F852" s="5">
        <v>1</v>
      </c>
      <c r="G852" s="5">
        <v>1</v>
      </c>
      <c r="H852" s="5">
        <v>1</v>
      </c>
      <c r="I852" s="5">
        <v>1</v>
      </c>
      <c r="J852" s="5">
        <v>1</v>
      </c>
      <c r="K852" s="5">
        <v>18.940000000000001</v>
      </c>
      <c r="L852" s="5">
        <v>1</v>
      </c>
      <c r="M852" s="5">
        <v>6.56</v>
      </c>
      <c r="N852" s="5">
        <v>1</v>
      </c>
      <c r="O852" s="5">
        <v>1</v>
      </c>
      <c r="P852" s="5">
        <v>1</v>
      </c>
      <c r="Q852" s="5">
        <v>18.940000000000001</v>
      </c>
      <c r="R852" s="5">
        <v>1</v>
      </c>
      <c r="S852" s="5" t="s">
        <v>6</v>
      </c>
      <c r="T852" s="5" t="s">
        <v>6</v>
      </c>
      <c r="U852" s="5" t="s">
        <v>6</v>
      </c>
      <c r="V852" s="5" t="s">
        <v>6</v>
      </c>
      <c r="W852" s="5" t="s">
        <v>6</v>
      </c>
      <c r="X852" s="5" t="s">
        <v>6</v>
      </c>
      <c r="Y852" s="5" t="s">
        <v>6</v>
      </c>
      <c r="Z852" s="5" t="s">
        <v>6</v>
      </c>
      <c r="AA852" s="5" t="s">
        <v>6</v>
      </c>
      <c r="AB852" s="5" t="s">
        <v>6</v>
      </c>
      <c r="AC852" s="5" t="s">
        <v>6</v>
      </c>
      <c r="AD852" s="5" t="s">
        <v>6</v>
      </c>
      <c r="AE852" s="5" t="s">
        <v>6</v>
      </c>
      <c r="AF852" s="5" t="s">
        <v>6</v>
      </c>
      <c r="AG852" s="5" t="s">
        <v>6</v>
      </c>
      <c r="AH852" s="5" t="s">
        <v>6</v>
      </c>
    </row>
    <row r="856" spans="1:34" x14ac:dyDescent="0.2">
      <c r="A856">
        <v>65</v>
      </c>
      <c r="C856">
        <v>1</v>
      </c>
      <c r="D856">
        <v>0</v>
      </c>
      <c r="E85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topLeftCell="A13"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1284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5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16742901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(Source!F778)/1000</f>
        <v>2911.2293799999998</v>
      </c>
      <c r="F16" s="7">
        <f>(Source!F779)/1000</f>
        <v>860.15845999999999</v>
      </c>
      <c r="G16" s="7">
        <f>(Source!F770)/1000</f>
        <v>0</v>
      </c>
      <c r="H16" s="7">
        <f>(Source!F780)/1000+(Source!F781)/1000</f>
        <v>55.625519999999995</v>
      </c>
      <c r="I16" s="7">
        <f>E16+F16+G16+H16</f>
        <v>3827.0133599999999</v>
      </c>
      <c r="J16" s="7">
        <f>(Source!F776)/1000</f>
        <v>260.10174000000001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3422285.86</v>
      </c>
      <c r="AU16" s="7">
        <v>3122490.5</v>
      </c>
      <c r="AV16" s="7">
        <v>0</v>
      </c>
      <c r="AW16" s="7">
        <v>0</v>
      </c>
      <c r="AX16" s="7">
        <v>0</v>
      </c>
      <c r="AY16" s="7">
        <v>39693.620000000003</v>
      </c>
      <c r="AZ16" s="7">
        <v>7261.57</v>
      </c>
      <c r="BA16" s="7">
        <v>260101.74</v>
      </c>
      <c r="BB16" s="7">
        <v>2911229.38</v>
      </c>
      <c r="BC16" s="7">
        <v>860158.46</v>
      </c>
      <c r="BD16" s="7">
        <v>55625.52</v>
      </c>
      <c r="BE16" s="7">
        <v>0</v>
      </c>
      <c r="BF16" s="7">
        <v>3961.4573398000002</v>
      </c>
      <c r="BG16" s="7">
        <v>92.493072749999996</v>
      </c>
      <c r="BH16" s="7">
        <v>0</v>
      </c>
      <c r="BI16" s="7">
        <v>242673.83</v>
      </c>
      <c r="BJ16" s="7">
        <v>149339.60999999999</v>
      </c>
      <c r="BK16" s="7">
        <v>3827013.36</v>
      </c>
    </row>
    <row r="18" spans="1:19" x14ac:dyDescent="0.2">
      <c r="A18">
        <v>51</v>
      </c>
      <c r="E18" s="8">
        <f>SUMIF(A16:A17,3,E16:E17)</f>
        <v>2911.2293799999998</v>
      </c>
      <c r="F18" s="8">
        <f>SUMIF(A16:A17,3,F16:F17)</f>
        <v>860.15845999999999</v>
      </c>
      <c r="G18" s="8">
        <f>SUMIF(A16:A17,3,G16:G17)</f>
        <v>0</v>
      </c>
      <c r="H18" s="8">
        <f>SUMIF(A16:A17,3,H16:H17)</f>
        <v>55.625519999999995</v>
      </c>
      <c r="I18" s="8">
        <f>SUMIF(A16:A17,3,I16:I17)</f>
        <v>3827.0133599999999</v>
      </c>
      <c r="J18" s="8">
        <f>SUMIF(A16:A17,3,J16:J17)</f>
        <v>260.10174000000001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3422285.86</v>
      </c>
      <c r="G20" s="4" t="s">
        <v>130</v>
      </c>
      <c r="H20" s="4" t="s">
        <v>131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3122490.5</v>
      </c>
      <c r="G21" s="4" t="s">
        <v>132</v>
      </c>
      <c r="H21" s="4" t="s">
        <v>133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134</v>
      </c>
      <c r="H22" s="4" t="s">
        <v>135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3122490.5</v>
      </c>
      <c r="G23" s="4" t="s">
        <v>136</v>
      </c>
      <c r="H23" s="4" t="s">
        <v>137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3122490.5</v>
      </c>
      <c r="G24" s="4" t="s">
        <v>138</v>
      </c>
      <c r="H24" s="4" t="s">
        <v>139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140</v>
      </c>
      <c r="H25" s="4" t="s">
        <v>141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3122490.5</v>
      </c>
      <c r="G26" s="4" t="s">
        <v>142</v>
      </c>
      <c r="H26" s="4" t="s">
        <v>143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144</v>
      </c>
      <c r="H27" s="4" t="s">
        <v>145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146</v>
      </c>
      <c r="H28" s="4" t="s">
        <v>147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148</v>
      </c>
      <c r="H29" s="4" t="s">
        <v>149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39693.620000000003</v>
      </c>
      <c r="G30" s="4" t="s">
        <v>150</v>
      </c>
      <c r="H30" s="4" t="s">
        <v>151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152</v>
      </c>
      <c r="H31" s="4" t="s">
        <v>153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7261.57</v>
      </c>
      <c r="G32" s="4" t="s">
        <v>154</v>
      </c>
      <c r="H32" s="4" t="s">
        <v>155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260101.74</v>
      </c>
      <c r="G33" s="4" t="s">
        <v>156</v>
      </c>
      <c r="H33" s="4" t="s">
        <v>157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158</v>
      </c>
      <c r="H34" s="4" t="s">
        <v>159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2911229.38</v>
      </c>
      <c r="G35" s="4" t="s">
        <v>160</v>
      </c>
      <c r="H35" s="4" t="s">
        <v>161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860158.46</v>
      </c>
      <c r="G36" s="4" t="s">
        <v>162</v>
      </c>
      <c r="H36" s="4" t="s">
        <v>163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55625.52</v>
      </c>
      <c r="G37" s="4" t="s">
        <v>164</v>
      </c>
      <c r="H37" s="4" t="s">
        <v>165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166</v>
      </c>
      <c r="H38" s="4" t="s">
        <v>167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168</v>
      </c>
      <c r="H39" s="4" t="s">
        <v>169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3961.4573398000002</v>
      </c>
      <c r="G40" s="4" t="s">
        <v>170</v>
      </c>
      <c r="H40" s="4" t="s">
        <v>171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92.493072749999996</v>
      </c>
      <c r="G41" s="4" t="s">
        <v>172</v>
      </c>
      <c r="H41" s="4" t="s">
        <v>173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174</v>
      </c>
      <c r="H42" s="4" t="s">
        <v>175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242673.83</v>
      </c>
      <c r="G43" s="4" t="s">
        <v>176</v>
      </c>
      <c r="H43" s="4" t="s">
        <v>177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149339.60999999999</v>
      </c>
      <c r="G44" s="4" t="s">
        <v>178</v>
      </c>
      <c r="H44" s="4" t="s">
        <v>179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3827013.36</v>
      </c>
      <c r="G45" s="4" t="s">
        <v>180</v>
      </c>
      <c r="H45" s="4" t="s">
        <v>181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1282</v>
      </c>
      <c r="C50" s="3">
        <v>2018</v>
      </c>
      <c r="D50" s="3">
        <v>2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16742901</v>
      </c>
      <c r="O50" s="3">
        <v>1</v>
      </c>
    </row>
    <row r="51" spans="1:34" x14ac:dyDescent="0.2">
      <c r="A51" s="5">
        <v>3</v>
      </c>
      <c r="B51" s="5" t="s">
        <v>1283</v>
      </c>
      <c r="C51" s="5">
        <v>6.56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18.940000000000001</v>
      </c>
      <c r="L51" s="5">
        <v>1</v>
      </c>
      <c r="M51" s="5">
        <v>6.56</v>
      </c>
      <c r="N51" s="5">
        <v>1</v>
      </c>
      <c r="O51" s="5">
        <v>1</v>
      </c>
      <c r="P51" s="5">
        <v>1</v>
      </c>
      <c r="Q51" s="5">
        <v>18.940000000000001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02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ROW(Source!A36)</f>
        <v>36</v>
      </c>
      <c r="B1">
        <v>16742901</v>
      </c>
      <c r="C1">
        <v>16745010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1285</v>
      </c>
      <c r="J1" t="s">
        <v>6</v>
      </c>
      <c r="K1" t="s">
        <v>1286</v>
      </c>
      <c r="L1">
        <v>1191</v>
      </c>
      <c r="N1">
        <v>1013</v>
      </c>
      <c r="O1" t="s">
        <v>1287</v>
      </c>
      <c r="P1" t="s">
        <v>1287</v>
      </c>
      <c r="Q1">
        <v>1</v>
      </c>
      <c r="W1">
        <v>0</v>
      </c>
      <c r="X1">
        <v>-400197608</v>
      </c>
      <c r="Y1">
        <v>27.648000000000003</v>
      </c>
      <c r="AA1">
        <v>0</v>
      </c>
      <c r="AB1">
        <v>0</v>
      </c>
      <c r="AC1">
        <v>0</v>
      </c>
      <c r="AD1">
        <v>55.96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6.56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34.56</v>
      </c>
      <c r="AU1" t="s">
        <v>49</v>
      </c>
      <c r="AV1">
        <v>1</v>
      </c>
      <c r="AW1">
        <v>2</v>
      </c>
      <c r="AX1">
        <v>16745013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Y1*Source!I36</f>
        <v>4.8771072000000002</v>
      </c>
      <c r="CY1">
        <f>AD1</f>
        <v>55.96</v>
      </c>
      <c r="CZ1">
        <f>AH1</f>
        <v>8.5299999999999994</v>
      </c>
      <c r="DA1">
        <f>AL1</f>
        <v>6.56</v>
      </c>
      <c r="DB1">
        <f>ROUND((ROUND(AT1*CZ1,2)*0.8),2)</f>
        <v>235.84</v>
      </c>
      <c r="DC1">
        <f>ROUND((ROUND(AT1*AG1,2)*0.8),2)</f>
        <v>0</v>
      </c>
    </row>
    <row r="2" spans="1:107" x14ac:dyDescent="0.2">
      <c r="A2">
        <f>ROW(Source!A36)</f>
        <v>36</v>
      </c>
      <c r="B2">
        <v>16742901</v>
      </c>
      <c r="C2">
        <v>16745010</v>
      </c>
      <c r="D2">
        <v>15193110</v>
      </c>
      <c r="E2">
        <v>1</v>
      </c>
      <c r="F2">
        <v>1</v>
      </c>
      <c r="G2">
        <v>1</v>
      </c>
      <c r="H2">
        <v>3</v>
      </c>
      <c r="I2" t="s">
        <v>1288</v>
      </c>
      <c r="J2" t="s">
        <v>1289</v>
      </c>
      <c r="K2" t="s">
        <v>1290</v>
      </c>
      <c r="L2">
        <v>1327</v>
      </c>
      <c r="N2">
        <v>1005</v>
      </c>
      <c r="O2" t="s">
        <v>193</v>
      </c>
      <c r="P2" t="s">
        <v>193</v>
      </c>
      <c r="Q2">
        <v>1</v>
      </c>
      <c r="W2">
        <v>0</v>
      </c>
      <c r="X2">
        <v>1818210239</v>
      </c>
      <c r="Y2">
        <v>0</v>
      </c>
      <c r="AA2">
        <v>4600.59</v>
      </c>
      <c r="AB2">
        <v>0</v>
      </c>
      <c r="AC2">
        <v>0</v>
      </c>
      <c r="AD2">
        <v>0</v>
      </c>
      <c r="AE2">
        <v>701.31</v>
      </c>
      <c r="AF2">
        <v>0</v>
      </c>
      <c r="AG2">
        <v>0</v>
      </c>
      <c r="AH2">
        <v>0</v>
      </c>
      <c r="AI2">
        <v>6.56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100</v>
      </c>
      <c r="AU2" t="s">
        <v>48</v>
      </c>
      <c r="AV2">
        <v>0</v>
      </c>
      <c r="AW2">
        <v>2</v>
      </c>
      <c r="AX2">
        <v>16745014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Y2*Source!I36</f>
        <v>0</v>
      </c>
      <c r="CY2">
        <f>AA2</f>
        <v>4600.59</v>
      </c>
      <c r="CZ2">
        <f>AE2</f>
        <v>701.31</v>
      </c>
      <c r="DA2">
        <f>AI2</f>
        <v>6.56</v>
      </c>
      <c r="DB2">
        <f>ROUND((ROUND(AT2*CZ2,2)*0),2)</f>
        <v>0</v>
      </c>
      <c r="DC2">
        <f>ROUND((ROUND(AT2*AG2,2)*0),2)</f>
        <v>0</v>
      </c>
    </row>
    <row r="3" spans="1:107" x14ac:dyDescent="0.2">
      <c r="A3">
        <f>ROW(Source!A37)</f>
        <v>37</v>
      </c>
      <c r="B3">
        <v>16742901</v>
      </c>
      <c r="C3">
        <v>16745128</v>
      </c>
      <c r="D3">
        <v>15435609</v>
      </c>
      <c r="E3">
        <v>1</v>
      </c>
      <c r="F3">
        <v>1</v>
      </c>
      <c r="G3">
        <v>1</v>
      </c>
      <c r="H3">
        <v>1</v>
      </c>
      <c r="I3" t="s">
        <v>1291</v>
      </c>
      <c r="J3" t="s">
        <v>6</v>
      </c>
      <c r="K3" t="s">
        <v>1292</v>
      </c>
      <c r="L3">
        <v>1191</v>
      </c>
      <c r="N3">
        <v>1013</v>
      </c>
      <c r="O3" t="s">
        <v>1287</v>
      </c>
      <c r="P3" t="s">
        <v>1287</v>
      </c>
      <c r="Q3">
        <v>1</v>
      </c>
      <c r="W3">
        <v>0</v>
      </c>
      <c r="X3">
        <v>-814890593</v>
      </c>
      <c r="Y3">
        <v>0.84399999999999997</v>
      </c>
      <c r="AA3">
        <v>0</v>
      </c>
      <c r="AB3">
        <v>0</v>
      </c>
      <c r="AC3">
        <v>0</v>
      </c>
      <c r="AD3">
        <v>58.84</v>
      </c>
      <c r="AE3">
        <v>0</v>
      </c>
      <c r="AF3">
        <v>0</v>
      </c>
      <c r="AG3">
        <v>0</v>
      </c>
      <c r="AH3">
        <v>8.9700000000000006</v>
      </c>
      <c r="AI3">
        <v>1</v>
      </c>
      <c r="AJ3">
        <v>1</v>
      </c>
      <c r="AK3">
        <v>1</v>
      </c>
      <c r="AL3">
        <v>6.56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2.11</v>
      </c>
      <c r="AU3" t="s">
        <v>59</v>
      </c>
      <c r="AV3">
        <v>1</v>
      </c>
      <c r="AW3">
        <v>2</v>
      </c>
      <c r="AX3">
        <v>16745137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Y3*Source!I37</f>
        <v>7.5960000000000001</v>
      </c>
      <c r="CY3">
        <f>AD3</f>
        <v>58.84</v>
      </c>
      <c r="CZ3">
        <f>AH3</f>
        <v>8.9700000000000006</v>
      </c>
      <c r="DA3">
        <f>AL3</f>
        <v>6.56</v>
      </c>
      <c r="DB3">
        <f>ROUND((ROUND(AT3*CZ3,2)*0.4),2)</f>
        <v>7.57</v>
      </c>
      <c r="DC3">
        <f>ROUND((ROUND(AT3*AG3,2)*0.4),2)</f>
        <v>0</v>
      </c>
    </row>
    <row r="4" spans="1:107" x14ac:dyDescent="0.2">
      <c r="A4">
        <f>ROW(Source!A37)</f>
        <v>37</v>
      </c>
      <c r="B4">
        <v>16742901</v>
      </c>
      <c r="C4">
        <v>16745128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1293</v>
      </c>
      <c r="J4" t="s">
        <v>6</v>
      </c>
      <c r="K4" t="s">
        <v>1294</v>
      </c>
      <c r="L4">
        <v>1191</v>
      </c>
      <c r="N4">
        <v>1013</v>
      </c>
      <c r="O4" t="s">
        <v>1287</v>
      </c>
      <c r="P4" t="s">
        <v>1287</v>
      </c>
      <c r="Q4">
        <v>1</v>
      </c>
      <c r="W4">
        <v>0</v>
      </c>
      <c r="X4">
        <v>-1417349443</v>
      </c>
      <c r="Y4">
        <v>0.03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6.56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0.03</v>
      </c>
      <c r="AU4" t="s">
        <v>6</v>
      </c>
      <c r="AV4">
        <v>2</v>
      </c>
      <c r="AW4">
        <v>2</v>
      </c>
      <c r="AX4">
        <v>16745138</v>
      </c>
      <c r="AY4">
        <v>1</v>
      </c>
      <c r="AZ4">
        <v>2048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Y4*Source!I37</f>
        <v>0.27</v>
      </c>
      <c r="CY4">
        <f>AD4</f>
        <v>0</v>
      </c>
      <c r="CZ4">
        <f>AH4</f>
        <v>0</v>
      </c>
      <c r="DA4">
        <f>AL4</f>
        <v>1</v>
      </c>
      <c r="DB4">
        <f>ROUND(ROUND(AT4*CZ4,2),2)</f>
        <v>0</v>
      </c>
      <c r="DC4">
        <f>ROUND(ROUND(AT4*AG4,2),2)</f>
        <v>0</v>
      </c>
    </row>
    <row r="5" spans="1:107" x14ac:dyDescent="0.2">
      <c r="A5">
        <f>ROW(Source!A37)</f>
        <v>37</v>
      </c>
      <c r="B5">
        <v>16742901</v>
      </c>
      <c r="C5">
        <v>16745128</v>
      </c>
      <c r="D5">
        <v>15247680</v>
      </c>
      <c r="E5">
        <v>1</v>
      </c>
      <c r="F5">
        <v>1</v>
      </c>
      <c r="G5">
        <v>1</v>
      </c>
      <c r="H5">
        <v>2</v>
      </c>
      <c r="I5" t="s">
        <v>1295</v>
      </c>
      <c r="J5" t="s">
        <v>1296</v>
      </c>
      <c r="K5" t="s">
        <v>1297</v>
      </c>
      <c r="L5">
        <v>1368</v>
      </c>
      <c r="N5">
        <v>1011</v>
      </c>
      <c r="O5" t="s">
        <v>1298</v>
      </c>
      <c r="P5" t="s">
        <v>1298</v>
      </c>
      <c r="Q5">
        <v>1</v>
      </c>
      <c r="W5">
        <v>0</v>
      </c>
      <c r="X5">
        <v>-1718674368</v>
      </c>
      <c r="Y5">
        <v>4.0000000000000001E-3</v>
      </c>
      <c r="AA5">
        <v>0</v>
      </c>
      <c r="AB5">
        <v>734.65</v>
      </c>
      <c r="AC5">
        <v>13.5</v>
      </c>
      <c r="AD5">
        <v>0</v>
      </c>
      <c r="AE5">
        <v>0</v>
      </c>
      <c r="AF5">
        <v>111.99</v>
      </c>
      <c r="AG5">
        <v>13.5</v>
      </c>
      <c r="AH5">
        <v>0</v>
      </c>
      <c r="AI5">
        <v>1</v>
      </c>
      <c r="AJ5">
        <v>6.56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0.01</v>
      </c>
      <c r="AU5" t="s">
        <v>59</v>
      </c>
      <c r="AV5">
        <v>0</v>
      </c>
      <c r="AW5">
        <v>2</v>
      </c>
      <c r="AX5">
        <v>16745139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Y5*Source!I37</f>
        <v>3.6000000000000004E-2</v>
      </c>
      <c r="CY5">
        <f>AB5</f>
        <v>734.65</v>
      </c>
      <c r="CZ5">
        <f>AF5</f>
        <v>111.99</v>
      </c>
      <c r="DA5">
        <f>AJ5</f>
        <v>6.56</v>
      </c>
      <c r="DB5">
        <f>ROUND((ROUND(AT5*CZ5,2)*0.4),2)</f>
        <v>0.45</v>
      </c>
      <c r="DC5">
        <f>ROUND((ROUND(AT5*AG5,2)*0.4),2)</f>
        <v>0.06</v>
      </c>
    </row>
    <row r="6" spans="1:107" x14ac:dyDescent="0.2">
      <c r="A6">
        <f>ROW(Source!A37)</f>
        <v>37</v>
      </c>
      <c r="B6">
        <v>16742901</v>
      </c>
      <c r="C6">
        <v>16745128</v>
      </c>
      <c r="D6">
        <v>15249073</v>
      </c>
      <c r="E6">
        <v>1</v>
      </c>
      <c r="F6">
        <v>1</v>
      </c>
      <c r="G6">
        <v>1</v>
      </c>
      <c r="H6">
        <v>2</v>
      </c>
      <c r="I6" t="s">
        <v>1299</v>
      </c>
      <c r="J6" t="s">
        <v>1300</v>
      </c>
      <c r="K6" t="s">
        <v>1301</v>
      </c>
      <c r="L6">
        <v>1368</v>
      </c>
      <c r="N6">
        <v>1011</v>
      </c>
      <c r="O6" t="s">
        <v>1298</v>
      </c>
      <c r="P6" t="s">
        <v>1298</v>
      </c>
      <c r="Q6">
        <v>1</v>
      </c>
      <c r="W6">
        <v>0</v>
      </c>
      <c r="X6">
        <v>1372534845</v>
      </c>
      <c r="Y6">
        <v>8.0000000000000002E-3</v>
      </c>
      <c r="AA6">
        <v>0</v>
      </c>
      <c r="AB6">
        <v>431.06</v>
      </c>
      <c r="AC6">
        <v>11.6</v>
      </c>
      <c r="AD6">
        <v>0</v>
      </c>
      <c r="AE6">
        <v>0</v>
      </c>
      <c r="AF6">
        <v>65.709999999999994</v>
      </c>
      <c r="AG6">
        <v>11.6</v>
      </c>
      <c r="AH6">
        <v>0</v>
      </c>
      <c r="AI6">
        <v>1</v>
      </c>
      <c r="AJ6">
        <v>6.56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0.02</v>
      </c>
      <c r="AU6" t="s">
        <v>59</v>
      </c>
      <c r="AV6">
        <v>0</v>
      </c>
      <c r="AW6">
        <v>2</v>
      </c>
      <c r="AX6">
        <v>16745140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Y6*Source!I37</f>
        <v>7.2000000000000008E-2</v>
      </c>
      <c r="CY6">
        <f>AB6</f>
        <v>431.06</v>
      </c>
      <c r="CZ6">
        <f>AF6</f>
        <v>65.709999999999994</v>
      </c>
      <c r="DA6">
        <f>AJ6</f>
        <v>6.56</v>
      </c>
      <c r="DB6">
        <f>ROUND((ROUND(AT6*CZ6,2)*0.4),2)</f>
        <v>0.52</v>
      </c>
      <c r="DC6">
        <f>ROUND((ROUND(AT6*AG6,2)*0.4),2)</f>
        <v>0.09</v>
      </c>
    </row>
    <row r="7" spans="1:107" x14ac:dyDescent="0.2">
      <c r="A7">
        <f>ROW(Source!A37)</f>
        <v>37</v>
      </c>
      <c r="B7">
        <v>16742901</v>
      </c>
      <c r="C7">
        <v>16745128</v>
      </c>
      <c r="D7">
        <v>15249377</v>
      </c>
      <c r="E7">
        <v>1</v>
      </c>
      <c r="F7">
        <v>1</v>
      </c>
      <c r="G7">
        <v>1</v>
      </c>
      <c r="H7">
        <v>2</v>
      </c>
      <c r="I7" t="s">
        <v>1302</v>
      </c>
      <c r="J7" t="s">
        <v>1303</v>
      </c>
      <c r="K7" t="s">
        <v>1304</v>
      </c>
      <c r="L7">
        <v>1368</v>
      </c>
      <c r="N7">
        <v>1011</v>
      </c>
      <c r="O7" t="s">
        <v>1298</v>
      </c>
      <c r="P7" t="s">
        <v>1298</v>
      </c>
      <c r="Q7">
        <v>1</v>
      </c>
      <c r="W7">
        <v>0</v>
      </c>
      <c r="X7">
        <v>-353815937</v>
      </c>
      <c r="Y7">
        <v>4.8000000000000001E-2</v>
      </c>
      <c r="AA7">
        <v>0</v>
      </c>
      <c r="AB7">
        <v>53.14</v>
      </c>
      <c r="AC7">
        <v>0</v>
      </c>
      <c r="AD7">
        <v>0</v>
      </c>
      <c r="AE7">
        <v>0</v>
      </c>
      <c r="AF7">
        <v>8.1</v>
      </c>
      <c r="AG7">
        <v>0</v>
      </c>
      <c r="AH7">
        <v>0</v>
      </c>
      <c r="AI7">
        <v>1</v>
      </c>
      <c r="AJ7">
        <v>6.56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0.12</v>
      </c>
      <c r="AU7" t="s">
        <v>59</v>
      </c>
      <c r="AV7">
        <v>0</v>
      </c>
      <c r="AW7">
        <v>2</v>
      </c>
      <c r="AX7">
        <v>16745141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Y7*Source!I37</f>
        <v>0.432</v>
      </c>
      <c r="CY7">
        <f>AB7</f>
        <v>53.14</v>
      </c>
      <c r="CZ7">
        <f>AF7</f>
        <v>8.1</v>
      </c>
      <c r="DA7">
        <f>AJ7</f>
        <v>6.56</v>
      </c>
      <c r="DB7">
        <f>ROUND((ROUND(AT7*CZ7,2)*0.4),2)</f>
        <v>0.39</v>
      </c>
      <c r="DC7">
        <f>ROUND((ROUND(AT7*AG7,2)*0.4),2)</f>
        <v>0</v>
      </c>
    </row>
    <row r="8" spans="1:107" x14ac:dyDescent="0.2">
      <c r="A8">
        <f>ROW(Source!A37)</f>
        <v>37</v>
      </c>
      <c r="B8">
        <v>16742901</v>
      </c>
      <c r="C8">
        <v>16745128</v>
      </c>
      <c r="D8">
        <v>15168763</v>
      </c>
      <c r="E8">
        <v>1</v>
      </c>
      <c r="F8">
        <v>1</v>
      </c>
      <c r="G8">
        <v>1</v>
      </c>
      <c r="H8">
        <v>3</v>
      </c>
      <c r="I8" t="s">
        <v>1305</v>
      </c>
      <c r="J8" t="s">
        <v>1306</v>
      </c>
      <c r="K8" t="s">
        <v>1307</v>
      </c>
      <c r="L8">
        <v>1348</v>
      </c>
      <c r="N8">
        <v>1009</v>
      </c>
      <c r="O8" t="s">
        <v>100</v>
      </c>
      <c r="P8" t="s">
        <v>100</v>
      </c>
      <c r="Q8">
        <v>1000</v>
      </c>
      <c r="W8">
        <v>0</v>
      </c>
      <c r="X8">
        <v>-1068056325</v>
      </c>
      <c r="Y8">
        <v>0</v>
      </c>
      <c r="AA8">
        <v>67974.720000000001</v>
      </c>
      <c r="AB8">
        <v>0</v>
      </c>
      <c r="AC8">
        <v>0</v>
      </c>
      <c r="AD8">
        <v>0</v>
      </c>
      <c r="AE8">
        <v>10362</v>
      </c>
      <c r="AF8">
        <v>0</v>
      </c>
      <c r="AG8">
        <v>0</v>
      </c>
      <c r="AH8">
        <v>0</v>
      </c>
      <c r="AI8">
        <v>6.56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1.6000000000000001E-4</v>
      </c>
      <c r="AU8" t="s">
        <v>48</v>
      </c>
      <c r="AV8">
        <v>0</v>
      </c>
      <c r="AW8">
        <v>2</v>
      </c>
      <c r="AX8">
        <v>16745142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Y8*Source!I37</f>
        <v>0</v>
      </c>
      <c r="CY8">
        <f>AA8</f>
        <v>67974.720000000001</v>
      </c>
      <c r="CZ8">
        <f>AE8</f>
        <v>10362</v>
      </c>
      <c r="DA8">
        <f>AI8</f>
        <v>6.56</v>
      </c>
      <c r="DB8">
        <f>ROUND((ROUND(AT8*CZ8,2)*0),2)</f>
        <v>0</v>
      </c>
      <c r="DC8">
        <f>ROUND((ROUND(AT8*AG8,2)*0),2)</f>
        <v>0</v>
      </c>
    </row>
    <row r="9" spans="1:107" x14ac:dyDescent="0.2">
      <c r="A9">
        <f>ROW(Source!A37)</f>
        <v>37</v>
      </c>
      <c r="B9">
        <v>16742901</v>
      </c>
      <c r="C9">
        <v>16745128</v>
      </c>
      <c r="D9">
        <v>15169941</v>
      </c>
      <c r="E9">
        <v>1</v>
      </c>
      <c r="F9">
        <v>1</v>
      </c>
      <c r="G9">
        <v>1</v>
      </c>
      <c r="H9">
        <v>3</v>
      </c>
      <c r="I9" t="s">
        <v>1308</v>
      </c>
      <c r="J9" t="s">
        <v>1309</v>
      </c>
      <c r="K9" t="s">
        <v>1310</v>
      </c>
      <c r="L9">
        <v>1348</v>
      </c>
      <c r="N9">
        <v>1009</v>
      </c>
      <c r="O9" t="s">
        <v>100</v>
      </c>
      <c r="P9" t="s">
        <v>100</v>
      </c>
      <c r="Q9">
        <v>1000</v>
      </c>
      <c r="W9">
        <v>0</v>
      </c>
      <c r="X9">
        <v>-437906794</v>
      </c>
      <c r="Y9">
        <v>0</v>
      </c>
      <c r="AA9">
        <v>59302.47</v>
      </c>
      <c r="AB9">
        <v>0</v>
      </c>
      <c r="AC9">
        <v>0</v>
      </c>
      <c r="AD9">
        <v>0</v>
      </c>
      <c r="AE9">
        <v>9040.01</v>
      </c>
      <c r="AF9">
        <v>0</v>
      </c>
      <c r="AG9">
        <v>0</v>
      </c>
      <c r="AH9">
        <v>0</v>
      </c>
      <c r="AI9">
        <v>6.56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5.9999999999999995E-4</v>
      </c>
      <c r="AU9" t="s">
        <v>48</v>
      </c>
      <c r="AV9">
        <v>0</v>
      </c>
      <c r="AW9">
        <v>2</v>
      </c>
      <c r="AX9">
        <v>16745143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Y9*Source!I37</f>
        <v>0</v>
      </c>
      <c r="CY9">
        <f>AA9</f>
        <v>59302.47</v>
      </c>
      <c r="CZ9">
        <f>AE9</f>
        <v>9040.01</v>
      </c>
      <c r="DA9">
        <f>AI9</f>
        <v>6.56</v>
      </c>
      <c r="DB9">
        <f>ROUND((ROUND(AT9*CZ9,2)*0),2)</f>
        <v>0</v>
      </c>
      <c r="DC9">
        <f>ROUND((ROUND(AT9*AG9,2)*0),2)</f>
        <v>0</v>
      </c>
    </row>
    <row r="10" spans="1:107" x14ac:dyDescent="0.2">
      <c r="A10">
        <f>ROW(Source!A37)</f>
        <v>37</v>
      </c>
      <c r="B10">
        <v>16742901</v>
      </c>
      <c r="C10">
        <v>16745128</v>
      </c>
      <c r="D10">
        <v>15192094</v>
      </c>
      <c r="E10">
        <v>1</v>
      </c>
      <c r="F10">
        <v>1</v>
      </c>
      <c r="G10">
        <v>1</v>
      </c>
      <c r="H10">
        <v>3</v>
      </c>
      <c r="I10" t="s">
        <v>1311</v>
      </c>
      <c r="J10" t="s">
        <v>1312</v>
      </c>
      <c r="K10" t="s">
        <v>1313</v>
      </c>
      <c r="L10">
        <v>1348</v>
      </c>
      <c r="N10">
        <v>1009</v>
      </c>
      <c r="O10" t="s">
        <v>100</v>
      </c>
      <c r="P10" t="s">
        <v>100</v>
      </c>
      <c r="Q10">
        <v>1000</v>
      </c>
      <c r="W10">
        <v>0</v>
      </c>
      <c r="X10">
        <v>1969538235</v>
      </c>
      <c r="Y10">
        <v>0</v>
      </c>
      <c r="AA10">
        <v>42697.4</v>
      </c>
      <c r="AB10">
        <v>0</v>
      </c>
      <c r="AC10">
        <v>0</v>
      </c>
      <c r="AD10">
        <v>0</v>
      </c>
      <c r="AE10">
        <v>6508.75</v>
      </c>
      <c r="AF10">
        <v>0</v>
      </c>
      <c r="AG10">
        <v>0</v>
      </c>
      <c r="AH10">
        <v>0</v>
      </c>
      <c r="AI10">
        <v>6.56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6.4000000000000005E-4</v>
      </c>
      <c r="AU10" t="s">
        <v>48</v>
      </c>
      <c r="AV10">
        <v>0</v>
      </c>
      <c r="AW10">
        <v>2</v>
      </c>
      <c r="AX10">
        <v>16745145</v>
      </c>
      <c r="AY10">
        <v>1</v>
      </c>
      <c r="AZ10">
        <v>0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Y10*Source!I37</f>
        <v>0</v>
      </c>
      <c r="CY10">
        <f>AA10</f>
        <v>42697.4</v>
      </c>
      <c r="CZ10">
        <f>AE10</f>
        <v>6508.75</v>
      </c>
      <c r="DA10">
        <f>AI10</f>
        <v>6.56</v>
      </c>
      <c r="DB10">
        <f>ROUND((ROUND(AT10*CZ10,2)*0),2)</f>
        <v>0</v>
      </c>
      <c r="DC10">
        <f>ROUND((ROUND(AT10*AG10,2)*0),2)</f>
        <v>0</v>
      </c>
    </row>
    <row r="11" spans="1:107" x14ac:dyDescent="0.2">
      <c r="A11">
        <f>ROW(Source!A38)</f>
        <v>38</v>
      </c>
      <c r="B11">
        <v>16742901</v>
      </c>
      <c r="C11">
        <v>16745147</v>
      </c>
      <c r="D11">
        <v>15430767</v>
      </c>
      <c r="E11">
        <v>1</v>
      </c>
      <c r="F11">
        <v>1</v>
      </c>
      <c r="G11">
        <v>1</v>
      </c>
      <c r="H11">
        <v>1</v>
      </c>
      <c r="I11" t="s">
        <v>1285</v>
      </c>
      <c r="J11" t="s">
        <v>6</v>
      </c>
      <c r="K11" t="s">
        <v>1286</v>
      </c>
      <c r="L11">
        <v>1191</v>
      </c>
      <c r="N11">
        <v>1013</v>
      </c>
      <c r="O11" t="s">
        <v>1287</v>
      </c>
      <c r="P11" t="s">
        <v>1287</v>
      </c>
      <c r="Q11">
        <v>1</v>
      </c>
      <c r="W11">
        <v>0</v>
      </c>
      <c r="X11">
        <v>-400197608</v>
      </c>
      <c r="Y11">
        <v>46.19</v>
      </c>
      <c r="AA11">
        <v>0</v>
      </c>
      <c r="AB11">
        <v>0</v>
      </c>
      <c r="AC11">
        <v>0</v>
      </c>
      <c r="AD11">
        <v>55.96</v>
      </c>
      <c r="AE11">
        <v>0</v>
      </c>
      <c r="AF11">
        <v>0</v>
      </c>
      <c r="AG11">
        <v>0</v>
      </c>
      <c r="AH11">
        <v>8.5299999999999994</v>
      </c>
      <c r="AI11">
        <v>1</v>
      </c>
      <c r="AJ11">
        <v>1</v>
      </c>
      <c r="AK11">
        <v>1</v>
      </c>
      <c r="AL11">
        <v>6.56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46.19</v>
      </c>
      <c r="AU11" t="s">
        <v>6</v>
      </c>
      <c r="AV11">
        <v>1</v>
      </c>
      <c r="AW11">
        <v>2</v>
      </c>
      <c r="AX11">
        <v>16745155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Y11*Source!I38</f>
        <v>6.0046999999999997</v>
      </c>
      <c r="CY11">
        <f>AD11</f>
        <v>55.96</v>
      </c>
      <c r="CZ11">
        <f>AH11</f>
        <v>8.5299999999999994</v>
      </c>
      <c r="DA11">
        <f>AL11</f>
        <v>6.56</v>
      </c>
      <c r="DB11">
        <f t="shared" ref="DB11:DB17" si="0">ROUND(ROUND(AT11*CZ11,2),2)</f>
        <v>394</v>
      </c>
      <c r="DC11">
        <f t="shared" ref="DC11:DC17" si="1">ROUND(ROUND(AT11*AG11,2),2)</f>
        <v>0</v>
      </c>
    </row>
    <row r="12" spans="1:107" x14ac:dyDescent="0.2">
      <c r="A12">
        <f>ROW(Source!A38)</f>
        <v>38</v>
      </c>
      <c r="B12">
        <v>16742901</v>
      </c>
      <c r="C12">
        <v>16745147</v>
      </c>
      <c r="D12">
        <v>15430395</v>
      </c>
      <c r="E12">
        <v>1</v>
      </c>
      <c r="F12">
        <v>1</v>
      </c>
      <c r="G12">
        <v>1</v>
      </c>
      <c r="H12">
        <v>1</v>
      </c>
      <c r="I12" t="s">
        <v>1293</v>
      </c>
      <c r="J12" t="s">
        <v>6</v>
      </c>
      <c r="K12" t="s">
        <v>1294</v>
      </c>
      <c r="L12">
        <v>1191</v>
      </c>
      <c r="N12">
        <v>1013</v>
      </c>
      <c r="O12" t="s">
        <v>1287</v>
      </c>
      <c r="P12" t="s">
        <v>1287</v>
      </c>
      <c r="Q12">
        <v>1</v>
      </c>
      <c r="W12">
        <v>0</v>
      </c>
      <c r="X12">
        <v>-1417349443</v>
      </c>
      <c r="Y12">
        <v>0.01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6.56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0.01</v>
      </c>
      <c r="AU12" t="s">
        <v>6</v>
      </c>
      <c r="AV12">
        <v>2</v>
      </c>
      <c r="AW12">
        <v>2</v>
      </c>
      <c r="AX12">
        <v>16745156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Y12*Source!I38</f>
        <v>1.3000000000000002E-3</v>
      </c>
      <c r="CY12">
        <f>AD12</f>
        <v>0</v>
      </c>
      <c r="CZ12">
        <f>AH12</f>
        <v>0</v>
      </c>
      <c r="DA12">
        <f>AL12</f>
        <v>1</v>
      </c>
      <c r="DB12">
        <f t="shared" si="0"/>
        <v>0</v>
      </c>
      <c r="DC12">
        <f t="shared" si="1"/>
        <v>0</v>
      </c>
    </row>
    <row r="13" spans="1:107" x14ac:dyDescent="0.2">
      <c r="A13">
        <f>ROW(Source!A38)</f>
        <v>38</v>
      </c>
      <c r="B13">
        <v>16742901</v>
      </c>
      <c r="C13">
        <v>16745147</v>
      </c>
      <c r="D13">
        <v>15247974</v>
      </c>
      <c r="E13">
        <v>1</v>
      </c>
      <c r="F13">
        <v>1</v>
      </c>
      <c r="G13">
        <v>1</v>
      </c>
      <c r="H13">
        <v>2</v>
      </c>
      <c r="I13" t="s">
        <v>1314</v>
      </c>
      <c r="J13" t="s">
        <v>1315</v>
      </c>
      <c r="K13" t="s">
        <v>1316</v>
      </c>
      <c r="L13">
        <v>1368</v>
      </c>
      <c r="N13">
        <v>1011</v>
      </c>
      <c r="O13" t="s">
        <v>1298</v>
      </c>
      <c r="P13" t="s">
        <v>1298</v>
      </c>
      <c r="Q13">
        <v>1</v>
      </c>
      <c r="W13">
        <v>0</v>
      </c>
      <c r="X13">
        <v>1188625873</v>
      </c>
      <c r="Y13">
        <v>0.01</v>
      </c>
      <c r="AA13">
        <v>0</v>
      </c>
      <c r="AB13">
        <v>205.07</v>
      </c>
      <c r="AC13">
        <v>13.5</v>
      </c>
      <c r="AD13">
        <v>0</v>
      </c>
      <c r="AE13">
        <v>0</v>
      </c>
      <c r="AF13">
        <v>31.26</v>
      </c>
      <c r="AG13">
        <v>13.5</v>
      </c>
      <c r="AH13">
        <v>0</v>
      </c>
      <c r="AI13">
        <v>1</v>
      </c>
      <c r="AJ13">
        <v>6.56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0.01</v>
      </c>
      <c r="AU13" t="s">
        <v>6</v>
      </c>
      <c r="AV13">
        <v>0</v>
      </c>
      <c r="AW13">
        <v>2</v>
      </c>
      <c r="AX13">
        <v>16745157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Y13*Source!I38</f>
        <v>1.3000000000000002E-3</v>
      </c>
      <c r="CY13">
        <f>AB13</f>
        <v>205.07</v>
      </c>
      <c r="CZ13">
        <f>AF13</f>
        <v>31.26</v>
      </c>
      <c r="DA13">
        <f>AJ13</f>
        <v>6.56</v>
      </c>
      <c r="DB13">
        <f t="shared" si="0"/>
        <v>0.31</v>
      </c>
      <c r="DC13">
        <f t="shared" si="1"/>
        <v>0.14000000000000001</v>
      </c>
    </row>
    <row r="14" spans="1:107" x14ac:dyDescent="0.2">
      <c r="A14">
        <f>ROW(Source!A38)</f>
        <v>38</v>
      </c>
      <c r="B14">
        <v>16742901</v>
      </c>
      <c r="C14">
        <v>16745147</v>
      </c>
      <c r="D14">
        <v>15167286</v>
      </c>
      <c r="E14">
        <v>1</v>
      </c>
      <c r="F14">
        <v>1</v>
      </c>
      <c r="G14">
        <v>1</v>
      </c>
      <c r="H14">
        <v>3</v>
      </c>
      <c r="I14" t="s">
        <v>1317</v>
      </c>
      <c r="J14" t="s">
        <v>1318</v>
      </c>
      <c r="K14" t="s">
        <v>1319</v>
      </c>
      <c r="L14">
        <v>1339</v>
      </c>
      <c r="N14">
        <v>1007</v>
      </c>
      <c r="O14" t="s">
        <v>301</v>
      </c>
      <c r="P14" t="s">
        <v>301</v>
      </c>
      <c r="Q14">
        <v>1</v>
      </c>
      <c r="W14">
        <v>0</v>
      </c>
      <c r="X14">
        <v>-1660354250</v>
      </c>
      <c r="Y14">
        <v>0.02</v>
      </c>
      <c r="AA14">
        <v>16.010000000000002</v>
      </c>
      <c r="AB14">
        <v>0</v>
      </c>
      <c r="AC14">
        <v>0</v>
      </c>
      <c r="AD14">
        <v>0</v>
      </c>
      <c r="AE14">
        <v>2.44</v>
      </c>
      <c r="AF14">
        <v>0</v>
      </c>
      <c r="AG14">
        <v>0</v>
      </c>
      <c r="AH14">
        <v>0</v>
      </c>
      <c r="AI14">
        <v>6.56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0.02</v>
      </c>
      <c r="AU14" t="s">
        <v>6</v>
      </c>
      <c r="AV14">
        <v>0</v>
      </c>
      <c r="AW14">
        <v>2</v>
      </c>
      <c r="AX14">
        <v>16745158</v>
      </c>
      <c r="AY14">
        <v>1</v>
      </c>
      <c r="AZ14">
        <v>0</v>
      </c>
      <c r="BA14">
        <v>16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Y14*Source!I38</f>
        <v>2.6000000000000003E-3</v>
      </c>
      <c r="CY14">
        <f>AA14</f>
        <v>16.010000000000002</v>
      </c>
      <c r="CZ14">
        <f>AE14</f>
        <v>2.44</v>
      </c>
      <c r="DA14">
        <f>AI14</f>
        <v>6.56</v>
      </c>
      <c r="DB14">
        <f t="shared" si="0"/>
        <v>0.05</v>
      </c>
      <c r="DC14">
        <f t="shared" si="1"/>
        <v>0</v>
      </c>
    </row>
    <row r="15" spans="1:107" x14ac:dyDescent="0.2">
      <c r="A15">
        <f>ROW(Source!A38)</f>
        <v>38</v>
      </c>
      <c r="B15">
        <v>16742901</v>
      </c>
      <c r="C15">
        <v>16745147</v>
      </c>
      <c r="D15">
        <v>15171982</v>
      </c>
      <c r="E15">
        <v>1</v>
      </c>
      <c r="F15">
        <v>1</v>
      </c>
      <c r="G15">
        <v>1</v>
      </c>
      <c r="H15">
        <v>3</v>
      </c>
      <c r="I15" t="s">
        <v>1320</v>
      </c>
      <c r="J15" t="s">
        <v>1321</v>
      </c>
      <c r="K15" t="s">
        <v>1322</v>
      </c>
      <c r="L15">
        <v>1348</v>
      </c>
      <c r="N15">
        <v>1009</v>
      </c>
      <c r="O15" t="s">
        <v>100</v>
      </c>
      <c r="P15" t="s">
        <v>100</v>
      </c>
      <c r="Q15">
        <v>1000</v>
      </c>
      <c r="W15">
        <v>0</v>
      </c>
      <c r="X15">
        <v>-1421715385</v>
      </c>
      <c r="Y15">
        <v>0.05</v>
      </c>
      <c r="AA15">
        <v>4788.67</v>
      </c>
      <c r="AB15">
        <v>0</v>
      </c>
      <c r="AC15">
        <v>0</v>
      </c>
      <c r="AD15">
        <v>0</v>
      </c>
      <c r="AE15">
        <v>729.98</v>
      </c>
      <c r="AF15">
        <v>0</v>
      </c>
      <c r="AG15">
        <v>0</v>
      </c>
      <c r="AH15">
        <v>0</v>
      </c>
      <c r="AI15">
        <v>6.56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0.05</v>
      </c>
      <c r="AU15" t="s">
        <v>6</v>
      </c>
      <c r="AV15">
        <v>0</v>
      </c>
      <c r="AW15">
        <v>2</v>
      </c>
      <c r="AX15">
        <v>16745160</v>
      </c>
      <c r="AY15">
        <v>1</v>
      </c>
      <c r="AZ15">
        <v>0</v>
      </c>
      <c r="BA15">
        <v>18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Y15*Source!I38</f>
        <v>6.5000000000000006E-3</v>
      </c>
      <c r="CY15">
        <f>AA15</f>
        <v>4788.67</v>
      </c>
      <c r="CZ15">
        <f>AE15</f>
        <v>729.98</v>
      </c>
      <c r="DA15">
        <f>AI15</f>
        <v>6.56</v>
      </c>
      <c r="DB15">
        <f t="shared" si="0"/>
        <v>36.5</v>
      </c>
      <c r="DC15">
        <f t="shared" si="1"/>
        <v>0</v>
      </c>
    </row>
    <row r="16" spans="1:107" x14ac:dyDescent="0.2">
      <c r="A16">
        <f>ROW(Source!A38)</f>
        <v>38</v>
      </c>
      <c r="B16">
        <v>16742901</v>
      </c>
      <c r="C16">
        <v>16745147</v>
      </c>
      <c r="D16">
        <v>15215411</v>
      </c>
      <c r="E16">
        <v>1</v>
      </c>
      <c r="F16">
        <v>1</v>
      </c>
      <c r="G16">
        <v>1</v>
      </c>
      <c r="H16">
        <v>3</v>
      </c>
      <c r="I16" t="s">
        <v>71</v>
      </c>
      <c r="J16" t="s">
        <v>74</v>
      </c>
      <c r="K16" t="s">
        <v>72</v>
      </c>
      <c r="L16">
        <v>1354</v>
      </c>
      <c r="N16">
        <v>1010</v>
      </c>
      <c r="O16" t="s">
        <v>73</v>
      </c>
      <c r="P16" t="s">
        <v>73</v>
      </c>
      <c r="Q16">
        <v>1</v>
      </c>
      <c r="W16">
        <v>0</v>
      </c>
      <c r="X16">
        <v>1245683594</v>
      </c>
      <c r="Y16">
        <v>100</v>
      </c>
      <c r="AA16">
        <v>122.48</v>
      </c>
      <c r="AB16">
        <v>0</v>
      </c>
      <c r="AC16">
        <v>0</v>
      </c>
      <c r="AD16">
        <v>0</v>
      </c>
      <c r="AE16">
        <v>18.670000000000002</v>
      </c>
      <c r="AF16">
        <v>0</v>
      </c>
      <c r="AG16">
        <v>0</v>
      </c>
      <c r="AH16">
        <v>0</v>
      </c>
      <c r="AI16">
        <v>6.56</v>
      </c>
      <c r="AJ16">
        <v>1</v>
      </c>
      <c r="AK16">
        <v>1</v>
      </c>
      <c r="AL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 t="s">
        <v>6</v>
      </c>
      <c r="AT16">
        <v>100</v>
      </c>
      <c r="AU16" t="s">
        <v>6</v>
      </c>
      <c r="AV16">
        <v>0</v>
      </c>
      <c r="AW16">
        <v>1</v>
      </c>
      <c r="AX16">
        <v>-1</v>
      </c>
      <c r="AY16">
        <v>0</v>
      </c>
      <c r="AZ16">
        <v>0</v>
      </c>
      <c r="BA16" t="s">
        <v>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Y16*Source!I38</f>
        <v>13</v>
      </c>
      <c r="CY16">
        <f>AA16</f>
        <v>122.48</v>
      </c>
      <c r="CZ16">
        <f>AE16</f>
        <v>18.670000000000002</v>
      </c>
      <c r="DA16">
        <f>AI16</f>
        <v>6.56</v>
      </c>
      <c r="DB16">
        <f t="shared" si="0"/>
        <v>1867</v>
      </c>
      <c r="DC16">
        <f t="shared" si="1"/>
        <v>0</v>
      </c>
    </row>
    <row r="17" spans="1:107" x14ac:dyDescent="0.2">
      <c r="A17">
        <f>ROW(Source!A38)</f>
        <v>38</v>
      </c>
      <c r="B17">
        <v>16742901</v>
      </c>
      <c r="C17">
        <v>16745147</v>
      </c>
      <c r="D17">
        <v>15162551</v>
      </c>
      <c r="E17">
        <v>17</v>
      </c>
      <c r="F17">
        <v>1</v>
      </c>
      <c r="G17">
        <v>1</v>
      </c>
      <c r="H17">
        <v>3</v>
      </c>
      <c r="I17" t="s">
        <v>76</v>
      </c>
      <c r="J17" t="s">
        <v>6</v>
      </c>
      <c r="K17" t="s">
        <v>77</v>
      </c>
      <c r="L17">
        <v>1354</v>
      </c>
      <c r="N17">
        <v>1010</v>
      </c>
      <c r="O17" t="s">
        <v>73</v>
      </c>
      <c r="P17" t="s">
        <v>73</v>
      </c>
      <c r="Q17">
        <v>1</v>
      </c>
      <c r="W17">
        <v>0</v>
      </c>
      <c r="X17">
        <v>-698526538</v>
      </c>
      <c r="Y17">
        <v>100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6.56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100</v>
      </c>
      <c r="AU17" t="s">
        <v>6</v>
      </c>
      <c r="AV17">
        <v>0</v>
      </c>
      <c r="AW17">
        <v>2</v>
      </c>
      <c r="AX17">
        <v>16745161</v>
      </c>
      <c r="AY17">
        <v>1</v>
      </c>
      <c r="AZ17">
        <v>0</v>
      </c>
      <c r="BA17">
        <v>19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Y17*Source!I38</f>
        <v>13</v>
      </c>
      <c r="CY17">
        <f>AA17</f>
        <v>0</v>
      </c>
      <c r="CZ17">
        <f>AE17</f>
        <v>0</v>
      </c>
      <c r="DA17">
        <f>AI17</f>
        <v>6.56</v>
      </c>
      <c r="DB17">
        <f t="shared" si="0"/>
        <v>0</v>
      </c>
      <c r="DC17">
        <f t="shared" si="1"/>
        <v>0</v>
      </c>
    </row>
    <row r="18" spans="1:107" x14ac:dyDescent="0.2">
      <c r="A18">
        <f>ROW(Source!A41)</f>
        <v>41</v>
      </c>
      <c r="B18">
        <v>16742901</v>
      </c>
      <c r="C18">
        <v>16745165</v>
      </c>
      <c r="D18">
        <v>15430397</v>
      </c>
      <c r="E18">
        <v>1</v>
      </c>
      <c r="F18">
        <v>1</v>
      </c>
      <c r="G18">
        <v>1</v>
      </c>
      <c r="H18">
        <v>1</v>
      </c>
      <c r="I18" t="s">
        <v>1323</v>
      </c>
      <c r="J18" t="s">
        <v>6</v>
      </c>
      <c r="K18" t="s">
        <v>1324</v>
      </c>
      <c r="L18">
        <v>1191</v>
      </c>
      <c r="N18">
        <v>1013</v>
      </c>
      <c r="O18" t="s">
        <v>1287</v>
      </c>
      <c r="P18" t="s">
        <v>1287</v>
      </c>
      <c r="Q18">
        <v>1</v>
      </c>
      <c r="W18">
        <v>0</v>
      </c>
      <c r="X18">
        <v>-1081351934</v>
      </c>
      <c r="Y18">
        <v>5.7</v>
      </c>
      <c r="AA18">
        <v>0</v>
      </c>
      <c r="AB18">
        <v>0</v>
      </c>
      <c r="AC18">
        <v>0</v>
      </c>
      <c r="AD18">
        <v>61.66</v>
      </c>
      <c r="AE18">
        <v>0</v>
      </c>
      <c r="AF18">
        <v>0</v>
      </c>
      <c r="AG18">
        <v>0</v>
      </c>
      <c r="AH18">
        <v>9.4</v>
      </c>
      <c r="AI18">
        <v>1</v>
      </c>
      <c r="AJ18">
        <v>1</v>
      </c>
      <c r="AK18">
        <v>1</v>
      </c>
      <c r="AL18">
        <v>6.56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19</v>
      </c>
      <c r="AU18" t="s">
        <v>82</v>
      </c>
      <c r="AV18">
        <v>1</v>
      </c>
      <c r="AW18">
        <v>2</v>
      </c>
      <c r="AX18">
        <v>16745175</v>
      </c>
      <c r="AY18">
        <v>1</v>
      </c>
      <c r="AZ18">
        <v>0</v>
      </c>
      <c r="BA18">
        <v>20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Y18*Source!I41</f>
        <v>1.8240000000000001</v>
      </c>
      <c r="CY18">
        <f>AD18</f>
        <v>61.66</v>
      </c>
      <c r="CZ18">
        <f>AH18</f>
        <v>9.4</v>
      </c>
      <c r="DA18">
        <f>AL18</f>
        <v>6.56</v>
      </c>
      <c r="DB18">
        <f>ROUND((ROUND(AT18*CZ18,2)*0.3),2)</f>
        <v>53.58</v>
      </c>
      <c r="DC18">
        <f>ROUND((ROUND(AT18*AG18,2)*0.3),2)</f>
        <v>0</v>
      </c>
    </row>
    <row r="19" spans="1:107" x14ac:dyDescent="0.2">
      <c r="A19">
        <f>ROW(Source!A41)</f>
        <v>41</v>
      </c>
      <c r="B19">
        <v>16742901</v>
      </c>
      <c r="C19">
        <v>16745165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1293</v>
      </c>
      <c r="J19" t="s">
        <v>6</v>
      </c>
      <c r="K19" t="s">
        <v>1294</v>
      </c>
      <c r="L19">
        <v>1191</v>
      </c>
      <c r="N19">
        <v>1013</v>
      </c>
      <c r="O19" t="s">
        <v>1287</v>
      </c>
      <c r="P19" t="s">
        <v>1287</v>
      </c>
      <c r="Q19">
        <v>1</v>
      </c>
      <c r="W19">
        <v>0</v>
      </c>
      <c r="X19">
        <v>-1417349443</v>
      </c>
      <c r="Y19">
        <v>0.38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6.56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0.38</v>
      </c>
      <c r="AU19" t="s">
        <v>6</v>
      </c>
      <c r="AV19">
        <v>2</v>
      </c>
      <c r="AW19">
        <v>2</v>
      </c>
      <c r="AX19">
        <v>16745176</v>
      </c>
      <c r="AY19">
        <v>1</v>
      </c>
      <c r="AZ19">
        <v>2048</v>
      </c>
      <c r="BA19">
        <v>21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Y19*Source!I41</f>
        <v>0.1216</v>
      </c>
      <c r="CY19">
        <f>AD19</f>
        <v>0</v>
      </c>
      <c r="CZ19">
        <f>AH19</f>
        <v>0</v>
      </c>
      <c r="DA19">
        <f>AL19</f>
        <v>1</v>
      </c>
      <c r="DB19">
        <f>ROUND(ROUND(AT19*CZ19,2),2)</f>
        <v>0</v>
      </c>
      <c r="DC19">
        <f>ROUND(ROUND(AT19*AG19,2),2)</f>
        <v>0</v>
      </c>
    </row>
    <row r="20" spans="1:107" x14ac:dyDescent="0.2">
      <c r="A20">
        <f>ROW(Source!A41)</f>
        <v>41</v>
      </c>
      <c r="B20">
        <v>16742901</v>
      </c>
      <c r="C20">
        <v>16745165</v>
      </c>
      <c r="D20">
        <v>15247680</v>
      </c>
      <c r="E20">
        <v>1</v>
      </c>
      <c r="F20">
        <v>1</v>
      </c>
      <c r="G20">
        <v>1</v>
      </c>
      <c r="H20">
        <v>2</v>
      </c>
      <c r="I20" t="s">
        <v>1295</v>
      </c>
      <c r="J20" t="s">
        <v>1296</v>
      </c>
      <c r="K20" t="s">
        <v>1297</v>
      </c>
      <c r="L20">
        <v>1368</v>
      </c>
      <c r="N20">
        <v>1011</v>
      </c>
      <c r="O20" t="s">
        <v>1298</v>
      </c>
      <c r="P20" t="s">
        <v>1298</v>
      </c>
      <c r="Q20">
        <v>1</v>
      </c>
      <c r="W20">
        <v>0</v>
      </c>
      <c r="X20">
        <v>-1718674368</v>
      </c>
      <c r="Y20">
        <v>5.6999999999999995E-2</v>
      </c>
      <c r="AA20">
        <v>0</v>
      </c>
      <c r="AB20">
        <v>734.65</v>
      </c>
      <c r="AC20">
        <v>13.5</v>
      </c>
      <c r="AD20">
        <v>0</v>
      </c>
      <c r="AE20">
        <v>0</v>
      </c>
      <c r="AF20">
        <v>111.99</v>
      </c>
      <c r="AG20">
        <v>13.5</v>
      </c>
      <c r="AH20">
        <v>0</v>
      </c>
      <c r="AI20">
        <v>1</v>
      </c>
      <c r="AJ20">
        <v>6.56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0.19</v>
      </c>
      <c r="AU20" t="s">
        <v>82</v>
      </c>
      <c r="AV20">
        <v>0</v>
      </c>
      <c r="AW20">
        <v>2</v>
      </c>
      <c r="AX20">
        <v>16745177</v>
      </c>
      <c r="AY20">
        <v>1</v>
      </c>
      <c r="AZ20">
        <v>0</v>
      </c>
      <c r="BA20">
        <v>22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Y20*Source!I41</f>
        <v>1.8239999999999999E-2</v>
      </c>
      <c r="CY20">
        <f>AB20</f>
        <v>734.65</v>
      </c>
      <c r="CZ20">
        <f>AF20</f>
        <v>111.99</v>
      </c>
      <c r="DA20">
        <f>AJ20</f>
        <v>6.56</v>
      </c>
      <c r="DB20">
        <f>ROUND((ROUND(AT20*CZ20,2)*0.3),2)</f>
        <v>6.38</v>
      </c>
      <c r="DC20">
        <f>ROUND((ROUND(AT20*AG20,2)*0.3),2)</f>
        <v>0.77</v>
      </c>
    </row>
    <row r="21" spans="1:107" x14ac:dyDescent="0.2">
      <c r="A21">
        <f>ROW(Source!A41)</f>
        <v>41</v>
      </c>
      <c r="B21">
        <v>16742901</v>
      </c>
      <c r="C21">
        <v>16745165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1299</v>
      </c>
      <c r="J21" t="s">
        <v>1300</v>
      </c>
      <c r="K21" t="s">
        <v>1301</v>
      </c>
      <c r="L21">
        <v>1368</v>
      </c>
      <c r="N21">
        <v>1011</v>
      </c>
      <c r="O21" t="s">
        <v>1298</v>
      </c>
      <c r="P21" t="s">
        <v>1298</v>
      </c>
      <c r="Q21">
        <v>1</v>
      </c>
      <c r="W21">
        <v>0</v>
      </c>
      <c r="X21">
        <v>1372534845</v>
      </c>
      <c r="Y21">
        <v>5.6999999999999995E-2</v>
      </c>
      <c r="AA21">
        <v>0</v>
      </c>
      <c r="AB21">
        <v>431.06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6.56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0.19</v>
      </c>
      <c r="AU21" t="s">
        <v>82</v>
      </c>
      <c r="AV21">
        <v>0</v>
      </c>
      <c r="AW21">
        <v>2</v>
      </c>
      <c r="AX21">
        <v>16745178</v>
      </c>
      <c r="AY21">
        <v>1</v>
      </c>
      <c r="AZ21">
        <v>0</v>
      </c>
      <c r="BA21">
        <v>23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Y21*Source!I41</f>
        <v>1.8239999999999999E-2</v>
      </c>
      <c r="CY21">
        <f>AB21</f>
        <v>431.06</v>
      </c>
      <c r="CZ21">
        <f>AF21</f>
        <v>65.709999999999994</v>
      </c>
      <c r="DA21">
        <f>AJ21</f>
        <v>6.56</v>
      </c>
      <c r="DB21">
        <f>ROUND((ROUND(AT21*CZ21,2)*0.3),2)</f>
        <v>3.74</v>
      </c>
      <c r="DC21">
        <f>ROUND((ROUND(AT21*AG21,2)*0.3),2)</f>
        <v>0.66</v>
      </c>
    </row>
    <row r="22" spans="1:107" x14ac:dyDescent="0.2">
      <c r="A22">
        <f>ROW(Source!A41)</f>
        <v>41</v>
      </c>
      <c r="B22">
        <v>16742901</v>
      </c>
      <c r="C22">
        <v>16745165</v>
      </c>
      <c r="D22">
        <v>15249377</v>
      </c>
      <c r="E22">
        <v>1</v>
      </c>
      <c r="F22">
        <v>1</v>
      </c>
      <c r="G22">
        <v>1</v>
      </c>
      <c r="H22">
        <v>2</v>
      </c>
      <c r="I22" t="s">
        <v>1302</v>
      </c>
      <c r="J22" t="s">
        <v>1303</v>
      </c>
      <c r="K22" t="s">
        <v>1304</v>
      </c>
      <c r="L22">
        <v>1368</v>
      </c>
      <c r="N22">
        <v>1011</v>
      </c>
      <c r="O22" t="s">
        <v>1298</v>
      </c>
      <c r="P22" t="s">
        <v>1298</v>
      </c>
      <c r="Q22">
        <v>1</v>
      </c>
      <c r="W22">
        <v>0</v>
      </c>
      <c r="X22">
        <v>-353815937</v>
      </c>
      <c r="Y22">
        <v>1.008</v>
      </c>
      <c r="AA22">
        <v>0</v>
      </c>
      <c r="AB22">
        <v>53.14</v>
      </c>
      <c r="AC22">
        <v>0</v>
      </c>
      <c r="AD22">
        <v>0</v>
      </c>
      <c r="AE22">
        <v>0</v>
      </c>
      <c r="AF22">
        <v>8.1</v>
      </c>
      <c r="AG22">
        <v>0</v>
      </c>
      <c r="AH22">
        <v>0</v>
      </c>
      <c r="AI22">
        <v>1</v>
      </c>
      <c r="AJ22">
        <v>6.56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3.36</v>
      </c>
      <c r="AU22" t="s">
        <v>82</v>
      </c>
      <c r="AV22">
        <v>0</v>
      </c>
      <c r="AW22">
        <v>2</v>
      </c>
      <c r="AX22">
        <v>16745179</v>
      </c>
      <c r="AY22">
        <v>1</v>
      </c>
      <c r="AZ22">
        <v>0</v>
      </c>
      <c r="BA22">
        <v>24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Y22*Source!I41</f>
        <v>0.32256000000000001</v>
      </c>
      <c r="CY22">
        <f>AB22</f>
        <v>53.14</v>
      </c>
      <c r="CZ22">
        <f>AF22</f>
        <v>8.1</v>
      </c>
      <c r="DA22">
        <f>AJ22</f>
        <v>6.56</v>
      </c>
      <c r="DB22">
        <f>ROUND((ROUND(AT22*CZ22,2)*0.3),2)</f>
        <v>8.17</v>
      </c>
      <c r="DC22">
        <f>ROUND((ROUND(AT22*AG22,2)*0.3),2)</f>
        <v>0</v>
      </c>
    </row>
    <row r="23" spans="1:107" x14ac:dyDescent="0.2">
      <c r="A23">
        <f>ROW(Source!A41)</f>
        <v>41</v>
      </c>
      <c r="B23">
        <v>16742901</v>
      </c>
      <c r="C23">
        <v>16745165</v>
      </c>
      <c r="D23">
        <v>15168752</v>
      </c>
      <c r="E23">
        <v>1</v>
      </c>
      <c r="F23">
        <v>1</v>
      </c>
      <c r="G23">
        <v>1</v>
      </c>
      <c r="H23">
        <v>3</v>
      </c>
      <c r="I23" t="s">
        <v>1325</v>
      </c>
      <c r="J23" t="s">
        <v>1326</v>
      </c>
      <c r="K23" t="s">
        <v>1327</v>
      </c>
      <c r="L23">
        <v>1346</v>
      </c>
      <c r="N23">
        <v>1009</v>
      </c>
      <c r="O23" t="s">
        <v>341</v>
      </c>
      <c r="P23" t="s">
        <v>341</v>
      </c>
      <c r="Q23">
        <v>1</v>
      </c>
      <c r="W23">
        <v>0</v>
      </c>
      <c r="X23">
        <v>586013393</v>
      </c>
      <c r="Y23">
        <v>0</v>
      </c>
      <c r="AA23">
        <v>69.34</v>
      </c>
      <c r="AB23">
        <v>0</v>
      </c>
      <c r="AC23">
        <v>0</v>
      </c>
      <c r="AD23">
        <v>0</v>
      </c>
      <c r="AE23">
        <v>10.57</v>
      </c>
      <c r="AF23">
        <v>0</v>
      </c>
      <c r="AG23">
        <v>0</v>
      </c>
      <c r="AH23">
        <v>0</v>
      </c>
      <c r="AI23">
        <v>6.56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0.55000000000000004</v>
      </c>
      <c r="AU23" t="s">
        <v>48</v>
      </c>
      <c r="AV23">
        <v>0</v>
      </c>
      <c r="AW23">
        <v>2</v>
      </c>
      <c r="AX23">
        <v>16745180</v>
      </c>
      <c r="AY23">
        <v>1</v>
      </c>
      <c r="AZ23">
        <v>0</v>
      </c>
      <c r="BA23">
        <v>25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Y23*Source!I41</f>
        <v>0</v>
      </c>
      <c r="CY23">
        <f>AA23</f>
        <v>69.34</v>
      </c>
      <c r="CZ23">
        <f>AE23</f>
        <v>10.57</v>
      </c>
      <c r="DA23">
        <f>AI23</f>
        <v>6.56</v>
      </c>
      <c r="DB23">
        <f>ROUND((ROUND(AT23*CZ23,2)*0),2)</f>
        <v>0</v>
      </c>
      <c r="DC23">
        <f>ROUND((ROUND(AT23*AG23,2)*0),2)</f>
        <v>0</v>
      </c>
    </row>
    <row r="24" spans="1:107" x14ac:dyDescent="0.2">
      <c r="A24">
        <f>ROW(Source!A41)</f>
        <v>41</v>
      </c>
      <c r="B24">
        <v>16742901</v>
      </c>
      <c r="C24">
        <v>16745165</v>
      </c>
      <c r="D24">
        <v>15191297</v>
      </c>
      <c r="E24">
        <v>1</v>
      </c>
      <c r="F24">
        <v>1</v>
      </c>
      <c r="G24">
        <v>1</v>
      </c>
      <c r="H24">
        <v>3</v>
      </c>
      <c r="I24" t="s">
        <v>1328</v>
      </c>
      <c r="J24" t="s">
        <v>1329</v>
      </c>
      <c r="K24" t="s">
        <v>1330</v>
      </c>
      <c r="L24">
        <v>1348</v>
      </c>
      <c r="N24">
        <v>1009</v>
      </c>
      <c r="O24" t="s">
        <v>100</v>
      </c>
      <c r="P24" t="s">
        <v>100</v>
      </c>
      <c r="Q24">
        <v>1000</v>
      </c>
      <c r="W24">
        <v>0</v>
      </c>
      <c r="X24">
        <v>8837602</v>
      </c>
      <c r="Y24">
        <v>0</v>
      </c>
      <c r="AA24">
        <v>37805.279999999999</v>
      </c>
      <c r="AB24">
        <v>0</v>
      </c>
      <c r="AC24">
        <v>0</v>
      </c>
      <c r="AD24">
        <v>0</v>
      </c>
      <c r="AE24">
        <v>5763</v>
      </c>
      <c r="AF24">
        <v>0</v>
      </c>
      <c r="AG24">
        <v>0</v>
      </c>
      <c r="AH24">
        <v>0</v>
      </c>
      <c r="AI24">
        <v>6.56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4.0000000000000001E-3</v>
      </c>
      <c r="AU24" t="s">
        <v>48</v>
      </c>
      <c r="AV24">
        <v>0</v>
      </c>
      <c r="AW24">
        <v>2</v>
      </c>
      <c r="AX24">
        <v>16745181</v>
      </c>
      <c r="AY24">
        <v>1</v>
      </c>
      <c r="AZ24">
        <v>0</v>
      </c>
      <c r="BA24">
        <v>26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Y24*Source!I41</f>
        <v>0</v>
      </c>
      <c r="CY24">
        <f>AA24</f>
        <v>37805.279999999999</v>
      </c>
      <c r="CZ24">
        <f>AE24</f>
        <v>5763</v>
      </c>
      <c r="DA24">
        <f>AI24</f>
        <v>6.56</v>
      </c>
      <c r="DB24">
        <f>ROUND((ROUND(AT24*CZ24,2)*0),2)</f>
        <v>0</v>
      </c>
      <c r="DC24">
        <f>ROUND((ROUND(AT24*AG24,2)*0),2)</f>
        <v>0</v>
      </c>
    </row>
    <row r="25" spans="1:107" x14ac:dyDescent="0.2">
      <c r="A25">
        <f>ROW(Source!A41)</f>
        <v>41</v>
      </c>
      <c r="B25">
        <v>16742901</v>
      </c>
      <c r="C25">
        <v>16745165</v>
      </c>
      <c r="D25">
        <v>15203838</v>
      </c>
      <c r="E25">
        <v>1</v>
      </c>
      <c r="F25">
        <v>1</v>
      </c>
      <c r="G25">
        <v>1</v>
      </c>
      <c r="H25">
        <v>3</v>
      </c>
      <c r="I25" t="s">
        <v>1331</v>
      </c>
      <c r="J25" t="s">
        <v>1332</v>
      </c>
      <c r="K25" t="s">
        <v>1333</v>
      </c>
      <c r="L25">
        <v>1346</v>
      </c>
      <c r="N25">
        <v>1009</v>
      </c>
      <c r="O25" t="s">
        <v>341</v>
      </c>
      <c r="P25" t="s">
        <v>341</v>
      </c>
      <c r="Q25">
        <v>1</v>
      </c>
      <c r="W25">
        <v>0</v>
      </c>
      <c r="X25">
        <v>-1130618203</v>
      </c>
      <c r="Y25">
        <v>0</v>
      </c>
      <c r="AA25">
        <v>1564.43</v>
      </c>
      <c r="AB25">
        <v>0</v>
      </c>
      <c r="AC25">
        <v>0</v>
      </c>
      <c r="AD25">
        <v>0</v>
      </c>
      <c r="AE25">
        <v>238.48</v>
      </c>
      <c r="AF25">
        <v>0</v>
      </c>
      <c r="AG25">
        <v>0</v>
      </c>
      <c r="AH25">
        <v>0</v>
      </c>
      <c r="AI25">
        <v>6.56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2</v>
      </c>
      <c r="AU25" t="s">
        <v>48</v>
      </c>
      <c r="AV25">
        <v>0</v>
      </c>
      <c r="AW25">
        <v>2</v>
      </c>
      <c r="AX25">
        <v>16745182</v>
      </c>
      <c r="AY25">
        <v>1</v>
      </c>
      <c r="AZ25">
        <v>0</v>
      </c>
      <c r="BA25">
        <v>27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Y25*Source!I41</f>
        <v>0</v>
      </c>
      <c r="CY25">
        <f>AA25</f>
        <v>1564.43</v>
      </c>
      <c r="CZ25">
        <f>AE25</f>
        <v>238.48</v>
      </c>
      <c r="DA25">
        <f>AI25</f>
        <v>6.56</v>
      </c>
      <c r="DB25">
        <f>ROUND((ROUND(AT25*CZ25,2)*0),2)</f>
        <v>0</v>
      </c>
      <c r="DC25">
        <f>ROUND((ROUND(AT25*AG25,2)*0),2)</f>
        <v>0</v>
      </c>
    </row>
    <row r="26" spans="1:107" x14ac:dyDescent="0.2">
      <c r="A26">
        <f>ROW(Source!A41)</f>
        <v>41</v>
      </c>
      <c r="B26">
        <v>16742901</v>
      </c>
      <c r="C26">
        <v>16745165</v>
      </c>
      <c r="D26">
        <v>15164559</v>
      </c>
      <c r="E26">
        <v>17</v>
      </c>
      <c r="F26">
        <v>1</v>
      </c>
      <c r="G26">
        <v>1</v>
      </c>
      <c r="H26">
        <v>3</v>
      </c>
      <c r="I26" t="s">
        <v>1334</v>
      </c>
      <c r="J26" t="s">
        <v>6</v>
      </c>
      <c r="K26" t="s">
        <v>1335</v>
      </c>
      <c r="L26">
        <v>1374</v>
      </c>
      <c r="N26">
        <v>1013</v>
      </c>
      <c r="O26" t="s">
        <v>1336</v>
      </c>
      <c r="P26" t="s">
        <v>1336</v>
      </c>
      <c r="Q26">
        <v>1</v>
      </c>
      <c r="W26">
        <v>0</v>
      </c>
      <c r="X26">
        <v>-1731369543</v>
      </c>
      <c r="Y26">
        <v>0</v>
      </c>
      <c r="AA26">
        <v>1</v>
      </c>
      <c r="AB26">
        <v>0</v>
      </c>
      <c r="AC26">
        <v>0</v>
      </c>
      <c r="AD26">
        <v>0</v>
      </c>
      <c r="AE26">
        <v>1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3.57</v>
      </c>
      <c r="AU26" t="s">
        <v>48</v>
      </c>
      <c r="AV26">
        <v>0</v>
      </c>
      <c r="AW26">
        <v>2</v>
      </c>
      <c r="AX26">
        <v>16745183</v>
      </c>
      <c r="AY26">
        <v>1</v>
      </c>
      <c r="AZ26">
        <v>0</v>
      </c>
      <c r="BA26">
        <v>28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Y26*Source!I41</f>
        <v>0</v>
      </c>
      <c r="CY26">
        <f>AA26</f>
        <v>1</v>
      </c>
      <c r="CZ26">
        <f>AE26</f>
        <v>1</v>
      </c>
      <c r="DA26">
        <f>AI26</f>
        <v>1</v>
      </c>
      <c r="DB26">
        <f>ROUND((ROUND(AT26*CZ26,2)*0),2)</f>
        <v>0</v>
      </c>
      <c r="DC26">
        <f>ROUND((ROUND(AT26*AG26,2)*0),2)</f>
        <v>0</v>
      </c>
    </row>
    <row r="27" spans="1:107" x14ac:dyDescent="0.2">
      <c r="A27">
        <f>ROW(Source!A42)</f>
        <v>42</v>
      </c>
      <c r="B27">
        <v>16742901</v>
      </c>
      <c r="C27">
        <v>16745184</v>
      </c>
      <c r="D27">
        <v>15430517</v>
      </c>
      <c r="E27">
        <v>1</v>
      </c>
      <c r="F27">
        <v>1</v>
      </c>
      <c r="G27">
        <v>1</v>
      </c>
      <c r="H27">
        <v>1</v>
      </c>
      <c r="I27" t="s">
        <v>1337</v>
      </c>
      <c r="J27" t="s">
        <v>6</v>
      </c>
      <c r="K27" t="s">
        <v>1338</v>
      </c>
      <c r="L27">
        <v>1191</v>
      </c>
      <c r="N27">
        <v>1013</v>
      </c>
      <c r="O27" t="s">
        <v>1287</v>
      </c>
      <c r="P27" t="s">
        <v>1287</v>
      </c>
      <c r="Q27">
        <v>1</v>
      </c>
      <c r="W27">
        <v>0</v>
      </c>
      <c r="X27">
        <v>735429535</v>
      </c>
      <c r="Y27">
        <v>3.77</v>
      </c>
      <c r="AA27">
        <v>0</v>
      </c>
      <c r="AB27">
        <v>0</v>
      </c>
      <c r="AC27">
        <v>0</v>
      </c>
      <c r="AD27">
        <v>51.17</v>
      </c>
      <c r="AE27">
        <v>0</v>
      </c>
      <c r="AF27">
        <v>0</v>
      </c>
      <c r="AG27">
        <v>0</v>
      </c>
      <c r="AH27">
        <v>7.8</v>
      </c>
      <c r="AI27">
        <v>1</v>
      </c>
      <c r="AJ27">
        <v>1</v>
      </c>
      <c r="AK27">
        <v>1</v>
      </c>
      <c r="AL27">
        <v>6.56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3.77</v>
      </c>
      <c r="AU27" t="s">
        <v>6</v>
      </c>
      <c r="AV27">
        <v>1</v>
      </c>
      <c r="AW27">
        <v>2</v>
      </c>
      <c r="AX27">
        <v>16745186</v>
      </c>
      <c r="AY27">
        <v>1</v>
      </c>
      <c r="AZ27">
        <v>0</v>
      </c>
      <c r="BA27">
        <v>29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Y27*Source!I42</f>
        <v>4.1583100000000002</v>
      </c>
      <c r="CY27">
        <f>AD27</f>
        <v>51.17</v>
      </c>
      <c r="CZ27">
        <f>AH27</f>
        <v>7.8</v>
      </c>
      <c r="DA27">
        <f>AL27</f>
        <v>6.56</v>
      </c>
      <c r="DB27">
        <f t="shared" ref="DB27:DB40" si="2">ROUND(ROUND(AT27*CZ27,2),2)</f>
        <v>29.41</v>
      </c>
      <c r="DC27">
        <f t="shared" ref="DC27:DC40" si="3">ROUND(ROUND(AT27*AG27,2),2)</f>
        <v>0</v>
      </c>
    </row>
    <row r="28" spans="1:107" x14ac:dyDescent="0.2">
      <c r="A28">
        <f>ROW(Source!A43)</f>
        <v>43</v>
      </c>
      <c r="B28">
        <v>16742901</v>
      </c>
      <c r="C28">
        <v>16745188</v>
      </c>
      <c r="D28">
        <v>15430517</v>
      </c>
      <c r="E28">
        <v>1</v>
      </c>
      <c r="F28">
        <v>1</v>
      </c>
      <c r="G28">
        <v>1</v>
      </c>
      <c r="H28">
        <v>1</v>
      </c>
      <c r="I28" t="s">
        <v>1337</v>
      </c>
      <c r="J28" t="s">
        <v>6</v>
      </c>
      <c r="K28" t="s">
        <v>1338</v>
      </c>
      <c r="L28">
        <v>1191</v>
      </c>
      <c r="N28">
        <v>1013</v>
      </c>
      <c r="O28" t="s">
        <v>1287</v>
      </c>
      <c r="P28" t="s">
        <v>1287</v>
      </c>
      <c r="Q28">
        <v>1</v>
      </c>
      <c r="W28">
        <v>0</v>
      </c>
      <c r="X28">
        <v>735429535</v>
      </c>
      <c r="Y28">
        <v>11.39</v>
      </c>
      <c r="AA28">
        <v>0</v>
      </c>
      <c r="AB28">
        <v>0</v>
      </c>
      <c r="AC28">
        <v>0</v>
      </c>
      <c r="AD28">
        <v>51.17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6.56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11.39</v>
      </c>
      <c r="AU28" t="s">
        <v>6</v>
      </c>
      <c r="AV28">
        <v>1</v>
      </c>
      <c r="AW28">
        <v>2</v>
      </c>
      <c r="AX28">
        <v>16745193</v>
      </c>
      <c r="AY28">
        <v>1</v>
      </c>
      <c r="AZ28">
        <v>0</v>
      </c>
      <c r="BA28">
        <v>31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Y28*Source!I43</f>
        <v>22.871120000000001</v>
      </c>
      <c r="CY28">
        <f>AD28</f>
        <v>51.17</v>
      </c>
      <c r="CZ28">
        <f>AH28</f>
        <v>7.8</v>
      </c>
      <c r="DA28">
        <f>AL28</f>
        <v>6.56</v>
      </c>
      <c r="DB28">
        <f t="shared" si="2"/>
        <v>88.84</v>
      </c>
      <c r="DC28">
        <f t="shared" si="3"/>
        <v>0</v>
      </c>
    </row>
    <row r="29" spans="1:107" x14ac:dyDescent="0.2">
      <c r="A29">
        <f>ROW(Source!A43)</f>
        <v>43</v>
      </c>
      <c r="B29">
        <v>16742901</v>
      </c>
      <c r="C29">
        <v>16745188</v>
      </c>
      <c r="D29">
        <v>15430395</v>
      </c>
      <c r="E29">
        <v>1</v>
      </c>
      <c r="F29">
        <v>1</v>
      </c>
      <c r="G29">
        <v>1</v>
      </c>
      <c r="H29">
        <v>1</v>
      </c>
      <c r="I29" t="s">
        <v>1293</v>
      </c>
      <c r="J29" t="s">
        <v>6</v>
      </c>
      <c r="K29" t="s">
        <v>1294</v>
      </c>
      <c r="L29">
        <v>1191</v>
      </c>
      <c r="N29">
        <v>1013</v>
      </c>
      <c r="O29" t="s">
        <v>1287</v>
      </c>
      <c r="P29" t="s">
        <v>1287</v>
      </c>
      <c r="Q29">
        <v>1</v>
      </c>
      <c r="W29">
        <v>0</v>
      </c>
      <c r="X29">
        <v>-1417349443</v>
      </c>
      <c r="Y29">
        <v>0.13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6.56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0.13</v>
      </c>
      <c r="AU29" t="s">
        <v>6</v>
      </c>
      <c r="AV29">
        <v>2</v>
      </c>
      <c r="AW29">
        <v>2</v>
      </c>
      <c r="AX29">
        <v>16745194</v>
      </c>
      <c r="AY29">
        <v>1</v>
      </c>
      <c r="AZ29">
        <v>0</v>
      </c>
      <c r="BA29">
        <v>32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Y29*Source!I43</f>
        <v>0.26103999999999999</v>
      </c>
      <c r="CY29">
        <f>AD29</f>
        <v>0</v>
      </c>
      <c r="CZ29">
        <f>AH29</f>
        <v>0</v>
      </c>
      <c r="DA29">
        <f>AL29</f>
        <v>1</v>
      </c>
      <c r="DB29">
        <f t="shared" si="2"/>
        <v>0</v>
      </c>
      <c r="DC29">
        <f t="shared" si="3"/>
        <v>0</v>
      </c>
    </row>
    <row r="30" spans="1:107" x14ac:dyDescent="0.2">
      <c r="A30">
        <f>ROW(Source!A43)</f>
        <v>43</v>
      </c>
      <c r="B30">
        <v>16742901</v>
      </c>
      <c r="C30">
        <v>16745188</v>
      </c>
      <c r="D30">
        <v>15247974</v>
      </c>
      <c r="E30">
        <v>1</v>
      </c>
      <c r="F30">
        <v>1</v>
      </c>
      <c r="G30">
        <v>1</v>
      </c>
      <c r="H30">
        <v>2</v>
      </c>
      <c r="I30" t="s">
        <v>1314</v>
      </c>
      <c r="J30" t="s">
        <v>1315</v>
      </c>
      <c r="K30" t="s">
        <v>1316</v>
      </c>
      <c r="L30">
        <v>1368</v>
      </c>
      <c r="N30">
        <v>1011</v>
      </c>
      <c r="O30" t="s">
        <v>1298</v>
      </c>
      <c r="P30" t="s">
        <v>1298</v>
      </c>
      <c r="Q30">
        <v>1</v>
      </c>
      <c r="W30">
        <v>0</v>
      </c>
      <c r="X30">
        <v>1188625873</v>
      </c>
      <c r="Y30">
        <v>0.13</v>
      </c>
      <c r="AA30">
        <v>0</v>
      </c>
      <c r="AB30">
        <v>205.07</v>
      </c>
      <c r="AC30">
        <v>13.5</v>
      </c>
      <c r="AD30">
        <v>0</v>
      </c>
      <c r="AE30">
        <v>0</v>
      </c>
      <c r="AF30">
        <v>31.26</v>
      </c>
      <c r="AG30">
        <v>13.5</v>
      </c>
      <c r="AH30">
        <v>0</v>
      </c>
      <c r="AI30">
        <v>1</v>
      </c>
      <c r="AJ30">
        <v>6.56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0.13</v>
      </c>
      <c r="AU30" t="s">
        <v>6</v>
      </c>
      <c r="AV30">
        <v>0</v>
      </c>
      <c r="AW30">
        <v>2</v>
      </c>
      <c r="AX30">
        <v>16745195</v>
      </c>
      <c r="AY30">
        <v>1</v>
      </c>
      <c r="AZ30">
        <v>0</v>
      </c>
      <c r="BA30">
        <v>33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Y30*Source!I43</f>
        <v>0.26103999999999999</v>
      </c>
      <c r="CY30">
        <f>AB30</f>
        <v>205.07</v>
      </c>
      <c r="CZ30">
        <f>AF30</f>
        <v>31.26</v>
      </c>
      <c r="DA30">
        <f>AJ30</f>
        <v>6.56</v>
      </c>
      <c r="DB30">
        <f t="shared" si="2"/>
        <v>4.0599999999999996</v>
      </c>
      <c r="DC30">
        <f t="shared" si="3"/>
        <v>1.76</v>
      </c>
    </row>
    <row r="31" spans="1:107" x14ac:dyDescent="0.2">
      <c r="A31">
        <f>ROW(Source!A43)</f>
        <v>43</v>
      </c>
      <c r="B31">
        <v>16742901</v>
      </c>
      <c r="C31">
        <v>16745188</v>
      </c>
      <c r="D31">
        <v>15164566</v>
      </c>
      <c r="E31">
        <v>17</v>
      </c>
      <c r="F31">
        <v>1</v>
      </c>
      <c r="G31">
        <v>1</v>
      </c>
      <c r="H31">
        <v>3</v>
      </c>
      <c r="I31" t="s">
        <v>98</v>
      </c>
      <c r="J31" t="s">
        <v>6</v>
      </c>
      <c r="K31" t="s">
        <v>99</v>
      </c>
      <c r="L31">
        <v>1348</v>
      </c>
      <c r="N31">
        <v>1009</v>
      </c>
      <c r="O31" t="s">
        <v>100</v>
      </c>
      <c r="P31" t="s">
        <v>100</v>
      </c>
      <c r="Q31">
        <v>1000</v>
      </c>
      <c r="W31">
        <v>0</v>
      </c>
      <c r="X31">
        <v>-179832266</v>
      </c>
      <c r="Y31">
        <v>0.47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6.56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6</v>
      </c>
      <c r="AT31">
        <v>0.47</v>
      </c>
      <c r="AU31" t="s">
        <v>6</v>
      </c>
      <c r="AV31">
        <v>0</v>
      </c>
      <c r="AW31">
        <v>2</v>
      </c>
      <c r="AX31">
        <v>16745196</v>
      </c>
      <c r="AY31">
        <v>1</v>
      </c>
      <c r="AZ31">
        <v>0</v>
      </c>
      <c r="BA31">
        <v>34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Y31*Source!I43</f>
        <v>0.94375999999999993</v>
      </c>
      <c r="CY31">
        <f>AA31</f>
        <v>0</v>
      </c>
      <c r="CZ31">
        <f>AE31</f>
        <v>0</v>
      </c>
      <c r="DA31">
        <f>AI31</f>
        <v>6.56</v>
      </c>
      <c r="DB31">
        <f t="shared" si="2"/>
        <v>0</v>
      </c>
      <c r="DC31">
        <f t="shared" si="3"/>
        <v>0</v>
      </c>
    </row>
    <row r="32" spans="1:107" x14ac:dyDescent="0.2">
      <c r="A32">
        <f>ROW(Source!A45)</f>
        <v>45</v>
      </c>
      <c r="B32">
        <v>16742901</v>
      </c>
      <c r="C32">
        <v>16745199</v>
      </c>
      <c r="D32">
        <v>15430517</v>
      </c>
      <c r="E32">
        <v>1</v>
      </c>
      <c r="F32">
        <v>1</v>
      </c>
      <c r="G32">
        <v>1</v>
      </c>
      <c r="H32">
        <v>1</v>
      </c>
      <c r="I32" t="s">
        <v>1337</v>
      </c>
      <c r="J32" t="s">
        <v>6</v>
      </c>
      <c r="K32" t="s">
        <v>1338</v>
      </c>
      <c r="L32">
        <v>1191</v>
      </c>
      <c r="N32">
        <v>1013</v>
      </c>
      <c r="O32" t="s">
        <v>1287</v>
      </c>
      <c r="P32" t="s">
        <v>1287</v>
      </c>
      <c r="Q32">
        <v>1</v>
      </c>
      <c r="W32">
        <v>0</v>
      </c>
      <c r="X32">
        <v>735429535</v>
      </c>
      <c r="Y32">
        <v>17.440000000000001</v>
      </c>
      <c r="AA32">
        <v>0</v>
      </c>
      <c r="AB32">
        <v>0</v>
      </c>
      <c r="AC32">
        <v>0</v>
      </c>
      <c r="AD32">
        <v>51.17</v>
      </c>
      <c r="AE32">
        <v>0</v>
      </c>
      <c r="AF32">
        <v>0</v>
      </c>
      <c r="AG32">
        <v>0</v>
      </c>
      <c r="AH32">
        <v>7.8</v>
      </c>
      <c r="AI32">
        <v>1</v>
      </c>
      <c r="AJ32">
        <v>1</v>
      </c>
      <c r="AK32">
        <v>1</v>
      </c>
      <c r="AL32">
        <v>6.56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17.440000000000001</v>
      </c>
      <c r="AU32" t="s">
        <v>6</v>
      </c>
      <c r="AV32">
        <v>1</v>
      </c>
      <c r="AW32">
        <v>2</v>
      </c>
      <c r="AX32">
        <v>16745201</v>
      </c>
      <c r="AY32">
        <v>1</v>
      </c>
      <c r="AZ32">
        <v>0</v>
      </c>
      <c r="BA32">
        <v>35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Y32*Source!I45</f>
        <v>35.01952</v>
      </c>
      <c r="CY32">
        <f>AD32</f>
        <v>51.17</v>
      </c>
      <c r="CZ32">
        <f>AH32</f>
        <v>7.8</v>
      </c>
      <c r="DA32">
        <f>AL32</f>
        <v>6.56</v>
      </c>
      <c r="DB32">
        <f t="shared" si="2"/>
        <v>136.03</v>
      </c>
      <c r="DC32">
        <f t="shared" si="3"/>
        <v>0</v>
      </c>
    </row>
    <row r="33" spans="1:107" x14ac:dyDescent="0.2">
      <c r="A33">
        <f>ROW(Source!A46)</f>
        <v>46</v>
      </c>
      <c r="B33">
        <v>16742901</v>
      </c>
      <c r="C33">
        <v>16745211</v>
      </c>
      <c r="D33">
        <v>15430767</v>
      </c>
      <c r="E33">
        <v>1</v>
      </c>
      <c r="F33">
        <v>1</v>
      </c>
      <c r="G33">
        <v>1</v>
      </c>
      <c r="H33">
        <v>1</v>
      </c>
      <c r="I33" t="s">
        <v>1285</v>
      </c>
      <c r="J33" t="s">
        <v>6</v>
      </c>
      <c r="K33" t="s">
        <v>1286</v>
      </c>
      <c r="L33">
        <v>1191</v>
      </c>
      <c r="N33">
        <v>1013</v>
      </c>
      <c r="O33" t="s">
        <v>1287</v>
      </c>
      <c r="P33" t="s">
        <v>1287</v>
      </c>
      <c r="Q33">
        <v>1</v>
      </c>
      <c r="W33">
        <v>0</v>
      </c>
      <c r="X33">
        <v>-400197608</v>
      </c>
      <c r="Y33">
        <v>69.87</v>
      </c>
      <c r="AA33">
        <v>0</v>
      </c>
      <c r="AB33">
        <v>0</v>
      </c>
      <c r="AC33">
        <v>0</v>
      </c>
      <c r="AD33">
        <v>55.96</v>
      </c>
      <c r="AE33">
        <v>0</v>
      </c>
      <c r="AF33">
        <v>0</v>
      </c>
      <c r="AG33">
        <v>0</v>
      </c>
      <c r="AH33">
        <v>8.5299999999999994</v>
      </c>
      <c r="AI33">
        <v>1</v>
      </c>
      <c r="AJ33">
        <v>1</v>
      </c>
      <c r="AK33">
        <v>1</v>
      </c>
      <c r="AL33">
        <v>6.56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69.87</v>
      </c>
      <c r="AU33" t="s">
        <v>6</v>
      </c>
      <c r="AV33">
        <v>1</v>
      </c>
      <c r="AW33">
        <v>2</v>
      </c>
      <c r="AX33">
        <v>16745215</v>
      </c>
      <c r="AY33">
        <v>1</v>
      </c>
      <c r="AZ33">
        <v>0</v>
      </c>
      <c r="BA33">
        <v>37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Y33*Source!I46</f>
        <v>14.672700000000001</v>
      </c>
      <c r="CY33">
        <f>AD33</f>
        <v>55.96</v>
      </c>
      <c r="CZ33">
        <f>AH33</f>
        <v>8.5299999999999994</v>
      </c>
      <c r="DA33">
        <f>AL33</f>
        <v>6.56</v>
      </c>
      <c r="DB33">
        <f t="shared" si="2"/>
        <v>595.99</v>
      </c>
      <c r="DC33">
        <f t="shared" si="3"/>
        <v>0</v>
      </c>
    </row>
    <row r="34" spans="1:107" x14ac:dyDescent="0.2">
      <c r="A34">
        <f>ROW(Source!A46)</f>
        <v>46</v>
      </c>
      <c r="B34">
        <v>16742901</v>
      </c>
      <c r="C34">
        <v>16745211</v>
      </c>
      <c r="D34">
        <v>15430395</v>
      </c>
      <c r="E34">
        <v>1</v>
      </c>
      <c r="F34">
        <v>1</v>
      </c>
      <c r="G34">
        <v>1</v>
      </c>
      <c r="H34">
        <v>1</v>
      </c>
      <c r="I34" t="s">
        <v>1293</v>
      </c>
      <c r="J34" t="s">
        <v>6</v>
      </c>
      <c r="K34" t="s">
        <v>1294</v>
      </c>
      <c r="L34">
        <v>1191</v>
      </c>
      <c r="N34">
        <v>1013</v>
      </c>
      <c r="O34" t="s">
        <v>1287</v>
      </c>
      <c r="P34" t="s">
        <v>1287</v>
      </c>
      <c r="Q34">
        <v>1</v>
      </c>
      <c r="W34">
        <v>0</v>
      </c>
      <c r="X34">
        <v>-1417349443</v>
      </c>
      <c r="Y34">
        <v>1.44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6.56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1.44</v>
      </c>
      <c r="AU34" t="s">
        <v>6</v>
      </c>
      <c r="AV34">
        <v>2</v>
      </c>
      <c r="AW34">
        <v>2</v>
      </c>
      <c r="AX34">
        <v>16745216</v>
      </c>
      <c r="AY34">
        <v>1</v>
      </c>
      <c r="AZ34">
        <v>0</v>
      </c>
      <c r="BA34">
        <v>38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Y34*Source!I46</f>
        <v>0.3024</v>
      </c>
      <c r="CY34">
        <f>AD34</f>
        <v>0</v>
      </c>
      <c r="CZ34">
        <f>AH34</f>
        <v>0</v>
      </c>
      <c r="DA34">
        <f>AL34</f>
        <v>1</v>
      </c>
      <c r="DB34">
        <f t="shared" si="2"/>
        <v>0</v>
      </c>
      <c r="DC34">
        <f t="shared" si="3"/>
        <v>0</v>
      </c>
    </row>
    <row r="35" spans="1:107" x14ac:dyDescent="0.2">
      <c r="A35">
        <f>ROW(Source!A46)</f>
        <v>46</v>
      </c>
      <c r="B35">
        <v>16742901</v>
      </c>
      <c r="C35">
        <v>16745211</v>
      </c>
      <c r="D35">
        <v>15247974</v>
      </c>
      <c r="E35">
        <v>1</v>
      </c>
      <c r="F35">
        <v>1</v>
      </c>
      <c r="G35">
        <v>1</v>
      </c>
      <c r="H35">
        <v>2</v>
      </c>
      <c r="I35" t="s">
        <v>1314</v>
      </c>
      <c r="J35" t="s">
        <v>1315</v>
      </c>
      <c r="K35" t="s">
        <v>1316</v>
      </c>
      <c r="L35">
        <v>1368</v>
      </c>
      <c r="N35">
        <v>1011</v>
      </c>
      <c r="O35" t="s">
        <v>1298</v>
      </c>
      <c r="P35" t="s">
        <v>1298</v>
      </c>
      <c r="Q35">
        <v>1</v>
      </c>
      <c r="W35">
        <v>0</v>
      </c>
      <c r="X35">
        <v>1188625873</v>
      </c>
      <c r="Y35">
        <v>1.44</v>
      </c>
      <c r="AA35">
        <v>0</v>
      </c>
      <c r="AB35">
        <v>205.07</v>
      </c>
      <c r="AC35">
        <v>13.5</v>
      </c>
      <c r="AD35">
        <v>0</v>
      </c>
      <c r="AE35">
        <v>0</v>
      </c>
      <c r="AF35">
        <v>31.26</v>
      </c>
      <c r="AG35">
        <v>13.5</v>
      </c>
      <c r="AH35">
        <v>0</v>
      </c>
      <c r="AI35">
        <v>1</v>
      </c>
      <c r="AJ35">
        <v>6.56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1.44</v>
      </c>
      <c r="AU35" t="s">
        <v>6</v>
      </c>
      <c r="AV35">
        <v>0</v>
      </c>
      <c r="AW35">
        <v>2</v>
      </c>
      <c r="AX35">
        <v>16745217</v>
      </c>
      <c r="AY35">
        <v>1</v>
      </c>
      <c r="AZ35">
        <v>0</v>
      </c>
      <c r="BA35">
        <v>39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Y35*Source!I46</f>
        <v>0.3024</v>
      </c>
      <c r="CY35">
        <f>AB35</f>
        <v>205.07</v>
      </c>
      <c r="CZ35">
        <f>AF35</f>
        <v>31.26</v>
      </c>
      <c r="DA35">
        <f>AJ35</f>
        <v>6.56</v>
      </c>
      <c r="DB35">
        <f t="shared" si="2"/>
        <v>45.01</v>
      </c>
      <c r="DC35">
        <f t="shared" si="3"/>
        <v>19.440000000000001</v>
      </c>
    </row>
    <row r="36" spans="1:107" x14ac:dyDescent="0.2">
      <c r="A36">
        <f>ROW(Source!A47)</f>
        <v>47</v>
      </c>
      <c r="B36">
        <v>16742901</v>
      </c>
      <c r="C36">
        <v>16745219</v>
      </c>
      <c r="D36">
        <v>15431465</v>
      </c>
      <c r="E36">
        <v>1</v>
      </c>
      <c r="F36">
        <v>1</v>
      </c>
      <c r="G36">
        <v>1</v>
      </c>
      <c r="H36">
        <v>1</v>
      </c>
      <c r="I36" t="s">
        <v>1339</v>
      </c>
      <c r="J36" t="s">
        <v>6</v>
      </c>
      <c r="K36" t="s">
        <v>1340</v>
      </c>
      <c r="L36">
        <v>1191</v>
      </c>
      <c r="N36">
        <v>1013</v>
      </c>
      <c r="O36" t="s">
        <v>1287</v>
      </c>
      <c r="P36" t="s">
        <v>1287</v>
      </c>
      <c r="Q36">
        <v>1</v>
      </c>
      <c r="W36">
        <v>0</v>
      </c>
      <c r="X36">
        <v>152375061</v>
      </c>
      <c r="Y36">
        <v>74.3</v>
      </c>
      <c r="AA36">
        <v>0</v>
      </c>
      <c r="AB36">
        <v>0</v>
      </c>
      <c r="AC36">
        <v>0</v>
      </c>
      <c r="AD36">
        <v>51.63</v>
      </c>
      <c r="AE36">
        <v>0</v>
      </c>
      <c r="AF36">
        <v>0</v>
      </c>
      <c r="AG36">
        <v>0</v>
      </c>
      <c r="AH36">
        <v>7.87</v>
      </c>
      <c r="AI36">
        <v>1</v>
      </c>
      <c r="AJ36">
        <v>1</v>
      </c>
      <c r="AK36">
        <v>1</v>
      </c>
      <c r="AL36">
        <v>6.56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74.3</v>
      </c>
      <c r="AU36" t="s">
        <v>6</v>
      </c>
      <c r="AV36">
        <v>1</v>
      </c>
      <c r="AW36">
        <v>2</v>
      </c>
      <c r="AX36">
        <v>16745225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Y36*Source!I47</f>
        <v>72.665399999999991</v>
      </c>
      <c r="CY36">
        <f>AD36</f>
        <v>51.63</v>
      </c>
      <c r="CZ36">
        <f>AH36</f>
        <v>7.87</v>
      </c>
      <c r="DA36">
        <f>AL36</f>
        <v>6.56</v>
      </c>
      <c r="DB36">
        <f t="shared" si="2"/>
        <v>584.74</v>
      </c>
      <c r="DC36">
        <f t="shared" si="3"/>
        <v>0</v>
      </c>
    </row>
    <row r="37" spans="1:107" x14ac:dyDescent="0.2">
      <c r="A37">
        <f>ROW(Source!A47)</f>
        <v>47</v>
      </c>
      <c r="B37">
        <v>16742901</v>
      </c>
      <c r="C37">
        <v>16745219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1293</v>
      </c>
      <c r="J37" t="s">
        <v>6</v>
      </c>
      <c r="K37" t="s">
        <v>1294</v>
      </c>
      <c r="L37">
        <v>1191</v>
      </c>
      <c r="N37">
        <v>1013</v>
      </c>
      <c r="O37" t="s">
        <v>1287</v>
      </c>
      <c r="P37" t="s">
        <v>1287</v>
      </c>
      <c r="Q37">
        <v>1</v>
      </c>
      <c r="W37">
        <v>0</v>
      </c>
      <c r="X37">
        <v>-1417349443</v>
      </c>
      <c r="Y37">
        <v>0.35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6.56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0.35</v>
      </c>
      <c r="AU37" t="s">
        <v>6</v>
      </c>
      <c r="AV37">
        <v>2</v>
      </c>
      <c r="AW37">
        <v>2</v>
      </c>
      <c r="AX37">
        <v>16745226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Y37*Source!I47</f>
        <v>0.34229999999999999</v>
      </c>
      <c r="CY37">
        <f>AD37</f>
        <v>0</v>
      </c>
      <c r="CZ37">
        <f>AH37</f>
        <v>0</v>
      </c>
      <c r="DA37">
        <f>AL37</f>
        <v>1</v>
      </c>
      <c r="DB37">
        <f t="shared" si="2"/>
        <v>0</v>
      </c>
      <c r="DC37">
        <f t="shared" si="3"/>
        <v>0</v>
      </c>
    </row>
    <row r="38" spans="1:107" x14ac:dyDescent="0.2">
      <c r="A38">
        <f>ROW(Source!A47)</f>
        <v>47</v>
      </c>
      <c r="B38">
        <v>16742901</v>
      </c>
      <c r="C38">
        <v>16745219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1314</v>
      </c>
      <c r="J38" t="s">
        <v>1315</v>
      </c>
      <c r="K38" t="s">
        <v>1316</v>
      </c>
      <c r="L38">
        <v>1368</v>
      </c>
      <c r="N38">
        <v>1011</v>
      </c>
      <c r="O38" t="s">
        <v>1298</v>
      </c>
      <c r="P38" t="s">
        <v>1298</v>
      </c>
      <c r="Q38">
        <v>1</v>
      </c>
      <c r="W38">
        <v>0</v>
      </c>
      <c r="X38">
        <v>1188625873</v>
      </c>
      <c r="Y38">
        <v>0.35</v>
      </c>
      <c r="AA38">
        <v>0</v>
      </c>
      <c r="AB38">
        <v>205.07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6.56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0.35</v>
      </c>
      <c r="AU38" t="s">
        <v>6</v>
      </c>
      <c r="AV38">
        <v>0</v>
      </c>
      <c r="AW38">
        <v>2</v>
      </c>
      <c r="AX38">
        <v>16745227</v>
      </c>
      <c r="AY38">
        <v>1</v>
      </c>
      <c r="AZ38">
        <v>0</v>
      </c>
      <c r="BA38">
        <v>43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Y38*Source!I47</f>
        <v>0.34229999999999999</v>
      </c>
      <c r="CY38">
        <f>AB38</f>
        <v>205.07</v>
      </c>
      <c r="CZ38">
        <f>AF38</f>
        <v>31.26</v>
      </c>
      <c r="DA38">
        <f>AJ38</f>
        <v>6.56</v>
      </c>
      <c r="DB38">
        <f t="shared" si="2"/>
        <v>10.94</v>
      </c>
      <c r="DC38">
        <f t="shared" si="3"/>
        <v>4.7300000000000004</v>
      </c>
    </row>
    <row r="39" spans="1:107" x14ac:dyDescent="0.2">
      <c r="A39">
        <f>ROW(Source!A47)</f>
        <v>47</v>
      </c>
      <c r="B39">
        <v>16742901</v>
      </c>
      <c r="C39">
        <v>16745219</v>
      </c>
      <c r="D39">
        <v>15249402</v>
      </c>
      <c r="E39">
        <v>1</v>
      </c>
      <c r="F39">
        <v>1</v>
      </c>
      <c r="G39">
        <v>1</v>
      </c>
      <c r="H39">
        <v>2</v>
      </c>
      <c r="I39" t="s">
        <v>1341</v>
      </c>
      <c r="J39" t="s">
        <v>1342</v>
      </c>
      <c r="K39" t="s">
        <v>1343</v>
      </c>
      <c r="L39">
        <v>1368</v>
      </c>
      <c r="N39">
        <v>1011</v>
      </c>
      <c r="O39" t="s">
        <v>1298</v>
      </c>
      <c r="P39" t="s">
        <v>1298</v>
      </c>
      <c r="Q39">
        <v>1</v>
      </c>
      <c r="W39">
        <v>0</v>
      </c>
      <c r="X39">
        <v>-2111251057</v>
      </c>
      <c r="Y39">
        <v>1.64</v>
      </c>
      <c r="AA39">
        <v>0</v>
      </c>
      <c r="AB39">
        <v>213.2</v>
      </c>
      <c r="AC39">
        <v>0</v>
      </c>
      <c r="AD39">
        <v>0</v>
      </c>
      <c r="AE39">
        <v>0</v>
      </c>
      <c r="AF39">
        <v>32.5</v>
      </c>
      <c r="AG39">
        <v>0</v>
      </c>
      <c r="AH39">
        <v>0</v>
      </c>
      <c r="AI39">
        <v>1</v>
      </c>
      <c r="AJ39">
        <v>6.56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1.64</v>
      </c>
      <c r="AU39" t="s">
        <v>6</v>
      </c>
      <c r="AV39">
        <v>0</v>
      </c>
      <c r="AW39">
        <v>2</v>
      </c>
      <c r="AX39">
        <v>16745228</v>
      </c>
      <c r="AY39">
        <v>1</v>
      </c>
      <c r="AZ39">
        <v>0</v>
      </c>
      <c r="BA39">
        <v>44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Y39*Source!I47</f>
        <v>1.6039199999999998</v>
      </c>
      <c r="CY39">
        <f>AB39</f>
        <v>213.2</v>
      </c>
      <c r="CZ39">
        <f>AF39</f>
        <v>32.5</v>
      </c>
      <c r="DA39">
        <f>AJ39</f>
        <v>6.56</v>
      </c>
      <c r="DB39">
        <f t="shared" si="2"/>
        <v>53.3</v>
      </c>
      <c r="DC39">
        <f t="shared" si="3"/>
        <v>0</v>
      </c>
    </row>
    <row r="40" spans="1:107" x14ac:dyDescent="0.2">
      <c r="A40">
        <f>ROW(Source!A47)</f>
        <v>47</v>
      </c>
      <c r="B40">
        <v>16742901</v>
      </c>
      <c r="C40">
        <v>16745219</v>
      </c>
      <c r="D40">
        <v>15249998</v>
      </c>
      <c r="E40">
        <v>1</v>
      </c>
      <c r="F40">
        <v>1</v>
      </c>
      <c r="G40">
        <v>1</v>
      </c>
      <c r="H40">
        <v>2</v>
      </c>
      <c r="I40" t="s">
        <v>1344</v>
      </c>
      <c r="J40" t="s">
        <v>1345</v>
      </c>
      <c r="K40" t="s">
        <v>1346</v>
      </c>
      <c r="L40">
        <v>1368</v>
      </c>
      <c r="N40">
        <v>1011</v>
      </c>
      <c r="O40" t="s">
        <v>1298</v>
      </c>
      <c r="P40" t="s">
        <v>1298</v>
      </c>
      <c r="Q40">
        <v>1</v>
      </c>
      <c r="W40">
        <v>0</v>
      </c>
      <c r="X40">
        <v>1518765163</v>
      </c>
      <c r="Y40">
        <v>3.28</v>
      </c>
      <c r="AA40">
        <v>0</v>
      </c>
      <c r="AB40">
        <v>10.039999999999999</v>
      </c>
      <c r="AC40">
        <v>0</v>
      </c>
      <c r="AD40">
        <v>0</v>
      </c>
      <c r="AE40">
        <v>0</v>
      </c>
      <c r="AF40">
        <v>1.53</v>
      </c>
      <c r="AG40">
        <v>0</v>
      </c>
      <c r="AH40">
        <v>0</v>
      </c>
      <c r="AI40">
        <v>1</v>
      </c>
      <c r="AJ40">
        <v>6.56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3.28</v>
      </c>
      <c r="AU40" t="s">
        <v>6</v>
      </c>
      <c r="AV40">
        <v>0</v>
      </c>
      <c r="AW40">
        <v>2</v>
      </c>
      <c r="AX40">
        <v>16745229</v>
      </c>
      <c r="AY40">
        <v>1</v>
      </c>
      <c r="AZ40">
        <v>0</v>
      </c>
      <c r="BA40">
        <v>45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Y40*Source!I47</f>
        <v>3.2078399999999996</v>
      </c>
      <c r="CY40">
        <f>AB40</f>
        <v>10.039999999999999</v>
      </c>
      <c r="CZ40">
        <f>AF40</f>
        <v>1.53</v>
      </c>
      <c r="DA40">
        <f>AJ40</f>
        <v>6.56</v>
      </c>
      <c r="DB40">
        <f t="shared" si="2"/>
        <v>5.0199999999999996</v>
      </c>
      <c r="DC40">
        <f t="shared" si="3"/>
        <v>0</v>
      </c>
    </row>
    <row r="41" spans="1:107" x14ac:dyDescent="0.2">
      <c r="A41">
        <f>ROW(Source!A48)</f>
        <v>48</v>
      </c>
      <c r="B41">
        <v>16742901</v>
      </c>
      <c r="C41">
        <v>16748828</v>
      </c>
      <c r="D41">
        <v>15430767</v>
      </c>
      <c r="E41">
        <v>1</v>
      </c>
      <c r="F41">
        <v>1</v>
      </c>
      <c r="G41">
        <v>1</v>
      </c>
      <c r="H41">
        <v>1</v>
      </c>
      <c r="I41" t="s">
        <v>1285</v>
      </c>
      <c r="J41" t="s">
        <v>6</v>
      </c>
      <c r="K41" t="s">
        <v>1286</v>
      </c>
      <c r="L41">
        <v>1191</v>
      </c>
      <c r="N41">
        <v>1013</v>
      </c>
      <c r="O41" t="s">
        <v>1287</v>
      </c>
      <c r="P41" t="s">
        <v>1287</v>
      </c>
      <c r="Q41">
        <v>1</v>
      </c>
      <c r="W41">
        <v>0</v>
      </c>
      <c r="X41">
        <v>-400197608</v>
      </c>
      <c r="Y41">
        <v>35.552999999999997</v>
      </c>
      <c r="AA41">
        <v>0</v>
      </c>
      <c r="AB41">
        <v>0</v>
      </c>
      <c r="AC41">
        <v>0</v>
      </c>
      <c r="AD41">
        <v>55.96</v>
      </c>
      <c r="AE41">
        <v>0</v>
      </c>
      <c r="AF41">
        <v>0</v>
      </c>
      <c r="AG41">
        <v>0</v>
      </c>
      <c r="AH41">
        <v>8.5299999999999994</v>
      </c>
      <c r="AI41">
        <v>1</v>
      </c>
      <c r="AJ41">
        <v>1</v>
      </c>
      <c r="AK41">
        <v>1</v>
      </c>
      <c r="AL41">
        <v>6.56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50.79</v>
      </c>
      <c r="AU41" t="s">
        <v>120</v>
      </c>
      <c r="AV41">
        <v>1</v>
      </c>
      <c r="AW41">
        <v>2</v>
      </c>
      <c r="AX41">
        <v>16748829</v>
      </c>
      <c r="AY41">
        <v>1</v>
      </c>
      <c r="AZ41">
        <v>0</v>
      </c>
      <c r="BA41">
        <v>46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Y41*Source!I48</f>
        <v>14.2212</v>
      </c>
      <c r="CY41">
        <f>AD41</f>
        <v>55.96</v>
      </c>
      <c r="CZ41">
        <f>AH41</f>
        <v>8.5299999999999994</v>
      </c>
      <c r="DA41">
        <f>AL41</f>
        <v>6.56</v>
      </c>
      <c r="DB41">
        <f>ROUND((ROUND(AT41*CZ41,2)*0.7),2)</f>
        <v>303.27</v>
      </c>
      <c r="DC41">
        <f>ROUND((ROUND(AT41*AG41,2)*0.7),2)</f>
        <v>0</v>
      </c>
    </row>
    <row r="42" spans="1:107" x14ac:dyDescent="0.2">
      <c r="A42">
        <f>ROW(Source!A48)</f>
        <v>48</v>
      </c>
      <c r="B42">
        <v>16742901</v>
      </c>
      <c r="C42">
        <v>16748828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1293</v>
      </c>
      <c r="J42" t="s">
        <v>6</v>
      </c>
      <c r="K42" t="s">
        <v>1294</v>
      </c>
      <c r="L42">
        <v>1191</v>
      </c>
      <c r="N42">
        <v>1013</v>
      </c>
      <c r="O42" t="s">
        <v>1287</v>
      </c>
      <c r="P42" t="s">
        <v>1287</v>
      </c>
      <c r="Q42">
        <v>1</v>
      </c>
      <c r="W42">
        <v>0</v>
      </c>
      <c r="X42">
        <v>-1417349443</v>
      </c>
      <c r="Y42">
        <v>0.31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6.56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0.31</v>
      </c>
      <c r="AU42" t="s">
        <v>6</v>
      </c>
      <c r="AV42">
        <v>2</v>
      </c>
      <c r="AW42">
        <v>2</v>
      </c>
      <c r="AX42">
        <v>16748830</v>
      </c>
      <c r="AY42">
        <v>1</v>
      </c>
      <c r="AZ42">
        <v>2048</v>
      </c>
      <c r="BA42">
        <v>47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Y42*Source!I48</f>
        <v>0.124</v>
      </c>
      <c r="CY42">
        <f>AD42</f>
        <v>0</v>
      </c>
      <c r="CZ42">
        <f>AH42</f>
        <v>0</v>
      </c>
      <c r="DA42">
        <f>AL42</f>
        <v>1</v>
      </c>
      <c r="DB42">
        <f>ROUND(ROUND(AT42*CZ42,2),2)</f>
        <v>0</v>
      </c>
      <c r="DC42">
        <f>ROUND(ROUND(AT42*AG42,2),2)</f>
        <v>0</v>
      </c>
    </row>
    <row r="43" spans="1:107" x14ac:dyDescent="0.2">
      <c r="A43">
        <f>ROW(Source!A48)</f>
        <v>48</v>
      </c>
      <c r="B43">
        <v>16742901</v>
      </c>
      <c r="C43">
        <v>16748828</v>
      </c>
      <c r="D43">
        <v>15247680</v>
      </c>
      <c r="E43">
        <v>1</v>
      </c>
      <c r="F43">
        <v>1</v>
      </c>
      <c r="G43">
        <v>1</v>
      </c>
      <c r="H43">
        <v>2</v>
      </c>
      <c r="I43" t="s">
        <v>1295</v>
      </c>
      <c r="J43" t="s">
        <v>1296</v>
      </c>
      <c r="K43" t="s">
        <v>1297</v>
      </c>
      <c r="L43">
        <v>1368</v>
      </c>
      <c r="N43">
        <v>1011</v>
      </c>
      <c r="O43" t="s">
        <v>1298</v>
      </c>
      <c r="P43" t="s">
        <v>1298</v>
      </c>
      <c r="Q43">
        <v>1</v>
      </c>
      <c r="W43">
        <v>0</v>
      </c>
      <c r="X43">
        <v>-1718674368</v>
      </c>
      <c r="Y43">
        <v>8.3999999999999991E-2</v>
      </c>
      <c r="AA43">
        <v>0</v>
      </c>
      <c r="AB43">
        <v>734.65</v>
      </c>
      <c r="AC43">
        <v>13.5</v>
      </c>
      <c r="AD43">
        <v>0</v>
      </c>
      <c r="AE43">
        <v>0</v>
      </c>
      <c r="AF43">
        <v>111.99</v>
      </c>
      <c r="AG43">
        <v>13.5</v>
      </c>
      <c r="AH43">
        <v>0</v>
      </c>
      <c r="AI43">
        <v>1</v>
      </c>
      <c r="AJ43">
        <v>6.56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0.12</v>
      </c>
      <c r="AU43" t="s">
        <v>120</v>
      </c>
      <c r="AV43">
        <v>0</v>
      </c>
      <c r="AW43">
        <v>2</v>
      </c>
      <c r="AX43">
        <v>16748831</v>
      </c>
      <c r="AY43">
        <v>1</v>
      </c>
      <c r="AZ43">
        <v>0</v>
      </c>
      <c r="BA43">
        <v>48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Y43*Source!I48</f>
        <v>3.3599999999999998E-2</v>
      </c>
      <c r="CY43">
        <f>AB43</f>
        <v>734.65</v>
      </c>
      <c r="CZ43">
        <f>AF43</f>
        <v>111.99</v>
      </c>
      <c r="DA43">
        <f>AJ43</f>
        <v>6.56</v>
      </c>
      <c r="DB43">
        <f>ROUND((ROUND(AT43*CZ43,2)*0.7),2)</f>
        <v>9.41</v>
      </c>
      <c r="DC43">
        <f>ROUND((ROUND(AT43*AG43,2)*0.7),2)</f>
        <v>1.1299999999999999</v>
      </c>
    </row>
    <row r="44" spans="1:107" x14ac:dyDescent="0.2">
      <c r="A44">
        <f>ROW(Source!A48)</f>
        <v>48</v>
      </c>
      <c r="B44">
        <v>16742901</v>
      </c>
      <c r="C44">
        <v>16748828</v>
      </c>
      <c r="D44">
        <v>15247880</v>
      </c>
      <c r="E44">
        <v>1</v>
      </c>
      <c r="F44">
        <v>1</v>
      </c>
      <c r="G44">
        <v>1</v>
      </c>
      <c r="H44">
        <v>2</v>
      </c>
      <c r="I44" t="s">
        <v>1347</v>
      </c>
      <c r="J44" t="s">
        <v>1348</v>
      </c>
      <c r="K44" t="s">
        <v>1349</v>
      </c>
      <c r="L44">
        <v>1368</v>
      </c>
      <c r="N44">
        <v>1011</v>
      </c>
      <c r="O44" t="s">
        <v>1298</v>
      </c>
      <c r="P44" t="s">
        <v>1298</v>
      </c>
      <c r="Q44">
        <v>1</v>
      </c>
      <c r="W44">
        <v>0</v>
      </c>
      <c r="X44">
        <v>1544661785</v>
      </c>
      <c r="Y44">
        <v>7.3709999999999987</v>
      </c>
      <c r="AA44">
        <v>0</v>
      </c>
      <c r="AB44">
        <v>45.26</v>
      </c>
      <c r="AC44">
        <v>0</v>
      </c>
      <c r="AD44">
        <v>0</v>
      </c>
      <c r="AE44">
        <v>0</v>
      </c>
      <c r="AF44">
        <v>6.9</v>
      </c>
      <c r="AG44">
        <v>0</v>
      </c>
      <c r="AH44">
        <v>0</v>
      </c>
      <c r="AI44">
        <v>1</v>
      </c>
      <c r="AJ44">
        <v>6.56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10.53</v>
      </c>
      <c r="AU44" t="s">
        <v>120</v>
      </c>
      <c r="AV44">
        <v>0</v>
      </c>
      <c r="AW44">
        <v>2</v>
      </c>
      <c r="AX44">
        <v>16748832</v>
      </c>
      <c r="AY44">
        <v>1</v>
      </c>
      <c r="AZ44">
        <v>0</v>
      </c>
      <c r="BA44">
        <v>49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Y44*Source!I48</f>
        <v>2.9483999999999995</v>
      </c>
      <c r="CY44">
        <f>AB44</f>
        <v>45.26</v>
      </c>
      <c r="CZ44">
        <f>AF44</f>
        <v>6.9</v>
      </c>
      <c r="DA44">
        <f>AJ44</f>
        <v>6.56</v>
      </c>
      <c r="DB44">
        <f>ROUND((ROUND(AT44*CZ44,2)*0.7),2)</f>
        <v>50.86</v>
      </c>
      <c r="DC44">
        <f>ROUND((ROUND(AT44*AG44,2)*0.7),2)</f>
        <v>0</v>
      </c>
    </row>
    <row r="45" spans="1:107" x14ac:dyDescent="0.2">
      <c r="A45">
        <f>ROW(Source!A48)</f>
        <v>48</v>
      </c>
      <c r="B45">
        <v>16742901</v>
      </c>
      <c r="C45">
        <v>16748828</v>
      </c>
      <c r="D45">
        <v>15249073</v>
      </c>
      <c r="E45">
        <v>1</v>
      </c>
      <c r="F45">
        <v>1</v>
      </c>
      <c r="G45">
        <v>1</v>
      </c>
      <c r="H45">
        <v>2</v>
      </c>
      <c r="I45" t="s">
        <v>1299</v>
      </c>
      <c r="J45" t="s">
        <v>1300</v>
      </c>
      <c r="K45" t="s">
        <v>1301</v>
      </c>
      <c r="L45">
        <v>1368</v>
      </c>
      <c r="N45">
        <v>1011</v>
      </c>
      <c r="O45" t="s">
        <v>1298</v>
      </c>
      <c r="P45" t="s">
        <v>1298</v>
      </c>
      <c r="Q45">
        <v>1</v>
      </c>
      <c r="W45">
        <v>0</v>
      </c>
      <c r="X45">
        <v>1372534845</v>
      </c>
      <c r="Y45">
        <v>0.13299999999999998</v>
      </c>
      <c r="AA45">
        <v>0</v>
      </c>
      <c r="AB45">
        <v>431.06</v>
      </c>
      <c r="AC45">
        <v>11.6</v>
      </c>
      <c r="AD45">
        <v>0</v>
      </c>
      <c r="AE45">
        <v>0</v>
      </c>
      <c r="AF45">
        <v>65.709999999999994</v>
      </c>
      <c r="AG45">
        <v>11.6</v>
      </c>
      <c r="AH45">
        <v>0</v>
      </c>
      <c r="AI45">
        <v>1</v>
      </c>
      <c r="AJ45">
        <v>6.56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0.19</v>
      </c>
      <c r="AU45" t="s">
        <v>120</v>
      </c>
      <c r="AV45">
        <v>0</v>
      </c>
      <c r="AW45">
        <v>2</v>
      </c>
      <c r="AX45">
        <v>16748833</v>
      </c>
      <c r="AY45">
        <v>1</v>
      </c>
      <c r="AZ45">
        <v>0</v>
      </c>
      <c r="BA45">
        <v>50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Y45*Source!I48</f>
        <v>5.3199999999999997E-2</v>
      </c>
      <c r="CY45">
        <f>AB45</f>
        <v>431.06</v>
      </c>
      <c r="CZ45">
        <f>AF45</f>
        <v>65.709999999999994</v>
      </c>
      <c r="DA45">
        <f>AJ45</f>
        <v>6.56</v>
      </c>
      <c r="DB45">
        <f>ROUND((ROUND(AT45*CZ45,2)*0.7),2)</f>
        <v>8.74</v>
      </c>
      <c r="DC45">
        <f>ROUND((ROUND(AT45*AG45,2)*0.7),2)</f>
        <v>1.54</v>
      </c>
    </row>
    <row r="46" spans="1:107" x14ac:dyDescent="0.2">
      <c r="A46">
        <f>ROW(Source!A48)</f>
        <v>48</v>
      </c>
      <c r="B46">
        <v>16742901</v>
      </c>
      <c r="C46">
        <v>16748828</v>
      </c>
      <c r="D46">
        <v>15249308</v>
      </c>
      <c r="E46">
        <v>1</v>
      </c>
      <c r="F46">
        <v>1</v>
      </c>
      <c r="G46">
        <v>1</v>
      </c>
      <c r="H46">
        <v>2</v>
      </c>
      <c r="I46" t="s">
        <v>1350</v>
      </c>
      <c r="J46" t="s">
        <v>1351</v>
      </c>
      <c r="K46" t="s">
        <v>1352</v>
      </c>
      <c r="L46">
        <v>1368</v>
      </c>
      <c r="N46">
        <v>1011</v>
      </c>
      <c r="O46" t="s">
        <v>1298</v>
      </c>
      <c r="P46" t="s">
        <v>1298</v>
      </c>
      <c r="Q46">
        <v>1</v>
      </c>
      <c r="W46">
        <v>0</v>
      </c>
      <c r="X46">
        <v>792402865</v>
      </c>
      <c r="Y46">
        <v>1.302</v>
      </c>
      <c r="AA46">
        <v>0</v>
      </c>
      <c r="AB46">
        <v>7.87</v>
      </c>
      <c r="AC46">
        <v>0</v>
      </c>
      <c r="AD46">
        <v>0</v>
      </c>
      <c r="AE46">
        <v>0</v>
      </c>
      <c r="AF46">
        <v>1.2</v>
      </c>
      <c r="AG46">
        <v>0</v>
      </c>
      <c r="AH46">
        <v>0</v>
      </c>
      <c r="AI46">
        <v>1</v>
      </c>
      <c r="AJ46">
        <v>6.56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1.86</v>
      </c>
      <c r="AU46" t="s">
        <v>120</v>
      </c>
      <c r="AV46">
        <v>0</v>
      </c>
      <c r="AW46">
        <v>2</v>
      </c>
      <c r="AX46">
        <v>16748834</v>
      </c>
      <c r="AY46">
        <v>1</v>
      </c>
      <c r="AZ46">
        <v>0</v>
      </c>
      <c r="BA46">
        <v>51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Y46*Source!I48</f>
        <v>0.52080000000000004</v>
      </c>
      <c r="CY46">
        <f>AB46</f>
        <v>7.87</v>
      </c>
      <c r="CZ46">
        <f>AF46</f>
        <v>1.2</v>
      </c>
      <c r="DA46">
        <f>AJ46</f>
        <v>6.56</v>
      </c>
      <c r="DB46">
        <f>ROUND((ROUND(AT46*CZ46,2)*0.7),2)</f>
        <v>1.56</v>
      </c>
      <c r="DC46">
        <f>ROUND((ROUND(AT46*AG46,2)*0.7),2)</f>
        <v>0</v>
      </c>
    </row>
    <row r="47" spans="1:107" x14ac:dyDescent="0.2">
      <c r="A47">
        <f>ROW(Source!A48)</f>
        <v>48</v>
      </c>
      <c r="B47">
        <v>16742901</v>
      </c>
      <c r="C47">
        <v>16748828</v>
      </c>
      <c r="D47">
        <v>15249355</v>
      </c>
      <c r="E47">
        <v>1</v>
      </c>
      <c r="F47">
        <v>1</v>
      </c>
      <c r="G47">
        <v>1</v>
      </c>
      <c r="H47">
        <v>2</v>
      </c>
      <c r="I47" t="s">
        <v>1353</v>
      </c>
      <c r="J47" t="s">
        <v>1354</v>
      </c>
      <c r="K47" t="s">
        <v>1355</v>
      </c>
      <c r="L47">
        <v>1368</v>
      </c>
      <c r="N47">
        <v>1011</v>
      </c>
      <c r="O47" t="s">
        <v>1298</v>
      </c>
      <c r="P47" t="s">
        <v>1298</v>
      </c>
      <c r="Q47">
        <v>1</v>
      </c>
      <c r="W47">
        <v>0</v>
      </c>
      <c r="X47">
        <v>1323835807</v>
      </c>
      <c r="Y47">
        <v>1.4209999999999998</v>
      </c>
      <c r="AA47">
        <v>0</v>
      </c>
      <c r="AB47">
        <v>80.75</v>
      </c>
      <c r="AC47">
        <v>0</v>
      </c>
      <c r="AD47">
        <v>0</v>
      </c>
      <c r="AE47">
        <v>0</v>
      </c>
      <c r="AF47">
        <v>12.31</v>
      </c>
      <c r="AG47">
        <v>0</v>
      </c>
      <c r="AH47">
        <v>0</v>
      </c>
      <c r="AI47">
        <v>1</v>
      </c>
      <c r="AJ47">
        <v>6.56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2.0299999999999998</v>
      </c>
      <c r="AU47" t="s">
        <v>120</v>
      </c>
      <c r="AV47">
        <v>0</v>
      </c>
      <c r="AW47">
        <v>2</v>
      </c>
      <c r="AX47">
        <v>16748835</v>
      </c>
      <c r="AY47">
        <v>1</v>
      </c>
      <c r="AZ47">
        <v>0</v>
      </c>
      <c r="BA47">
        <v>52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Y47*Source!I48</f>
        <v>0.56839999999999991</v>
      </c>
      <c r="CY47">
        <f>AB47</f>
        <v>80.75</v>
      </c>
      <c r="CZ47">
        <f>AF47</f>
        <v>12.31</v>
      </c>
      <c r="DA47">
        <f>AJ47</f>
        <v>6.56</v>
      </c>
      <c r="DB47">
        <f>ROUND((ROUND(AT47*CZ47,2)*0.7),2)</f>
        <v>17.489999999999998</v>
      </c>
      <c r="DC47">
        <f>ROUND((ROUND(AT47*AG47,2)*0.7),2)</f>
        <v>0</v>
      </c>
    </row>
    <row r="48" spans="1:107" x14ac:dyDescent="0.2">
      <c r="A48">
        <f>ROW(Source!A48)</f>
        <v>48</v>
      </c>
      <c r="B48">
        <v>16742901</v>
      </c>
      <c r="C48">
        <v>16748828</v>
      </c>
      <c r="D48">
        <v>15165653</v>
      </c>
      <c r="E48">
        <v>1</v>
      </c>
      <c r="F48">
        <v>1</v>
      </c>
      <c r="G48">
        <v>1</v>
      </c>
      <c r="H48">
        <v>3</v>
      </c>
      <c r="I48" t="s">
        <v>1356</v>
      </c>
      <c r="J48" t="s">
        <v>1357</v>
      </c>
      <c r="K48" t="s">
        <v>1358</v>
      </c>
      <c r="L48">
        <v>1339</v>
      </c>
      <c r="N48">
        <v>1007</v>
      </c>
      <c r="O48" t="s">
        <v>301</v>
      </c>
      <c r="P48" t="s">
        <v>301</v>
      </c>
      <c r="Q48">
        <v>1</v>
      </c>
      <c r="W48">
        <v>0</v>
      </c>
      <c r="X48">
        <v>1262771840</v>
      </c>
      <c r="Y48">
        <v>0</v>
      </c>
      <c r="AA48">
        <v>40.799999999999997</v>
      </c>
      <c r="AB48">
        <v>0</v>
      </c>
      <c r="AC48">
        <v>0</v>
      </c>
      <c r="AD48">
        <v>0</v>
      </c>
      <c r="AE48">
        <v>6.22</v>
      </c>
      <c r="AF48">
        <v>0</v>
      </c>
      <c r="AG48">
        <v>0</v>
      </c>
      <c r="AH48">
        <v>0</v>
      </c>
      <c r="AI48">
        <v>6.56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1.5</v>
      </c>
      <c r="AU48" t="s">
        <v>48</v>
      </c>
      <c r="AV48">
        <v>0</v>
      </c>
      <c r="AW48">
        <v>2</v>
      </c>
      <c r="AX48">
        <v>16748836</v>
      </c>
      <c r="AY48">
        <v>1</v>
      </c>
      <c r="AZ48">
        <v>0</v>
      </c>
      <c r="BA48">
        <v>53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Y48*Source!I48</f>
        <v>0</v>
      </c>
      <c r="CY48">
        <f t="shared" ref="CY48:CY58" si="4">AA48</f>
        <v>40.799999999999997</v>
      </c>
      <c r="CZ48">
        <f t="shared" ref="CZ48:CZ58" si="5">AE48</f>
        <v>6.22</v>
      </c>
      <c r="DA48">
        <f t="shared" ref="DA48:DA58" si="6">AI48</f>
        <v>6.56</v>
      </c>
      <c r="DB48">
        <f t="shared" ref="DB48:DB58" si="7">ROUND((ROUND(AT48*CZ48,2)*0),2)</f>
        <v>0</v>
      </c>
      <c r="DC48">
        <f t="shared" ref="DC48:DC58" si="8">ROUND((ROUND(AT48*AG48,2)*0),2)</f>
        <v>0</v>
      </c>
    </row>
    <row r="49" spans="1:107" x14ac:dyDescent="0.2">
      <c r="A49">
        <f>ROW(Source!A48)</f>
        <v>48</v>
      </c>
      <c r="B49">
        <v>16742901</v>
      </c>
      <c r="C49">
        <v>16748828</v>
      </c>
      <c r="D49">
        <v>15165660</v>
      </c>
      <c r="E49">
        <v>1</v>
      </c>
      <c r="F49">
        <v>1</v>
      </c>
      <c r="G49">
        <v>1</v>
      </c>
      <c r="H49">
        <v>3</v>
      </c>
      <c r="I49" t="s">
        <v>1359</v>
      </c>
      <c r="J49" t="s">
        <v>1360</v>
      </c>
      <c r="K49" t="s">
        <v>1361</v>
      </c>
      <c r="L49">
        <v>1346</v>
      </c>
      <c r="N49">
        <v>1009</v>
      </c>
      <c r="O49" t="s">
        <v>341</v>
      </c>
      <c r="P49" t="s">
        <v>341</v>
      </c>
      <c r="Q49">
        <v>1</v>
      </c>
      <c r="W49">
        <v>0</v>
      </c>
      <c r="X49">
        <v>1721895514</v>
      </c>
      <c r="Y49">
        <v>0</v>
      </c>
      <c r="AA49">
        <v>39.950000000000003</v>
      </c>
      <c r="AB49">
        <v>0</v>
      </c>
      <c r="AC49">
        <v>0</v>
      </c>
      <c r="AD49">
        <v>0</v>
      </c>
      <c r="AE49">
        <v>6.09</v>
      </c>
      <c r="AF49">
        <v>0</v>
      </c>
      <c r="AG49">
        <v>0</v>
      </c>
      <c r="AH49">
        <v>0</v>
      </c>
      <c r="AI49">
        <v>6.56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0.45</v>
      </c>
      <c r="AU49" t="s">
        <v>48</v>
      </c>
      <c r="AV49">
        <v>0</v>
      </c>
      <c r="AW49">
        <v>2</v>
      </c>
      <c r="AX49">
        <v>16748837</v>
      </c>
      <c r="AY49">
        <v>1</v>
      </c>
      <c r="AZ49">
        <v>0</v>
      </c>
      <c r="BA49">
        <v>54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Y49*Source!I48</f>
        <v>0</v>
      </c>
      <c r="CY49">
        <f t="shared" si="4"/>
        <v>39.950000000000003</v>
      </c>
      <c r="CZ49">
        <f t="shared" si="5"/>
        <v>6.09</v>
      </c>
      <c r="DA49">
        <f t="shared" si="6"/>
        <v>6.56</v>
      </c>
      <c r="DB49">
        <f t="shared" si="7"/>
        <v>0</v>
      </c>
      <c r="DC49">
        <f t="shared" si="8"/>
        <v>0</v>
      </c>
    </row>
    <row r="50" spans="1:107" x14ac:dyDescent="0.2">
      <c r="A50">
        <f>ROW(Source!A48)</f>
        <v>48</v>
      </c>
      <c r="B50">
        <v>16742901</v>
      </c>
      <c r="C50">
        <v>16748828</v>
      </c>
      <c r="D50">
        <v>15168753</v>
      </c>
      <c r="E50">
        <v>1</v>
      </c>
      <c r="F50">
        <v>1</v>
      </c>
      <c r="G50">
        <v>1</v>
      </c>
      <c r="H50">
        <v>3</v>
      </c>
      <c r="I50" t="s">
        <v>1362</v>
      </c>
      <c r="J50" t="s">
        <v>1363</v>
      </c>
      <c r="K50" t="s">
        <v>1364</v>
      </c>
      <c r="L50">
        <v>1348</v>
      </c>
      <c r="N50">
        <v>1009</v>
      </c>
      <c r="O50" t="s">
        <v>100</v>
      </c>
      <c r="P50" t="s">
        <v>100</v>
      </c>
      <c r="Q50">
        <v>1000</v>
      </c>
      <c r="W50">
        <v>0</v>
      </c>
      <c r="X50">
        <v>1225357214</v>
      </c>
      <c r="Y50">
        <v>0</v>
      </c>
      <c r="AA50">
        <v>70513.440000000002</v>
      </c>
      <c r="AB50">
        <v>0</v>
      </c>
      <c r="AC50">
        <v>0</v>
      </c>
      <c r="AD50">
        <v>0</v>
      </c>
      <c r="AE50">
        <v>10749</v>
      </c>
      <c r="AF50">
        <v>0</v>
      </c>
      <c r="AG50">
        <v>0</v>
      </c>
      <c r="AH50">
        <v>0</v>
      </c>
      <c r="AI50">
        <v>6.56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1.4E-3</v>
      </c>
      <c r="AU50" t="s">
        <v>48</v>
      </c>
      <c r="AV50">
        <v>0</v>
      </c>
      <c r="AW50">
        <v>2</v>
      </c>
      <c r="AX50">
        <v>16748838</v>
      </c>
      <c r="AY50">
        <v>1</v>
      </c>
      <c r="AZ50">
        <v>0</v>
      </c>
      <c r="BA50">
        <v>55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Y50*Source!I48</f>
        <v>0</v>
      </c>
      <c r="CY50">
        <f t="shared" si="4"/>
        <v>70513.440000000002</v>
      </c>
      <c r="CZ50">
        <f t="shared" si="5"/>
        <v>10749</v>
      </c>
      <c r="DA50">
        <f t="shared" si="6"/>
        <v>6.56</v>
      </c>
      <c r="DB50">
        <f t="shared" si="7"/>
        <v>0</v>
      </c>
      <c r="DC50">
        <f t="shared" si="8"/>
        <v>0</v>
      </c>
    </row>
    <row r="51" spans="1:107" x14ac:dyDescent="0.2">
      <c r="A51">
        <f>ROW(Source!A48)</f>
        <v>48</v>
      </c>
      <c r="B51">
        <v>16742901</v>
      </c>
      <c r="C51">
        <v>16748828</v>
      </c>
      <c r="D51">
        <v>15169941</v>
      </c>
      <c r="E51">
        <v>1</v>
      </c>
      <c r="F51">
        <v>1</v>
      </c>
      <c r="G51">
        <v>1</v>
      </c>
      <c r="H51">
        <v>3</v>
      </c>
      <c r="I51" t="s">
        <v>1308</v>
      </c>
      <c r="J51" t="s">
        <v>1309</v>
      </c>
      <c r="K51" t="s">
        <v>1310</v>
      </c>
      <c r="L51">
        <v>1348</v>
      </c>
      <c r="N51">
        <v>1009</v>
      </c>
      <c r="O51" t="s">
        <v>100</v>
      </c>
      <c r="P51" t="s">
        <v>100</v>
      </c>
      <c r="Q51">
        <v>1000</v>
      </c>
      <c r="W51">
        <v>0</v>
      </c>
      <c r="X51">
        <v>-437906794</v>
      </c>
      <c r="Y51">
        <v>0</v>
      </c>
      <c r="AA51">
        <v>59302.47</v>
      </c>
      <c r="AB51">
        <v>0</v>
      </c>
      <c r="AC51">
        <v>0</v>
      </c>
      <c r="AD51">
        <v>0</v>
      </c>
      <c r="AE51">
        <v>9040.01</v>
      </c>
      <c r="AF51">
        <v>0</v>
      </c>
      <c r="AG51">
        <v>0</v>
      </c>
      <c r="AH51">
        <v>0</v>
      </c>
      <c r="AI51">
        <v>6.56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3.3E-3</v>
      </c>
      <c r="AU51" t="s">
        <v>48</v>
      </c>
      <c r="AV51">
        <v>0</v>
      </c>
      <c r="AW51">
        <v>2</v>
      </c>
      <c r="AX51">
        <v>16748839</v>
      </c>
      <c r="AY51">
        <v>1</v>
      </c>
      <c r="AZ51">
        <v>0</v>
      </c>
      <c r="BA51">
        <v>56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Y51*Source!I48</f>
        <v>0</v>
      </c>
      <c r="CY51">
        <f t="shared" si="4"/>
        <v>59302.47</v>
      </c>
      <c r="CZ51">
        <f t="shared" si="5"/>
        <v>9040.01</v>
      </c>
      <c r="DA51">
        <f t="shared" si="6"/>
        <v>6.56</v>
      </c>
      <c r="DB51">
        <f t="shared" si="7"/>
        <v>0</v>
      </c>
      <c r="DC51">
        <f t="shared" si="8"/>
        <v>0</v>
      </c>
    </row>
    <row r="52" spans="1:107" x14ac:dyDescent="0.2">
      <c r="A52">
        <f>ROW(Source!A48)</f>
        <v>48</v>
      </c>
      <c r="B52">
        <v>16742901</v>
      </c>
      <c r="C52">
        <v>16748828</v>
      </c>
      <c r="D52">
        <v>15170039</v>
      </c>
      <c r="E52">
        <v>1</v>
      </c>
      <c r="F52">
        <v>1</v>
      </c>
      <c r="G52">
        <v>1</v>
      </c>
      <c r="H52">
        <v>3</v>
      </c>
      <c r="I52" t="s">
        <v>1365</v>
      </c>
      <c r="J52" t="s">
        <v>1366</v>
      </c>
      <c r="K52" t="s">
        <v>1367</v>
      </c>
      <c r="L52">
        <v>1348</v>
      </c>
      <c r="N52">
        <v>1009</v>
      </c>
      <c r="O52" t="s">
        <v>100</v>
      </c>
      <c r="P52" t="s">
        <v>100</v>
      </c>
      <c r="Q52">
        <v>1000</v>
      </c>
      <c r="W52">
        <v>0</v>
      </c>
      <c r="X52">
        <v>1174701286</v>
      </c>
      <c r="Y52">
        <v>0</v>
      </c>
      <c r="AA52">
        <v>78575.679999999993</v>
      </c>
      <c r="AB52">
        <v>0</v>
      </c>
      <c r="AC52">
        <v>0</v>
      </c>
      <c r="AD52">
        <v>0</v>
      </c>
      <c r="AE52">
        <v>11978</v>
      </c>
      <c r="AF52">
        <v>0</v>
      </c>
      <c r="AG52">
        <v>0</v>
      </c>
      <c r="AH52">
        <v>0</v>
      </c>
      <c r="AI52">
        <v>6.56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1.0000000000000001E-5</v>
      </c>
      <c r="AU52" t="s">
        <v>48</v>
      </c>
      <c r="AV52">
        <v>0</v>
      </c>
      <c r="AW52">
        <v>2</v>
      </c>
      <c r="AX52">
        <v>16748840</v>
      </c>
      <c r="AY52">
        <v>1</v>
      </c>
      <c r="AZ52">
        <v>0</v>
      </c>
      <c r="BA52">
        <v>57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Y52*Source!I48</f>
        <v>0</v>
      </c>
      <c r="CY52">
        <f t="shared" si="4"/>
        <v>78575.679999999993</v>
      </c>
      <c r="CZ52">
        <f t="shared" si="5"/>
        <v>11978</v>
      </c>
      <c r="DA52">
        <f t="shared" si="6"/>
        <v>6.56</v>
      </c>
      <c r="DB52">
        <f t="shared" si="7"/>
        <v>0</v>
      </c>
      <c r="DC52">
        <f t="shared" si="8"/>
        <v>0</v>
      </c>
    </row>
    <row r="53" spans="1:107" x14ac:dyDescent="0.2">
      <c r="A53">
        <f>ROW(Source!A48)</f>
        <v>48</v>
      </c>
      <c r="B53">
        <v>16742901</v>
      </c>
      <c r="C53">
        <v>16748828</v>
      </c>
      <c r="D53">
        <v>15171021</v>
      </c>
      <c r="E53">
        <v>1</v>
      </c>
      <c r="F53">
        <v>1</v>
      </c>
      <c r="G53">
        <v>1</v>
      </c>
      <c r="H53">
        <v>3</v>
      </c>
      <c r="I53" t="s">
        <v>1368</v>
      </c>
      <c r="J53" t="s">
        <v>1369</v>
      </c>
      <c r="K53" t="s">
        <v>1370</v>
      </c>
      <c r="L53">
        <v>1348</v>
      </c>
      <c r="N53">
        <v>1009</v>
      </c>
      <c r="O53" t="s">
        <v>100</v>
      </c>
      <c r="P53" t="s">
        <v>100</v>
      </c>
      <c r="Q53">
        <v>1000</v>
      </c>
      <c r="W53">
        <v>0</v>
      </c>
      <c r="X53">
        <v>-2116243625</v>
      </c>
      <c r="Y53">
        <v>0</v>
      </c>
      <c r="AA53">
        <v>248624</v>
      </c>
      <c r="AB53">
        <v>0</v>
      </c>
      <c r="AC53">
        <v>0</v>
      </c>
      <c r="AD53">
        <v>0</v>
      </c>
      <c r="AE53">
        <v>37900</v>
      </c>
      <c r="AF53">
        <v>0</v>
      </c>
      <c r="AG53">
        <v>0</v>
      </c>
      <c r="AH53">
        <v>0</v>
      </c>
      <c r="AI53">
        <v>6.56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1E-4</v>
      </c>
      <c r="AU53" t="s">
        <v>48</v>
      </c>
      <c r="AV53">
        <v>0</v>
      </c>
      <c r="AW53">
        <v>2</v>
      </c>
      <c r="AX53">
        <v>16748841</v>
      </c>
      <c r="AY53">
        <v>1</v>
      </c>
      <c r="AZ53">
        <v>0</v>
      </c>
      <c r="BA53">
        <v>58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Y53*Source!I48</f>
        <v>0</v>
      </c>
      <c r="CY53">
        <f t="shared" si="4"/>
        <v>248624</v>
      </c>
      <c r="CZ53">
        <f t="shared" si="5"/>
        <v>37900</v>
      </c>
      <c r="DA53">
        <f t="shared" si="6"/>
        <v>6.56</v>
      </c>
      <c r="DB53">
        <f t="shared" si="7"/>
        <v>0</v>
      </c>
      <c r="DC53">
        <f t="shared" si="8"/>
        <v>0</v>
      </c>
    </row>
    <row r="54" spans="1:107" x14ac:dyDescent="0.2">
      <c r="A54">
        <f>ROW(Source!A48)</f>
        <v>48</v>
      </c>
      <c r="B54">
        <v>16742901</v>
      </c>
      <c r="C54">
        <v>16748828</v>
      </c>
      <c r="D54">
        <v>15190794</v>
      </c>
      <c r="E54">
        <v>1</v>
      </c>
      <c r="F54">
        <v>1</v>
      </c>
      <c r="G54">
        <v>1</v>
      </c>
      <c r="H54">
        <v>3</v>
      </c>
      <c r="I54" t="s">
        <v>1371</v>
      </c>
      <c r="J54" t="s">
        <v>1372</v>
      </c>
      <c r="K54" t="s">
        <v>1373</v>
      </c>
      <c r="L54">
        <v>1302</v>
      </c>
      <c r="N54">
        <v>1003</v>
      </c>
      <c r="O54" t="s">
        <v>740</v>
      </c>
      <c r="P54" t="s">
        <v>740</v>
      </c>
      <c r="Q54">
        <v>10</v>
      </c>
      <c r="W54">
        <v>0</v>
      </c>
      <c r="X54">
        <v>-1640127157</v>
      </c>
      <c r="Y54">
        <v>0</v>
      </c>
      <c r="AA54">
        <v>329.57</v>
      </c>
      <c r="AB54">
        <v>0</v>
      </c>
      <c r="AC54">
        <v>0</v>
      </c>
      <c r="AD54">
        <v>0</v>
      </c>
      <c r="AE54">
        <v>50.24</v>
      </c>
      <c r="AF54">
        <v>0</v>
      </c>
      <c r="AG54">
        <v>0</v>
      </c>
      <c r="AH54">
        <v>0</v>
      </c>
      <c r="AI54">
        <v>6.56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1.8700000000000001E-2</v>
      </c>
      <c r="AU54" t="s">
        <v>48</v>
      </c>
      <c r="AV54">
        <v>0</v>
      </c>
      <c r="AW54">
        <v>2</v>
      </c>
      <c r="AX54">
        <v>16748843</v>
      </c>
      <c r="AY54">
        <v>1</v>
      </c>
      <c r="AZ54">
        <v>0</v>
      </c>
      <c r="BA54">
        <v>60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Y54*Source!I48</f>
        <v>0</v>
      </c>
      <c r="CY54">
        <f t="shared" si="4"/>
        <v>329.57</v>
      </c>
      <c r="CZ54">
        <f t="shared" si="5"/>
        <v>50.24</v>
      </c>
      <c r="DA54">
        <f t="shared" si="6"/>
        <v>6.56</v>
      </c>
      <c r="DB54">
        <f t="shared" si="7"/>
        <v>0</v>
      </c>
      <c r="DC54">
        <f t="shared" si="8"/>
        <v>0</v>
      </c>
    </row>
    <row r="55" spans="1:107" x14ac:dyDescent="0.2">
      <c r="A55">
        <f>ROW(Source!A48)</f>
        <v>48</v>
      </c>
      <c r="B55">
        <v>16742901</v>
      </c>
      <c r="C55">
        <v>16748828</v>
      </c>
      <c r="D55">
        <v>15191153</v>
      </c>
      <c r="E55">
        <v>1</v>
      </c>
      <c r="F55">
        <v>1</v>
      </c>
      <c r="G55">
        <v>1</v>
      </c>
      <c r="H55">
        <v>3</v>
      </c>
      <c r="I55" t="s">
        <v>1374</v>
      </c>
      <c r="J55" t="s">
        <v>1375</v>
      </c>
      <c r="K55" t="s">
        <v>1376</v>
      </c>
      <c r="L55">
        <v>1348</v>
      </c>
      <c r="N55">
        <v>1009</v>
      </c>
      <c r="O55" t="s">
        <v>100</v>
      </c>
      <c r="P55" t="s">
        <v>100</v>
      </c>
      <c r="Q55">
        <v>1000</v>
      </c>
      <c r="W55">
        <v>0</v>
      </c>
      <c r="X55">
        <v>-1396314973</v>
      </c>
      <c r="Y55">
        <v>0</v>
      </c>
      <c r="AA55">
        <v>29226.11</v>
      </c>
      <c r="AB55">
        <v>0</v>
      </c>
      <c r="AC55">
        <v>0</v>
      </c>
      <c r="AD55">
        <v>0</v>
      </c>
      <c r="AE55">
        <v>4455.2</v>
      </c>
      <c r="AF55">
        <v>0</v>
      </c>
      <c r="AG55">
        <v>0</v>
      </c>
      <c r="AH55">
        <v>0</v>
      </c>
      <c r="AI55">
        <v>6.56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3.0000000000000001E-5</v>
      </c>
      <c r="AU55" t="s">
        <v>48</v>
      </c>
      <c r="AV55">
        <v>0</v>
      </c>
      <c r="AW55">
        <v>2</v>
      </c>
      <c r="AX55">
        <v>16748844</v>
      </c>
      <c r="AY55">
        <v>1</v>
      </c>
      <c r="AZ55">
        <v>0</v>
      </c>
      <c r="BA55">
        <v>61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Y55*Source!I48</f>
        <v>0</v>
      </c>
      <c r="CY55">
        <f t="shared" si="4"/>
        <v>29226.11</v>
      </c>
      <c r="CZ55">
        <f t="shared" si="5"/>
        <v>4455.2</v>
      </c>
      <c r="DA55">
        <f t="shared" si="6"/>
        <v>6.56</v>
      </c>
      <c r="DB55">
        <f t="shared" si="7"/>
        <v>0</v>
      </c>
      <c r="DC55">
        <f t="shared" si="8"/>
        <v>0</v>
      </c>
    </row>
    <row r="56" spans="1:107" x14ac:dyDescent="0.2">
      <c r="A56">
        <f>ROW(Source!A48)</f>
        <v>48</v>
      </c>
      <c r="B56">
        <v>16742901</v>
      </c>
      <c r="C56">
        <v>16748828</v>
      </c>
      <c r="D56">
        <v>15191913</v>
      </c>
      <c r="E56">
        <v>1</v>
      </c>
      <c r="F56">
        <v>1</v>
      </c>
      <c r="G56">
        <v>1</v>
      </c>
      <c r="H56">
        <v>3</v>
      </c>
      <c r="I56" t="s">
        <v>1377</v>
      </c>
      <c r="J56" t="s">
        <v>1378</v>
      </c>
      <c r="K56" t="s">
        <v>1379</v>
      </c>
      <c r="L56">
        <v>1348</v>
      </c>
      <c r="N56">
        <v>1009</v>
      </c>
      <c r="O56" t="s">
        <v>100</v>
      </c>
      <c r="P56" t="s">
        <v>100</v>
      </c>
      <c r="Q56">
        <v>1000</v>
      </c>
      <c r="W56">
        <v>0</v>
      </c>
      <c r="X56">
        <v>900832145</v>
      </c>
      <c r="Y56">
        <v>0</v>
      </c>
      <c r="AA56">
        <v>32275.200000000001</v>
      </c>
      <c r="AB56">
        <v>0</v>
      </c>
      <c r="AC56">
        <v>0</v>
      </c>
      <c r="AD56">
        <v>0</v>
      </c>
      <c r="AE56">
        <v>4920</v>
      </c>
      <c r="AF56">
        <v>0</v>
      </c>
      <c r="AG56">
        <v>0</v>
      </c>
      <c r="AH56">
        <v>0</v>
      </c>
      <c r="AI56">
        <v>6.56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1.9400000000000001E-3</v>
      </c>
      <c r="AU56" t="s">
        <v>48</v>
      </c>
      <c r="AV56">
        <v>0</v>
      </c>
      <c r="AW56">
        <v>2</v>
      </c>
      <c r="AX56">
        <v>16748845</v>
      </c>
      <c r="AY56">
        <v>1</v>
      </c>
      <c r="AZ56">
        <v>0</v>
      </c>
      <c r="BA56">
        <v>62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Y56*Source!I48</f>
        <v>0</v>
      </c>
      <c r="CY56">
        <f t="shared" si="4"/>
        <v>32275.200000000001</v>
      </c>
      <c r="CZ56">
        <f t="shared" si="5"/>
        <v>4920</v>
      </c>
      <c r="DA56">
        <f t="shared" si="6"/>
        <v>6.56</v>
      </c>
      <c r="DB56">
        <f t="shared" si="7"/>
        <v>0</v>
      </c>
      <c r="DC56">
        <f t="shared" si="8"/>
        <v>0</v>
      </c>
    </row>
    <row r="57" spans="1:107" x14ac:dyDescent="0.2">
      <c r="A57">
        <f>ROW(Source!A48)</f>
        <v>48</v>
      </c>
      <c r="B57">
        <v>16742901</v>
      </c>
      <c r="C57">
        <v>16748828</v>
      </c>
      <c r="D57">
        <v>15203461</v>
      </c>
      <c r="E57">
        <v>1</v>
      </c>
      <c r="F57">
        <v>1</v>
      </c>
      <c r="G57">
        <v>1</v>
      </c>
      <c r="H57">
        <v>3</v>
      </c>
      <c r="I57" t="s">
        <v>1380</v>
      </c>
      <c r="J57" t="s">
        <v>1381</v>
      </c>
      <c r="K57" t="s">
        <v>1382</v>
      </c>
      <c r="L57">
        <v>1348</v>
      </c>
      <c r="N57">
        <v>1009</v>
      </c>
      <c r="O57" t="s">
        <v>100</v>
      </c>
      <c r="P57" t="s">
        <v>100</v>
      </c>
      <c r="Q57">
        <v>1000</v>
      </c>
      <c r="W57">
        <v>0</v>
      </c>
      <c r="X57">
        <v>-1655298345</v>
      </c>
      <c r="Y57">
        <v>0</v>
      </c>
      <c r="AA57">
        <v>102467.2</v>
      </c>
      <c r="AB57">
        <v>0</v>
      </c>
      <c r="AC57">
        <v>0</v>
      </c>
      <c r="AD57">
        <v>0</v>
      </c>
      <c r="AE57">
        <v>15620</v>
      </c>
      <c r="AF57">
        <v>0</v>
      </c>
      <c r="AG57">
        <v>0</v>
      </c>
      <c r="AH57">
        <v>0</v>
      </c>
      <c r="AI57">
        <v>6.56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3.1E-4</v>
      </c>
      <c r="AU57" t="s">
        <v>48</v>
      </c>
      <c r="AV57">
        <v>0</v>
      </c>
      <c r="AW57">
        <v>2</v>
      </c>
      <c r="AX57">
        <v>16748846</v>
      </c>
      <c r="AY57">
        <v>1</v>
      </c>
      <c r="AZ57">
        <v>0</v>
      </c>
      <c r="BA57">
        <v>63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Y57*Source!I48</f>
        <v>0</v>
      </c>
      <c r="CY57">
        <f t="shared" si="4"/>
        <v>102467.2</v>
      </c>
      <c r="CZ57">
        <f t="shared" si="5"/>
        <v>15620</v>
      </c>
      <c r="DA57">
        <f t="shared" si="6"/>
        <v>6.56</v>
      </c>
      <c r="DB57">
        <f t="shared" si="7"/>
        <v>0</v>
      </c>
      <c r="DC57">
        <f t="shared" si="8"/>
        <v>0</v>
      </c>
    </row>
    <row r="58" spans="1:107" x14ac:dyDescent="0.2">
      <c r="A58">
        <f>ROW(Source!A48)</f>
        <v>48</v>
      </c>
      <c r="B58">
        <v>16742901</v>
      </c>
      <c r="C58">
        <v>16748828</v>
      </c>
      <c r="D58">
        <v>15204663</v>
      </c>
      <c r="E58">
        <v>1</v>
      </c>
      <c r="F58">
        <v>1</v>
      </c>
      <c r="G58">
        <v>1</v>
      </c>
      <c r="H58">
        <v>3</v>
      </c>
      <c r="I58" t="s">
        <v>1383</v>
      </c>
      <c r="J58" t="s">
        <v>1384</v>
      </c>
      <c r="K58" t="s">
        <v>1385</v>
      </c>
      <c r="L58">
        <v>1348</v>
      </c>
      <c r="N58">
        <v>1009</v>
      </c>
      <c r="O58" t="s">
        <v>100</v>
      </c>
      <c r="P58" t="s">
        <v>100</v>
      </c>
      <c r="Q58">
        <v>1000</v>
      </c>
      <c r="W58">
        <v>0</v>
      </c>
      <c r="X58">
        <v>-639604785</v>
      </c>
      <c r="Y58">
        <v>0</v>
      </c>
      <c r="AA58">
        <v>61795.199999999997</v>
      </c>
      <c r="AB58">
        <v>0</v>
      </c>
      <c r="AC58">
        <v>0</v>
      </c>
      <c r="AD58">
        <v>0</v>
      </c>
      <c r="AE58">
        <v>9420</v>
      </c>
      <c r="AF58">
        <v>0</v>
      </c>
      <c r="AG58">
        <v>0</v>
      </c>
      <c r="AH58">
        <v>0</v>
      </c>
      <c r="AI58">
        <v>6.56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5.9999999999999995E-4</v>
      </c>
      <c r="AU58" t="s">
        <v>48</v>
      </c>
      <c r="AV58">
        <v>0</v>
      </c>
      <c r="AW58">
        <v>2</v>
      </c>
      <c r="AX58">
        <v>16748847</v>
      </c>
      <c r="AY58">
        <v>1</v>
      </c>
      <c r="AZ58">
        <v>0</v>
      </c>
      <c r="BA58">
        <v>64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Y58*Source!I48</f>
        <v>0</v>
      </c>
      <c r="CY58">
        <f t="shared" si="4"/>
        <v>61795.199999999997</v>
      </c>
      <c r="CZ58">
        <f t="shared" si="5"/>
        <v>9420</v>
      </c>
      <c r="DA58">
        <f t="shared" si="6"/>
        <v>6.56</v>
      </c>
      <c r="DB58">
        <f t="shared" si="7"/>
        <v>0</v>
      </c>
      <c r="DC58">
        <f t="shared" si="8"/>
        <v>0</v>
      </c>
    </row>
    <row r="59" spans="1:107" x14ac:dyDescent="0.2">
      <c r="A59">
        <f>ROW(Source!A49)</f>
        <v>49</v>
      </c>
      <c r="B59">
        <v>16742901</v>
      </c>
      <c r="C59">
        <v>16745230</v>
      </c>
      <c r="D59">
        <v>15435487</v>
      </c>
      <c r="E59">
        <v>1</v>
      </c>
      <c r="F59">
        <v>1</v>
      </c>
      <c r="G59">
        <v>1</v>
      </c>
      <c r="H59">
        <v>1</v>
      </c>
      <c r="I59" t="s">
        <v>1386</v>
      </c>
      <c r="J59" t="s">
        <v>6</v>
      </c>
      <c r="K59" t="s">
        <v>1387</v>
      </c>
      <c r="L59">
        <v>1191</v>
      </c>
      <c r="N59">
        <v>1013</v>
      </c>
      <c r="O59" t="s">
        <v>1287</v>
      </c>
      <c r="P59" t="s">
        <v>1287</v>
      </c>
      <c r="Q59">
        <v>1</v>
      </c>
      <c r="W59">
        <v>0</v>
      </c>
      <c r="X59">
        <v>-200730820</v>
      </c>
      <c r="Y59">
        <v>13.25</v>
      </c>
      <c r="AA59">
        <v>0</v>
      </c>
      <c r="AB59">
        <v>0</v>
      </c>
      <c r="AC59">
        <v>0</v>
      </c>
      <c r="AD59">
        <v>54.97</v>
      </c>
      <c r="AE59">
        <v>0</v>
      </c>
      <c r="AF59">
        <v>0</v>
      </c>
      <c r="AG59">
        <v>0</v>
      </c>
      <c r="AH59">
        <v>8.3800000000000008</v>
      </c>
      <c r="AI59">
        <v>1</v>
      </c>
      <c r="AJ59">
        <v>1</v>
      </c>
      <c r="AK59">
        <v>1</v>
      </c>
      <c r="AL59">
        <v>6.56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13.25</v>
      </c>
      <c r="AU59" t="s">
        <v>6</v>
      </c>
      <c r="AV59">
        <v>1</v>
      </c>
      <c r="AW59">
        <v>2</v>
      </c>
      <c r="AX59">
        <v>16745232</v>
      </c>
      <c r="AY59">
        <v>1</v>
      </c>
      <c r="AZ59">
        <v>0</v>
      </c>
      <c r="BA59">
        <v>65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Y59*Source!I49</f>
        <v>5.3000000000000007</v>
      </c>
      <c r="CY59">
        <f>AD59</f>
        <v>54.97</v>
      </c>
      <c r="CZ59">
        <f>AH59</f>
        <v>8.3800000000000008</v>
      </c>
      <c r="DA59">
        <f>AL59</f>
        <v>6.56</v>
      </c>
      <c r="DB59">
        <f>ROUND(ROUND(AT59*CZ59,2),2)</f>
        <v>111.04</v>
      </c>
      <c r="DC59">
        <f>ROUND(ROUND(AT59*AG59,2),2)</f>
        <v>0</v>
      </c>
    </row>
    <row r="60" spans="1:107" x14ac:dyDescent="0.2">
      <c r="A60">
        <f>ROW(Source!A84)</f>
        <v>84</v>
      </c>
      <c r="B60">
        <v>16742901</v>
      </c>
      <c r="C60">
        <v>16745258</v>
      </c>
      <c r="D60">
        <v>15436014</v>
      </c>
      <c r="E60">
        <v>1</v>
      </c>
      <c r="F60">
        <v>1</v>
      </c>
      <c r="G60">
        <v>1</v>
      </c>
      <c r="H60">
        <v>1</v>
      </c>
      <c r="I60" t="s">
        <v>1388</v>
      </c>
      <c r="J60" t="s">
        <v>6</v>
      </c>
      <c r="K60" t="s">
        <v>1389</v>
      </c>
      <c r="L60">
        <v>1191</v>
      </c>
      <c r="N60">
        <v>1013</v>
      </c>
      <c r="O60" t="s">
        <v>1287</v>
      </c>
      <c r="P60" t="s">
        <v>1287</v>
      </c>
      <c r="Q60">
        <v>1</v>
      </c>
      <c r="W60">
        <v>0</v>
      </c>
      <c r="X60">
        <v>-784637506</v>
      </c>
      <c r="Y60">
        <v>167.57799999999997</v>
      </c>
      <c r="AA60">
        <v>0</v>
      </c>
      <c r="AB60">
        <v>0</v>
      </c>
      <c r="AC60">
        <v>0</v>
      </c>
      <c r="AD60">
        <v>57.33</v>
      </c>
      <c r="AE60">
        <v>0</v>
      </c>
      <c r="AF60">
        <v>0</v>
      </c>
      <c r="AG60">
        <v>0</v>
      </c>
      <c r="AH60">
        <v>8.74</v>
      </c>
      <c r="AI60">
        <v>1</v>
      </c>
      <c r="AJ60">
        <v>1</v>
      </c>
      <c r="AK60">
        <v>1</v>
      </c>
      <c r="AL60">
        <v>6.56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145.72</v>
      </c>
      <c r="AU60" t="s">
        <v>188</v>
      </c>
      <c r="AV60">
        <v>1</v>
      </c>
      <c r="AW60">
        <v>2</v>
      </c>
      <c r="AX60">
        <v>16745271</v>
      </c>
      <c r="AY60">
        <v>1</v>
      </c>
      <c r="AZ60">
        <v>0</v>
      </c>
      <c r="BA60">
        <v>67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Y60*Source!I84</f>
        <v>59.573978999999987</v>
      </c>
      <c r="CY60">
        <f>AD60</f>
        <v>57.33</v>
      </c>
      <c r="CZ60">
        <f>AH60</f>
        <v>8.74</v>
      </c>
      <c r="DA60">
        <f>AL60</f>
        <v>6.56</v>
      </c>
      <c r="DB60">
        <f>ROUND((ROUND(AT60*CZ60,2)*1.15),2)</f>
        <v>1464.63</v>
      </c>
      <c r="DC60">
        <f>ROUND((ROUND(AT60*AG60,2)*1.15),2)</f>
        <v>0</v>
      </c>
    </row>
    <row r="61" spans="1:107" x14ac:dyDescent="0.2">
      <c r="A61">
        <f>ROW(Source!A84)</f>
        <v>84</v>
      </c>
      <c r="B61">
        <v>16742901</v>
      </c>
      <c r="C61">
        <v>16745258</v>
      </c>
      <c r="D61">
        <v>15430395</v>
      </c>
      <c r="E61">
        <v>1</v>
      </c>
      <c r="F61">
        <v>1</v>
      </c>
      <c r="G61">
        <v>1</v>
      </c>
      <c r="H61">
        <v>1</v>
      </c>
      <c r="I61" t="s">
        <v>1293</v>
      </c>
      <c r="J61" t="s">
        <v>6</v>
      </c>
      <c r="K61" t="s">
        <v>1294</v>
      </c>
      <c r="L61">
        <v>1191</v>
      </c>
      <c r="N61">
        <v>1013</v>
      </c>
      <c r="O61" t="s">
        <v>1287</v>
      </c>
      <c r="P61" t="s">
        <v>1287</v>
      </c>
      <c r="Q61">
        <v>1</v>
      </c>
      <c r="W61">
        <v>0</v>
      </c>
      <c r="X61">
        <v>-1417349443</v>
      </c>
      <c r="Y61">
        <v>4.2300000000000004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6.56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4.2300000000000004</v>
      </c>
      <c r="AU61" t="s">
        <v>6</v>
      </c>
      <c r="AV61">
        <v>2</v>
      </c>
      <c r="AW61">
        <v>2</v>
      </c>
      <c r="AX61">
        <v>16745272</v>
      </c>
      <c r="AY61">
        <v>1</v>
      </c>
      <c r="AZ61">
        <v>2048</v>
      </c>
      <c r="BA61">
        <v>68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Y61*Source!I84</f>
        <v>1.503765</v>
      </c>
      <c r="CY61">
        <f>AD61</f>
        <v>0</v>
      </c>
      <c r="CZ61">
        <f>AH61</f>
        <v>0</v>
      </c>
      <c r="DA61">
        <f>AL61</f>
        <v>1</v>
      </c>
      <c r="DB61">
        <f>ROUND(ROUND(AT61*CZ61,2),2)</f>
        <v>0</v>
      </c>
      <c r="DC61">
        <f>ROUND(ROUND(AT61*AG61,2),2)</f>
        <v>0</v>
      </c>
    </row>
    <row r="62" spans="1:107" x14ac:dyDescent="0.2">
      <c r="A62">
        <f>ROW(Source!A84)</f>
        <v>84</v>
      </c>
      <c r="B62">
        <v>16742901</v>
      </c>
      <c r="C62">
        <v>16745258</v>
      </c>
      <c r="D62">
        <v>15247974</v>
      </c>
      <c r="E62">
        <v>1</v>
      </c>
      <c r="F62">
        <v>1</v>
      </c>
      <c r="G62">
        <v>1</v>
      </c>
      <c r="H62">
        <v>2</v>
      </c>
      <c r="I62" t="s">
        <v>1314</v>
      </c>
      <c r="J62" t="s">
        <v>1315</v>
      </c>
      <c r="K62" t="s">
        <v>1316</v>
      </c>
      <c r="L62">
        <v>1368</v>
      </c>
      <c r="N62">
        <v>1011</v>
      </c>
      <c r="O62" t="s">
        <v>1298</v>
      </c>
      <c r="P62" t="s">
        <v>1298</v>
      </c>
      <c r="Q62">
        <v>1</v>
      </c>
      <c r="W62">
        <v>0</v>
      </c>
      <c r="X62">
        <v>1188625873</v>
      </c>
      <c r="Y62">
        <v>0.82500000000000007</v>
      </c>
      <c r="AA62">
        <v>0</v>
      </c>
      <c r="AB62">
        <v>205.07</v>
      </c>
      <c r="AC62">
        <v>13.5</v>
      </c>
      <c r="AD62">
        <v>0</v>
      </c>
      <c r="AE62">
        <v>0</v>
      </c>
      <c r="AF62">
        <v>31.26</v>
      </c>
      <c r="AG62">
        <v>13.5</v>
      </c>
      <c r="AH62">
        <v>0</v>
      </c>
      <c r="AI62">
        <v>1</v>
      </c>
      <c r="AJ62">
        <v>6.56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0.66</v>
      </c>
      <c r="AU62" t="s">
        <v>187</v>
      </c>
      <c r="AV62">
        <v>0</v>
      </c>
      <c r="AW62">
        <v>2</v>
      </c>
      <c r="AX62">
        <v>16745273</v>
      </c>
      <c r="AY62">
        <v>1</v>
      </c>
      <c r="AZ62">
        <v>0</v>
      </c>
      <c r="BA62">
        <v>69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Y62*Source!I84</f>
        <v>0.29328750000000003</v>
      </c>
      <c r="CY62">
        <f>AB62</f>
        <v>205.07</v>
      </c>
      <c r="CZ62">
        <f>AF62</f>
        <v>31.26</v>
      </c>
      <c r="DA62">
        <f>AJ62</f>
        <v>6.56</v>
      </c>
      <c r="DB62">
        <f>ROUND((ROUND(AT62*CZ62,2)*1.25),2)</f>
        <v>25.79</v>
      </c>
      <c r="DC62">
        <f>ROUND((ROUND(AT62*AG62,2)*1.25),2)</f>
        <v>11.14</v>
      </c>
    </row>
    <row r="63" spans="1:107" x14ac:dyDescent="0.2">
      <c r="A63">
        <f>ROW(Source!A84)</f>
        <v>84</v>
      </c>
      <c r="B63">
        <v>16742901</v>
      </c>
      <c r="C63">
        <v>16745258</v>
      </c>
      <c r="D63">
        <v>15249073</v>
      </c>
      <c r="E63">
        <v>1</v>
      </c>
      <c r="F63">
        <v>1</v>
      </c>
      <c r="G63">
        <v>1</v>
      </c>
      <c r="H63">
        <v>2</v>
      </c>
      <c r="I63" t="s">
        <v>1299</v>
      </c>
      <c r="J63" t="s">
        <v>1300</v>
      </c>
      <c r="K63" t="s">
        <v>1301</v>
      </c>
      <c r="L63">
        <v>1368</v>
      </c>
      <c r="N63">
        <v>1011</v>
      </c>
      <c r="O63" t="s">
        <v>1298</v>
      </c>
      <c r="P63" t="s">
        <v>1298</v>
      </c>
      <c r="Q63">
        <v>1</v>
      </c>
      <c r="W63">
        <v>0</v>
      </c>
      <c r="X63">
        <v>1372534845</v>
      </c>
      <c r="Y63">
        <v>4.4624999999999995</v>
      </c>
      <c r="AA63">
        <v>0</v>
      </c>
      <c r="AB63">
        <v>431.06</v>
      </c>
      <c r="AC63">
        <v>11.6</v>
      </c>
      <c r="AD63">
        <v>0</v>
      </c>
      <c r="AE63">
        <v>0</v>
      </c>
      <c r="AF63">
        <v>65.709999999999994</v>
      </c>
      <c r="AG63">
        <v>11.6</v>
      </c>
      <c r="AH63">
        <v>0</v>
      </c>
      <c r="AI63">
        <v>1</v>
      </c>
      <c r="AJ63">
        <v>6.56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3.57</v>
      </c>
      <c r="AU63" t="s">
        <v>187</v>
      </c>
      <c r="AV63">
        <v>0</v>
      </c>
      <c r="AW63">
        <v>2</v>
      </c>
      <c r="AX63">
        <v>16745274</v>
      </c>
      <c r="AY63">
        <v>1</v>
      </c>
      <c r="AZ63">
        <v>0</v>
      </c>
      <c r="BA63">
        <v>70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Y63*Source!I84</f>
        <v>1.5864187499999998</v>
      </c>
      <c r="CY63">
        <f>AB63</f>
        <v>431.06</v>
      </c>
      <c r="CZ63">
        <f>AF63</f>
        <v>65.709999999999994</v>
      </c>
      <c r="DA63">
        <f>AJ63</f>
        <v>6.56</v>
      </c>
      <c r="DB63">
        <f>ROUND((ROUND(AT63*CZ63,2)*1.25),2)</f>
        <v>293.23</v>
      </c>
      <c r="DC63">
        <f>ROUND((ROUND(AT63*AG63,2)*1.25),2)</f>
        <v>51.76</v>
      </c>
    </row>
    <row r="64" spans="1:107" x14ac:dyDescent="0.2">
      <c r="A64">
        <f>ROW(Source!A84)</f>
        <v>84</v>
      </c>
      <c r="B64">
        <v>16742901</v>
      </c>
      <c r="C64">
        <v>16745258</v>
      </c>
      <c r="D64">
        <v>15167551</v>
      </c>
      <c r="E64">
        <v>1</v>
      </c>
      <c r="F64">
        <v>1</v>
      </c>
      <c r="G64">
        <v>1</v>
      </c>
      <c r="H64">
        <v>3</v>
      </c>
      <c r="I64" t="s">
        <v>1390</v>
      </c>
      <c r="J64" t="s">
        <v>1391</v>
      </c>
      <c r="K64" t="s">
        <v>1392</v>
      </c>
      <c r="L64">
        <v>1301</v>
      </c>
      <c r="N64">
        <v>1003</v>
      </c>
      <c r="O64" t="s">
        <v>220</v>
      </c>
      <c r="P64" t="s">
        <v>220</v>
      </c>
      <c r="Q64">
        <v>1</v>
      </c>
      <c r="W64">
        <v>0</v>
      </c>
      <c r="X64">
        <v>751777312</v>
      </c>
      <c r="Y64">
        <v>244</v>
      </c>
      <c r="AA64">
        <v>41.85</v>
      </c>
      <c r="AB64">
        <v>0</v>
      </c>
      <c r="AC64">
        <v>0</v>
      </c>
      <c r="AD64">
        <v>0</v>
      </c>
      <c r="AE64">
        <v>6.38</v>
      </c>
      <c r="AF64">
        <v>0</v>
      </c>
      <c r="AG64">
        <v>0</v>
      </c>
      <c r="AH64">
        <v>0</v>
      </c>
      <c r="AI64">
        <v>6.56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244</v>
      </c>
      <c r="AU64" t="s">
        <v>6</v>
      </c>
      <c r="AV64">
        <v>0</v>
      </c>
      <c r="AW64">
        <v>2</v>
      </c>
      <c r="AX64">
        <v>16745275</v>
      </c>
      <c r="AY64">
        <v>1</v>
      </c>
      <c r="AZ64">
        <v>0</v>
      </c>
      <c r="BA64">
        <v>71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Y64*Source!I84</f>
        <v>86.74199999999999</v>
      </c>
      <c r="CY64">
        <f t="shared" ref="CY64:CY71" si="9">AA64</f>
        <v>41.85</v>
      </c>
      <c r="CZ64">
        <f t="shared" ref="CZ64:CZ71" si="10">AE64</f>
        <v>6.38</v>
      </c>
      <c r="DA64">
        <f t="shared" ref="DA64:DA71" si="11">AI64</f>
        <v>6.56</v>
      </c>
      <c r="DB64">
        <f t="shared" ref="DB64:DB71" si="12">ROUND(ROUND(AT64*CZ64,2),2)</f>
        <v>1556.72</v>
      </c>
      <c r="DC64">
        <f t="shared" ref="DC64:DC71" si="13">ROUND(ROUND(AT64*AG64,2),2)</f>
        <v>0</v>
      </c>
    </row>
    <row r="65" spans="1:107" x14ac:dyDescent="0.2">
      <c r="A65">
        <f>ROW(Source!A84)</f>
        <v>84</v>
      </c>
      <c r="B65">
        <v>16742901</v>
      </c>
      <c r="C65">
        <v>16745258</v>
      </c>
      <c r="D65">
        <v>15167552</v>
      </c>
      <c r="E65">
        <v>1</v>
      </c>
      <c r="F65">
        <v>1</v>
      </c>
      <c r="G65">
        <v>1</v>
      </c>
      <c r="H65">
        <v>3</v>
      </c>
      <c r="I65" t="s">
        <v>1393</v>
      </c>
      <c r="J65" t="s">
        <v>1394</v>
      </c>
      <c r="K65" t="s">
        <v>1395</v>
      </c>
      <c r="L65">
        <v>1301</v>
      </c>
      <c r="N65">
        <v>1003</v>
      </c>
      <c r="O65" t="s">
        <v>220</v>
      </c>
      <c r="P65" t="s">
        <v>220</v>
      </c>
      <c r="Q65">
        <v>1</v>
      </c>
      <c r="W65">
        <v>0</v>
      </c>
      <c r="X65">
        <v>1744203244</v>
      </c>
      <c r="Y65">
        <v>56</v>
      </c>
      <c r="AA65">
        <v>52.15</v>
      </c>
      <c r="AB65">
        <v>0</v>
      </c>
      <c r="AC65">
        <v>0</v>
      </c>
      <c r="AD65">
        <v>0</v>
      </c>
      <c r="AE65">
        <v>7.95</v>
      </c>
      <c r="AF65">
        <v>0</v>
      </c>
      <c r="AG65">
        <v>0</v>
      </c>
      <c r="AH65">
        <v>0</v>
      </c>
      <c r="AI65">
        <v>6.56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56</v>
      </c>
      <c r="AU65" t="s">
        <v>6</v>
      </c>
      <c r="AV65">
        <v>0</v>
      </c>
      <c r="AW65">
        <v>2</v>
      </c>
      <c r="AX65">
        <v>16745276</v>
      </c>
      <c r="AY65">
        <v>1</v>
      </c>
      <c r="AZ65">
        <v>0</v>
      </c>
      <c r="BA65">
        <v>72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Y65*Source!I84</f>
        <v>19.907999999999998</v>
      </c>
      <c r="CY65">
        <f t="shared" si="9"/>
        <v>52.15</v>
      </c>
      <c r="CZ65">
        <f t="shared" si="10"/>
        <v>7.95</v>
      </c>
      <c r="DA65">
        <f t="shared" si="11"/>
        <v>6.56</v>
      </c>
      <c r="DB65">
        <f t="shared" si="12"/>
        <v>445.2</v>
      </c>
      <c r="DC65">
        <f t="shared" si="13"/>
        <v>0</v>
      </c>
    </row>
    <row r="66" spans="1:107" x14ac:dyDescent="0.2">
      <c r="A66">
        <f>ROW(Source!A84)</f>
        <v>84</v>
      </c>
      <c r="B66">
        <v>16742901</v>
      </c>
      <c r="C66">
        <v>16745258</v>
      </c>
      <c r="D66">
        <v>15167640</v>
      </c>
      <c r="E66">
        <v>1</v>
      </c>
      <c r="F66">
        <v>1</v>
      </c>
      <c r="G66">
        <v>1</v>
      </c>
      <c r="H66">
        <v>3</v>
      </c>
      <c r="I66" t="s">
        <v>1396</v>
      </c>
      <c r="J66" t="s">
        <v>1397</v>
      </c>
      <c r="K66" t="s">
        <v>1398</v>
      </c>
      <c r="L66">
        <v>1302</v>
      </c>
      <c r="N66">
        <v>1003</v>
      </c>
      <c r="O66" t="s">
        <v>740</v>
      </c>
      <c r="P66" t="s">
        <v>740</v>
      </c>
      <c r="Q66">
        <v>10</v>
      </c>
      <c r="W66">
        <v>0</v>
      </c>
      <c r="X66">
        <v>-405326455</v>
      </c>
      <c r="Y66">
        <v>15.6</v>
      </c>
      <c r="AA66">
        <v>420.5</v>
      </c>
      <c r="AB66">
        <v>0</v>
      </c>
      <c r="AC66">
        <v>0</v>
      </c>
      <c r="AD66">
        <v>0</v>
      </c>
      <c r="AE66">
        <v>64.099999999999994</v>
      </c>
      <c r="AF66">
        <v>0</v>
      </c>
      <c r="AG66">
        <v>0</v>
      </c>
      <c r="AH66">
        <v>0</v>
      </c>
      <c r="AI66">
        <v>6.56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15.6</v>
      </c>
      <c r="AU66" t="s">
        <v>6</v>
      </c>
      <c r="AV66">
        <v>0</v>
      </c>
      <c r="AW66">
        <v>2</v>
      </c>
      <c r="AX66">
        <v>16745277</v>
      </c>
      <c r="AY66">
        <v>1</v>
      </c>
      <c r="AZ66">
        <v>0</v>
      </c>
      <c r="BA66">
        <v>73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Y66*Source!I84</f>
        <v>5.5457999999999998</v>
      </c>
      <c r="CY66">
        <f t="shared" si="9"/>
        <v>420.5</v>
      </c>
      <c r="CZ66">
        <f t="shared" si="10"/>
        <v>64.099999999999994</v>
      </c>
      <c r="DA66">
        <f t="shared" si="11"/>
        <v>6.56</v>
      </c>
      <c r="DB66">
        <f t="shared" si="12"/>
        <v>999.96</v>
      </c>
      <c r="DC66">
        <f t="shared" si="13"/>
        <v>0</v>
      </c>
    </row>
    <row r="67" spans="1:107" x14ac:dyDescent="0.2">
      <c r="A67">
        <f>ROW(Source!A84)</f>
        <v>84</v>
      </c>
      <c r="B67">
        <v>16742901</v>
      </c>
      <c r="C67">
        <v>16745258</v>
      </c>
      <c r="D67">
        <v>15170065</v>
      </c>
      <c r="E67">
        <v>1</v>
      </c>
      <c r="F67">
        <v>1</v>
      </c>
      <c r="G67">
        <v>1</v>
      </c>
      <c r="H67">
        <v>3</v>
      </c>
      <c r="I67" t="s">
        <v>1399</v>
      </c>
      <c r="J67" t="s">
        <v>1400</v>
      </c>
      <c r="K67" t="s">
        <v>1401</v>
      </c>
      <c r="L67">
        <v>1358</v>
      </c>
      <c r="N67">
        <v>1010</v>
      </c>
      <c r="O67" t="s">
        <v>723</v>
      </c>
      <c r="P67" t="s">
        <v>723</v>
      </c>
      <c r="Q67">
        <v>10</v>
      </c>
      <c r="W67">
        <v>0</v>
      </c>
      <c r="X67">
        <v>-858120743</v>
      </c>
      <c r="Y67">
        <v>38.9</v>
      </c>
      <c r="AA67">
        <v>46.12</v>
      </c>
      <c r="AB67">
        <v>0</v>
      </c>
      <c r="AC67">
        <v>0</v>
      </c>
      <c r="AD67">
        <v>0</v>
      </c>
      <c r="AE67">
        <v>7.03</v>
      </c>
      <c r="AF67">
        <v>0</v>
      </c>
      <c r="AG67">
        <v>0</v>
      </c>
      <c r="AH67">
        <v>0</v>
      </c>
      <c r="AI67">
        <v>6.56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38.9</v>
      </c>
      <c r="AU67" t="s">
        <v>6</v>
      </c>
      <c r="AV67">
        <v>0</v>
      </c>
      <c r="AW67">
        <v>2</v>
      </c>
      <c r="AX67">
        <v>16745278</v>
      </c>
      <c r="AY67">
        <v>1</v>
      </c>
      <c r="AZ67">
        <v>0</v>
      </c>
      <c r="BA67">
        <v>74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Y67*Source!I84</f>
        <v>13.828949999999999</v>
      </c>
      <c r="CY67">
        <f t="shared" si="9"/>
        <v>46.12</v>
      </c>
      <c r="CZ67">
        <f t="shared" si="10"/>
        <v>7.03</v>
      </c>
      <c r="DA67">
        <f t="shared" si="11"/>
        <v>6.56</v>
      </c>
      <c r="DB67">
        <f t="shared" si="12"/>
        <v>273.47000000000003</v>
      </c>
      <c r="DC67">
        <f t="shared" si="13"/>
        <v>0</v>
      </c>
    </row>
    <row r="68" spans="1:107" x14ac:dyDescent="0.2">
      <c r="A68">
        <f>ROW(Source!A84)</f>
        <v>84</v>
      </c>
      <c r="B68">
        <v>16742901</v>
      </c>
      <c r="C68">
        <v>16745258</v>
      </c>
      <c r="D68">
        <v>15197463</v>
      </c>
      <c r="E68">
        <v>1</v>
      </c>
      <c r="F68">
        <v>1</v>
      </c>
      <c r="G68">
        <v>1</v>
      </c>
      <c r="H68">
        <v>3</v>
      </c>
      <c r="I68" t="s">
        <v>191</v>
      </c>
      <c r="J68" t="s">
        <v>194</v>
      </c>
      <c r="K68" t="s">
        <v>192</v>
      </c>
      <c r="L68">
        <v>1327</v>
      </c>
      <c r="N68">
        <v>1005</v>
      </c>
      <c r="O68" t="s">
        <v>193</v>
      </c>
      <c r="P68" t="s">
        <v>193</v>
      </c>
      <c r="Q68">
        <v>1</v>
      </c>
      <c r="W68">
        <v>0</v>
      </c>
      <c r="X68">
        <v>-565097724</v>
      </c>
      <c r="Y68">
        <v>100</v>
      </c>
      <c r="AA68">
        <v>16759.03</v>
      </c>
      <c r="AB68">
        <v>0</v>
      </c>
      <c r="AC68">
        <v>0</v>
      </c>
      <c r="AD68">
        <v>0</v>
      </c>
      <c r="AE68">
        <v>2554.73</v>
      </c>
      <c r="AF68">
        <v>0</v>
      </c>
      <c r="AG68">
        <v>0</v>
      </c>
      <c r="AH68">
        <v>0</v>
      </c>
      <c r="AI68">
        <v>6.56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6</v>
      </c>
      <c r="AT68">
        <v>100</v>
      </c>
      <c r="AU68" t="s">
        <v>6</v>
      </c>
      <c r="AV68">
        <v>0</v>
      </c>
      <c r="AW68">
        <v>1</v>
      </c>
      <c r="AX68">
        <v>-1</v>
      </c>
      <c r="AY68">
        <v>0</v>
      </c>
      <c r="AZ68">
        <v>0</v>
      </c>
      <c r="BA68" t="s">
        <v>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Y68*Source!I84</f>
        <v>35.549999999999997</v>
      </c>
      <c r="CY68">
        <f t="shared" si="9"/>
        <v>16759.03</v>
      </c>
      <c r="CZ68">
        <f t="shared" si="10"/>
        <v>2554.73</v>
      </c>
      <c r="DA68">
        <f t="shared" si="11"/>
        <v>6.56</v>
      </c>
      <c r="DB68">
        <f t="shared" si="12"/>
        <v>255473</v>
      </c>
      <c r="DC68">
        <f t="shared" si="13"/>
        <v>0</v>
      </c>
    </row>
    <row r="69" spans="1:107" x14ac:dyDescent="0.2">
      <c r="A69">
        <f>ROW(Source!A84)</f>
        <v>84</v>
      </c>
      <c r="B69">
        <v>16742901</v>
      </c>
      <c r="C69">
        <v>16745258</v>
      </c>
      <c r="D69">
        <v>15162466</v>
      </c>
      <c r="E69">
        <v>17</v>
      </c>
      <c r="F69">
        <v>1</v>
      </c>
      <c r="G69">
        <v>1</v>
      </c>
      <c r="H69">
        <v>3</v>
      </c>
      <c r="I69" t="s">
        <v>196</v>
      </c>
      <c r="J69" t="s">
        <v>6</v>
      </c>
      <c r="K69" t="s">
        <v>197</v>
      </c>
      <c r="L69">
        <v>1327</v>
      </c>
      <c r="N69">
        <v>1005</v>
      </c>
      <c r="O69" t="s">
        <v>193</v>
      </c>
      <c r="P69" t="s">
        <v>193</v>
      </c>
      <c r="Q69">
        <v>1</v>
      </c>
      <c r="W69">
        <v>0</v>
      </c>
      <c r="X69">
        <v>1219964505</v>
      </c>
      <c r="Y69">
        <v>100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6.56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100</v>
      </c>
      <c r="AU69" t="s">
        <v>6</v>
      </c>
      <c r="AV69">
        <v>0</v>
      </c>
      <c r="AW69">
        <v>2</v>
      </c>
      <c r="AX69">
        <v>16745279</v>
      </c>
      <c r="AY69">
        <v>1</v>
      </c>
      <c r="AZ69">
        <v>0</v>
      </c>
      <c r="BA69">
        <v>75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Y69*Source!I84</f>
        <v>35.549999999999997</v>
      </c>
      <c r="CY69">
        <f t="shared" si="9"/>
        <v>0</v>
      </c>
      <c r="CZ69">
        <f t="shared" si="10"/>
        <v>0</v>
      </c>
      <c r="DA69">
        <f t="shared" si="11"/>
        <v>6.56</v>
      </c>
      <c r="DB69">
        <f t="shared" si="12"/>
        <v>0</v>
      </c>
      <c r="DC69">
        <f t="shared" si="13"/>
        <v>0</v>
      </c>
    </row>
    <row r="70" spans="1:107" x14ac:dyDescent="0.2">
      <c r="A70">
        <f>ROW(Source!A84)</f>
        <v>84</v>
      </c>
      <c r="B70">
        <v>16742901</v>
      </c>
      <c r="C70">
        <v>16745258</v>
      </c>
      <c r="D70">
        <v>15197780</v>
      </c>
      <c r="E70">
        <v>1</v>
      </c>
      <c r="F70">
        <v>1</v>
      </c>
      <c r="G70">
        <v>1</v>
      </c>
      <c r="H70">
        <v>3</v>
      </c>
      <c r="I70" t="s">
        <v>1402</v>
      </c>
      <c r="J70" t="s">
        <v>1403</v>
      </c>
      <c r="K70" t="s">
        <v>1404</v>
      </c>
      <c r="L70">
        <v>1355</v>
      </c>
      <c r="N70">
        <v>1010</v>
      </c>
      <c r="O70" t="s">
        <v>843</v>
      </c>
      <c r="P70" t="s">
        <v>843</v>
      </c>
      <c r="Q70">
        <v>100</v>
      </c>
      <c r="W70">
        <v>0</v>
      </c>
      <c r="X70">
        <v>1709713925</v>
      </c>
      <c r="Y70">
        <v>8</v>
      </c>
      <c r="AA70">
        <v>328</v>
      </c>
      <c r="AB70">
        <v>0</v>
      </c>
      <c r="AC70">
        <v>0</v>
      </c>
      <c r="AD70">
        <v>0</v>
      </c>
      <c r="AE70">
        <v>50</v>
      </c>
      <c r="AF70">
        <v>0</v>
      </c>
      <c r="AG70">
        <v>0</v>
      </c>
      <c r="AH70">
        <v>0</v>
      </c>
      <c r="AI70">
        <v>6.56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8</v>
      </c>
      <c r="AU70" t="s">
        <v>6</v>
      </c>
      <c r="AV70">
        <v>0</v>
      </c>
      <c r="AW70">
        <v>2</v>
      </c>
      <c r="AX70">
        <v>16745280</v>
      </c>
      <c r="AY70">
        <v>1</v>
      </c>
      <c r="AZ70">
        <v>0</v>
      </c>
      <c r="BA70">
        <v>76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Y70*Source!I84</f>
        <v>2.8439999999999999</v>
      </c>
      <c r="CY70">
        <f t="shared" si="9"/>
        <v>328</v>
      </c>
      <c r="CZ70">
        <f t="shared" si="10"/>
        <v>50</v>
      </c>
      <c r="DA70">
        <f t="shared" si="11"/>
        <v>6.56</v>
      </c>
      <c r="DB70">
        <f t="shared" si="12"/>
        <v>400</v>
      </c>
      <c r="DC70">
        <f t="shared" si="13"/>
        <v>0</v>
      </c>
    </row>
    <row r="71" spans="1:107" x14ac:dyDescent="0.2">
      <c r="A71">
        <f>ROW(Source!A84)</f>
        <v>84</v>
      </c>
      <c r="B71">
        <v>16742901</v>
      </c>
      <c r="C71">
        <v>16745258</v>
      </c>
      <c r="D71">
        <v>15204239</v>
      </c>
      <c r="E71">
        <v>1</v>
      </c>
      <c r="F71">
        <v>1</v>
      </c>
      <c r="G71">
        <v>1</v>
      </c>
      <c r="H71">
        <v>3</v>
      </c>
      <c r="I71" t="s">
        <v>1405</v>
      </c>
      <c r="J71" t="s">
        <v>1406</v>
      </c>
      <c r="K71" t="s">
        <v>1407</v>
      </c>
      <c r="L71">
        <v>1354</v>
      </c>
      <c r="N71">
        <v>1010</v>
      </c>
      <c r="O71" t="s">
        <v>73</v>
      </c>
      <c r="P71" t="s">
        <v>73</v>
      </c>
      <c r="Q71">
        <v>1</v>
      </c>
      <c r="W71">
        <v>0</v>
      </c>
      <c r="X71">
        <v>-1018551266</v>
      </c>
      <c r="Y71">
        <v>69</v>
      </c>
      <c r="AA71">
        <v>439.52</v>
      </c>
      <c r="AB71">
        <v>0</v>
      </c>
      <c r="AC71">
        <v>0</v>
      </c>
      <c r="AD71">
        <v>0</v>
      </c>
      <c r="AE71">
        <v>67</v>
      </c>
      <c r="AF71">
        <v>0</v>
      </c>
      <c r="AG71">
        <v>0</v>
      </c>
      <c r="AH71">
        <v>0</v>
      </c>
      <c r="AI71">
        <v>6.56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69</v>
      </c>
      <c r="AU71" t="s">
        <v>6</v>
      </c>
      <c r="AV71">
        <v>0</v>
      </c>
      <c r="AW71">
        <v>2</v>
      </c>
      <c r="AX71">
        <v>16745281</v>
      </c>
      <c r="AY71">
        <v>1</v>
      </c>
      <c r="AZ71">
        <v>0</v>
      </c>
      <c r="BA71">
        <v>77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Y71*Source!I84</f>
        <v>24.529499999999999</v>
      </c>
      <c r="CY71">
        <f t="shared" si="9"/>
        <v>439.52</v>
      </c>
      <c r="CZ71">
        <f t="shared" si="10"/>
        <v>67</v>
      </c>
      <c r="DA71">
        <f t="shared" si="11"/>
        <v>6.56</v>
      </c>
      <c r="DB71">
        <f t="shared" si="12"/>
        <v>4623</v>
      </c>
      <c r="DC71">
        <f t="shared" si="13"/>
        <v>0</v>
      </c>
    </row>
    <row r="72" spans="1:107" x14ac:dyDescent="0.2">
      <c r="A72">
        <f>ROW(Source!A87)</f>
        <v>87</v>
      </c>
      <c r="B72">
        <v>16742901</v>
      </c>
      <c r="C72">
        <v>16745338</v>
      </c>
      <c r="D72">
        <v>15436014</v>
      </c>
      <c r="E72">
        <v>1</v>
      </c>
      <c r="F72">
        <v>1</v>
      </c>
      <c r="G72">
        <v>1</v>
      </c>
      <c r="H72">
        <v>1</v>
      </c>
      <c r="I72" t="s">
        <v>1388</v>
      </c>
      <c r="J72" t="s">
        <v>6</v>
      </c>
      <c r="K72" t="s">
        <v>1389</v>
      </c>
      <c r="L72">
        <v>1191</v>
      </c>
      <c r="N72">
        <v>1013</v>
      </c>
      <c r="O72" t="s">
        <v>1287</v>
      </c>
      <c r="P72" t="s">
        <v>1287</v>
      </c>
      <c r="Q72">
        <v>1</v>
      </c>
      <c r="W72">
        <v>0</v>
      </c>
      <c r="X72">
        <v>-784637506</v>
      </c>
      <c r="Y72">
        <v>248.49199999999999</v>
      </c>
      <c r="AA72">
        <v>0</v>
      </c>
      <c r="AB72">
        <v>0</v>
      </c>
      <c r="AC72">
        <v>0</v>
      </c>
      <c r="AD72">
        <v>57.33</v>
      </c>
      <c r="AE72">
        <v>0</v>
      </c>
      <c r="AF72">
        <v>0</v>
      </c>
      <c r="AG72">
        <v>0</v>
      </c>
      <c r="AH72">
        <v>8.74</v>
      </c>
      <c r="AI72">
        <v>1</v>
      </c>
      <c r="AJ72">
        <v>1</v>
      </c>
      <c r="AK72">
        <v>1</v>
      </c>
      <c r="AL72">
        <v>6.56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216.08</v>
      </c>
      <c r="AU72" t="s">
        <v>188</v>
      </c>
      <c r="AV72">
        <v>1</v>
      </c>
      <c r="AW72">
        <v>2</v>
      </c>
      <c r="AX72">
        <v>16745352</v>
      </c>
      <c r="AY72">
        <v>1</v>
      </c>
      <c r="AZ72">
        <v>0</v>
      </c>
      <c r="BA72">
        <v>78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Y72*Source!I87</f>
        <v>4.4728559999999993</v>
      </c>
      <c r="CY72">
        <f>AD72</f>
        <v>57.33</v>
      </c>
      <c r="CZ72">
        <f>AH72</f>
        <v>8.74</v>
      </c>
      <c r="DA72">
        <f>AL72</f>
        <v>6.56</v>
      </c>
      <c r="DB72">
        <f>ROUND((ROUND(AT72*CZ72,2)*1.15),2)</f>
        <v>2171.8200000000002</v>
      </c>
      <c r="DC72">
        <f>ROUND((ROUND(AT72*AG72,2)*1.15),2)</f>
        <v>0</v>
      </c>
    </row>
    <row r="73" spans="1:107" x14ac:dyDescent="0.2">
      <c r="A73">
        <f>ROW(Source!A87)</f>
        <v>87</v>
      </c>
      <c r="B73">
        <v>16742901</v>
      </c>
      <c r="C73">
        <v>16745338</v>
      </c>
      <c r="D73">
        <v>15430395</v>
      </c>
      <c r="E73">
        <v>1</v>
      </c>
      <c r="F73">
        <v>1</v>
      </c>
      <c r="G73">
        <v>1</v>
      </c>
      <c r="H73">
        <v>1</v>
      </c>
      <c r="I73" t="s">
        <v>1293</v>
      </c>
      <c r="J73" t="s">
        <v>6</v>
      </c>
      <c r="K73" t="s">
        <v>1294</v>
      </c>
      <c r="L73">
        <v>1191</v>
      </c>
      <c r="N73">
        <v>1013</v>
      </c>
      <c r="O73" t="s">
        <v>1287</v>
      </c>
      <c r="P73" t="s">
        <v>1287</v>
      </c>
      <c r="Q73">
        <v>1</v>
      </c>
      <c r="W73">
        <v>0</v>
      </c>
      <c r="X73">
        <v>-1417349443</v>
      </c>
      <c r="Y73">
        <v>5.33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6.56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5.33</v>
      </c>
      <c r="AU73" t="s">
        <v>6</v>
      </c>
      <c r="AV73">
        <v>2</v>
      </c>
      <c r="AW73">
        <v>2</v>
      </c>
      <c r="AX73">
        <v>16745353</v>
      </c>
      <c r="AY73">
        <v>1</v>
      </c>
      <c r="AZ73">
        <v>2048</v>
      </c>
      <c r="BA73">
        <v>79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Y73*Source!I87</f>
        <v>9.5939999999999998E-2</v>
      </c>
      <c r="CY73">
        <f>AD73</f>
        <v>0</v>
      </c>
      <c r="CZ73">
        <f>AH73</f>
        <v>0</v>
      </c>
      <c r="DA73">
        <f>AL73</f>
        <v>1</v>
      </c>
      <c r="DB73">
        <f>ROUND(ROUND(AT73*CZ73,2),2)</f>
        <v>0</v>
      </c>
      <c r="DC73">
        <f>ROUND(ROUND(AT73*AG73,2),2)</f>
        <v>0</v>
      </c>
    </row>
    <row r="74" spans="1:107" x14ac:dyDescent="0.2">
      <c r="A74">
        <f>ROW(Source!A87)</f>
        <v>87</v>
      </c>
      <c r="B74">
        <v>16742901</v>
      </c>
      <c r="C74">
        <v>16745338</v>
      </c>
      <c r="D74">
        <v>15247974</v>
      </c>
      <c r="E74">
        <v>1</v>
      </c>
      <c r="F74">
        <v>1</v>
      </c>
      <c r="G74">
        <v>1</v>
      </c>
      <c r="H74">
        <v>2</v>
      </c>
      <c r="I74" t="s">
        <v>1314</v>
      </c>
      <c r="J74" t="s">
        <v>1315</v>
      </c>
      <c r="K74" t="s">
        <v>1316</v>
      </c>
      <c r="L74">
        <v>1368</v>
      </c>
      <c r="N74">
        <v>1011</v>
      </c>
      <c r="O74" t="s">
        <v>1298</v>
      </c>
      <c r="P74" t="s">
        <v>1298</v>
      </c>
      <c r="Q74">
        <v>1</v>
      </c>
      <c r="W74">
        <v>0</v>
      </c>
      <c r="X74">
        <v>1188625873</v>
      </c>
      <c r="Y74">
        <v>2.2000000000000002</v>
      </c>
      <c r="AA74">
        <v>0</v>
      </c>
      <c r="AB74">
        <v>205.07</v>
      </c>
      <c r="AC74">
        <v>13.5</v>
      </c>
      <c r="AD74">
        <v>0</v>
      </c>
      <c r="AE74">
        <v>0</v>
      </c>
      <c r="AF74">
        <v>31.26</v>
      </c>
      <c r="AG74">
        <v>13.5</v>
      </c>
      <c r="AH74">
        <v>0</v>
      </c>
      <c r="AI74">
        <v>1</v>
      </c>
      <c r="AJ74">
        <v>6.56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1.76</v>
      </c>
      <c r="AU74" t="s">
        <v>187</v>
      </c>
      <c r="AV74">
        <v>0</v>
      </c>
      <c r="AW74">
        <v>2</v>
      </c>
      <c r="AX74">
        <v>16745354</v>
      </c>
      <c r="AY74">
        <v>1</v>
      </c>
      <c r="AZ74">
        <v>0</v>
      </c>
      <c r="BA74">
        <v>80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Y74*Source!I87</f>
        <v>3.9600000000000003E-2</v>
      </c>
      <c r="CY74">
        <f>AB74</f>
        <v>205.07</v>
      </c>
      <c r="CZ74">
        <f>AF74</f>
        <v>31.26</v>
      </c>
      <c r="DA74">
        <f>AJ74</f>
        <v>6.56</v>
      </c>
      <c r="DB74">
        <f>ROUND((ROUND(AT74*CZ74,2)*1.25),2)</f>
        <v>68.78</v>
      </c>
      <c r="DC74">
        <f>ROUND((ROUND(AT74*AG74,2)*1.25),2)</f>
        <v>29.7</v>
      </c>
    </row>
    <row r="75" spans="1:107" x14ac:dyDescent="0.2">
      <c r="A75">
        <f>ROW(Source!A87)</f>
        <v>87</v>
      </c>
      <c r="B75">
        <v>16742901</v>
      </c>
      <c r="C75">
        <v>16745338</v>
      </c>
      <c r="D75">
        <v>15249073</v>
      </c>
      <c r="E75">
        <v>1</v>
      </c>
      <c r="F75">
        <v>1</v>
      </c>
      <c r="G75">
        <v>1</v>
      </c>
      <c r="H75">
        <v>2</v>
      </c>
      <c r="I75" t="s">
        <v>1299</v>
      </c>
      <c r="J75" t="s">
        <v>1300</v>
      </c>
      <c r="K75" t="s">
        <v>1301</v>
      </c>
      <c r="L75">
        <v>1368</v>
      </c>
      <c r="N75">
        <v>1011</v>
      </c>
      <c r="O75" t="s">
        <v>1298</v>
      </c>
      <c r="P75" t="s">
        <v>1298</v>
      </c>
      <c r="Q75">
        <v>1</v>
      </c>
      <c r="W75">
        <v>0</v>
      </c>
      <c r="X75">
        <v>1372534845</v>
      </c>
      <c r="Y75">
        <v>4.4624999999999995</v>
      </c>
      <c r="AA75">
        <v>0</v>
      </c>
      <c r="AB75">
        <v>431.06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6.56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3.57</v>
      </c>
      <c r="AU75" t="s">
        <v>187</v>
      </c>
      <c r="AV75">
        <v>0</v>
      </c>
      <c r="AW75">
        <v>2</v>
      </c>
      <c r="AX75">
        <v>16745355</v>
      </c>
      <c r="AY75">
        <v>1</v>
      </c>
      <c r="AZ75">
        <v>0</v>
      </c>
      <c r="BA75">
        <v>81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Y75*Source!I87</f>
        <v>8.032499999999998E-2</v>
      </c>
      <c r="CY75">
        <f>AB75</f>
        <v>431.06</v>
      </c>
      <c r="CZ75">
        <f>AF75</f>
        <v>65.709999999999994</v>
      </c>
      <c r="DA75">
        <f>AJ75</f>
        <v>6.56</v>
      </c>
      <c r="DB75">
        <f>ROUND((ROUND(AT75*CZ75,2)*1.25),2)</f>
        <v>293.23</v>
      </c>
      <c r="DC75">
        <f>ROUND((ROUND(AT75*AG75,2)*1.25),2)</f>
        <v>51.76</v>
      </c>
    </row>
    <row r="76" spans="1:107" x14ac:dyDescent="0.2">
      <c r="A76">
        <f>ROW(Source!A87)</f>
        <v>87</v>
      </c>
      <c r="B76">
        <v>16742901</v>
      </c>
      <c r="C76">
        <v>16745338</v>
      </c>
      <c r="D76">
        <v>15167551</v>
      </c>
      <c r="E76">
        <v>1</v>
      </c>
      <c r="F76">
        <v>1</v>
      </c>
      <c r="G76">
        <v>1</v>
      </c>
      <c r="H76">
        <v>3</v>
      </c>
      <c r="I76" t="s">
        <v>1390</v>
      </c>
      <c r="J76" t="s">
        <v>1391</v>
      </c>
      <c r="K76" t="s">
        <v>1392</v>
      </c>
      <c r="L76">
        <v>1301</v>
      </c>
      <c r="N76">
        <v>1003</v>
      </c>
      <c r="O76" t="s">
        <v>220</v>
      </c>
      <c r="P76" t="s">
        <v>220</v>
      </c>
      <c r="Q76">
        <v>1</v>
      </c>
      <c r="W76">
        <v>0</v>
      </c>
      <c r="X76">
        <v>751777312</v>
      </c>
      <c r="Y76">
        <v>429</v>
      </c>
      <c r="AA76">
        <v>41.85</v>
      </c>
      <c r="AB76">
        <v>0</v>
      </c>
      <c r="AC76">
        <v>0</v>
      </c>
      <c r="AD76">
        <v>0</v>
      </c>
      <c r="AE76">
        <v>6.38</v>
      </c>
      <c r="AF76">
        <v>0</v>
      </c>
      <c r="AG76">
        <v>0</v>
      </c>
      <c r="AH76">
        <v>0</v>
      </c>
      <c r="AI76">
        <v>6.56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429</v>
      </c>
      <c r="AU76" t="s">
        <v>6</v>
      </c>
      <c r="AV76">
        <v>0</v>
      </c>
      <c r="AW76">
        <v>2</v>
      </c>
      <c r="AX76">
        <v>16745356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Y76*Source!I87</f>
        <v>7.7219999999999995</v>
      </c>
      <c r="CY76">
        <f t="shared" ref="CY76:CY83" si="14">AA76</f>
        <v>41.85</v>
      </c>
      <c r="CZ76">
        <f t="shared" ref="CZ76:CZ83" si="15">AE76</f>
        <v>6.38</v>
      </c>
      <c r="DA76">
        <f t="shared" ref="DA76:DA83" si="16">AI76</f>
        <v>6.56</v>
      </c>
      <c r="DB76">
        <f t="shared" ref="DB76:DB83" si="17">ROUND(ROUND(AT76*CZ76,2),2)</f>
        <v>2737.02</v>
      </c>
      <c r="DC76">
        <f t="shared" ref="DC76:DC83" si="18">ROUND(ROUND(AT76*AG76,2),2)</f>
        <v>0</v>
      </c>
    </row>
    <row r="77" spans="1:107" x14ac:dyDescent="0.2">
      <c r="A77">
        <f>ROW(Source!A87)</f>
        <v>87</v>
      </c>
      <c r="B77">
        <v>16742901</v>
      </c>
      <c r="C77">
        <v>16745338</v>
      </c>
      <c r="D77">
        <v>15167552</v>
      </c>
      <c r="E77">
        <v>1</v>
      </c>
      <c r="F77">
        <v>1</v>
      </c>
      <c r="G77">
        <v>1</v>
      </c>
      <c r="H77">
        <v>3</v>
      </c>
      <c r="I77" t="s">
        <v>1393</v>
      </c>
      <c r="J77" t="s">
        <v>1394</v>
      </c>
      <c r="K77" t="s">
        <v>1395</v>
      </c>
      <c r="L77">
        <v>1301</v>
      </c>
      <c r="N77">
        <v>1003</v>
      </c>
      <c r="O77" t="s">
        <v>220</v>
      </c>
      <c r="P77" t="s">
        <v>220</v>
      </c>
      <c r="Q77">
        <v>1</v>
      </c>
      <c r="W77">
        <v>0</v>
      </c>
      <c r="X77">
        <v>1744203244</v>
      </c>
      <c r="Y77">
        <v>71</v>
      </c>
      <c r="AA77">
        <v>52.15</v>
      </c>
      <c r="AB77">
        <v>0</v>
      </c>
      <c r="AC77">
        <v>0</v>
      </c>
      <c r="AD77">
        <v>0</v>
      </c>
      <c r="AE77">
        <v>7.95</v>
      </c>
      <c r="AF77">
        <v>0</v>
      </c>
      <c r="AG77">
        <v>0</v>
      </c>
      <c r="AH77">
        <v>0</v>
      </c>
      <c r="AI77">
        <v>6.56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71</v>
      </c>
      <c r="AU77" t="s">
        <v>6</v>
      </c>
      <c r="AV77">
        <v>0</v>
      </c>
      <c r="AW77">
        <v>2</v>
      </c>
      <c r="AX77">
        <v>16745357</v>
      </c>
      <c r="AY77">
        <v>1</v>
      </c>
      <c r="AZ77">
        <v>0</v>
      </c>
      <c r="BA77">
        <v>83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Y77*Source!I87</f>
        <v>1.2779999999999998</v>
      </c>
      <c r="CY77">
        <f t="shared" si="14"/>
        <v>52.15</v>
      </c>
      <c r="CZ77">
        <f t="shared" si="15"/>
        <v>7.95</v>
      </c>
      <c r="DA77">
        <f t="shared" si="16"/>
        <v>6.56</v>
      </c>
      <c r="DB77">
        <f t="shared" si="17"/>
        <v>564.45000000000005</v>
      </c>
      <c r="DC77">
        <f t="shared" si="18"/>
        <v>0</v>
      </c>
    </row>
    <row r="78" spans="1:107" x14ac:dyDescent="0.2">
      <c r="A78">
        <f>ROW(Source!A87)</f>
        <v>87</v>
      </c>
      <c r="B78">
        <v>16742901</v>
      </c>
      <c r="C78">
        <v>16745338</v>
      </c>
      <c r="D78">
        <v>15167640</v>
      </c>
      <c r="E78">
        <v>1</v>
      </c>
      <c r="F78">
        <v>1</v>
      </c>
      <c r="G78">
        <v>1</v>
      </c>
      <c r="H78">
        <v>3</v>
      </c>
      <c r="I78" t="s">
        <v>1396</v>
      </c>
      <c r="J78" t="s">
        <v>1397</v>
      </c>
      <c r="K78" t="s">
        <v>1398</v>
      </c>
      <c r="L78">
        <v>1302</v>
      </c>
      <c r="N78">
        <v>1003</v>
      </c>
      <c r="O78" t="s">
        <v>740</v>
      </c>
      <c r="P78" t="s">
        <v>740</v>
      </c>
      <c r="Q78">
        <v>10</v>
      </c>
      <c r="W78">
        <v>0</v>
      </c>
      <c r="X78">
        <v>-405326455</v>
      </c>
      <c r="Y78">
        <v>27.1</v>
      </c>
      <c r="AA78">
        <v>420.5</v>
      </c>
      <c r="AB78">
        <v>0</v>
      </c>
      <c r="AC78">
        <v>0</v>
      </c>
      <c r="AD78">
        <v>0</v>
      </c>
      <c r="AE78">
        <v>64.099999999999994</v>
      </c>
      <c r="AF78">
        <v>0</v>
      </c>
      <c r="AG78">
        <v>0</v>
      </c>
      <c r="AH78">
        <v>0</v>
      </c>
      <c r="AI78">
        <v>6.56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27.1</v>
      </c>
      <c r="AU78" t="s">
        <v>6</v>
      </c>
      <c r="AV78">
        <v>0</v>
      </c>
      <c r="AW78">
        <v>2</v>
      </c>
      <c r="AX78">
        <v>16745358</v>
      </c>
      <c r="AY78">
        <v>1</v>
      </c>
      <c r="AZ78">
        <v>0</v>
      </c>
      <c r="BA78">
        <v>84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Y78*Source!I87</f>
        <v>0.48780000000000001</v>
      </c>
      <c r="CY78">
        <f t="shared" si="14"/>
        <v>420.5</v>
      </c>
      <c r="CZ78">
        <f t="shared" si="15"/>
        <v>64.099999999999994</v>
      </c>
      <c r="DA78">
        <f t="shared" si="16"/>
        <v>6.56</v>
      </c>
      <c r="DB78">
        <f t="shared" si="17"/>
        <v>1737.11</v>
      </c>
      <c r="DC78">
        <f t="shared" si="18"/>
        <v>0</v>
      </c>
    </row>
    <row r="79" spans="1:107" x14ac:dyDescent="0.2">
      <c r="A79">
        <f>ROW(Source!A87)</f>
        <v>87</v>
      </c>
      <c r="B79">
        <v>16742901</v>
      </c>
      <c r="C79">
        <v>16745338</v>
      </c>
      <c r="D79">
        <v>15170065</v>
      </c>
      <c r="E79">
        <v>1</v>
      </c>
      <c r="F79">
        <v>1</v>
      </c>
      <c r="G79">
        <v>1</v>
      </c>
      <c r="H79">
        <v>3</v>
      </c>
      <c r="I79" t="s">
        <v>1399</v>
      </c>
      <c r="J79" t="s">
        <v>1400</v>
      </c>
      <c r="K79" t="s">
        <v>1401</v>
      </c>
      <c r="L79">
        <v>1358</v>
      </c>
      <c r="N79">
        <v>1010</v>
      </c>
      <c r="O79" t="s">
        <v>723</v>
      </c>
      <c r="P79" t="s">
        <v>723</v>
      </c>
      <c r="Q79">
        <v>10</v>
      </c>
      <c r="W79">
        <v>0</v>
      </c>
      <c r="X79">
        <v>-858120743</v>
      </c>
      <c r="Y79">
        <v>71.400000000000006</v>
      </c>
      <c r="AA79">
        <v>46.12</v>
      </c>
      <c r="AB79">
        <v>0</v>
      </c>
      <c r="AC79">
        <v>0</v>
      </c>
      <c r="AD79">
        <v>0</v>
      </c>
      <c r="AE79">
        <v>7.03</v>
      </c>
      <c r="AF79">
        <v>0</v>
      </c>
      <c r="AG79">
        <v>0</v>
      </c>
      <c r="AH79">
        <v>0</v>
      </c>
      <c r="AI79">
        <v>6.56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71.400000000000006</v>
      </c>
      <c r="AU79" t="s">
        <v>6</v>
      </c>
      <c r="AV79">
        <v>0</v>
      </c>
      <c r="AW79">
        <v>2</v>
      </c>
      <c r="AX79">
        <v>16745359</v>
      </c>
      <c r="AY79">
        <v>1</v>
      </c>
      <c r="AZ79">
        <v>0</v>
      </c>
      <c r="BA79">
        <v>85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Y79*Source!I87</f>
        <v>1.2851999999999999</v>
      </c>
      <c r="CY79">
        <f t="shared" si="14"/>
        <v>46.12</v>
      </c>
      <c r="CZ79">
        <f t="shared" si="15"/>
        <v>7.03</v>
      </c>
      <c r="DA79">
        <f t="shared" si="16"/>
        <v>6.56</v>
      </c>
      <c r="DB79">
        <f t="shared" si="17"/>
        <v>501.94</v>
      </c>
      <c r="DC79">
        <f t="shared" si="18"/>
        <v>0</v>
      </c>
    </row>
    <row r="80" spans="1:107" x14ac:dyDescent="0.2">
      <c r="A80">
        <f>ROW(Source!A87)</f>
        <v>87</v>
      </c>
      <c r="B80">
        <v>16742901</v>
      </c>
      <c r="C80">
        <v>16745338</v>
      </c>
      <c r="D80">
        <v>15197498</v>
      </c>
      <c r="E80">
        <v>1</v>
      </c>
      <c r="F80">
        <v>1</v>
      </c>
      <c r="G80">
        <v>1</v>
      </c>
      <c r="H80">
        <v>3</v>
      </c>
      <c r="I80" t="s">
        <v>203</v>
      </c>
      <c r="J80" t="s">
        <v>205</v>
      </c>
      <c r="K80" t="s">
        <v>204</v>
      </c>
      <c r="L80">
        <v>1327</v>
      </c>
      <c r="N80">
        <v>1005</v>
      </c>
      <c r="O80" t="s">
        <v>193</v>
      </c>
      <c r="P80" t="s">
        <v>193</v>
      </c>
      <c r="Q80">
        <v>1</v>
      </c>
      <c r="W80">
        <v>0</v>
      </c>
      <c r="X80">
        <v>-409793117</v>
      </c>
      <c r="Y80">
        <v>100</v>
      </c>
      <c r="AA80">
        <v>30057</v>
      </c>
      <c r="AB80">
        <v>0</v>
      </c>
      <c r="AC80">
        <v>0</v>
      </c>
      <c r="AD80">
        <v>0</v>
      </c>
      <c r="AE80">
        <v>4581.8599999999997</v>
      </c>
      <c r="AF80">
        <v>0</v>
      </c>
      <c r="AG80">
        <v>0</v>
      </c>
      <c r="AH80">
        <v>0</v>
      </c>
      <c r="AI80">
        <v>6.56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100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Y80*Source!I87</f>
        <v>1.7999999999999998</v>
      </c>
      <c r="CY80">
        <f t="shared" si="14"/>
        <v>30057</v>
      </c>
      <c r="CZ80">
        <f t="shared" si="15"/>
        <v>4581.8599999999997</v>
      </c>
      <c r="DA80">
        <f t="shared" si="16"/>
        <v>6.56</v>
      </c>
      <c r="DB80">
        <f t="shared" si="17"/>
        <v>458186</v>
      </c>
      <c r="DC80">
        <f t="shared" si="18"/>
        <v>0</v>
      </c>
    </row>
    <row r="81" spans="1:107" x14ac:dyDescent="0.2">
      <c r="A81">
        <f>ROW(Source!A87)</f>
        <v>87</v>
      </c>
      <c r="B81">
        <v>16742901</v>
      </c>
      <c r="C81">
        <v>16745338</v>
      </c>
      <c r="D81">
        <v>15162466</v>
      </c>
      <c r="E81">
        <v>17</v>
      </c>
      <c r="F81">
        <v>1</v>
      </c>
      <c r="G81">
        <v>1</v>
      </c>
      <c r="H81">
        <v>3</v>
      </c>
      <c r="I81" t="s">
        <v>196</v>
      </c>
      <c r="J81" t="s">
        <v>6</v>
      </c>
      <c r="K81" t="s">
        <v>197</v>
      </c>
      <c r="L81">
        <v>1327</v>
      </c>
      <c r="N81">
        <v>1005</v>
      </c>
      <c r="O81" t="s">
        <v>193</v>
      </c>
      <c r="P81" t="s">
        <v>193</v>
      </c>
      <c r="Q81">
        <v>1</v>
      </c>
      <c r="W81">
        <v>0</v>
      </c>
      <c r="X81">
        <v>1219964505</v>
      </c>
      <c r="Y81">
        <v>100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6.56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</v>
      </c>
      <c r="AT81">
        <v>100</v>
      </c>
      <c r="AU81" t="s">
        <v>6</v>
      </c>
      <c r="AV81">
        <v>0</v>
      </c>
      <c r="AW81">
        <v>2</v>
      </c>
      <c r="AX81">
        <v>16745360</v>
      </c>
      <c r="AY81">
        <v>1</v>
      </c>
      <c r="AZ81">
        <v>0</v>
      </c>
      <c r="BA81">
        <v>86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Y81*Source!I87</f>
        <v>1.7999999999999998</v>
      </c>
      <c r="CY81">
        <f t="shared" si="14"/>
        <v>0</v>
      </c>
      <c r="CZ81">
        <f t="shared" si="15"/>
        <v>0</v>
      </c>
      <c r="DA81">
        <f t="shared" si="16"/>
        <v>6.56</v>
      </c>
      <c r="DB81">
        <f t="shared" si="17"/>
        <v>0</v>
      </c>
      <c r="DC81">
        <f t="shared" si="18"/>
        <v>0</v>
      </c>
    </row>
    <row r="82" spans="1:107" x14ac:dyDescent="0.2">
      <c r="A82">
        <f>ROW(Source!A87)</f>
        <v>87</v>
      </c>
      <c r="B82">
        <v>16742901</v>
      </c>
      <c r="C82">
        <v>16745338</v>
      </c>
      <c r="D82">
        <v>15197780</v>
      </c>
      <c r="E82">
        <v>1</v>
      </c>
      <c r="F82">
        <v>1</v>
      </c>
      <c r="G82">
        <v>1</v>
      </c>
      <c r="H82">
        <v>3</v>
      </c>
      <c r="I82" t="s">
        <v>1402</v>
      </c>
      <c r="J82" t="s">
        <v>1403</v>
      </c>
      <c r="K82" t="s">
        <v>1404</v>
      </c>
      <c r="L82">
        <v>1355</v>
      </c>
      <c r="N82">
        <v>1010</v>
      </c>
      <c r="O82" t="s">
        <v>843</v>
      </c>
      <c r="P82" t="s">
        <v>843</v>
      </c>
      <c r="Q82">
        <v>100</v>
      </c>
      <c r="W82">
        <v>0</v>
      </c>
      <c r="X82">
        <v>1709713925</v>
      </c>
      <c r="Y82">
        <v>8</v>
      </c>
      <c r="AA82">
        <v>328</v>
      </c>
      <c r="AB82">
        <v>0</v>
      </c>
      <c r="AC82">
        <v>0</v>
      </c>
      <c r="AD82">
        <v>0</v>
      </c>
      <c r="AE82">
        <v>50</v>
      </c>
      <c r="AF82">
        <v>0</v>
      </c>
      <c r="AG82">
        <v>0</v>
      </c>
      <c r="AH82">
        <v>0</v>
      </c>
      <c r="AI82">
        <v>6.56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8</v>
      </c>
      <c r="AU82" t="s">
        <v>6</v>
      </c>
      <c r="AV82">
        <v>0</v>
      </c>
      <c r="AW82">
        <v>2</v>
      </c>
      <c r="AX82">
        <v>16745361</v>
      </c>
      <c r="AY82">
        <v>1</v>
      </c>
      <c r="AZ82">
        <v>0</v>
      </c>
      <c r="BA82">
        <v>87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Y82*Source!I87</f>
        <v>0.14399999999999999</v>
      </c>
      <c r="CY82">
        <f t="shared" si="14"/>
        <v>328</v>
      </c>
      <c r="CZ82">
        <f t="shared" si="15"/>
        <v>50</v>
      </c>
      <c r="DA82">
        <f t="shared" si="16"/>
        <v>6.56</v>
      </c>
      <c r="DB82">
        <f t="shared" si="17"/>
        <v>400</v>
      </c>
      <c r="DC82">
        <f t="shared" si="18"/>
        <v>0</v>
      </c>
    </row>
    <row r="83" spans="1:107" x14ac:dyDescent="0.2">
      <c r="A83">
        <f>ROW(Source!A87)</f>
        <v>87</v>
      </c>
      <c r="B83">
        <v>16742901</v>
      </c>
      <c r="C83">
        <v>16745338</v>
      </c>
      <c r="D83">
        <v>15204239</v>
      </c>
      <c r="E83">
        <v>1</v>
      </c>
      <c r="F83">
        <v>1</v>
      </c>
      <c r="G83">
        <v>1</v>
      </c>
      <c r="H83">
        <v>3</v>
      </c>
      <c r="I83" t="s">
        <v>1405</v>
      </c>
      <c r="J83" t="s">
        <v>1406</v>
      </c>
      <c r="K83" t="s">
        <v>1407</v>
      </c>
      <c r="L83">
        <v>1354</v>
      </c>
      <c r="N83">
        <v>1010</v>
      </c>
      <c r="O83" t="s">
        <v>73</v>
      </c>
      <c r="P83" t="s">
        <v>73</v>
      </c>
      <c r="Q83">
        <v>1</v>
      </c>
      <c r="W83">
        <v>0</v>
      </c>
      <c r="X83">
        <v>-1018551266</v>
      </c>
      <c r="Y83">
        <v>114</v>
      </c>
      <c r="AA83">
        <v>439.52</v>
      </c>
      <c r="AB83">
        <v>0</v>
      </c>
      <c r="AC83">
        <v>0</v>
      </c>
      <c r="AD83">
        <v>0</v>
      </c>
      <c r="AE83">
        <v>67</v>
      </c>
      <c r="AF83">
        <v>0</v>
      </c>
      <c r="AG83">
        <v>0</v>
      </c>
      <c r="AH83">
        <v>0</v>
      </c>
      <c r="AI83">
        <v>6.56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114</v>
      </c>
      <c r="AU83" t="s">
        <v>6</v>
      </c>
      <c r="AV83">
        <v>0</v>
      </c>
      <c r="AW83">
        <v>2</v>
      </c>
      <c r="AX83">
        <v>16745362</v>
      </c>
      <c r="AY83">
        <v>1</v>
      </c>
      <c r="AZ83">
        <v>0</v>
      </c>
      <c r="BA83">
        <v>88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Y83*Source!I87</f>
        <v>2.052</v>
      </c>
      <c r="CY83">
        <f t="shared" si="14"/>
        <v>439.52</v>
      </c>
      <c r="CZ83">
        <f t="shared" si="15"/>
        <v>67</v>
      </c>
      <c r="DA83">
        <f t="shared" si="16"/>
        <v>6.56</v>
      </c>
      <c r="DB83">
        <f t="shared" si="17"/>
        <v>7638</v>
      </c>
      <c r="DC83">
        <f t="shared" si="18"/>
        <v>0</v>
      </c>
    </row>
    <row r="84" spans="1:107" x14ac:dyDescent="0.2">
      <c r="A84">
        <f>ROW(Source!A90)</f>
        <v>90</v>
      </c>
      <c r="B84">
        <v>16742901</v>
      </c>
      <c r="C84">
        <v>16745366</v>
      </c>
      <c r="D84">
        <v>15430767</v>
      </c>
      <c r="E84">
        <v>1</v>
      </c>
      <c r="F84">
        <v>1</v>
      </c>
      <c r="G84">
        <v>1</v>
      </c>
      <c r="H84">
        <v>1</v>
      </c>
      <c r="I84" t="s">
        <v>1285</v>
      </c>
      <c r="J84" t="s">
        <v>6</v>
      </c>
      <c r="K84" t="s">
        <v>1286</v>
      </c>
      <c r="L84">
        <v>1191</v>
      </c>
      <c r="N84">
        <v>1013</v>
      </c>
      <c r="O84" t="s">
        <v>1287</v>
      </c>
      <c r="P84" t="s">
        <v>1287</v>
      </c>
      <c r="Q84">
        <v>1</v>
      </c>
      <c r="W84">
        <v>0</v>
      </c>
      <c r="X84">
        <v>-400197608</v>
      </c>
      <c r="Y84">
        <v>129.66249999999999</v>
      </c>
      <c r="AA84">
        <v>0</v>
      </c>
      <c r="AB84">
        <v>0</v>
      </c>
      <c r="AC84">
        <v>0</v>
      </c>
      <c r="AD84">
        <v>55.96</v>
      </c>
      <c r="AE84">
        <v>0</v>
      </c>
      <c r="AF84">
        <v>0</v>
      </c>
      <c r="AG84">
        <v>0</v>
      </c>
      <c r="AH84">
        <v>8.5299999999999994</v>
      </c>
      <c r="AI84">
        <v>1</v>
      </c>
      <c r="AJ84">
        <v>1</v>
      </c>
      <c r="AK84">
        <v>1</v>
      </c>
      <c r="AL84">
        <v>6.56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112.75</v>
      </c>
      <c r="AU84" t="s">
        <v>188</v>
      </c>
      <c r="AV84">
        <v>1</v>
      </c>
      <c r="AW84">
        <v>2</v>
      </c>
      <c r="AX84">
        <v>16745374</v>
      </c>
      <c r="AY84">
        <v>1</v>
      </c>
      <c r="AZ84">
        <v>0</v>
      </c>
      <c r="BA84">
        <v>89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Y84*Source!I90</f>
        <v>5.2642974999999996</v>
      </c>
      <c r="CY84">
        <f>AD84</f>
        <v>55.96</v>
      </c>
      <c r="CZ84">
        <f>AH84</f>
        <v>8.5299999999999994</v>
      </c>
      <c r="DA84">
        <f>AL84</f>
        <v>6.56</v>
      </c>
      <c r="DB84">
        <f>ROUND((ROUND(AT84*CZ84,2)*1.15),2)</f>
        <v>1106.02</v>
      </c>
      <c r="DC84">
        <f>ROUND((ROUND(AT84*AG84,2)*1.15),2)</f>
        <v>0</v>
      </c>
    </row>
    <row r="85" spans="1:107" x14ac:dyDescent="0.2">
      <c r="A85">
        <f>ROW(Source!A90)</f>
        <v>90</v>
      </c>
      <c r="B85">
        <v>16742901</v>
      </c>
      <c r="C85">
        <v>16745366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1293</v>
      </c>
      <c r="J85" t="s">
        <v>6</v>
      </c>
      <c r="K85" t="s">
        <v>1294</v>
      </c>
      <c r="L85">
        <v>1191</v>
      </c>
      <c r="N85">
        <v>1013</v>
      </c>
      <c r="O85" t="s">
        <v>1287</v>
      </c>
      <c r="P85" t="s">
        <v>1287</v>
      </c>
      <c r="Q85">
        <v>1</v>
      </c>
      <c r="W85">
        <v>0</v>
      </c>
      <c r="X85">
        <v>-1417349443</v>
      </c>
      <c r="Y85">
        <v>0.27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6.56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0.27</v>
      </c>
      <c r="AU85" t="s">
        <v>6</v>
      </c>
      <c r="AV85">
        <v>2</v>
      </c>
      <c r="AW85">
        <v>2</v>
      </c>
      <c r="AX85">
        <v>16745375</v>
      </c>
      <c r="AY85">
        <v>1</v>
      </c>
      <c r="AZ85">
        <v>2048</v>
      </c>
      <c r="BA85">
        <v>90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Y85*Source!I90</f>
        <v>1.0962E-2</v>
      </c>
      <c r="CY85">
        <f>AD85</f>
        <v>0</v>
      </c>
      <c r="CZ85">
        <f>AH85</f>
        <v>0</v>
      </c>
      <c r="DA85">
        <f>AL85</f>
        <v>1</v>
      </c>
      <c r="DB85">
        <f>ROUND(ROUND(AT85*CZ85,2),2)</f>
        <v>0</v>
      </c>
      <c r="DC85">
        <f>ROUND(ROUND(AT85*AG85,2),2)</f>
        <v>0</v>
      </c>
    </row>
    <row r="86" spans="1:107" x14ac:dyDescent="0.2">
      <c r="A86">
        <f>ROW(Source!A90)</f>
        <v>90</v>
      </c>
      <c r="B86">
        <v>16742901</v>
      </c>
      <c r="C86">
        <v>16745366</v>
      </c>
      <c r="D86">
        <v>15247578</v>
      </c>
      <c r="E86">
        <v>1</v>
      </c>
      <c r="F86">
        <v>1</v>
      </c>
      <c r="G86">
        <v>1</v>
      </c>
      <c r="H86">
        <v>2</v>
      </c>
      <c r="I86" t="s">
        <v>1408</v>
      </c>
      <c r="J86" t="s">
        <v>1409</v>
      </c>
      <c r="K86" t="s">
        <v>1410</v>
      </c>
      <c r="L86">
        <v>1368</v>
      </c>
      <c r="N86">
        <v>1011</v>
      </c>
      <c r="O86" t="s">
        <v>1298</v>
      </c>
      <c r="P86" t="s">
        <v>1298</v>
      </c>
      <c r="Q86">
        <v>1</v>
      </c>
      <c r="W86">
        <v>0</v>
      </c>
      <c r="X86">
        <v>-1460065968</v>
      </c>
      <c r="Y86">
        <v>0.25</v>
      </c>
      <c r="AA86">
        <v>0</v>
      </c>
      <c r="AB86">
        <v>566.78</v>
      </c>
      <c r="AC86">
        <v>13.5</v>
      </c>
      <c r="AD86">
        <v>0</v>
      </c>
      <c r="AE86">
        <v>0</v>
      </c>
      <c r="AF86">
        <v>86.4</v>
      </c>
      <c r="AG86">
        <v>13.5</v>
      </c>
      <c r="AH86">
        <v>0</v>
      </c>
      <c r="AI86">
        <v>1</v>
      </c>
      <c r="AJ86">
        <v>6.56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0.2</v>
      </c>
      <c r="AU86" t="s">
        <v>187</v>
      </c>
      <c r="AV86">
        <v>0</v>
      </c>
      <c r="AW86">
        <v>2</v>
      </c>
      <c r="AX86">
        <v>16745376</v>
      </c>
      <c r="AY86">
        <v>1</v>
      </c>
      <c r="AZ86">
        <v>0</v>
      </c>
      <c r="BA86">
        <v>91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Y86*Source!I90</f>
        <v>1.0149999999999999E-2</v>
      </c>
      <c r="CY86">
        <f>AB86</f>
        <v>566.78</v>
      </c>
      <c r="CZ86">
        <f>AF86</f>
        <v>86.4</v>
      </c>
      <c r="DA86">
        <f>AJ86</f>
        <v>6.56</v>
      </c>
      <c r="DB86">
        <f>ROUND((ROUND(AT86*CZ86,2)*1.25),2)</f>
        <v>21.6</v>
      </c>
      <c r="DC86">
        <f>ROUND((ROUND(AT86*AG86,2)*1.25),2)</f>
        <v>3.38</v>
      </c>
    </row>
    <row r="87" spans="1:107" x14ac:dyDescent="0.2">
      <c r="A87">
        <f>ROW(Source!A90)</f>
        <v>90</v>
      </c>
      <c r="B87">
        <v>16742901</v>
      </c>
      <c r="C87">
        <v>16745366</v>
      </c>
      <c r="D87">
        <v>15249073</v>
      </c>
      <c r="E87">
        <v>1</v>
      </c>
      <c r="F87">
        <v>1</v>
      </c>
      <c r="G87">
        <v>1</v>
      </c>
      <c r="H87">
        <v>2</v>
      </c>
      <c r="I87" t="s">
        <v>1299</v>
      </c>
      <c r="J87" t="s">
        <v>1300</v>
      </c>
      <c r="K87" t="s">
        <v>1301</v>
      </c>
      <c r="L87">
        <v>1368</v>
      </c>
      <c r="N87">
        <v>1011</v>
      </c>
      <c r="O87" t="s">
        <v>1298</v>
      </c>
      <c r="P87" t="s">
        <v>1298</v>
      </c>
      <c r="Q87">
        <v>1</v>
      </c>
      <c r="W87">
        <v>0</v>
      </c>
      <c r="X87">
        <v>1372534845</v>
      </c>
      <c r="Y87">
        <v>8.7500000000000008E-2</v>
      </c>
      <c r="AA87">
        <v>0</v>
      </c>
      <c r="AB87">
        <v>431.06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6.56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7.0000000000000007E-2</v>
      </c>
      <c r="AU87" t="s">
        <v>187</v>
      </c>
      <c r="AV87">
        <v>0</v>
      </c>
      <c r="AW87">
        <v>2</v>
      </c>
      <c r="AX87">
        <v>16745377</v>
      </c>
      <c r="AY87">
        <v>1</v>
      </c>
      <c r="AZ87">
        <v>0</v>
      </c>
      <c r="BA87">
        <v>92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Y87*Source!I90</f>
        <v>3.5525000000000001E-3</v>
      </c>
      <c r="CY87">
        <f>AB87</f>
        <v>431.06</v>
      </c>
      <c r="CZ87">
        <f>AF87</f>
        <v>65.709999999999994</v>
      </c>
      <c r="DA87">
        <f>AJ87</f>
        <v>6.56</v>
      </c>
      <c r="DB87">
        <f>ROUND((ROUND(AT87*CZ87,2)*1.25),2)</f>
        <v>5.75</v>
      </c>
      <c r="DC87">
        <f>ROUND((ROUND(AT87*AG87,2)*1.25),2)</f>
        <v>1.01</v>
      </c>
    </row>
    <row r="88" spans="1:107" x14ac:dyDescent="0.2">
      <c r="A88">
        <f>ROW(Source!A90)</f>
        <v>90</v>
      </c>
      <c r="B88">
        <v>16742901</v>
      </c>
      <c r="C88">
        <v>16745366</v>
      </c>
      <c r="D88">
        <v>15170059</v>
      </c>
      <c r="E88">
        <v>1</v>
      </c>
      <c r="F88">
        <v>1</v>
      </c>
      <c r="G88">
        <v>1</v>
      </c>
      <c r="H88">
        <v>3</v>
      </c>
      <c r="I88" t="s">
        <v>1411</v>
      </c>
      <c r="J88" t="s">
        <v>1412</v>
      </c>
      <c r="K88" t="s">
        <v>1413</v>
      </c>
      <c r="L88">
        <v>1348</v>
      </c>
      <c r="N88">
        <v>1009</v>
      </c>
      <c r="O88" t="s">
        <v>100</v>
      </c>
      <c r="P88" t="s">
        <v>100</v>
      </c>
      <c r="Q88">
        <v>1000</v>
      </c>
      <c r="W88">
        <v>0</v>
      </c>
      <c r="X88">
        <v>-1818623805</v>
      </c>
      <c r="Y88">
        <v>4.0000000000000001E-3</v>
      </c>
      <c r="AA88">
        <v>55596</v>
      </c>
      <c r="AB88">
        <v>0</v>
      </c>
      <c r="AC88">
        <v>0</v>
      </c>
      <c r="AD88">
        <v>0</v>
      </c>
      <c r="AE88">
        <v>8475</v>
      </c>
      <c r="AF88">
        <v>0</v>
      </c>
      <c r="AG88">
        <v>0</v>
      </c>
      <c r="AH88">
        <v>0</v>
      </c>
      <c r="AI88">
        <v>6.56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4.0000000000000001E-3</v>
      </c>
      <c r="AU88" t="s">
        <v>6</v>
      </c>
      <c r="AV88">
        <v>0</v>
      </c>
      <c r="AW88">
        <v>2</v>
      </c>
      <c r="AX88">
        <v>16745378</v>
      </c>
      <c r="AY88">
        <v>1</v>
      </c>
      <c r="AZ88">
        <v>0</v>
      </c>
      <c r="BA88">
        <v>93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Y88*Source!I90</f>
        <v>1.6239999999999999E-4</v>
      </c>
      <c r="CY88">
        <f>AA88</f>
        <v>55596</v>
      </c>
      <c r="CZ88">
        <f>AE88</f>
        <v>8475</v>
      </c>
      <c r="DA88">
        <f>AI88</f>
        <v>6.56</v>
      </c>
      <c r="DB88">
        <f>ROUND(ROUND(AT88*CZ88,2),2)</f>
        <v>33.9</v>
      </c>
      <c r="DC88">
        <f>ROUND(ROUND(AT88*AG88,2),2)</f>
        <v>0</v>
      </c>
    </row>
    <row r="89" spans="1:107" x14ac:dyDescent="0.2">
      <c r="A89">
        <f>ROW(Source!A90)</f>
        <v>90</v>
      </c>
      <c r="B89">
        <v>16742901</v>
      </c>
      <c r="C89">
        <v>16745366</v>
      </c>
      <c r="D89">
        <v>15191140</v>
      </c>
      <c r="E89">
        <v>1</v>
      </c>
      <c r="F89">
        <v>1</v>
      </c>
      <c r="G89">
        <v>1</v>
      </c>
      <c r="H89">
        <v>3</v>
      </c>
      <c r="I89" t="s">
        <v>1414</v>
      </c>
      <c r="J89" t="s">
        <v>1415</v>
      </c>
      <c r="K89" t="s">
        <v>1416</v>
      </c>
      <c r="L89">
        <v>1348</v>
      </c>
      <c r="N89">
        <v>1009</v>
      </c>
      <c r="O89" t="s">
        <v>100</v>
      </c>
      <c r="P89" t="s">
        <v>100</v>
      </c>
      <c r="Q89">
        <v>1000</v>
      </c>
      <c r="W89">
        <v>0</v>
      </c>
      <c r="X89">
        <v>-177380457</v>
      </c>
      <c r="Y89">
        <v>1.2E-2</v>
      </c>
      <c r="AA89">
        <v>53726.400000000001</v>
      </c>
      <c r="AB89">
        <v>0</v>
      </c>
      <c r="AC89">
        <v>0</v>
      </c>
      <c r="AD89">
        <v>0</v>
      </c>
      <c r="AE89">
        <v>8190</v>
      </c>
      <c r="AF89">
        <v>0</v>
      </c>
      <c r="AG89">
        <v>0</v>
      </c>
      <c r="AH89">
        <v>0</v>
      </c>
      <c r="AI89">
        <v>6.56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1.2E-2</v>
      </c>
      <c r="AU89" t="s">
        <v>6</v>
      </c>
      <c r="AV89">
        <v>0</v>
      </c>
      <c r="AW89">
        <v>2</v>
      </c>
      <c r="AX89">
        <v>16745379</v>
      </c>
      <c r="AY89">
        <v>1</v>
      </c>
      <c r="AZ89">
        <v>0</v>
      </c>
      <c r="BA89">
        <v>94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Y89*Source!I90</f>
        <v>4.8719999999999997E-4</v>
      </c>
      <c r="CY89">
        <f>AA89</f>
        <v>53726.400000000001</v>
      </c>
      <c r="CZ89">
        <f>AE89</f>
        <v>8190</v>
      </c>
      <c r="DA89">
        <f>AI89</f>
        <v>6.56</v>
      </c>
      <c r="DB89">
        <f>ROUND(ROUND(AT89*CZ89,2),2)</f>
        <v>98.28</v>
      </c>
      <c r="DC89">
        <f>ROUND(ROUND(AT89*AG89,2),2)</f>
        <v>0</v>
      </c>
    </row>
    <row r="90" spans="1:107" x14ac:dyDescent="0.2">
      <c r="A90">
        <f>ROW(Source!A90)</f>
        <v>90</v>
      </c>
      <c r="B90">
        <v>16742901</v>
      </c>
      <c r="C90">
        <v>16745366</v>
      </c>
      <c r="D90">
        <v>15191387</v>
      </c>
      <c r="E90">
        <v>1</v>
      </c>
      <c r="F90">
        <v>1</v>
      </c>
      <c r="G90">
        <v>1</v>
      </c>
      <c r="H90">
        <v>3</v>
      </c>
      <c r="I90" t="s">
        <v>1417</v>
      </c>
      <c r="J90" t="s">
        <v>1418</v>
      </c>
      <c r="K90" t="s">
        <v>1419</v>
      </c>
      <c r="L90">
        <v>1348</v>
      </c>
      <c r="N90">
        <v>1009</v>
      </c>
      <c r="O90" t="s">
        <v>100</v>
      </c>
      <c r="P90" t="s">
        <v>100</v>
      </c>
      <c r="Q90">
        <v>1000</v>
      </c>
      <c r="W90">
        <v>0</v>
      </c>
      <c r="X90">
        <v>-272931147</v>
      </c>
      <c r="Y90">
        <v>0.78200000000000003</v>
      </c>
      <c r="AA90">
        <v>73472</v>
      </c>
      <c r="AB90">
        <v>0</v>
      </c>
      <c r="AC90">
        <v>0</v>
      </c>
      <c r="AD90">
        <v>0</v>
      </c>
      <c r="AE90">
        <v>11200</v>
      </c>
      <c r="AF90">
        <v>0</v>
      </c>
      <c r="AG90">
        <v>0</v>
      </c>
      <c r="AH90">
        <v>0</v>
      </c>
      <c r="AI90">
        <v>6.56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0.78200000000000003</v>
      </c>
      <c r="AU90" t="s">
        <v>6</v>
      </c>
      <c r="AV90">
        <v>0</v>
      </c>
      <c r="AW90">
        <v>2</v>
      </c>
      <c r="AX90">
        <v>16745380</v>
      </c>
      <c r="AY90">
        <v>1</v>
      </c>
      <c r="AZ90">
        <v>0</v>
      </c>
      <c r="BA90">
        <v>95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Y90*Source!I90</f>
        <v>3.1749199999999998E-2</v>
      </c>
      <c r="CY90">
        <f>AA90</f>
        <v>73472</v>
      </c>
      <c r="CZ90">
        <f>AE90</f>
        <v>11200</v>
      </c>
      <c r="DA90">
        <f>AI90</f>
        <v>6.56</v>
      </c>
      <c r="DB90">
        <f>ROUND(ROUND(AT90*CZ90,2),2)</f>
        <v>8758.4</v>
      </c>
      <c r="DC90">
        <f>ROUND(ROUND(AT90*AG90,2),2)</f>
        <v>0</v>
      </c>
    </row>
    <row r="91" spans="1:107" x14ac:dyDescent="0.2">
      <c r="A91">
        <f>ROW(Source!A91)</f>
        <v>91</v>
      </c>
      <c r="B91">
        <v>16742901</v>
      </c>
      <c r="C91">
        <v>16745381</v>
      </c>
      <c r="D91">
        <v>15430767</v>
      </c>
      <c r="E91">
        <v>1</v>
      </c>
      <c r="F91">
        <v>1</v>
      </c>
      <c r="G91">
        <v>1</v>
      </c>
      <c r="H91">
        <v>1</v>
      </c>
      <c r="I91" t="s">
        <v>1285</v>
      </c>
      <c r="J91" t="s">
        <v>6</v>
      </c>
      <c r="K91" t="s">
        <v>1286</v>
      </c>
      <c r="L91">
        <v>1191</v>
      </c>
      <c r="N91">
        <v>1013</v>
      </c>
      <c r="O91" t="s">
        <v>1287</v>
      </c>
      <c r="P91" t="s">
        <v>1287</v>
      </c>
      <c r="Q91">
        <v>1</v>
      </c>
      <c r="W91">
        <v>0</v>
      </c>
      <c r="X91">
        <v>-400197608</v>
      </c>
      <c r="Y91">
        <v>24.368500000000001</v>
      </c>
      <c r="AA91">
        <v>0</v>
      </c>
      <c r="AB91">
        <v>0</v>
      </c>
      <c r="AC91">
        <v>0</v>
      </c>
      <c r="AD91">
        <v>55.96</v>
      </c>
      <c r="AE91">
        <v>0</v>
      </c>
      <c r="AF91">
        <v>0</v>
      </c>
      <c r="AG91">
        <v>0</v>
      </c>
      <c r="AH91">
        <v>8.5299999999999994</v>
      </c>
      <c r="AI91">
        <v>1</v>
      </c>
      <c r="AJ91">
        <v>1</v>
      </c>
      <c r="AK91">
        <v>1</v>
      </c>
      <c r="AL91">
        <v>6.56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21.19</v>
      </c>
      <c r="AU91" t="s">
        <v>188</v>
      </c>
      <c r="AV91">
        <v>1</v>
      </c>
      <c r="AW91">
        <v>2</v>
      </c>
      <c r="AX91">
        <v>16745390</v>
      </c>
      <c r="AY91">
        <v>1</v>
      </c>
      <c r="AZ91">
        <v>0</v>
      </c>
      <c r="BA91">
        <v>96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Y91*Source!I91</f>
        <v>3.9964340000000003</v>
      </c>
      <c r="CY91">
        <f>AD91</f>
        <v>55.96</v>
      </c>
      <c r="CZ91">
        <f>AH91</f>
        <v>8.5299999999999994</v>
      </c>
      <c r="DA91">
        <f>AL91</f>
        <v>6.56</v>
      </c>
      <c r="DB91">
        <f>ROUND((ROUND(AT91*CZ91,2)*1.15),2)</f>
        <v>207.86</v>
      </c>
      <c r="DC91">
        <f>ROUND((ROUND(AT91*AG91,2)*1.15),2)</f>
        <v>0</v>
      </c>
    </row>
    <row r="92" spans="1:107" x14ac:dyDescent="0.2">
      <c r="A92">
        <f>ROW(Source!A91)</f>
        <v>91</v>
      </c>
      <c r="B92">
        <v>16742901</v>
      </c>
      <c r="C92">
        <v>16745381</v>
      </c>
      <c r="D92">
        <v>15430395</v>
      </c>
      <c r="E92">
        <v>1</v>
      </c>
      <c r="F92">
        <v>1</v>
      </c>
      <c r="G92">
        <v>1</v>
      </c>
      <c r="H92">
        <v>1</v>
      </c>
      <c r="I92" t="s">
        <v>1293</v>
      </c>
      <c r="J92" t="s">
        <v>6</v>
      </c>
      <c r="K92" t="s">
        <v>1294</v>
      </c>
      <c r="L92">
        <v>1191</v>
      </c>
      <c r="N92">
        <v>1013</v>
      </c>
      <c r="O92" t="s">
        <v>1287</v>
      </c>
      <c r="P92" t="s">
        <v>1287</v>
      </c>
      <c r="Q92">
        <v>1</v>
      </c>
      <c r="W92">
        <v>0</v>
      </c>
      <c r="X92">
        <v>-1417349443</v>
      </c>
      <c r="Y92">
        <v>0.19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6.56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0.19</v>
      </c>
      <c r="AU92" t="s">
        <v>6</v>
      </c>
      <c r="AV92">
        <v>2</v>
      </c>
      <c r="AW92">
        <v>2</v>
      </c>
      <c r="AX92">
        <v>16745391</v>
      </c>
      <c r="AY92">
        <v>1</v>
      </c>
      <c r="AZ92">
        <v>2048</v>
      </c>
      <c r="BA92">
        <v>97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Y92*Source!I91</f>
        <v>3.116E-2</v>
      </c>
      <c r="CY92">
        <f>AD92</f>
        <v>0</v>
      </c>
      <c r="CZ92">
        <f>AH92</f>
        <v>0</v>
      </c>
      <c r="DA92">
        <f>AL92</f>
        <v>1</v>
      </c>
      <c r="DB92">
        <f>ROUND(ROUND(AT92*CZ92,2),2)</f>
        <v>0</v>
      </c>
      <c r="DC92">
        <f>ROUND(ROUND(AT92*AG92,2),2)</f>
        <v>0</v>
      </c>
    </row>
    <row r="93" spans="1:107" x14ac:dyDescent="0.2">
      <c r="A93">
        <f>ROW(Source!A91)</f>
        <v>91</v>
      </c>
      <c r="B93">
        <v>16742901</v>
      </c>
      <c r="C93">
        <v>16745381</v>
      </c>
      <c r="D93">
        <v>15247974</v>
      </c>
      <c r="E93">
        <v>1</v>
      </c>
      <c r="F93">
        <v>1</v>
      </c>
      <c r="G93">
        <v>1</v>
      </c>
      <c r="H93">
        <v>2</v>
      </c>
      <c r="I93" t="s">
        <v>1314</v>
      </c>
      <c r="J93" t="s">
        <v>1315</v>
      </c>
      <c r="K93" t="s">
        <v>1316</v>
      </c>
      <c r="L93">
        <v>1368</v>
      </c>
      <c r="N93">
        <v>1011</v>
      </c>
      <c r="O93" t="s">
        <v>1298</v>
      </c>
      <c r="P93" t="s">
        <v>1298</v>
      </c>
      <c r="Q93">
        <v>1</v>
      </c>
      <c r="W93">
        <v>0</v>
      </c>
      <c r="X93">
        <v>1188625873</v>
      </c>
      <c r="Y93">
        <v>0.05</v>
      </c>
      <c r="AA93">
        <v>0</v>
      </c>
      <c r="AB93">
        <v>205.07</v>
      </c>
      <c r="AC93">
        <v>13.5</v>
      </c>
      <c r="AD93">
        <v>0</v>
      </c>
      <c r="AE93">
        <v>0</v>
      </c>
      <c r="AF93">
        <v>31.26</v>
      </c>
      <c r="AG93">
        <v>13.5</v>
      </c>
      <c r="AH93">
        <v>0</v>
      </c>
      <c r="AI93">
        <v>1</v>
      </c>
      <c r="AJ93">
        <v>6.56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0.04</v>
      </c>
      <c r="AU93" t="s">
        <v>187</v>
      </c>
      <c r="AV93">
        <v>0</v>
      </c>
      <c r="AW93">
        <v>2</v>
      </c>
      <c r="AX93">
        <v>16745392</v>
      </c>
      <c r="AY93">
        <v>1</v>
      </c>
      <c r="AZ93">
        <v>0</v>
      </c>
      <c r="BA93">
        <v>98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Y93*Source!I91</f>
        <v>8.2000000000000007E-3</v>
      </c>
      <c r="CY93">
        <f>AB93</f>
        <v>205.07</v>
      </c>
      <c r="CZ93">
        <f>AF93</f>
        <v>31.26</v>
      </c>
      <c r="DA93">
        <f>AJ93</f>
        <v>6.56</v>
      </c>
      <c r="DB93">
        <f>ROUND((ROUND(AT93*CZ93,2)*1.25),2)</f>
        <v>1.56</v>
      </c>
      <c r="DC93">
        <f>ROUND((ROUND(AT93*AG93,2)*1.25),2)</f>
        <v>0.68</v>
      </c>
    </row>
    <row r="94" spans="1:107" x14ac:dyDescent="0.2">
      <c r="A94">
        <f>ROW(Source!A91)</f>
        <v>91</v>
      </c>
      <c r="B94">
        <v>16742901</v>
      </c>
      <c r="C94">
        <v>16745381</v>
      </c>
      <c r="D94">
        <v>15249073</v>
      </c>
      <c r="E94">
        <v>1</v>
      </c>
      <c r="F94">
        <v>1</v>
      </c>
      <c r="G94">
        <v>1</v>
      </c>
      <c r="H94">
        <v>2</v>
      </c>
      <c r="I94" t="s">
        <v>1299</v>
      </c>
      <c r="J94" t="s">
        <v>1300</v>
      </c>
      <c r="K94" t="s">
        <v>1301</v>
      </c>
      <c r="L94">
        <v>1368</v>
      </c>
      <c r="N94">
        <v>1011</v>
      </c>
      <c r="O94" t="s">
        <v>1298</v>
      </c>
      <c r="P94" t="s">
        <v>1298</v>
      </c>
      <c r="Q94">
        <v>1</v>
      </c>
      <c r="W94">
        <v>0</v>
      </c>
      <c r="X94">
        <v>1372534845</v>
      </c>
      <c r="Y94">
        <v>0.1875</v>
      </c>
      <c r="AA94">
        <v>0</v>
      </c>
      <c r="AB94">
        <v>431.06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6.56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0.15</v>
      </c>
      <c r="AU94" t="s">
        <v>187</v>
      </c>
      <c r="AV94">
        <v>0</v>
      </c>
      <c r="AW94">
        <v>2</v>
      </c>
      <c r="AX94">
        <v>16745393</v>
      </c>
      <c r="AY94">
        <v>1</v>
      </c>
      <c r="AZ94">
        <v>0</v>
      </c>
      <c r="BA94">
        <v>99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Y94*Source!I91</f>
        <v>3.075E-2</v>
      </c>
      <c r="CY94">
        <f>AB94</f>
        <v>431.06</v>
      </c>
      <c r="CZ94">
        <f>AF94</f>
        <v>65.709999999999994</v>
      </c>
      <c r="DA94">
        <f>AJ94</f>
        <v>6.56</v>
      </c>
      <c r="DB94">
        <f>ROUND((ROUND(AT94*CZ94,2)*1.25),2)</f>
        <v>12.33</v>
      </c>
      <c r="DC94">
        <f>ROUND((ROUND(AT94*AG94,2)*1.25),2)</f>
        <v>2.1800000000000002</v>
      </c>
    </row>
    <row r="95" spans="1:107" x14ac:dyDescent="0.2">
      <c r="A95">
        <f>ROW(Source!A91)</f>
        <v>91</v>
      </c>
      <c r="B95">
        <v>16742901</v>
      </c>
      <c r="C95">
        <v>16745381</v>
      </c>
      <c r="D95">
        <v>15162469</v>
      </c>
      <c r="E95">
        <v>17</v>
      </c>
      <c r="F95">
        <v>1</v>
      </c>
      <c r="G95">
        <v>1</v>
      </c>
      <c r="H95">
        <v>3</v>
      </c>
      <c r="I95" t="s">
        <v>223</v>
      </c>
      <c r="J95" t="s">
        <v>6</v>
      </c>
      <c r="K95" t="s">
        <v>224</v>
      </c>
      <c r="L95">
        <v>1301</v>
      </c>
      <c r="N95">
        <v>1003</v>
      </c>
      <c r="O95" t="s">
        <v>220</v>
      </c>
      <c r="P95" t="s">
        <v>220</v>
      </c>
      <c r="Q95">
        <v>1</v>
      </c>
      <c r="W95">
        <v>0</v>
      </c>
      <c r="X95">
        <v>1170915945</v>
      </c>
      <c r="Y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6.56</v>
      </c>
      <c r="AJ95">
        <v>1</v>
      </c>
      <c r="AK95">
        <v>1</v>
      </c>
      <c r="AL95">
        <v>1</v>
      </c>
      <c r="AN95">
        <v>1</v>
      </c>
      <c r="AO95">
        <v>0</v>
      </c>
      <c r="AP95">
        <v>0</v>
      </c>
      <c r="AQ95">
        <v>0</v>
      </c>
      <c r="AR95">
        <v>0</v>
      </c>
      <c r="AS95" t="s">
        <v>6</v>
      </c>
      <c r="AT95">
        <v>0</v>
      </c>
      <c r="AU95" t="s">
        <v>6</v>
      </c>
      <c r="AV95">
        <v>0</v>
      </c>
      <c r="AW95">
        <v>2</v>
      </c>
      <c r="AX95">
        <v>16745394</v>
      </c>
      <c r="AY95">
        <v>1</v>
      </c>
      <c r="AZ95">
        <v>0</v>
      </c>
      <c r="BA95">
        <v>100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Y95*Source!I91</f>
        <v>0</v>
      </c>
      <c r="CY95">
        <f>AA95</f>
        <v>0</v>
      </c>
      <c r="CZ95">
        <f>AE95</f>
        <v>0</v>
      </c>
      <c r="DA95">
        <f>AI95</f>
        <v>6.56</v>
      </c>
      <c r="DB95">
        <f>ROUND(ROUND(AT95*CZ95,2),2)</f>
        <v>0</v>
      </c>
      <c r="DC95">
        <f>ROUND(ROUND(AT95*AG95,2),2)</f>
        <v>0</v>
      </c>
    </row>
    <row r="96" spans="1:107" x14ac:dyDescent="0.2">
      <c r="A96">
        <f>ROW(Source!A91)</f>
        <v>91</v>
      </c>
      <c r="B96">
        <v>16742901</v>
      </c>
      <c r="C96">
        <v>16745381</v>
      </c>
      <c r="D96">
        <v>15197630</v>
      </c>
      <c r="E96">
        <v>1</v>
      </c>
      <c r="F96">
        <v>1</v>
      </c>
      <c r="G96">
        <v>1</v>
      </c>
      <c r="H96">
        <v>3</v>
      </c>
      <c r="I96" t="s">
        <v>218</v>
      </c>
      <c r="J96" t="s">
        <v>221</v>
      </c>
      <c r="K96" t="s">
        <v>219</v>
      </c>
      <c r="L96">
        <v>1301</v>
      </c>
      <c r="N96">
        <v>1003</v>
      </c>
      <c r="O96" t="s">
        <v>220</v>
      </c>
      <c r="P96" t="s">
        <v>220</v>
      </c>
      <c r="Q96">
        <v>1</v>
      </c>
      <c r="W96">
        <v>0</v>
      </c>
      <c r="X96">
        <v>1369221803</v>
      </c>
      <c r="Y96">
        <v>100</v>
      </c>
      <c r="AA96">
        <v>422.14</v>
      </c>
      <c r="AB96">
        <v>0</v>
      </c>
      <c r="AC96">
        <v>0</v>
      </c>
      <c r="AD96">
        <v>0</v>
      </c>
      <c r="AE96">
        <v>64.349999999999994</v>
      </c>
      <c r="AF96">
        <v>0</v>
      </c>
      <c r="AG96">
        <v>0</v>
      </c>
      <c r="AH96">
        <v>0</v>
      </c>
      <c r="AI96">
        <v>6.56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100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Y96*Source!I91</f>
        <v>16.400000000000002</v>
      </c>
      <c r="CY96">
        <f>AA96</f>
        <v>422.14</v>
      </c>
      <c r="CZ96">
        <f>AE96</f>
        <v>64.349999999999994</v>
      </c>
      <c r="DA96">
        <f>AI96</f>
        <v>6.56</v>
      </c>
      <c r="DB96">
        <f>ROUND(ROUND(AT96*CZ96,2),2)</f>
        <v>6435</v>
      </c>
      <c r="DC96">
        <f>ROUND(ROUND(AT96*AG96,2),2)</f>
        <v>0</v>
      </c>
    </row>
    <row r="97" spans="1:107" x14ac:dyDescent="0.2">
      <c r="A97">
        <f>ROW(Source!A91)</f>
        <v>91</v>
      </c>
      <c r="B97">
        <v>16742901</v>
      </c>
      <c r="C97">
        <v>16745381</v>
      </c>
      <c r="D97">
        <v>15197780</v>
      </c>
      <c r="E97">
        <v>1</v>
      </c>
      <c r="F97">
        <v>1</v>
      </c>
      <c r="G97">
        <v>1</v>
      </c>
      <c r="H97">
        <v>3</v>
      </c>
      <c r="I97" t="s">
        <v>1402</v>
      </c>
      <c r="J97" t="s">
        <v>1403</v>
      </c>
      <c r="K97" t="s">
        <v>1404</v>
      </c>
      <c r="L97">
        <v>1355</v>
      </c>
      <c r="N97">
        <v>1010</v>
      </c>
      <c r="O97" t="s">
        <v>843</v>
      </c>
      <c r="P97" t="s">
        <v>843</v>
      </c>
      <c r="Q97">
        <v>100</v>
      </c>
      <c r="W97">
        <v>0</v>
      </c>
      <c r="X97">
        <v>1709713925</v>
      </c>
      <c r="Y97">
        <v>4</v>
      </c>
      <c r="AA97">
        <v>328</v>
      </c>
      <c r="AB97">
        <v>0</v>
      </c>
      <c r="AC97">
        <v>0</v>
      </c>
      <c r="AD97">
        <v>0</v>
      </c>
      <c r="AE97">
        <v>50</v>
      </c>
      <c r="AF97">
        <v>0</v>
      </c>
      <c r="AG97">
        <v>0</v>
      </c>
      <c r="AH97">
        <v>0</v>
      </c>
      <c r="AI97">
        <v>6.56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6</v>
      </c>
      <c r="AT97">
        <v>4</v>
      </c>
      <c r="AU97" t="s">
        <v>6</v>
      </c>
      <c r="AV97">
        <v>0</v>
      </c>
      <c r="AW97">
        <v>2</v>
      </c>
      <c r="AX97">
        <v>16745395</v>
      </c>
      <c r="AY97">
        <v>1</v>
      </c>
      <c r="AZ97">
        <v>0</v>
      </c>
      <c r="BA97">
        <v>101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Y97*Source!I91</f>
        <v>0.65600000000000003</v>
      </c>
      <c r="CY97">
        <f>AA97</f>
        <v>328</v>
      </c>
      <c r="CZ97">
        <f>AE97</f>
        <v>50</v>
      </c>
      <c r="DA97">
        <f>AI97</f>
        <v>6.56</v>
      </c>
      <c r="DB97">
        <f>ROUND(ROUND(AT97*CZ97,2),2)</f>
        <v>200</v>
      </c>
      <c r="DC97">
        <f>ROUND(ROUND(AT97*AG97,2),2)</f>
        <v>0</v>
      </c>
    </row>
    <row r="98" spans="1:107" x14ac:dyDescent="0.2">
      <c r="A98">
        <f>ROW(Source!A91)</f>
        <v>91</v>
      </c>
      <c r="B98">
        <v>16742901</v>
      </c>
      <c r="C98">
        <v>16745381</v>
      </c>
      <c r="D98">
        <v>15204239</v>
      </c>
      <c r="E98">
        <v>1</v>
      </c>
      <c r="F98">
        <v>1</v>
      </c>
      <c r="G98">
        <v>1</v>
      </c>
      <c r="H98">
        <v>3</v>
      </c>
      <c r="I98" t="s">
        <v>1405</v>
      </c>
      <c r="J98" t="s">
        <v>1406</v>
      </c>
      <c r="K98" t="s">
        <v>1407</v>
      </c>
      <c r="L98">
        <v>1354</v>
      </c>
      <c r="N98">
        <v>1010</v>
      </c>
      <c r="O98" t="s">
        <v>73</v>
      </c>
      <c r="P98" t="s">
        <v>73</v>
      </c>
      <c r="Q98">
        <v>1</v>
      </c>
      <c r="W98">
        <v>0</v>
      </c>
      <c r="X98">
        <v>-1018551266</v>
      </c>
      <c r="Y98">
        <v>56.6</v>
      </c>
      <c r="AA98">
        <v>439.52</v>
      </c>
      <c r="AB98">
        <v>0</v>
      </c>
      <c r="AC98">
        <v>0</v>
      </c>
      <c r="AD98">
        <v>0</v>
      </c>
      <c r="AE98">
        <v>67</v>
      </c>
      <c r="AF98">
        <v>0</v>
      </c>
      <c r="AG98">
        <v>0</v>
      </c>
      <c r="AH98">
        <v>0</v>
      </c>
      <c r="AI98">
        <v>6.56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56.6</v>
      </c>
      <c r="AU98" t="s">
        <v>6</v>
      </c>
      <c r="AV98">
        <v>0</v>
      </c>
      <c r="AW98">
        <v>2</v>
      </c>
      <c r="AX98">
        <v>16745396</v>
      </c>
      <c r="AY98">
        <v>1</v>
      </c>
      <c r="AZ98">
        <v>0</v>
      </c>
      <c r="BA98">
        <v>102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Y98*Source!I91</f>
        <v>9.2824000000000009</v>
      </c>
      <c r="CY98">
        <f>AA98</f>
        <v>439.52</v>
      </c>
      <c r="CZ98">
        <f>AE98</f>
        <v>67</v>
      </c>
      <c r="DA98">
        <f>AI98</f>
        <v>6.56</v>
      </c>
      <c r="DB98">
        <f>ROUND(ROUND(AT98*CZ98,2),2)</f>
        <v>3792.2</v>
      </c>
      <c r="DC98">
        <f>ROUND(ROUND(AT98*AG98,2),2)</f>
        <v>0</v>
      </c>
    </row>
    <row r="99" spans="1:107" x14ac:dyDescent="0.2">
      <c r="A99">
        <f>ROW(Source!A94)</f>
        <v>94</v>
      </c>
      <c r="B99">
        <v>16742901</v>
      </c>
      <c r="C99">
        <v>16745399</v>
      </c>
      <c r="D99">
        <v>15435683</v>
      </c>
      <c r="E99">
        <v>1</v>
      </c>
      <c r="F99">
        <v>1</v>
      </c>
      <c r="G99">
        <v>1</v>
      </c>
      <c r="H99">
        <v>1</v>
      </c>
      <c r="I99" t="s">
        <v>1420</v>
      </c>
      <c r="J99" t="s">
        <v>6</v>
      </c>
      <c r="K99" t="s">
        <v>1421</v>
      </c>
      <c r="L99">
        <v>1191</v>
      </c>
      <c r="N99">
        <v>1013</v>
      </c>
      <c r="O99" t="s">
        <v>1287</v>
      </c>
      <c r="P99" t="s">
        <v>1287</v>
      </c>
      <c r="Q99">
        <v>1</v>
      </c>
      <c r="W99">
        <v>0</v>
      </c>
      <c r="X99">
        <v>-598469600</v>
      </c>
      <c r="Y99">
        <v>234.66899999999998</v>
      </c>
      <c r="AA99">
        <v>0</v>
      </c>
      <c r="AB99">
        <v>0</v>
      </c>
      <c r="AC99">
        <v>0</v>
      </c>
      <c r="AD99">
        <v>60.94</v>
      </c>
      <c r="AE99">
        <v>0</v>
      </c>
      <c r="AF99">
        <v>0</v>
      </c>
      <c r="AG99">
        <v>0</v>
      </c>
      <c r="AH99">
        <v>9.2899999999999991</v>
      </c>
      <c r="AI99">
        <v>1</v>
      </c>
      <c r="AJ99">
        <v>1</v>
      </c>
      <c r="AK99">
        <v>1</v>
      </c>
      <c r="AL99">
        <v>6.56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204.06</v>
      </c>
      <c r="AU99" t="s">
        <v>188</v>
      </c>
      <c r="AV99">
        <v>1</v>
      </c>
      <c r="AW99">
        <v>2</v>
      </c>
      <c r="AX99">
        <v>16745405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Y99*Source!I94</f>
        <v>76.056222899999995</v>
      </c>
      <c r="CY99">
        <f>AD99</f>
        <v>60.94</v>
      </c>
      <c r="CZ99">
        <f>AH99</f>
        <v>9.2899999999999991</v>
      </c>
      <c r="DA99">
        <f>AL99</f>
        <v>6.56</v>
      </c>
      <c r="DB99">
        <f>ROUND((ROUND(AT99*CZ99,2)*1.15),2)</f>
        <v>2180.08</v>
      </c>
      <c r="DC99">
        <f>ROUND((ROUND(AT99*AG99,2)*1.15),2)</f>
        <v>0</v>
      </c>
    </row>
    <row r="100" spans="1:107" x14ac:dyDescent="0.2">
      <c r="A100">
        <f>ROW(Source!A94)</f>
        <v>94</v>
      </c>
      <c r="B100">
        <v>16742901</v>
      </c>
      <c r="C100">
        <v>16745399</v>
      </c>
      <c r="D100">
        <v>15430395</v>
      </c>
      <c r="E100">
        <v>1</v>
      </c>
      <c r="F100">
        <v>1</v>
      </c>
      <c r="G100">
        <v>1</v>
      </c>
      <c r="H100">
        <v>1</v>
      </c>
      <c r="I100" t="s">
        <v>1293</v>
      </c>
      <c r="J100" t="s">
        <v>6</v>
      </c>
      <c r="K100" t="s">
        <v>1294</v>
      </c>
      <c r="L100">
        <v>1191</v>
      </c>
      <c r="N100">
        <v>1013</v>
      </c>
      <c r="O100" t="s">
        <v>1287</v>
      </c>
      <c r="P100" t="s">
        <v>1287</v>
      </c>
      <c r="Q100">
        <v>1</v>
      </c>
      <c r="W100">
        <v>0</v>
      </c>
      <c r="X100">
        <v>-1417349443</v>
      </c>
      <c r="Y100">
        <v>2.06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6.56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2.06</v>
      </c>
      <c r="AU100" t="s">
        <v>6</v>
      </c>
      <c r="AV100">
        <v>2</v>
      </c>
      <c r="AW100">
        <v>2</v>
      </c>
      <c r="AX100">
        <v>16745406</v>
      </c>
      <c r="AY100">
        <v>1</v>
      </c>
      <c r="AZ100">
        <v>2048</v>
      </c>
      <c r="BA100">
        <v>104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Y100*Source!I94</f>
        <v>0.66764599999999996</v>
      </c>
      <c r="CY100">
        <f>AD100</f>
        <v>0</v>
      </c>
      <c r="CZ100">
        <f>AH100</f>
        <v>0</v>
      </c>
      <c r="DA100">
        <f>AL100</f>
        <v>1</v>
      </c>
      <c r="DB100">
        <f>ROUND(ROUND(AT100*CZ100,2),2)</f>
        <v>0</v>
      </c>
      <c r="DC100">
        <f>ROUND(ROUND(AT100*AG100,2),2)</f>
        <v>0</v>
      </c>
    </row>
    <row r="101" spans="1:107" x14ac:dyDescent="0.2">
      <c r="A101">
        <f>ROW(Source!A94)</f>
        <v>94</v>
      </c>
      <c r="B101">
        <v>16742901</v>
      </c>
      <c r="C101">
        <v>16745399</v>
      </c>
      <c r="D101">
        <v>15247974</v>
      </c>
      <c r="E101">
        <v>1</v>
      </c>
      <c r="F101">
        <v>1</v>
      </c>
      <c r="G101">
        <v>1</v>
      </c>
      <c r="H101">
        <v>2</v>
      </c>
      <c r="I101" t="s">
        <v>1314</v>
      </c>
      <c r="J101" t="s">
        <v>1315</v>
      </c>
      <c r="K101" t="s">
        <v>1316</v>
      </c>
      <c r="L101">
        <v>1368</v>
      </c>
      <c r="N101">
        <v>1011</v>
      </c>
      <c r="O101" t="s">
        <v>1298</v>
      </c>
      <c r="P101" t="s">
        <v>1298</v>
      </c>
      <c r="Q101">
        <v>1</v>
      </c>
      <c r="W101">
        <v>0</v>
      </c>
      <c r="X101">
        <v>1188625873</v>
      </c>
      <c r="Y101">
        <v>2.5750000000000002</v>
      </c>
      <c r="AA101">
        <v>0</v>
      </c>
      <c r="AB101">
        <v>205.07</v>
      </c>
      <c r="AC101">
        <v>13.5</v>
      </c>
      <c r="AD101">
        <v>0</v>
      </c>
      <c r="AE101">
        <v>0</v>
      </c>
      <c r="AF101">
        <v>31.26</v>
      </c>
      <c r="AG101">
        <v>13.5</v>
      </c>
      <c r="AH101">
        <v>0</v>
      </c>
      <c r="AI101">
        <v>1</v>
      </c>
      <c r="AJ101">
        <v>6.56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2.06</v>
      </c>
      <c r="AU101" t="s">
        <v>187</v>
      </c>
      <c r="AV101">
        <v>0</v>
      </c>
      <c r="AW101">
        <v>2</v>
      </c>
      <c r="AX101">
        <v>16745407</v>
      </c>
      <c r="AY101">
        <v>1</v>
      </c>
      <c r="AZ101">
        <v>0</v>
      </c>
      <c r="BA101">
        <v>105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Y101*Source!I94</f>
        <v>0.83455750000000006</v>
      </c>
      <c r="CY101">
        <f>AB101</f>
        <v>205.07</v>
      </c>
      <c r="CZ101">
        <f>AF101</f>
        <v>31.26</v>
      </c>
      <c r="DA101">
        <f>AJ101</f>
        <v>6.56</v>
      </c>
      <c r="DB101">
        <f>ROUND((ROUND(AT101*CZ101,2)*1.25),2)</f>
        <v>80.5</v>
      </c>
      <c r="DC101">
        <f>ROUND((ROUND(AT101*AG101,2)*1.25),2)</f>
        <v>34.76</v>
      </c>
    </row>
    <row r="102" spans="1:107" x14ac:dyDescent="0.2">
      <c r="A102">
        <f>ROW(Source!A94)</f>
        <v>94</v>
      </c>
      <c r="B102">
        <v>16742901</v>
      </c>
      <c r="C102">
        <v>16745399</v>
      </c>
      <c r="D102">
        <v>15172819</v>
      </c>
      <c r="E102">
        <v>1</v>
      </c>
      <c r="F102">
        <v>1</v>
      </c>
      <c r="G102">
        <v>1</v>
      </c>
      <c r="H102">
        <v>3</v>
      </c>
      <c r="I102" t="s">
        <v>1422</v>
      </c>
      <c r="J102" t="s">
        <v>1423</v>
      </c>
      <c r="K102" t="s">
        <v>1424</v>
      </c>
      <c r="L102">
        <v>1339</v>
      </c>
      <c r="N102">
        <v>1007</v>
      </c>
      <c r="O102" t="s">
        <v>301</v>
      </c>
      <c r="P102" t="s">
        <v>301</v>
      </c>
      <c r="Q102">
        <v>1</v>
      </c>
      <c r="W102">
        <v>0</v>
      </c>
      <c r="X102">
        <v>-1813551736</v>
      </c>
      <c r="Y102">
        <v>4.3</v>
      </c>
      <c r="AA102">
        <v>3348.22</v>
      </c>
      <c r="AB102">
        <v>0</v>
      </c>
      <c r="AC102">
        <v>0</v>
      </c>
      <c r="AD102">
        <v>0</v>
      </c>
      <c r="AE102">
        <v>510.4</v>
      </c>
      <c r="AF102">
        <v>0</v>
      </c>
      <c r="AG102">
        <v>0</v>
      </c>
      <c r="AH102">
        <v>0</v>
      </c>
      <c r="AI102">
        <v>6.56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4.3</v>
      </c>
      <c r="AU102" t="s">
        <v>6</v>
      </c>
      <c r="AV102">
        <v>0</v>
      </c>
      <c r="AW102">
        <v>2</v>
      </c>
      <c r="AX102">
        <v>16745408</v>
      </c>
      <c r="AY102">
        <v>1</v>
      </c>
      <c r="AZ102">
        <v>0</v>
      </c>
      <c r="BA102">
        <v>106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Y102*Source!I94</f>
        <v>1.3936299999999999</v>
      </c>
      <c r="CY102">
        <f>AA102</f>
        <v>3348.22</v>
      </c>
      <c r="CZ102">
        <f>AE102</f>
        <v>510.4</v>
      </c>
      <c r="DA102">
        <f>AI102</f>
        <v>6.56</v>
      </c>
      <c r="DB102">
        <f>ROUND(ROUND(AT102*CZ102,2),2)</f>
        <v>2194.7199999999998</v>
      </c>
      <c r="DC102">
        <f>ROUND(ROUND(AT102*AG102,2),2)</f>
        <v>0</v>
      </c>
    </row>
    <row r="103" spans="1:107" x14ac:dyDescent="0.2">
      <c r="A103">
        <f>ROW(Source!A94)</f>
        <v>94</v>
      </c>
      <c r="B103">
        <v>16742901</v>
      </c>
      <c r="C103">
        <v>16745399</v>
      </c>
      <c r="D103">
        <v>15172875</v>
      </c>
      <c r="E103">
        <v>1</v>
      </c>
      <c r="F103">
        <v>1</v>
      </c>
      <c r="G103">
        <v>1</v>
      </c>
      <c r="H103">
        <v>3</v>
      </c>
      <c r="I103" t="s">
        <v>1425</v>
      </c>
      <c r="J103" t="s">
        <v>1426</v>
      </c>
      <c r="K103" t="s">
        <v>1427</v>
      </c>
      <c r="L103">
        <v>1339</v>
      </c>
      <c r="N103">
        <v>1007</v>
      </c>
      <c r="O103" t="s">
        <v>301</v>
      </c>
      <c r="P103" t="s">
        <v>301</v>
      </c>
      <c r="Q103">
        <v>1</v>
      </c>
      <c r="W103">
        <v>0</v>
      </c>
      <c r="X103">
        <v>-1001479081</v>
      </c>
      <c r="Y103">
        <v>0.1</v>
      </c>
      <c r="AA103">
        <v>3397.49</v>
      </c>
      <c r="AB103">
        <v>0</v>
      </c>
      <c r="AC103">
        <v>0</v>
      </c>
      <c r="AD103">
        <v>0</v>
      </c>
      <c r="AE103">
        <v>517.91</v>
      </c>
      <c r="AF103">
        <v>0</v>
      </c>
      <c r="AG103">
        <v>0</v>
      </c>
      <c r="AH103">
        <v>0</v>
      </c>
      <c r="AI103">
        <v>6.56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0.1</v>
      </c>
      <c r="AU103" t="s">
        <v>6</v>
      </c>
      <c r="AV103">
        <v>0</v>
      </c>
      <c r="AW103">
        <v>2</v>
      </c>
      <c r="AX103">
        <v>16745409</v>
      </c>
      <c r="AY103">
        <v>1</v>
      </c>
      <c r="AZ103">
        <v>0</v>
      </c>
      <c r="BA103">
        <v>107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Y103*Source!I94</f>
        <v>3.2410000000000001E-2</v>
      </c>
      <c r="CY103">
        <f>AA103</f>
        <v>3397.49</v>
      </c>
      <c r="CZ103">
        <f>AE103</f>
        <v>517.91</v>
      </c>
      <c r="DA103">
        <f>AI103</f>
        <v>6.56</v>
      </c>
      <c r="DB103">
        <f>ROUND(ROUND(AT103*CZ103,2),2)</f>
        <v>51.79</v>
      </c>
      <c r="DC103">
        <f>ROUND(ROUND(AT103*AG103,2),2)</f>
        <v>0</v>
      </c>
    </row>
    <row r="104" spans="1:107" x14ac:dyDescent="0.2">
      <c r="A104">
        <f>ROW(Source!A95)</f>
        <v>95</v>
      </c>
      <c r="B104">
        <v>16742901</v>
      </c>
      <c r="C104">
        <v>16745411</v>
      </c>
      <c r="D104">
        <v>15435609</v>
      </c>
      <c r="E104">
        <v>1</v>
      </c>
      <c r="F104">
        <v>1</v>
      </c>
      <c r="G104">
        <v>1</v>
      </c>
      <c r="H104">
        <v>1</v>
      </c>
      <c r="I104" t="s">
        <v>1291</v>
      </c>
      <c r="J104" t="s">
        <v>6</v>
      </c>
      <c r="K104" t="s">
        <v>1292</v>
      </c>
      <c r="L104">
        <v>1191</v>
      </c>
      <c r="N104">
        <v>1013</v>
      </c>
      <c r="O104" t="s">
        <v>1287</v>
      </c>
      <c r="P104" t="s">
        <v>1287</v>
      </c>
      <c r="Q104">
        <v>1</v>
      </c>
      <c r="W104">
        <v>0</v>
      </c>
      <c r="X104">
        <v>-814890593</v>
      </c>
      <c r="Y104">
        <v>49.334999999999994</v>
      </c>
      <c r="AA104">
        <v>0</v>
      </c>
      <c r="AB104">
        <v>0</v>
      </c>
      <c r="AC104">
        <v>0</v>
      </c>
      <c r="AD104">
        <v>58.84</v>
      </c>
      <c r="AE104">
        <v>0</v>
      </c>
      <c r="AF104">
        <v>0</v>
      </c>
      <c r="AG104">
        <v>0</v>
      </c>
      <c r="AH104">
        <v>8.9700000000000006</v>
      </c>
      <c r="AI104">
        <v>1</v>
      </c>
      <c r="AJ104">
        <v>1</v>
      </c>
      <c r="AK104">
        <v>1</v>
      </c>
      <c r="AL104">
        <v>6.56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6</v>
      </c>
      <c r="AT104">
        <v>42.9</v>
      </c>
      <c r="AU104" t="s">
        <v>188</v>
      </c>
      <c r="AV104">
        <v>1</v>
      </c>
      <c r="AW104">
        <v>2</v>
      </c>
      <c r="AX104">
        <v>16745421</v>
      </c>
      <c r="AY104">
        <v>1</v>
      </c>
      <c r="AZ104">
        <v>0</v>
      </c>
      <c r="BA104">
        <v>108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Y104*Source!I95</f>
        <v>15.989473499999997</v>
      </c>
      <c r="CY104">
        <f>AD104</f>
        <v>58.84</v>
      </c>
      <c r="CZ104">
        <f>AH104</f>
        <v>8.9700000000000006</v>
      </c>
      <c r="DA104">
        <f>AL104</f>
        <v>6.56</v>
      </c>
      <c r="DB104">
        <f>ROUND((ROUND(AT104*CZ104,2)*1.15),2)</f>
        <v>442.53</v>
      </c>
      <c r="DC104">
        <f>ROUND((ROUND(AT104*AG104,2)*1.15),2)</f>
        <v>0</v>
      </c>
    </row>
    <row r="105" spans="1:107" x14ac:dyDescent="0.2">
      <c r="A105">
        <f>ROW(Source!A95)</f>
        <v>95</v>
      </c>
      <c r="B105">
        <v>16742901</v>
      </c>
      <c r="C105">
        <v>16745411</v>
      </c>
      <c r="D105">
        <v>15430395</v>
      </c>
      <c r="E105">
        <v>1</v>
      </c>
      <c r="F105">
        <v>1</v>
      </c>
      <c r="G105">
        <v>1</v>
      </c>
      <c r="H105">
        <v>1</v>
      </c>
      <c r="I105" t="s">
        <v>1293</v>
      </c>
      <c r="J105" t="s">
        <v>6</v>
      </c>
      <c r="K105" t="s">
        <v>1294</v>
      </c>
      <c r="L105">
        <v>1191</v>
      </c>
      <c r="N105">
        <v>1013</v>
      </c>
      <c r="O105" t="s">
        <v>1287</v>
      </c>
      <c r="P105" t="s">
        <v>1287</v>
      </c>
      <c r="Q105">
        <v>1</v>
      </c>
      <c r="W105">
        <v>0</v>
      </c>
      <c r="X105">
        <v>-1417349443</v>
      </c>
      <c r="Y105">
        <v>0.17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6.56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0.17</v>
      </c>
      <c r="AU105" t="s">
        <v>6</v>
      </c>
      <c r="AV105">
        <v>2</v>
      </c>
      <c r="AW105">
        <v>2</v>
      </c>
      <c r="AX105">
        <v>16745422</v>
      </c>
      <c r="AY105">
        <v>1</v>
      </c>
      <c r="AZ105">
        <v>2048</v>
      </c>
      <c r="BA105">
        <v>109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Y105*Source!I95</f>
        <v>5.5097000000000007E-2</v>
      </c>
      <c r="CY105">
        <f>AD105</f>
        <v>0</v>
      </c>
      <c r="CZ105">
        <f>AH105</f>
        <v>0</v>
      </c>
      <c r="DA105">
        <f>AL105</f>
        <v>1</v>
      </c>
      <c r="DB105">
        <f>ROUND(ROUND(AT105*CZ105,2),2)</f>
        <v>0</v>
      </c>
      <c r="DC105">
        <f>ROUND(ROUND(AT105*AG105,2),2)</f>
        <v>0</v>
      </c>
    </row>
    <row r="106" spans="1:107" x14ac:dyDescent="0.2">
      <c r="A106">
        <f>ROW(Source!A95)</f>
        <v>95</v>
      </c>
      <c r="B106">
        <v>16742901</v>
      </c>
      <c r="C106">
        <v>16745411</v>
      </c>
      <c r="D106">
        <v>15247974</v>
      </c>
      <c r="E106">
        <v>1</v>
      </c>
      <c r="F106">
        <v>1</v>
      </c>
      <c r="G106">
        <v>1</v>
      </c>
      <c r="H106">
        <v>2</v>
      </c>
      <c r="I106" t="s">
        <v>1314</v>
      </c>
      <c r="J106" t="s">
        <v>1315</v>
      </c>
      <c r="K106" t="s">
        <v>1316</v>
      </c>
      <c r="L106">
        <v>1368</v>
      </c>
      <c r="N106">
        <v>1011</v>
      </c>
      <c r="O106" t="s">
        <v>1298</v>
      </c>
      <c r="P106" t="s">
        <v>1298</v>
      </c>
      <c r="Q106">
        <v>1</v>
      </c>
      <c r="W106">
        <v>0</v>
      </c>
      <c r="X106">
        <v>1188625873</v>
      </c>
      <c r="Y106">
        <v>2.5000000000000001E-2</v>
      </c>
      <c r="AA106">
        <v>0</v>
      </c>
      <c r="AB106">
        <v>205.07</v>
      </c>
      <c r="AC106">
        <v>13.5</v>
      </c>
      <c r="AD106">
        <v>0</v>
      </c>
      <c r="AE106">
        <v>0</v>
      </c>
      <c r="AF106">
        <v>31.26</v>
      </c>
      <c r="AG106">
        <v>13.5</v>
      </c>
      <c r="AH106">
        <v>0</v>
      </c>
      <c r="AI106">
        <v>1</v>
      </c>
      <c r="AJ106">
        <v>6.56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6</v>
      </c>
      <c r="AT106">
        <v>0.02</v>
      </c>
      <c r="AU106" t="s">
        <v>187</v>
      </c>
      <c r="AV106">
        <v>0</v>
      </c>
      <c r="AW106">
        <v>2</v>
      </c>
      <c r="AX106">
        <v>16745423</v>
      </c>
      <c r="AY106">
        <v>1</v>
      </c>
      <c r="AZ106">
        <v>0</v>
      </c>
      <c r="BA106">
        <v>110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Y106*Source!I95</f>
        <v>8.1025000000000003E-3</v>
      </c>
      <c r="CY106">
        <f>AB106</f>
        <v>205.07</v>
      </c>
      <c r="CZ106">
        <f>AF106</f>
        <v>31.26</v>
      </c>
      <c r="DA106">
        <f>AJ106</f>
        <v>6.56</v>
      </c>
      <c r="DB106">
        <f>ROUND((ROUND(AT106*CZ106,2)*1.25),2)</f>
        <v>0.79</v>
      </c>
      <c r="DC106">
        <f>ROUND((ROUND(AT106*AG106,2)*1.25),2)</f>
        <v>0.34</v>
      </c>
    </row>
    <row r="107" spans="1:107" x14ac:dyDescent="0.2">
      <c r="A107">
        <f>ROW(Source!A95)</f>
        <v>95</v>
      </c>
      <c r="B107">
        <v>16742901</v>
      </c>
      <c r="C107">
        <v>16745411</v>
      </c>
      <c r="D107">
        <v>15249073</v>
      </c>
      <c r="E107">
        <v>1</v>
      </c>
      <c r="F107">
        <v>1</v>
      </c>
      <c r="G107">
        <v>1</v>
      </c>
      <c r="H107">
        <v>2</v>
      </c>
      <c r="I107" t="s">
        <v>1299</v>
      </c>
      <c r="J107" t="s">
        <v>1300</v>
      </c>
      <c r="K107" t="s">
        <v>1301</v>
      </c>
      <c r="L107">
        <v>1368</v>
      </c>
      <c r="N107">
        <v>1011</v>
      </c>
      <c r="O107" t="s">
        <v>1298</v>
      </c>
      <c r="P107" t="s">
        <v>1298</v>
      </c>
      <c r="Q107">
        <v>1</v>
      </c>
      <c r="W107">
        <v>0</v>
      </c>
      <c r="X107">
        <v>1372534845</v>
      </c>
      <c r="Y107">
        <v>0.1875</v>
      </c>
      <c r="AA107">
        <v>0</v>
      </c>
      <c r="AB107">
        <v>431.06</v>
      </c>
      <c r="AC107">
        <v>11.6</v>
      </c>
      <c r="AD107">
        <v>0</v>
      </c>
      <c r="AE107">
        <v>0</v>
      </c>
      <c r="AF107">
        <v>65.709999999999994</v>
      </c>
      <c r="AG107">
        <v>11.6</v>
      </c>
      <c r="AH107">
        <v>0</v>
      </c>
      <c r="AI107">
        <v>1</v>
      </c>
      <c r="AJ107">
        <v>6.56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6</v>
      </c>
      <c r="AT107">
        <v>0.15</v>
      </c>
      <c r="AU107" t="s">
        <v>187</v>
      </c>
      <c r="AV107">
        <v>0</v>
      </c>
      <c r="AW107">
        <v>2</v>
      </c>
      <c r="AX107">
        <v>16745424</v>
      </c>
      <c r="AY107">
        <v>1</v>
      </c>
      <c r="AZ107">
        <v>0</v>
      </c>
      <c r="BA107">
        <v>111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Y107*Source!I95</f>
        <v>6.0768749999999996E-2</v>
      </c>
      <c r="CY107">
        <f>AB107</f>
        <v>431.06</v>
      </c>
      <c r="CZ107">
        <f>AF107</f>
        <v>65.709999999999994</v>
      </c>
      <c r="DA107">
        <f>AJ107</f>
        <v>6.56</v>
      </c>
      <c r="DB107">
        <f>ROUND((ROUND(AT107*CZ107,2)*1.25),2)</f>
        <v>12.33</v>
      </c>
      <c r="DC107">
        <f>ROUND((ROUND(AT107*AG107,2)*1.25),2)</f>
        <v>2.1800000000000002</v>
      </c>
    </row>
    <row r="108" spans="1:107" x14ac:dyDescent="0.2">
      <c r="A108">
        <f>ROW(Source!A95)</f>
        <v>95</v>
      </c>
      <c r="B108">
        <v>16742901</v>
      </c>
      <c r="C108">
        <v>16745411</v>
      </c>
      <c r="D108">
        <v>15170682</v>
      </c>
      <c r="E108">
        <v>1</v>
      </c>
      <c r="F108">
        <v>1</v>
      </c>
      <c r="G108">
        <v>1</v>
      </c>
      <c r="H108">
        <v>3</v>
      </c>
      <c r="I108" t="s">
        <v>1428</v>
      </c>
      <c r="J108" t="s">
        <v>1429</v>
      </c>
      <c r="K108" t="s">
        <v>1430</v>
      </c>
      <c r="L108">
        <v>1327</v>
      </c>
      <c r="N108">
        <v>1005</v>
      </c>
      <c r="O108" t="s">
        <v>193</v>
      </c>
      <c r="P108" t="s">
        <v>193</v>
      </c>
      <c r="Q108">
        <v>1</v>
      </c>
      <c r="W108">
        <v>0</v>
      </c>
      <c r="X108">
        <v>-1987926685</v>
      </c>
      <c r="Y108">
        <v>0.84</v>
      </c>
      <c r="AA108">
        <v>474.42</v>
      </c>
      <c r="AB108">
        <v>0</v>
      </c>
      <c r="AC108">
        <v>0</v>
      </c>
      <c r="AD108">
        <v>0</v>
      </c>
      <c r="AE108">
        <v>72.319999999999993</v>
      </c>
      <c r="AF108">
        <v>0</v>
      </c>
      <c r="AG108">
        <v>0</v>
      </c>
      <c r="AH108">
        <v>0</v>
      </c>
      <c r="AI108">
        <v>6.56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0.84</v>
      </c>
      <c r="AU108" t="s">
        <v>6</v>
      </c>
      <c r="AV108">
        <v>0</v>
      </c>
      <c r="AW108">
        <v>2</v>
      </c>
      <c r="AX108">
        <v>16745425</v>
      </c>
      <c r="AY108">
        <v>1</v>
      </c>
      <c r="AZ108">
        <v>0</v>
      </c>
      <c r="BA108">
        <v>112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Y108*Source!I95</f>
        <v>0.27224399999999999</v>
      </c>
      <c r="CY108">
        <f>AA108</f>
        <v>474.42</v>
      </c>
      <c r="CZ108">
        <f>AE108</f>
        <v>72.319999999999993</v>
      </c>
      <c r="DA108">
        <f>AI108</f>
        <v>6.56</v>
      </c>
      <c r="DB108">
        <f>ROUND(ROUND(AT108*CZ108,2),2)</f>
        <v>60.75</v>
      </c>
      <c r="DC108">
        <f>ROUND(ROUND(AT108*AG108,2),2)</f>
        <v>0</v>
      </c>
    </row>
    <row r="109" spans="1:107" x14ac:dyDescent="0.2">
      <c r="A109">
        <f>ROW(Source!A95)</f>
        <v>95</v>
      </c>
      <c r="B109">
        <v>16742901</v>
      </c>
      <c r="C109">
        <v>16745411</v>
      </c>
      <c r="D109">
        <v>15171018</v>
      </c>
      <c r="E109">
        <v>1</v>
      </c>
      <c r="F109">
        <v>1</v>
      </c>
      <c r="G109">
        <v>1</v>
      </c>
      <c r="H109">
        <v>3</v>
      </c>
      <c r="I109" t="s">
        <v>1431</v>
      </c>
      <c r="J109" t="s">
        <v>1432</v>
      </c>
      <c r="K109" t="s">
        <v>1433</v>
      </c>
      <c r="L109">
        <v>1346</v>
      </c>
      <c r="N109">
        <v>1009</v>
      </c>
      <c r="O109" t="s">
        <v>341</v>
      </c>
      <c r="P109" t="s">
        <v>341</v>
      </c>
      <c r="Q109">
        <v>1</v>
      </c>
      <c r="W109">
        <v>0</v>
      </c>
      <c r="X109">
        <v>813963326</v>
      </c>
      <c r="Y109">
        <v>0.31</v>
      </c>
      <c r="AA109">
        <v>11.94</v>
      </c>
      <c r="AB109">
        <v>0</v>
      </c>
      <c r="AC109">
        <v>0</v>
      </c>
      <c r="AD109">
        <v>0</v>
      </c>
      <c r="AE109">
        <v>1.82</v>
      </c>
      <c r="AF109">
        <v>0</v>
      </c>
      <c r="AG109">
        <v>0</v>
      </c>
      <c r="AH109">
        <v>0</v>
      </c>
      <c r="AI109">
        <v>6.56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0.31</v>
      </c>
      <c r="AU109" t="s">
        <v>6</v>
      </c>
      <c r="AV109">
        <v>0</v>
      </c>
      <c r="AW109">
        <v>2</v>
      </c>
      <c r="AX109">
        <v>16745426</v>
      </c>
      <c r="AY109">
        <v>1</v>
      </c>
      <c r="AZ109">
        <v>0</v>
      </c>
      <c r="BA109">
        <v>113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Y109*Source!I95</f>
        <v>0.100471</v>
      </c>
      <c r="CY109">
        <f>AA109</f>
        <v>11.94</v>
      </c>
      <c r="CZ109">
        <f>AE109</f>
        <v>1.82</v>
      </c>
      <c r="DA109">
        <f>AI109</f>
        <v>6.56</v>
      </c>
      <c r="DB109">
        <f>ROUND(ROUND(AT109*CZ109,2),2)</f>
        <v>0.56000000000000005</v>
      </c>
      <c r="DC109">
        <f>ROUND(ROUND(AT109*AG109,2),2)</f>
        <v>0</v>
      </c>
    </row>
    <row r="110" spans="1:107" x14ac:dyDescent="0.2">
      <c r="A110">
        <f>ROW(Source!A95)</f>
        <v>95</v>
      </c>
      <c r="B110">
        <v>16742901</v>
      </c>
      <c r="C110">
        <v>16745411</v>
      </c>
      <c r="D110">
        <v>15163054</v>
      </c>
      <c r="E110">
        <v>17</v>
      </c>
      <c r="F110">
        <v>1</v>
      </c>
      <c r="G110">
        <v>1</v>
      </c>
      <c r="H110">
        <v>3</v>
      </c>
      <c r="I110" t="s">
        <v>240</v>
      </c>
      <c r="J110" t="s">
        <v>6</v>
      </c>
      <c r="K110" t="s">
        <v>241</v>
      </c>
      <c r="L110">
        <v>1348</v>
      </c>
      <c r="N110">
        <v>1009</v>
      </c>
      <c r="O110" t="s">
        <v>100</v>
      </c>
      <c r="P110" t="s">
        <v>100</v>
      </c>
      <c r="Q110">
        <v>1000</v>
      </c>
      <c r="W110">
        <v>0</v>
      </c>
      <c r="X110">
        <v>1891904026</v>
      </c>
      <c r="Y110">
        <v>6.3E-2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6.56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6.3E-2</v>
      </c>
      <c r="AU110" t="s">
        <v>6</v>
      </c>
      <c r="AV110">
        <v>0</v>
      </c>
      <c r="AW110">
        <v>2</v>
      </c>
      <c r="AX110">
        <v>16745427</v>
      </c>
      <c r="AY110">
        <v>1</v>
      </c>
      <c r="AZ110">
        <v>0</v>
      </c>
      <c r="BA110">
        <v>114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Y110*Source!I95</f>
        <v>2.04183E-2</v>
      </c>
      <c r="CY110">
        <f>AA110</f>
        <v>0</v>
      </c>
      <c r="CZ110">
        <f>AE110</f>
        <v>0</v>
      </c>
      <c r="DA110">
        <f>AI110</f>
        <v>6.56</v>
      </c>
      <c r="DB110">
        <f>ROUND(ROUND(AT110*CZ110,2),2)</f>
        <v>0</v>
      </c>
      <c r="DC110">
        <f>ROUND(ROUND(AT110*AG110,2),2)</f>
        <v>0</v>
      </c>
    </row>
    <row r="111" spans="1:107" x14ac:dyDescent="0.2">
      <c r="A111">
        <f>ROW(Source!A95)</f>
        <v>95</v>
      </c>
      <c r="B111">
        <v>16742901</v>
      </c>
      <c r="C111">
        <v>16745411</v>
      </c>
      <c r="D111">
        <v>15203294</v>
      </c>
      <c r="E111">
        <v>1</v>
      </c>
      <c r="F111">
        <v>1</v>
      </c>
      <c r="G111">
        <v>1</v>
      </c>
      <c r="H111">
        <v>3</v>
      </c>
      <c r="I111" t="s">
        <v>236</v>
      </c>
      <c r="J111" t="s">
        <v>238</v>
      </c>
      <c r="K111" t="s">
        <v>237</v>
      </c>
      <c r="L111">
        <v>1348</v>
      </c>
      <c r="N111">
        <v>1009</v>
      </c>
      <c r="O111" t="s">
        <v>100</v>
      </c>
      <c r="P111" t="s">
        <v>100</v>
      </c>
      <c r="Q111">
        <v>1000</v>
      </c>
      <c r="W111">
        <v>0</v>
      </c>
      <c r="X111">
        <v>-906614062</v>
      </c>
      <c r="Y111">
        <v>6.3E-2</v>
      </c>
      <c r="AA111">
        <v>101325.1</v>
      </c>
      <c r="AB111">
        <v>0</v>
      </c>
      <c r="AC111">
        <v>0</v>
      </c>
      <c r="AD111">
        <v>0</v>
      </c>
      <c r="AE111">
        <v>15445.9</v>
      </c>
      <c r="AF111">
        <v>0</v>
      </c>
      <c r="AG111">
        <v>0</v>
      </c>
      <c r="AH111">
        <v>0</v>
      </c>
      <c r="AI111">
        <v>6.56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6.3E-2</v>
      </c>
      <c r="AU111" t="s">
        <v>6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Y111*Source!I95</f>
        <v>2.04183E-2</v>
      </c>
      <c r="CY111">
        <f>AA111</f>
        <v>101325.1</v>
      </c>
      <c r="CZ111">
        <f>AE111</f>
        <v>15445.9</v>
      </c>
      <c r="DA111">
        <f>AI111</f>
        <v>6.56</v>
      </c>
      <c r="DB111">
        <f>ROUND(ROUND(AT111*CZ111,2),2)</f>
        <v>973.09</v>
      </c>
      <c r="DC111">
        <f>ROUND(ROUND(AT111*AG111,2),2)</f>
        <v>0</v>
      </c>
    </row>
    <row r="112" spans="1:107" x14ac:dyDescent="0.2">
      <c r="A112">
        <f>ROW(Source!A95)</f>
        <v>95</v>
      </c>
      <c r="B112">
        <v>16742901</v>
      </c>
      <c r="C112">
        <v>16745411</v>
      </c>
      <c r="D112">
        <v>15204729</v>
      </c>
      <c r="E112">
        <v>1</v>
      </c>
      <c r="F112">
        <v>1</v>
      </c>
      <c r="G112">
        <v>1</v>
      </c>
      <c r="H112">
        <v>3</v>
      </c>
      <c r="I112" t="s">
        <v>1434</v>
      </c>
      <c r="J112" t="s">
        <v>1435</v>
      </c>
      <c r="K112" t="s">
        <v>1436</v>
      </c>
      <c r="L112">
        <v>1348</v>
      </c>
      <c r="N112">
        <v>1009</v>
      </c>
      <c r="O112" t="s">
        <v>100</v>
      </c>
      <c r="P112" t="s">
        <v>100</v>
      </c>
      <c r="Q112">
        <v>1000</v>
      </c>
      <c r="W112">
        <v>0</v>
      </c>
      <c r="X112">
        <v>-2084827333</v>
      </c>
      <c r="Y112">
        <v>5.0999999999999997E-2</v>
      </c>
      <c r="AA112">
        <v>28168.639999999999</v>
      </c>
      <c r="AB112">
        <v>0</v>
      </c>
      <c r="AC112">
        <v>0</v>
      </c>
      <c r="AD112">
        <v>0</v>
      </c>
      <c r="AE112">
        <v>4294</v>
      </c>
      <c r="AF112">
        <v>0</v>
      </c>
      <c r="AG112">
        <v>0</v>
      </c>
      <c r="AH112">
        <v>0</v>
      </c>
      <c r="AI112">
        <v>6.56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5.0999999999999997E-2</v>
      </c>
      <c r="AU112" t="s">
        <v>6</v>
      </c>
      <c r="AV112">
        <v>0</v>
      </c>
      <c r="AW112">
        <v>2</v>
      </c>
      <c r="AX112">
        <v>16745428</v>
      </c>
      <c r="AY112">
        <v>1</v>
      </c>
      <c r="AZ112">
        <v>0</v>
      </c>
      <c r="BA112">
        <v>115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Y112*Source!I95</f>
        <v>1.6529099999999998E-2</v>
      </c>
      <c r="CY112">
        <f>AA112</f>
        <v>28168.639999999999</v>
      </c>
      <c r="CZ112">
        <f>AE112</f>
        <v>4294</v>
      </c>
      <c r="DA112">
        <f>AI112</f>
        <v>6.56</v>
      </c>
      <c r="DB112">
        <f>ROUND(ROUND(AT112*CZ112,2),2)</f>
        <v>218.99</v>
      </c>
      <c r="DC112">
        <f>ROUND(ROUND(AT112*AG112,2),2)</f>
        <v>0</v>
      </c>
    </row>
    <row r="113" spans="1:107" x14ac:dyDescent="0.2">
      <c r="A113">
        <f>ROW(Source!A98)</f>
        <v>98</v>
      </c>
      <c r="B113">
        <v>16742901</v>
      </c>
      <c r="C113">
        <v>16745431</v>
      </c>
      <c r="D113">
        <v>15446300</v>
      </c>
      <c r="E113">
        <v>1</v>
      </c>
      <c r="F113">
        <v>1</v>
      </c>
      <c r="G113">
        <v>1</v>
      </c>
      <c r="H113">
        <v>1</v>
      </c>
      <c r="I113" t="s">
        <v>1437</v>
      </c>
      <c r="J113" t="s">
        <v>6</v>
      </c>
      <c r="K113" t="s">
        <v>1438</v>
      </c>
      <c r="L113">
        <v>1191</v>
      </c>
      <c r="N113">
        <v>1013</v>
      </c>
      <c r="O113" t="s">
        <v>1287</v>
      </c>
      <c r="P113" t="s">
        <v>1287</v>
      </c>
      <c r="Q113">
        <v>1</v>
      </c>
      <c r="W113">
        <v>0</v>
      </c>
      <c r="X113">
        <v>912892513</v>
      </c>
      <c r="Y113">
        <v>2.76</v>
      </c>
      <c r="AA113">
        <v>0</v>
      </c>
      <c r="AB113">
        <v>0</v>
      </c>
      <c r="AC113">
        <v>0</v>
      </c>
      <c r="AD113">
        <v>65.08</v>
      </c>
      <c r="AE113">
        <v>0</v>
      </c>
      <c r="AF113">
        <v>0</v>
      </c>
      <c r="AG113">
        <v>0</v>
      </c>
      <c r="AH113">
        <v>9.92</v>
      </c>
      <c r="AI113">
        <v>1</v>
      </c>
      <c r="AJ113">
        <v>1</v>
      </c>
      <c r="AK113">
        <v>1</v>
      </c>
      <c r="AL113">
        <v>6.56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2.4</v>
      </c>
      <c r="AU113" t="s">
        <v>188</v>
      </c>
      <c r="AV113">
        <v>1</v>
      </c>
      <c r="AW113">
        <v>2</v>
      </c>
      <c r="AX113">
        <v>16745442</v>
      </c>
      <c r="AY113">
        <v>1</v>
      </c>
      <c r="AZ113">
        <v>0</v>
      </c>
      <c r="BA113">
        <v>116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Y113*Source!I98</f>
        <v>29.808</v>
      </c>
      <c r="CY113">
        <f>AD113</f>
        <v>65.08</v>
      </c>
      <c r="CZ113">
        <f>AH113</f>
        <v>9.92</v>
      </c>
      <c r="DA113">
        <f>AL113</f>
        <v>6.56</v>
      </c>
      <c r="DB113">
        <f>ROUND((ROUND(AT113*CZ113,2)*1.15),2)</f>
        <v>27.38</v>
      </c>
      <c r="DC113">
        <f>ROUND((ROUND(AT113*AG113,2)*1.15),2)</f>
        <v>0</v>
      </c>
    </row>
    <row r="114" spans="1:107" x14ac:dyDescent="0.2">
      <c r="A114">
        <f>ROW(Source!A98)</f>
        <v>98</v>
      </c>
      <c r="B114">
        <v>16742901</v>
      </c>
      <c r="C114">
        <v>16745431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1293</v>
      </c>
      <c r="J114" t="s">
        <v>6</v>
      </c>
      <c r="K114" t="s">
        <v>1294</v>
      </c>
      <c r="L114">
        <v>1191</v>
      </c>
      <c r="N114">
        <v>1013</v>
      </c>
      <c r="O114" t="s">
        <v>1287</v>
      </c>
      <c r="P114" t="s">
        <v>1287</v>
      </c>
      <c r="Q114">
        <v>1</v>
      </c>
      <c r="W114">
        <v>0</v>
      </c>
      <c r="X114">
        <v>-1417349443</v>
      </c>
      <c r="Y114">
        <v>0.17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6.56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0.17</v>
      </c>
      <c r="AU114" t="s">
        <v>6</v>
      </c>
      <c r="AV114">
        <v>2</v>
      </c>
      <c r="AW114">
        <v>2</v>
      </c>
      <c r="AX114">
        <v>16745443</v>
      </c>
      <c r="AY114">
        <v>1</v>
      </c>
      <c r="AZ114">
        <v>2048</v>
      </c>
      <c r="BA114">
        <v>117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Y114*Source!I98</f>
        <v>1.8360000000000003</v>
      </c>
      <c r="CY114">
        <f>AD114</f>
        <v>0</v>
      </c>
      <c r="CZ114">
        <f>AH114</f>
        <v>0</v>
      </c>
      <c r="DA114">
        <f>AL114</f>
        <v>1</v>
      </c>
      <c r="DB114">
        <f>ROUND(ROUND(AT114*CZ114,2),2)</f>
        <v>0</v>
      </c>
      <c r="DC114">
        <f>ROUND(ROUND(AT114*AG114,2),2)</f>
        <v>0</v>
      </c>
    </row>
    <row r="115" spans="1:107" x14ac:dyDescent="0.2">
      <c r="A115">
        <f>ROW(Source!A98)</f>
        <v>98</v>
      </c>
      <c r="B115">
        <v>16742901</v>
      </c>
      <c r="C115">
        <v>16745431</v>
      </c>
      <c r="D115">
        <v>15249073</v>
      </c>
      <c r="E115">
        <v>1</v>
      </c>
      <c r="F115">
        <v>1</v>
      </c>
      <c r="G115">
        <v>1</v>
      </c>
      <c r="H115">
        <v>2</v>
      </c>
      <c r="I115" t="s">
        <v>1299</v>
      </c>
      <c r="J115" t="s">
        <v>1300</v>
      </c>
      <c r="K115" t="s">
        <v>1301</v>
      </c>
      <c r="L115">
        <v>1368</v>
      </c>
      <c r="N115">
        <v>1011</v>
      </c>
      <c r="O115" t="s">
        <v>1298</v>
      </c>
      <c r="P115" t="s">
        <v>1298</v>
      </c>
      <c r="Q115">
        <v>1</v>
      </c>
      <c r="W115">
        <v>0</v>
      </c>
      <c r="X115">
        <v>1372534845</v>
      </c>
      <c r="Y115">
        <v>0.21250000000000002</v>
      </c>
      <c r="AA115">
        <v>0</v>
      </c>
      <c r="AB115">
        <v>431.06</v>
      </c>
      <c r="AC115">
        <v>11.6</v>
      </c>
      <c r="AD115">
        <v>0</v>
      </c>
      <c r="AE115">
        <v>0</v>
      </c>
      <c r="AF115">
        <v>65.709999999999994</v>
      </c>
      <c r="AG115">
        <v>11.6</v>
      </c>
      <c r="AH115">
        <v>0</v>
      </c>
      <c r="AI115">
        <v>1</v>
      </c>
      <c r="AJ115">
        <v>6.56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0.17</v>
      </c>
      <c r="AU115" t="s">
        <v>187</v>
      </c>
      <c r="AV115">
        <v>0</v>
      </c>
      <c r="AW115">
        <v>2</v>
      </c>
      <c r="AX115">
        <v>16745444</v>
      </c>
      <c r="AY115">
        <v>1</v>
      </c>
      <c r="AZ115">
        <v>0</v>
      </c>
      <c r="BA115">
        <v>118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Y115*Source!I98</f>
        <v>2.2950000000000004</v>
      </c>
      <c r="CY115">
        <f>AB115</f>
        <v>431.06</v>
      </c>
      <c r="CZ115">
        <f>AF115</f>
        <v>65.709999999999994</v>
      </c>
      <c r="DA115">
        <f>AJ115</f>
        <v>6.56</v>
      </c>
      <c r="DB115">
        <f>ROUND((ROUND(AT115*CZ115,2)*1.25),2)</f>
        <v>13.96</v>
      </c>
      <c r="DC115">
        <f>ROUND((ROUND(AT115*AG115,2)*1.25),2)</f>
        <v>2.46</v>
      </c>
    </row>
    <row r="116" spans="1:107" x14ac:dyDescent="0.2">
      <c r="A116">
        <f>ROW(Source!A98)</f>
        <v>98</v>
      </c>
      <c r="B116">
        <v>16742901</v>
      </c>
      <c r="C116">
        <v>16745431</v>
      </c>
      <c r="D116">
        <v>15249377</v>
      </c>
      <c r="E116">
        <v>1</v>
      </c>
      <c r="F116">
        <v>1</v>
      </c>
      <c r="G116">
        <v>1</v>
      </c>
      <c r="H116">
        <v>2</v>
      </c>
      <c r="I116" t="s">
        <v>1302</v>
      </c>
      <c r="J116" t="s">
        <v>1303</v>
      </c>
      <c r="K116" t="s">
        <v>1304</v>
      </c>
      <c r="L116">
        <v>1368</v>
      </c>
      <c r="N116">
        <v>1011</v>
      </c>
      <c r="O116" t="s">
        <v>1298</v>
      </c>
      <c r="P116" t="s">
        <v>1298</v>
      </c>
      <c r="Q116">
        <v>1</v>
      </c>
      <c r="W116">
        <v>0</v>
      </c>
      <c r="X116">
        <v>-353815937</v>
      </c>
      <c r="Y116">
        <v>0.5</v>
      </c>
      <c r="AA116">
        <v>0</v>
      </c>
      <c r="AB116">
        <v>53.14</v>
      </c>
      <c r="AC116">
        <v>0</v>
      </c>
      <c r="AD116">
        <v>0</v>
      </c>
      <c r="AE116">
        <v>0</v>
      </c>
      <c r="AF116">
        <v>8.1</v>
      </c>
      <c r="AG116">
        <v>0</v>
      </c>
      <c r="AH116">
        <v>0</v>
      </c>
      <c r="AI116">
        <v>1</v>
      </c>
      <c r="AJ116">
        <v>6.56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0.4</v>
      </c>
      <c r="AU116" t="s">
        <v>187</v>
      </c>
      <c r="AV116">
        <v>0</v>
      </c>
      <c r="AW116">
        <v>2</v>
      </c>
      <c r="AX116">
        <v>16745445</v>
      </c>
      <c r="AY116">
        <v>1</v>
      </c>
      <c r="AZ116">
        <v>0</v>
      </c>
      <c r="BA116">
        <v>119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Y116*Source!I98</f>
        <v>5.4</v>
      </c>
      <c r="CY116">
        <f>AB116</f>
        <v>53.14</v>
      </c>
      <c r="CZ116">
        <f>AF116</f>
        <v>8.1</v>
      </c>
      <c r="DA116">
        <f>AJ116</f>
        <v>6.56</v>
      </c>
      <c r="DB116">
        <f>ROUND((ROUND(AT116*CZ116,2)*1.25),2)</f>
        <v>4.05</v>
      </c>
      <c r="DC116">
        <f>ROUND((ROUND(AT116*AG116,2)*1.25),2)</f>
        <v>0</v>
      </c>
    </row>
    <row r="117" spans="1:107" x14ac:dyDescent="0.2">
      <c r="A117">
        <f>ROW(Source!A98)</f>
        <v>98</v>
      </c>
      <c r="B117">
        <v>16742901</v>
      </c>
      <c r="C117">
        <v>16745431</v>
      </c>
      <c r="D117">
        <v>15167322</v>
      </c>
      <c r="E117">
        <v>1</v>
      </c>
      <c r="F117">
        <v>1</v>
      </c>
      <c r="G117">
        <v>1</v>
      </c>
      <c r="H117">
        <v>3</v>
      </c>
      <c r="I117" t="s">
        <v>247</v>
      </c>
      <c r="J117" t="s">
        <v>250</v>
      </c>
      <c r="K117" t="s">
        <v>248</v>
      </c>
      <c r="L117">
        <v>1035</v>
      </c>
      <c r="N117">
        <v>1013</v>
      </c>
      <c r="O117" t="s">
        <v>249</v>
      </c>
      <c r="P117" t="s">
        <v>249</v>
      </c>
      <c r="Q117">
        <v>1</v>
      </c>
      <c r="W117">
        <v>0</v>
      </c>
      <c r="X117">
        <v>203574032</v>
      </c>
      <c r="Y117">
        <v>0.35504599999999997</v>
      </c>
      <c r="AA117">
        <v>606.92999999999995</v>
      </c>
      <c r="AB117">
        <v>0</v>
      </c>
      <c r="AC117">
        <v>0</v>
      </c>
      <c r="AD117">
        <v>0</v>
      </c>
      <c r="AE117">
        <v>92.52</v>
      </c>
      <c r="AF117">
        <v>0</v>
      </c>
      <c r="AG117">
        <v>0</v>
      </c>
      <c r="AH117">
        <v>0</v>
      </c>
      <c r="AI117">
        <v>6.56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</v>
      </c>
      <c r="AT117">
        <v>0.35504599999999997</v>
      </c>
      <c r="AU117" t="s">
        <v>6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Y117*Source!I98</f>
        <v>3.8344968000000001</v>
      </c>
      <c r="CY117">
        <f t="shared" ref="CY117:CY122" si="19">AA117</f>
        <v>606.92999999999995</v>
      </c>
      <c r="CZ117">
        <f t="shared" ref="CZ117:CZ122" si="20">AE117</f>
        <v>92.52</v>
      </c>
      <c r="DA117">
        <f t="shared" ref="DA117:DA122" si="21">AI117</f>
        <v>6.56</v>
      </c>
      <c r="DB117">
        <f t="shared" ref="DB117:DB122" si="22">ROUND(ROUND(AT117*CZ117,2),2)</f>
        <v>32.85</v>
      </c>
      <c r="DC117">
        <f t="shared" ref="DC117:DC122" si="23">ROUND(ROUND(AT117*AG117,2),2)</f>
        <v>0</v>
      </c>
    </row>
    <row r="118" spans="1:107" x14ac:dyDescent="0.2">
      <c r="A118">
        <f>ROW(Source!A98)</f>
        <v>98</v>
      </c>
      <c r="B118">
        <v>16742901</v>
      </c>
      <c r="C118">
        <v>16745431</v>
      </c>
      <c r="D118">
        <v>15168750</v>
      </c>
      <c r="E118">
        <v>1</v>
      </c>
      <c r="F118">
        <v>1</v>
      </c>
      <c r="G118">
        <v>1</v>
      </c>
      <c r="H118">
        <v>3</v>
      </c>
      <c r="I118" t="s">
        <v>1439</v>
      </c>
      <c r="J118" t="s">
        <v>1440</v>
      </c>
      <c r="K118" t="s">
        <v>1441</v>
      </c>
      <c r="L118">
        <v>1348</v>
      </c>
      <c r="N118">
        <v>1009</v>
      </c>
      <c r="O118" t="s">
        <v>100</v>
      </c>
      <c r="P118" t="s">
        <v>100</v>
      </c>
      <c r="Q118">
        <v>1000</v>
      </c>
      <c r="W118">
        <v>0</v>
      </c>
      <c r="X118">
        <v>-714836380</v>
      </c>
      <c r="Y118">
        <v>1E-4</v>
      </c>
      <c r="AA118">
        <v>67666.47</v>
      </c>
      <c r="AB118">
        <v>0</v>
      </c>
      <c r="AC118">
        <v>0</v>
      </c>
      <c r="AD118">
        <v>0</v>
      </c>
      <c r="AE118">
        <v>10315.01</v>
      </c>
      <c r="AF118">
        <v>0</v>
      </c>
      <c r="AG118">
        <v>0</v>
      </c>
      <c r="AH118">
        <v>0</v>
      </c>
      <c r="AI118">
        <v>6.56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1E-4</v>
      </c>
      <c r="AU118" t="s">
        <v>6</v>
      </c>
      <c r="AV118">
        <v>0</v>
      </c>
      <c r="AW118">
        <v>2</v>
      </c>
      <c r="AX118">
        <v>16745447</v>
      </c>
      <c r="AY118">
        <v>1</v>
      </c>
      <c r="AZ118">
        <v>0</v>
      </c>
      <c r="BA118">
        <v>121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Y118*Source!I98</f>
        <v>1.0800000000000002E-3</v>
      </c>
      <c r="CY118">
        <f t="shared" si="19"/>
        <v>67666.47</v>
      </c>
      <c r="CZ118">
        <f t="shared" si="20"/>
        <v>10315.01</v>
      </c>
      <c r="DA118">
        <f t="shared" si="21"/>
        <v>6.56</v>
      </c>
      <c r="DB118">
        <f t="shared" si="22"/>
        <v>1.03</v>
      </c>
      <c r="DC118">
        <f t="shared" si="23"/>
        <v>0</v>
      </c>
    </row>
    <row r="119" spans="1:107" x14ac:dyDescent="0.2">
      <c r="A119">
        <f>ROW(Source!A98)</f>
        <v>98</v>
      </c>
      <c r="B119">
        <v>16742901</v>
      </c>
      <c r="C119">
        <v>16745431</v>
      </c>
      <c r="D119">
        <v>15162386</v>
      </c>
      <c r="E119">
        <v>17</v>
      </c>
      <c r="F119">
        <v>1</v>
      </c>
      <c r="G119">
        <v>1</v>
      </c>
      <c r="H119">
        <v>3</v>
      </c>
      <c r="I119" t="s">
        <v>256</v>
      </c>
      <c r="J119" t="s">
        <v>6</v>
      </c>
      <c r="K119" t="s">
        <v>257</v>
      </c>
      <c r="L119">
        <v>1327</v>
      </c>
      <c r="N119">
        <v>1005</v>
      </c>
      <c r="O119" t="s">
        <v>193</v>
      </c>
      <c r="P119" t="s">
        <v>193</v>
      </c>
      <c r="Q119">
        <v>1</v>
      </c>
      <c r="W119">
        <v>0</v>
      </c>
      <c r="X119">
        <v>-1261857363</v>
      </c>
      <c r="Y119">
        <v>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6.56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1</v>
      </c>
      <c r="AU119" t="s">
        <v>6</v>
      </c>
      <c r="AV119">
        <v>0</v>
      </c>
      <c r="AW119">
        <v>2</v>
      </c>
      <c r="AX119">
        <v>16745448</v>
      </c>
      <c r="AY119">
        <v>1</v>
      </c>
      <c r="AZ119">
        <v>0</v>
      </c>
      <c r="BA119">
        <v>122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Y119*Source!I98</f>
        <v>10.8</v>
      </c>
      <c r="CY119">
        <f t="shared" si="19"/>
        <v>0</v>
      </c>
      <c r="CZ119">
        <f t="shared" si="20"/>
        <v>0</v>
      </c>
      <c r="DA119">
        <f t="shared" si="21"/>
        <v>6.56</v>
      </c>
      <c r="DB119">
        <f t="shared" si="22"/>
        <v>0</v>
      </c>
      <c r="DC119">
        <f t="shared" si="23"/>
        <v>0</v>
      </c>
    </row>
    <row r="120" spans="1:107" x14ac:dyDescent="0.2">
      <c r="A120">
        <f>ROW(Source!A98)</f>
        <v>98</v>
      </c>
      <c r="B120">
        <v>16742901</v>
      </c>
      <c r="C120">
        <v>16745431</v>
      </c>
      <c r="D120">
        <v>15187349</v>
      </c>
      <c r="E120">
        <v>1</v>
      </c>
      <c r="F120">
        <v>1</v>
      </c>
      <c r="G120">
        <v>1</v>
      </c>
      <c r="H120">
        <v>3</v>
      </c>
      <c r="I120" t="s">
        <v>252</v>
      </c>
      <c r="J120" t="s">
        <v>254</v>
      </c>
      <c r="K120" t="s">
        <v>253</v>
      </c>
      <c r="L120">
        <v>1327</v>
      </c>
      <c r="N120">
        <v>1005</v>
      </c>
      <c r="O120" t="s">
        <v>193</v>
      </c>
      <c r="P120" t="s">
        <v>193</v>
      </c>
      <c r="Q120">
        <v>1</v>
      </c>
      <c r="W120">
        <v>0</v>
      </c>
      <c r="X120">
        <v>-1051400886</v>
      </c>
      <c r="Y120">
        <v>1</v>
      </c>
      <c r="AA120">
        <v>9611.1200000000008</v>
      </c>
      <c r="AB120">
        <v>0</v>
      </c>
      <c r="AC120">
        <v>0</v>
      </c>
      <c r="AD120">
        <v>0</v>
      </c>
      <c r="AE120">
        <v>1465.11</v>
      </c>
      <c r="AF120">
        <v>0</v>
      </c>
      <c r="AG120">
        <v>0</v>
      </c>
      <c r="AH120">
        <v>0</v>
      </c>
      <c r="AI120">
        <v>6.56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Y120*Source!I98</f>
        <v>10.8</v>
      </c>
      <c r="CY120">
        <f t="shared" si="19"/>
        <v>9611.1200000000008</v>
      </c>
      <c r="CZ120">
        <f t="shared" si="20"/>
        <v>1465.11</v>
      </c>
      <c r="DA120">
        <f t="shared" si="21"/>
        <v>6.56</v>
      </c>
      <c r="DB120">
        <f t="shared" si="22"/>
        <v>1465.11</v>
      </c>
      <c r="DC120">
        <f t="shared" si="23"/>
        <v>0</v>
      </c>
    </row>
    <row r="121" spans="1:107" x14ac:dyDescent="0.2">
      <c r="A121">
        <f>ROW(Source!A98)</f>
        <v>98</v>
      </c>
      <c r="B121">
        <v>16742901</v>
      </c>
      <c r="C121">
        <v>16745431</v>
      </c>
      <c r="D121">
        <v>15192019</v>
      </c>
      <c r="E121">
        <v>1</v>
      </c>
      <c r="F121">
        <v>1</v>
      </c>
      <c r="G121">
        <v>1</v>
      </c>
      <c r="H121">
        <v>3</v>
      </c>
      <c r="I121" t="s">
        <v>1442</v>
      </c>
      <c r="J121" t="s">
        <v>1443</v>
      </c>
      <c r="K121" t="s">
        <v>1444</v>
      </c>
      <c r="L121">
        <v>1348</v>
      </c>
      <c r="N121">
        <v>1009</v>
      </c>
      <c r="O121" t="s">
        <v>100</v>
      </c>
      <c r="P121" t="s">
        <v>100</v>
      </c>
      <c r="Q121">
        <v>1000</v>
      </c>
      <c r="W121">
        <v>0</v>
      </c>
      <c r="X121">
        <v>-751617735</v>
      </c>
      <c r="Y121">
        <v>3.0000000000000001E-3</v>
      </c>
      <c r="AA121">
        <v>38074.239999999998</v>
      </c>
      <c r="AB121">
        <v>0</v>
      </c>
      <c r="AC121">
        <v>0</v>
      </c>
      <c r="AD121">
        <v>0</v>
      </c>
      <c r="AE121">
        <v>5804</v>
      </c>
      <c r="AF121">
        <v>0</v>
      </c>
      <c r="AG121">
        <v>0</v>
      </c>
      <c r="AH121">
        <v>0</v>
      </c>
      <c r="AI121">
        <v>6.56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3.0000000000000001E-3</v>
      </c>
      <c r="AU121" t="s">
        <v>6</v>
      </c>
      <c r="AV121">
        <v>0</v>
      </c>
      <c r="AW121">
        <v>2</v>
      </c>
      <c r="AX121">
        <v>16745449</v>
      </c>
      <c r="AY121">
        <v>1</v>
      </c>
      <c r="AZ121">
        <v>0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Y121*Source!I98</f>
        <v>3.2400000000000005E-2</v>
      </c>
      <c r="CY121">
        <f t="shared" si="19"/>
        <v>38074.239999999998</v>
      </c>
      <c r="CZ121">
        <f t="shared" si="20"/>
        <v>5804</v>
      </c>
      <c r="DA121">
        <f t="shared" si="21"/>
        <v>6.56</v>
      </c>
      <c r="DB121">
        <f t="shared" si="22"/>
        <v>17.41</v>
      </c>
      <c r="DC121">
        <f t="shared" si="23"/>
        <v>0</v>
      </c>
    </row>
    <row r="122" spans="1:107" x14ac:dyDescent="0.2">
      <c r="A122">
        <f>ROW(Source!A98)</f>
        <v>98</v>
      </c>
      <c r="B122">
        <v>16742901</v>
      </c>
      <c r="C122">
        <v>16745431</v>
      </c>
      <c r="D122">
        <v>15204330</v>
      </c>
      <c r="E122">
        <v>1</v>
      </c>
      <c r="F122">
        <v>1</v>
      </c>
      <c r="G122">
        <v>1</v>
      </c>
      <c r="H122">
        <v>3</v>
      </c>
      <c r="I122" t="s">
        <v>1445</v>
      </c>
      <c r="J122" t="s">
        <v>1446</v>
      </c>
      <c r="K122" t="s">
        <v>1447</v>
      </c>
      <c r="L122">
        <v>1354</v>
      </c>
      <c r="N122">
        <v>1010</v>
      </c>
      <c r="O122" t="s">
        <v>73</v>
      </c>
      <c r="P122" t="s">
        <v>73</v>
      </c>
      <c r="Q122">
        <v>1</v>
      </c>
      <c r="W122">
        <v>0</v>
      </c>
      <c r="X122">
        <v>-1075270488</v>
      </c>
      <c r="Y122">
        <v>0.1</v>
      </c>
      <c r="AA122">
        <v>477.57</v>
      </c>
      <c r="AB122">
        <v>0</v>
      </c>
      <c r="AC122">
        <v>0</v>
      </c>
      <c r="AD122">
        <v>0</v>
      </c>
      <c r="AE122">
        <v>72.8</v>
      </c>
      <c r="AF122">
        <v>0</v>
      </c>
      <c r="AG122">
        <v>0</v>
      </c>
      <c r="AH122">
        <v>0</v>
      </c>
      <c r="AI122">
        <v>6.56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0.1</v>
      </c>
      <c r="AU122" t="s">
        <v>6</v>
      </c>
      <c r="AV122">
        <v>0</v>
      </c>
      <c r="AW122">
        <v>2</v>
      </c>
      <c r="AX122">
        <v>16745450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Y122*Source!I98</f>
        <v>1.08</v>
      </c>
      <c r="CY122">
        <f t="shared" si="19"/>
        <v>477.57</v>
      </c>
      <c r="CZ122">
        <f t="shared" si="20"/>
        <v>72.8</v>
      </c>
      <c r="DA122">
        <f t="shared" si="21"/>
        <v>6.56</v>
      </c>
      <c r="DB122">
        <f t="shared" si="22"/>
        <v>7.28</v>
      </c>
      <c r="DC122">
        <f t="shared" si="23"/>
        <v>0</v>
      </c>
    </row>
    <row r="123" spans="1:107" x14ac:dyDescent="0.2">
      <c r="A123">
        <f>ROW(Source!A102)</f>
        <v>102</v>
      </c>
      <c r="B123">
        <v>16742901</v>
      </c>
      <c r="C123">
        <v>16745454</v>
      </c>
      <c r="D123">
        <v>15446300</v>
      </c>
      <c r="E123">
        <v>1</v>
      </c>
      <c r="F123">
        <v>1</v>
      </c>
      <c r="G123">
        <v>1</v>
      </c>
      <c r="H123">
        <v>1</v>
      </c>
      <c r="I123" t="s">
        <v>1437</v>
      </c>
      <c r="J123" t="s">
        <v>6</v>
      </c>
      <c r="K123" t="s">
        <v>1438</v>
      </c>
      <c r="L123">
        <v>1191</v>
      </c>
      <c r="N123">
        <v>1013</v>
      </c>
      <c r="O123" t="s">
        <v>1287</v>
      </c>
      <c r="P123" t="s">
        <v>1287</v>
      </c>
      <c r="Q123">
        <v>1</v>
      </c>
      <c r="W123">
        <v>0</v>
      </c>
      <c r="X123">
        <v>912892513</v>
      </c>
      <c r="Y123">
        <v>1.2765</v>
      </c>
      <c r="AA123">
        <v>0</v>
      </c>
      <c r="AB123">
        <v>0</v>
      </c>
      <c r="AC123">
        <v>0</v>
      </c>
      <c r="AD123">
        <v>65.08</v>
      </c>
      <c r="AE123">
        <v>0</v>
      </c>
      <c r="AF123">
        <v>0</v>
      </c>
      <c r="AG123">
        <v>0</v>
      </c>
      <c r="AH123">
        <v>9.92</v>
      </c>
      <c r="AI123">
        <v>1</v>
      </c>
      <c r="AJ123">
        <v>1</v>
      </c>
      <c r="AK123">
        <v>1</v>
      </c>
      <c r="AL123">
        <v>6.56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1.1100000000000001</v>
      </c>
      <c r="AU123" t="s">
        <v>188</v>
      </c>
      <c r="AV123">
        <v>1</v>
      </c>
      <c r="AW123">
        <v>2</v>
      </c>
      <c r="AX123">
        <v>16745460</v>
      </c>
      <c r="AY123">
        <v>1</v>
      </c>
      <c r="AZ123">
        <v>0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Y123*Source!I102</f>
        <v>5.1059999999999999</v>
      </c>
      <c r="CY123">
        <f>AD123</f>
        <v>65.08</v>
      </c>
      <c r="CZ123">
        <f>AH123</f>
        <v>9.92</v>
      </c>
      <c r="DA123">
        <f>AL123</f>
        <v>6.56</v>
      </c>
      <c r="DB123">
        <f>ROUND((ROUND(AT123*CZ123,2)*1.15),2)</f>
        <v>12.66</v>
      </c>
      <c r="DC123">
        <f>ROUND((ROUND(AT123*AG123,2)*1.15),2)</f>
        <v>0</v>
      </c>
    </row>
    <row r="124" spans="1:107" x14ac:dyDescent="0.2">
      <c r="A124">
        <f>ROW(Source!A102)</f>
        <v>102</v>
      </c>
      <c r="B124">
        <v>16742901</v>
      </c>
      <c r="C124">
        <v>16745454</v>
      </c>
      <c r="D124">
        <v>15249377</v>
      </c>
      <c r="E124">
        <v>1</v>
      </c>
      <c r="F124">
        <v>1</v>
      </c>
      <c r="G124">
        <v>1</v>
      </c>
      <c r="H124">
        <v>2</v>
      </c>
      <c r="I124" t="s">
        <v>1302</v>
      </c>
      <c r="J124" t="s">
        <v>1303</v>
      </c>
      <c r="K124" t="s">
        <v>1304</v>
      </c>
      <c r="L124">
        <v>1368</v>
      </c>
      <c r="N124">
        <v>1011</v>
      </c>
      <c r="O124" t="s">
        <v>1298</v>
      </c>
      <c r="P124" t="s">
        <v>1298</v>
      </c>
      <c r="Q124">
        <v>1</v>
      </c>
      <c r="W124">
        <v>0</v>
      </c>
      <c r="X124">
        <v>-353815937</v>
      </c>
      <c r="Y124">
        <v>0.32500000000000001</v>
      </c>
      <c r="AA124">
        <v>0</v>
      </c>
      <c r="AB124">
        <v>53.14</v>
      </c>
      <c r="AC124">
        <v>0</v>
      </c>
      <c r="AD124">
        <v>0</v>
      </c>
      <c r="AE124">
        <v>0</v>
      </c>
      <c r="AF124">
        <v>8.1</v>
      </c>
      <c r="AG124">
        <v>0</v>
      </c>
      <c r="AH124">
        <v>0</v>
      </c>
      <c r="AI124">
        <v>1</v>
      </c>
      <c r="AJ124">
        <v>6.56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0.26</v>
      </c>
      <c r="AU124" t="s">
        <v>187</v>
      </c>
      <c r="AV124">
        <v>0</v>
      </c>
      <c r="AW124">
        <v>2</v>
      </c>
      <c r="AX124">
        <v>16745461</v>
      </c>
      <c r="AY124">
        <v>1</v>
      </c>
      <c r="AZ124">
        <v>0</v>
      </c>
      <c r="BA124">
        <v>126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Y124*Source!I102</f>
        <v>1.3</v>
      </c>
      <c r="CY124">
        <f>AB124</f>
        <v>53.14</v>
      </c>
      <c r="CZ124">
        <f>AF124</f>
        <v>8.1</v>
      </c>
      <c r="DA124">
        <f>AJ124</f>
        <v>6.56</v>
      </c>
      <c r="DB124">
        <f>ROUND((ROUND(AT124*CZ124,2)*1.25),2)</f>
        <v>2.64</v>
      </c>
      <c r="DC124">
        <f>ROUND((ROUND(AT124*AG124,2)*1.25),2)</f>
        <v>0</v>
      </c>
    </row>
    <row r="125" spans="1:107" x14ac:dyDescent="0.2">
      <c r="A125">
        <f>ROW(Source!A102)</f>
        <v>102</v>
      </c>
      <c r="B125">
        <v>16742901</v>
      </c>
      <c r="C125">
        <v>16745454</v>
      </c>
      <c r="D125">
        <v>15167307</v>
      </c>
      <c r="E125">
        <v>1</v>
      </c>
      <c r="F125">
        <v>1</v>
      </c>
      <c r="G125">
        <v>1</v>
      </c>
      <c r="H125">
        <v>3</v>
      </c>
      <c r="I125" t="s">
        <v>263</v>
      </c>
      <c r="J125" t="s">
        <v>265</v>
      </c>
      <c r="K125" t="s">
        <v>264</v>
      </c>
      <c r="L125">
        <v>1354</v>
      </c>
      <c r="N125">
        <v>1010</v>
      </c>
      <c r="O125" t="s">
        <v>73</v>
      </c>
      <c r="P125" t="s">
        <v>73</v>
      </c>
      <c r="Q125">
        <v>1</v>
      </c>
      <c r="W125">
        <v>0</v>
      </c>
      <c r="X125">
        <v>-462216632</v>
      </c>
      <c r="Y125">
        <v>1</v>
      </c>
      <c r="AA125">
        <v>2435.0700000000002</v>
      </c>
      <c r="AB125">
        <v>0</v>
      </c>
      <c r="AC125">
        <v>0</v>
      </c>
      <c r="AD125">
        <v>0</v>
      </c>
      <c r="AE125">
        <v>371.2</v>
      </c>
      <c r="AF125">
        <v>0</v>
      </c>
      <c r="AG125">
        <v>0</v>
      </c>
      <c r="AH125">
        <v>0</v>
      </c>
      <c r="AI125">
        <v>6.56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</v>
      </c>
      <c r="AT125">
        <v>1</v>
      </c>
      <c r="AU125" t="s">
        <v>6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Y125*Source!I102</f>
        <v>4</v>
      </c>
      <c r="CY125">
        <f>AA125</f>
        <v>2435.0700000000002</v>
      </c>
      <c r="CZ125">
        <f>AE125</f>
        <v>371.2</v>
      </c>
      <c r="DA125">
        <f>AI125</f>
        <v>6.56</v>
      </c>
      <c r="DB125">
        <f>ROUND(ROUND(AT125*CZ125,2),2)</f>
        <v>371.2</v>
      </c>
      <c r="DC125">
        <f>ROUND(ROUND(AT125*AG125,2),2)</f>
        <v>0</v>
      </c>
    </row>
    <row r="126" spans="1:107" x14ac:dyDescent="0.2">
      <c r="A126">
        <f>ROW(Source!A102)</f>
        <v>102</v>
      </c>
      <c r="B126">
        <v>16742901</v>
      </c>
      <c r="C126">
        <v>16745454</v>
      </c>
      <c r="D126">
        <v>15168750</v>
      </c>
      <c r="E126">
        <v>1</v>
      </c>
      <c r="F126">
        <v>1</v>
      </c>
      <c r="G126">
        <v>1</v>
      </c>
      <c r="H126">
        <v>3</v>
      </c>
      <c r="I126" t="s">
        <v>1439</v>
      </c>
      <c r="J126" t="s">
        <v>1440</v>
      </c>
      <c r="K126" t="s">
        <v>1441</v>
      </c>
      <c r="L126">
        <v>1348</v>
      </c>
      <c r="N126">
        <v>1009</v>
      </c>
      <c r="O126" t="s">
        <v>100</v>
      </c>
      <c r="P126" t="s">
        <v>100</v>
      </c>
      <c r="Q126">
        <v>1000</v>
      </c>
      <c r="W126">
        <v>0</v>
      </c>
      <c r="X126">
        <v>-714836380</v>
      </c>
      <c r="Y126">
        <v>6.9999999999999994E-5</v>
      </c>
      <c r="AA126">
        <v>67666.47</v>
      </c>
      <c r="AB126">
        <v>0</v>
      </c>
      <c r="AC126">
        <v>0</v>
      </c>
      <c r="AD126">
        <v>0</v>
      </c>
      <c r="AE126">
        <v>10315.01</v>
      </c>
      <c r="AF126">
        <v>0</v>
      </c>
      <c r="AG126">
        <v>0</v>
      </c>
      <c r="AH126">
        <v>0</v>
      </c>
      <c r="AI126">
        <v>6.56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6.9999999999999994E-5</v>
      </c>
      <c r="AU126" t="s">
        <v>6</v>
      </c>
      <c r="AV126">
        <v>0</v>
      </c>
      <c r="AW126">
        <v>2</v>
      </c>
      <c r="AX126">
        <v>16745463</v>
      </c>
      <c r="AY126">
        <v>1</v>
      </c>
      <c r="AZ126">
        <v>0</v>
      </c>
      <c r="BA126">
        <v>128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Y126*Source!I102</f>
        <v>2.7999999999999998E-4</v>
      </c>
      <c r="CY126">
        <f>AA126</f>
        <v>67666.47</v>
      </c>
      <c r="CZ126">
        <f>AE126</f>
        <v>10315.01</v>
      </c>
      <c r="DA126">
        <f>AI126</f>
        <v>6.56</v>
      </c>
      <c r="DB126">
        <f>ROUND(ROUND(AT126*CZ126,2),2)</f>
        <v>0.72</v>
      </c>
      <c r="DC126">
        <f>ROUND(ROUND(AT126*AG126,2),2)</f>
        <v>0</v>
      </c>
    </row>
    <row r="127" spans="1:107" x14ac:dyDescent="0.2">
      <c r="A127">
        <f>ROW(Source!A102)</f>
        <v>102</v>
      </c>
      <c r="B127">
        <v>16742901</v>
      </c>
      <c r="C127">
        <v>16745454</v>
      </c>
      <c r="D127">
        <v>15169980</v>
      </c>
      <c r="E127">
        <v>1</v>
      </c>
      <c r="F127">
        <v>1</v>
      </c>
      <c r="G127">
        <v>1</v>
      </c>
      <c r="H127">
        <v>3</v>
      </c>
      <c r="I127" t="s">
        <v>1448</v>
      </c>
      <c r="J127" t="s">
        <v>1449</v>
      </c>
      <c r="K127" t="s">
        <v>1450</v>
      </c>
      <c r="L127">
        <v>1355</v>
      </c>
      <c r="N127">
        <v>1010</v>
      </c>
      <c r="O127" t="s">
        <v>843</v>
      </c>
      <c r="P127" t="s">
        <v>843</v>
      </c>
      <c r="Q127">
        <v>100</v>
      </c>
      <c r="W127">
        <v>0</v>
      </c>
      <c r="X127">
        <v>-670451344</v>
      </c>
      <c r="Y127">
        <v>8.0000000000000007E-5</v>
      </c>
      <c r="AA127">
        <v>131.19999999999999</v>
      </c>
      <c r="AB127">
        <v>0</v>
      </c>
      <c r="AC127">
        <v>0</v>
      </c>
      <c r="AD127">
        <v>0</v>
      </c>
      <c r="AE127">
        <v>20</v>
      </c>
      <c r="AF127">
        <v>0</v>
      </c>
      <c r="AG127">
        <v>0</v>
      </c>
      <c r="AH127">
        <v>0</v>
      </c>
      <c r="AI127">
        <v>6.56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8.0000000000000007E-5</v>
      </c>
      <c r="AU127" t="s">
        <v>6</v>
      </c>
      <c r="AV127">
        <v>0</v>
      </c>
      <c r="AW127">
        <v>2</v>
      </c>
      <c r="AX127">
        <v>16745464</v>
      </c>
      <c r="AY127">
        <v>1</v>
      </c>
      <c r="AZ127">
        <v>0</v>
      </c>
      <c r="BA127">
        <v>129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Y127*Source!I102</f>
        <v>3.2000000000000003E-4</v>
      </c>
      <c r="CY127">
        <f>AA127</f>
        <v>131.19999999999999</v>
      </c>
      <c r="CZ127">
        <f>AE127</f>
        <v>20</v>
      </c>
      <c r="DA127">
        <f>AI127</f>
        <v>6.56</v>
      </c>
      <c r="DB127">
        <f>ROUND(ROUND(AT127*CZ127,2),2)</f>
        <v>0</v>
      </c>
      <c r="DC127">
        <f>ROUND(ROUND(AT127*AG127,2),2)</f>
        <v>0</v>
      </c>
    </row>
    <row r="128" spans="1:107" x14ac:dyDescent="0.2">
      <c r="A128">
        <f>ROW(Source!A104)</f>
        <v>104</v>
      </c>
      <c r="B128">
        <v>16742901</v>
      </c>
      <c r="C128">
        <v>16745466</v>
      </c>
      <c r="D128">
        <v>15438286</v>
      </c>
      <c r="E128">
        <v>1</v>
      </c>
      <c r="F128">
        <v>1</v>
      </c>
      <c r="G128">
        <v>1</v>
      </c>
      <c r="H128">
        <v>1</v>
      </c>
      <c r="I128" t="s">
        <v>1451</v>
      </c>
      <c r="J128" t="s">
        <v>6</v>
      </c>
      <c r="K128" t="s">
        <v>1452</v>
      </c>
      <c r="L128">
        <v>1191</v>
      </c>
      <c r="N128">
        <v>1013</v>
      </c>
      <c r="O128" t="s">
        <v>1287</v>
      </c>
      <c r="P128" t="s">
        <v>1287</v>
      </c>
      <c r="Q128">
        <v>1</v>
      </c>
      <c r="W128">
        <v>0</v>
      </c>
      <c r="X128">
        <v>-1027537862</v>
      </c>
      <c r="Y128">
        <v>102.95949999999999</v>
      </c>
      <c r="AA128">
        <v>0</v>
      </c>
      <c r="AB128">
        <v>0</v>
      </c>
      <c r="AC128">
        <v>0</v>
      </c>
      <c r="AD128">
        <v>60.22</v>
      </c>
      <c r="AE128">
        <v>0</v>
      </c>
      <c r="AF128">
        <v>0</v>
      </c>
      <c r="AG128">
        <v>0</v>
      </c>
      <c r="AH128">
        <v>9.18</v>
      </c>
      <c r="AI128">
        <v>1</v>
      </c>
      <c r="AJ128">
        <v>1</v>
      </c>
      <c r="AK128">
        <v>1</v>
      </c>
      <c r="AL128">
        <v>6.56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89.53</v>
      </c>
      <c r="AU128" t="s">
        <v>188</v>
      </c>
      <c r="AV128">
        <v>1</v>
      </c>
      <c r="AW128">
        <v>2</v>
      </c>
      <c r="AX128">
        <v>16745479</v>
      </c>
      <c r="AY128">
        <v>1</v>
      </c>
      <c r="AZ128">
        <v>0</v>
      </c>
      <c r="BA128">
        <v>130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Y128*Source!I104</f>
        <v>6.2702335499999995</v>
      </c>
      <c r="CY128">
        <f>AD128</f>
        <v>60.22</v>
      </c>
      <c r="CZ128">
        <f>AH128</f>
        <v>9.18</v>
      </c>
      <c r="DA128">
        <f>AL128</f>
        <v>6.56</v>
      </c>
      <c r="DB128">
        <f>ROUND((ROUND(AT128*CZ128,2)*1.15),2)</f>
        <v>945.17</v>
      </c>
      <c r="DC128">
        <f>ROUND((ROUND(AT128*AG128,2)*1.15),2)</f>
        <v>0</v>
      </c>
    </row>
    <row r="129" spans="1:107" x14ac:dyDescent="0.2">
      <c r="A129">
        <f>ROW(Source!A104)</f>
        <v>104</v>
      </c>
      <c r="B129">
        <v>16742901</v>
      </c>
      <c r="C129">
        <v>16745466</v>
      </c>
      <c r="D129">
        <v>15430395</v>
      </c>
      <c r="E129">
        <v>1</v>
      </c>
      <c r="F129">
        <v>1</v>
      </c>
      <c r="G129">
        <v>1</v>
      </c>
      <c r="H129">
        <v>1</v>
      </c>
      <c r="I129" t="s">
        <v>1293</v>
      </c>
      <c r="J129" t="s">
        <v>6</v>
      </c>
      <c r="K129" t="s">
        <v>1294</v>
      </c>
      <c r="L129">
        <v>1191</v>
      </c>
      <c r="N129">
        <v>1013</v>
      </c>
      <c r="O129" t="s">
        <v>1287</v>
      </c>
      <c r="P129" t="s">
        <v>1287</v>
      </c>
      <c r="Q129">
        <v>1</v>
      </c>
      <c r="W129">
        <v>0</v>
      </c>
      <c r="X129">
        <v>-1417349443</v>
      </c>
      <c r="Y129">
        <v>11.68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6.56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11.68</v>
      </c>
      <c r="AU129" t="s">
        <v>6</v>
      </c>
      <c r="AV129">
        <v>2</v>
      </c>
      <c r="AW129">
        <v>2</v>
      </c>
      <c r="AX129">
        <v>16745480</v>
      </c>
      <c r="AY129">
        <v>1</v>
      </c>
      <c r="AZ129">
        <v>2048</v>
      </c>
      <c r="BA129">
        <v>131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Y129*Source!I104</f>
        <v>0.71131200000000006</v>
      </c>
      <c r="CY129">
        <f>AD129</f>
        <v>0</v>
      </c>
      <c r="CZ129">
        <f>AH129</f>
        <v>0</v>
      </c>
      <c r="DA129">
        <f>AL129</f>
        <v>1</v>
      </c>
      <c r="DB129">
        <f>ROUND(ROUND(AT129*CZ129,2),2)</f>
        <v>0</v>
      </c>
      <c r="DC129">
        <f>ROUND(ROUND(AT129*AG129,2),2)</f>
        <v>0</v>
      </c>
    </row>
    <row r="130" spans="1:107" x14ac:dyDescent="0.2">
      <c r="A130">
        <f>ROW(Source!A104)</f>
        <v>104</v>
      </c>
      <c r="B130">
        <v>16742901</v>
      </c>
      <c r="C130">
        <v>16745466</v>
      </c>
      <c r="D130">
        <v>15247578</v>
      </c>
      <c r="E130">
        <v>1</v>
      </c>
      <c r="F130">
        <v>1</v>
      </c>
      <c r="G130">
        <v>1</v>
      </c>
      <c r="H130">
        <v>2</v>
      </c>
      <c r="I130" t="s">
        <v>1408</v>
      </c>
      <c r="J130" t="s">
        <v>1409</v>
      </c>
      <c r="K130" t="s">
        <v>1410</v>
      </c>
      <c r="L130">
        <v>1368</v>
      </c>
      <c r="N130">
        <v>1011</v>
      </c>
      <c r="O130" t="s">
        <v>1298</v>
      </c>
      <c r="P130" t="s">
        <v>1298</v>
      </c>
      <c r="Q130">
        <v>1</v>
      </c>
      <c r="W130">
        <v>0</v>
      </c>
      <c r="X130">
        <v>-1460065968</v>
      </c>
      <c r="Y130">
        <v>12.112499999999999</v>
      </c>
      <c r="AA130">
        <v>0</v>
      </c>
      <c r="AB130">
        <v>566.78</v>
      </c>
      <c r="AC130">
        <v>13.5</v>
      </c>
      <c r="AD130">
        <v>0</v>
      </c>
      <c r="AE130">
        <v>0</v>
      </c>
      <c r="AF130">
        <v>86.4</v>
      </c>
      <c r="AG130">
        <v>13.5</v>
      </c>
      <c r="AH130">
        <v>0</v>
      </c>
      <c r="AI130">
        <v>1</v>
      </c>
      <c r="AJ130">
        <v>6.56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6</v>
      </c>
      <c r="AT130">
        <v>9.69</v>
      </c>
      <c r="AU130" t="s">
        <v>187</v>
      </c>
      <c r="AV130">
        <v>0</v>
      </c>
      <c r="AW130">
        <v>2</v>
      </c>
      <c r="AX130">
        <v>16745481</v>
      </c>
      <c r="AY130">
        <v>1</v>
      </c>
      <c r="AZ130">
        <v>0</v>
      </c>
      <c r="BA130">
        <v>132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Y130*Source!I104</f>
        <v>0.73765124999999998</v>
      </c>
      <c r="CY130">
        <f>AB130</f>
        <v>566.78</v>
      </c>
      <c r="CZ130">
        <f>AF130</f>
        <v>86.4</v>
      </c>
      <c r="DA130">
        <f>AJ130</f>
        <v>6.56</v>
      </c>
      <c r="DB130">
        <f>ROUND((ROUND(AT130*CZ130,2)*1.25),2)</f>
        <v>1046.53</v>
      </c>
      <c r="DC130">
        <f>ROUND((ROUND(AT130*AG130,2)*1.25),2)</f>
        <v>163.53</v>
      </c>
    </row>
    <row r="131" spans="1:107" x14ac:dyDescent="0.2">
      <c r="A131">
        <f>ROW(Source!A104)</f>
        <v>104</v>
      </c>
      <c r="B131">
        <v>16742901</v>
      </c>
      <c r="C131">
        <v>16745466</v>
      </c>
      <c r="D131">
        <v>15249073</v>
      </c>
      <c r="E131">
        <v>1</v>
      </c>
      <c r="F131">
        <v>1</v>
      </c>
      <c r="G131">
        <v>1</v>
      </c>
      <c r="H131">
        <v>2</v>
      </c>
      <c r="I131" t="s">
        <v>1299</v>
      </c>
      <c r="J131" t="s">
        <v>1300</v>
      </c>
      <c r="K131" t="s">
        <v>1301</v>
      </c>
      <c r="L131">
        <v>1368</v>
      </c>
      <c r="N131">
        <v>1011</v>
      </c>
      <c r="O131" t="s">
        <v>1298</v>
      </c>
      <c r="P131" t="s">
        <v>1298</v>
      </c>
      <c r="Q131">
        <v>1</v>
      </c>
      <c r="W131">
        <v>0</v>
      </c>
      <c r="X131">
        <v>1372534845</v>
      </c>
      <c r="Y131">
        <v>2.4874999999999998</v>
      </c>
      <c r="AA131">
        <v>0</v>
      </c>
      <c r="AB131">
        <v>431.06</v>
      </c>
      <c r="AC131">
        <v>11.6</v>
      </c>
      <c r="AD131">
        <v>0</v>
      </c>
      <c r="AE131">
        <v>0</v>
      </c>
      <c r="AF131">
        <v>65.709999999999994</v>
      </c>
      <c r="AG131">
        <v>11.6</v>
      </c>
      <c r="AH131">
        <v>0</v>
      </c>
      <c r="AI131">
        <v>1</v>
      </c>
      <c r="AJ131">
        <v>6.56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6</v>
      </c>
      <c r="AT131">
        <v>1.99</v>
      </c>
      <c r="AU131" t="s">
        <v>187</v>
      </c>
      <c r="AV131">
        <v>0</v>
      </c>
      <c r="AW131">
        <v>2</v>
      </c>
      <c r="AX131">
        <v>16745482</v>
      </c>
      <c r="AY131">
        <v>1</v>
      </c>
      <c r="AZ131">
        <v>0</v>
      </c>
      <c r="BA131">
        <v>133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Y131*Source!I104</f>
        <v>0.15148875000000001</v>
      </c>
      <c r="CY131">
        <f>AB131</f>
        <v>431.06</v>
      </c>
      <c r="CZ131">
        <f>AF131</f>
        <v>65.709999999999994</v>
      </c>
      <c r="DA131">
        <f>AJ131</f>
        <v>6.56</v>
      </c>
      <c r="DB131">
        <f>ROUND((ROUND(AT131*CZ131,2)*1.25),2)</f>
        <v>163.44999999999999</v>
      </c>
      <c r="DC131">
        <f>ROUND((ROUND(AT131*AG131,2)*1.25),2)</f>
        <v>28.85</v>
      </c>
    </row>
    <row r="132" spans="1:107" x14ac:dyDescent="0.2">
      <c r="A132">
        <f>ROW(Source!A104)</f>
        <v>104</v>
      </c>
      <c r="B132">
        <v>16742901</v>
      </c>
      <c r="C132">
        <v>16745466</v>
      </c>
      <c r="D132">
        <v>15167307</v>
      </c>
      <c r="E132">
        <v>1</v>
      </c>
      <c r="F132">
        <v>1</v>
      </c>
      <c r="G132">
        <v>1</v>
      </c>
      <c r="H132">
        <v>3</v>
      </c>
      <c r="I132" t="s">
        <v>263</v>
      </c>
      <c r="J132" t="s">
        <v>265</v>
      </c>
      <c r="K132" t="s">
        <v>264</v>
      </c>
      <c r="L132">
        <v>1354</v>
      </c>
      <c r="N132">
        <v>1010</v>
      </c>
      <c r="O132" t="s">
        <v>73</v>
      </c>
      <c r="P132" t="s">
        <v>73</v>
      </c>
      <c r="Q132">
        <v>1</v>
      </c>
      <c r="W132">
        <v>0</v>
      </c>
      <c r="X132">
        <v>-462216632</v>
      </c>
      <c r="Y132">
        <v>16.420361</v>
      </c>
      <c r="AA132">
        <v>2435.0700000000002</v>
      </c>
      <c r="AB132">
        <v>0</v>
      </c>
      <c r="AC132">
        <v>0</v>
      </c>
      <c r="AD132">
        <v>0</v>
      </c>
      <c r="AE132">
        <v>371.2</v>
      </c>
      <c r="AF132">
        <v>0</v>
      </c>
      <c r="AG132">
        <v>0</v>
      </c>
      <c r="AH132">
        <v>0</v>
      </c>
      <c r="AI132">
        <v>6.56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16.420361</v>
      </c>
      <c r="AU132" t="s">
        <v>6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Y132*Source!I104</f>
        <v>0.99999998490000008</v>
      </c>
      <c r="CY132">
        <f t="shared" ref="CY132:CY139" si="24">AA132</f>
        <v>2435.0700000000002</v>
      </c>
      <c r="CZ132">
        <f t="shared" ref="CZ132:CZ139" si="25">AE132</f>
        <v>371.2</v>
      </c>
      <c r="DA132">
        <f t="shared" ref="DA132:DA139" si="26">AI132</f>
        <v>6.56</v>
      </c>
      <c r="DB132">
        <f t="shared" ref="DB132:DB139" si="27">ROUND(ROUND(AT132*CZ132,2),2)</f>
        <v>6095.24</v>
      </c>
      <c r="DC132">
        <f t="shared" ref="DC132:DC139" si="28">ROUND(ROUND(AT132*AG132,2),2)</f>
        <v>0</v>
      </c>
    </row>
    <row r="133" spans="1:107" x14ac:dyDescent="0.2">
      <c r="A133">
        <f>ROW(Source!A104)</f>
        <v>104</v>
      </c>
      <c r="B133">
        <v>16742901</v>
      </c>
      <c r="C133">
        <v>16745466</v>
      </c>
      <c r="D133">
        <v>15167339</v>
      </c>
      <c r="E133">
        <v>1</v>
      </c>
      <c r="F133">
        <v>1</v>
      </c>
      <c r="G133">
        <v>1</v>
      </c>
      <c r="H133">
        <v>3</v>
      </c>
      <c r="I133" t="s">
        <v>275</v>
      </c>
      <c r="J133" t="s">
        <v>277</v>
      </c>
      <c r="K133" t="s">
        <v>276</v>
      </c>
      <c r="L133">
        <v>1035</v>
      </c>
      <c r="N133">
        <v>1013</v>
      </c>
      <c r="O133" t="s">
        <v>249</v>
      </c>
      <c r="P133" t="s">
        <v>249</v>
      </c>
      <c r="Q133">
        <v>1</v>
      </c>
      <c r="W133">
        <v>0</v>
      </c>
      <c r="X133">
        <v>602577485</v>
      </c>
      <c r="Y133">
        <v>49.261083999999997</v>
      </c>
      <c r="AA133">
        <v>621.1</v>
      </c>
      <c r="AB133">
        <v>0</v>
      </c>
      <c r="AC133">
        <v>0</v>
      </c>
      <c r="AD133">
        <v>0</v>
      </c>
      <c r="AE133">
        <v>94.68</v>
      </c>
      <c r="AF133">
        <v>0</v>
      </c>
      <c r="AG133">
        <v>0</v>
      </c>
      <c r="AH133">
        <v>0</v>
      </c>
      <c r="AI133">
        <v>6.56</v>
      </c>
      <c r="AJ133">
        <v>1</v>
      </c>
      <c r="AK133">
        <v>1</v>
      </c>
      <c r="AL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</v>
      </c>
      <c r="AT133">
        <v>49.261083999999997</v>
      </c>
      <c r="AU133" t="s">
        <v>6</v>
      </c>
      <c r="AV133">
        <v>0</v>
      </c>
      <c r="AW133">
        <v>1</v>
      </c>
      <c r="AX133">
        <v>-1</v>
      </c>
      <c r="AY133">
        <v>0</v>
      </c>
      <c r="AZ133">
        <v>0</v>
      </c>
      <c r="BA133" t="s">
        <v>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Y133*Source!I104</f>
        <v>3.0000000156</v>
      </c>
      <c r="CY133">
        <f t="shared" si="24"/>
        <v>621.1</v>
      </c>
      <c r="CZ133">
        <f t="shared" si="25"/>
        <v>94.68</v>
      </c>
      <c r="DA133">
        <f t="shared" si="26"/>
        <v>6.56</v>
      </c>
      <c r="DB133">
        <f t="shared" si="27"/>
        <v>4664.04</v>
      </c>
      <c r="DC133">
        <f t="shared" si="28"/>
        <v>0</v>
      </c>
    </row>
    <row r="134" spans="1:107" x14ac:dyDescent="0.2">
      <c r="A134">
        <f>ROW(Source!A104)</f>
        <v>104</v>
      </c>
      <c r="B134">
        <v>16742901</v>
      </c>
      <c r="C134">
        <v>16745466</v>
      </c>
      <c r="D134">
        <v>15170039</v>
      </c>
      <c r="E134">
        <v>1</v>
      </c>
      <c r="F134">
        <v>1</v>
      </c>
      <c r="G134">
        <v>1</v>
      </c>
      <c r="H134">
        <v>3</v>
      </c>
      <c r="I134" t="s">
        <v>1365</v>
      </c>
      <c r="J134" t="s">
        <v>1366</v>
      </c>
      <c r="K134" t="s">
        <v>1367</v>
      </c>
      <c r="L134">
        <v>1348</v>
      </c>
      <c r="N134">
        <v>1009</v>
      </c>
      <c r="O134" t="s">
        <v>100</v>
      </c>
      <c r="P134" t="s">
        <v>100</v>
      </c>
      <c r="Q134">
        <v>1000</v>
      </c>
      <c r="W134">
        <v>0</v>
      </c>
      <c r="X134">
        <v>1174701286</v>
      </c>
      <c r="Y134">
        <v>4.13E-3</v>
      </c>
      <c r="AA134">
        <v>78575.679999999993</v>
      </c>
      <c r="AB134">
        <v>0</v>
      </c>
      <c r="AC134">
        <v>0</v>
      </c>
      <c r="AD134">
        <v>0</v>
      </c>
      <c r="AE134">
        <v>11978</v>
      </c>
      <c r="AF134">
        <v>0</v>
      </c>
      <c r="AG134">
        <v>0</v>
      </c>
      <c r="AH134">
        <v>0</v>
      </c>
      <c r="AI134">
        <v>6.56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4.13E-3</v>
      </c>
      <c r="AU134" t="s">
        <v>6</v>
      </c>
      <c r="AV134">
        <v>0</v>
      </c>
      <c r="AW134">
        <v>2</v>
      </c>
      <c r="AX134">
        <v>16745484</v>
      </c>
      <c r="AY134">
        <v>1</v>
      </c>
      <c r="AZ134">
        <v>0</v>
      </c>
      <c r="BA134">
        <v>135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Y134*Source!I104</f>
        <v>2.5151699999999998E-4</v>
      </c>
      <c r="CY134">
        <f t="shared" si="24"/>
        <v>78575.679999999993</v>
      </c>
      <c r="CZ134">
        <f t="shared" si="25"/>
        <v>11978</v>
      </c>
      <c r="DA134">
        <f t="shared" si="26"/>
        <v>6.56</v>
      </c>
      <c r="DB134">
        <f t="shared" si="27"/>
        <v>49.47</v>
      </c>
      <c r="DC134">
        <f t="shared" si="28"/>
        <v>0</v>
      </c>
    </row>
    <row r="135" spans="1:107" x14ac:dyDescent="0.2">
      <c r="A135">
        <f>ROW(Source!A104)</f>
        <v>104</v>
      </c>
      <c r="B135">
        <v>16742901</v>
      </c>
      <c r="C135">
        <v>16745466</v>
      </c>
      <c r="D135">
        <v>15172818</v>
      </c>
      <c r="E135">
        <v>1</v>
      </c>
      <c r="F135">
        <v>1</v>
      </c>
      <c r="G135">
        <v>1</v>
      </c>
      <c r="H135">
        <v>3</v>
      </c>
      <c r="I135" t="s">
        <v>1453</v>
      </c>
      <c r="J135" t="s">
        <v>1454</v>
      </c>
      <c r="K135" t="s">
        <v>1455</v>
      </c>
      <c r="L135">
        <v>1339</v>
      </c>
      <c r="N135">
        <v>1007</v>
      </c>
      <c r="O135" t="s">
        <v>301</v>
      </c>
      <c r="P135" t="s">
        <v>301</v>
      </c>
      <c r="Q135">
        <v>1</v>
      </c>
      <c r="W135">
        <v>0</v>
      </c>
      <c r="X135">
        <v>-2072708995</v>
      </c>
      <c r="Y135">
        <v>0.105</v>
      </c>
      <c r="AA135">
        <v>3004.48</v>
      </c>
      <c r="AB135">
        <v>0</v>
      </c>
      <c r="AC135">
        <v>0</v>
      </c>
      <c r="AD135">
        <v>0</v>
      </c>
      <c r="AE135">
        <v>458</v>
      </c>
      <c r="AF135">
        <v>0</v>
      </c>
      <c r="AG135">
        <v>0</v>
      </c>
      <c r="AH135">
        <v>0</v>
      </c>
      <c r="AI135">
        <v>6.56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0.105</v>
      </c>
      <c r="AU135" t="s">
        <v>6</v>
      </c>
      <c r="AV135">
        <v>0</v>
      </c>
      <c r="AW135">
        <v>2</v>
      </c>
      <c r="AX135">
        <v>16745485</v>
      </c>
      <c r="AY135">
        <v>1</v>
      </c>
      <c r="AZ135">
        <v>0</v>
      </c>
      <c r="BA135">
        <v>136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Y135*Source!I104</f>
        <v>6.3945E-3</v>
      </c>
      <c r="CY135">
        <f t="shared" si="24"/>
        <v>3004.48</v>
      </c>
      <c r="CZ135">
        <f t="shared" si="25"/>
        <v>458</v>
      </c>
      <c r="DA135">
        <f t="shared" si="26"/>
        <v>6.56</v>
      </c>
      <c r="DB135">
        <f t="shared" si="27"/>
        <v>48.09</v>
      </c>
      <c r="DC135">
        <f t="shared" si="28"/>
        <v>0</v>
      </c>
    </row>
    <row r="136" spans="1:107" x14ac:dyDescent="0.2">
      <c r="A136">
        <f>ROW(Source!A104)</f>
        <v>104</v>
      </c>
      <c r="B136">
        <v>16742901</v>
      </c>
      <c r="C136">
        <v>16745466</v>
      </c>
      <c r="D136">
        <v>15196008</v>
      </c>
      <c r="E136">
        <v>1</v>
      </c>
      <c r="F136">
        <v>1</v>
      </c>
      <c r="G136">
        <v>1</v>
      </c>
      <c r="H136">
        <v>3</v>
      </c>
      <c r="I136" t="s">
        <v>1456</v>
      </c>
      <c r="J136" t="s">
        <v>1457</v>
      </c>
      <c r="K136" t="s">
        <v>1458</v>
      </c>
      <c r="L136">
        <v>1339</v>
      </c>
      <c r="N136">
        <v>1007</v>
      </c>
      <c r="O136" t="s">
        <v>301</v>
      </c>
      <c r="P136" t="s">
        <v>301</v>
      </c>
      <c r="Q136">
        <v>1</v>
      </c>
      <c r="W136">
        <v>0</v>
      </c>
      <c r="X136">
        <v>2024089152</v>
      </c>
      <c r="Y136">
        <v>0.08</v>
      </c>
      <c r="AA136">
        <v>7216</v>
      </c>
      <c r="AB136">
        <v>0</v>
      </c>
      <c r="AC136">
        <v>0</v>
      </c>
      <c r="AD136">
        <v>0</v>
      </c>
      <c r="AE136">
        <v>1100</v>
      </c>
      <c r="AF136">
        <v>0</v>
      </c>
      <c r="AG136">
        <v>0</v>
      </c>
      <c r="AH136">
        <v>0</v>
      </c>
      <c r="AI136">
        <v>6.56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0.08</v>
      </c>
      <c r="AU136" t="s">
        <v>6</v>
      </c>
      <c r="AV136">
        <v>0</v>
      </c>
      <c r="AW136">
        <v>2</v>
      </c>
      <c r="AX136">
        <v>16745487</v>
      </c>
      <c r="AY136">
        <v>1</v>
      </c>
      <c r="AZ136">
        <v>0</v>
      </c>
      <c r="BA136">
        <v>138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Y136*Source!I104</f>
        <v>4.8720000000000005E-3</v>
      </c>
      <c r="CY136">
        <f t="shared" si="24"/>
        <v>7216</v>
      </c>
      <c r="CZ136">
        <f t="shared" si="25"/>
        <v>1100</v>
      </c>
      <c r="DA136">
        <f t="shared" si="26"/>
        <v>6.56</v>
      </c>
      <c r="DB136">
        <f t="shared" si="27"/>
        <v>88</v>
      </c>
      <c r="DC136">
        <f t="shared" si="28"/>
        <v>0</v>
      </c>
    </row>
    <row r="137" spans="1:107" x14ac:dyDescent="0.2">
      <c r="A137">
        <f>ROW(Source!A104)</f>
        <v>104</v>
      </c>
      <c r="B137">
        <v>16742901</v>
      </c>
      <c r="C137">
        <v>16745466</v>
      </c>
      <c r="D137">
        <v>15162477</v>
      </c>
      <c r="E137">
        <v>17</v>
      </c>
      <c r="F137">
        <v>1</v>
      </c>
      <c r="G137">
        <v>1</v>
      </c>
      <c r="H137">
        <v>3</v>
      </c>
      <c r="I137" t="s">
        <v>280</v>
      </c>
      <c r="J137" t="s">
        <v>6</v>
      </c>
      <c r="K137" t="s">
        <v>281</v>
      </c>
      <c r="L137">
        <v>1327</v>
      </c>
      <c r="N137">
        <v>1005</v>
      </c>
      <c r="O137" t="s">
        <v>193</v>
      </c>
      <c r="P137" t="s">
        <v>193</v>
      </c>
      <c r="Q137">
        <v>1</v>
      </c>
      <c r="W137">
        <v>0</v>
      </c>
      <c r="X137">
        <v>-732808487</v>
      </c>
      <c r="Y137">
        <v>100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6.56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6</v>
      </c>
      <c r="AT137">
        <v>100</v>
      </c>
      <c r="AU137" t="s">
        <v>6</v>
      </c>
      <c r="AV137">
        <v>0</v>
      </c>
      <c r="AW137">
        <v>2</v>
      </c>
      <c r="AX137">
        <v>16745488</v>
      </c>
      <c r="AY137">
        <v>1</v>
      </c>
      <c r="AZ137">
        <v>0</v>
      </c>
      <c r="BA137">
        <v>139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Y137*Source!I104</f>
        <v>6.09</v>
      </c>
      <c r="CY137">
        <f t="shared" si="24"/>
        <v>0</v>
      </c>
      <c r="CZ137">
        <f t="shared" si="25"/>
        <v>0</v>
      </c>
      <c r="DA137">
        <f t="shared" si="26"/>
        <v>6.56</v>
      </c>
      <c r="DB137">
        <f t="shared" si="27"/>
        <v>0</v>
      </c>
      <c r="DC137">
        <f t="shared" si="28"/>
        <v>0</v>
      </c>
    </row>
    <row r="138" spans="1:107" x14ac:dyDescent="0.2">
      <c r="A138">
        <f>ROW(Source!A104)</f>
        <v>104</v>
      </c>
      <c r="B138">
        <v>16742901</v>
      </c>
      <c r="C138">
        <v>16745466</v>
      </c>
      <c r="D138">
        <v>15196127</v>
      </c>
      <c r="E138">
        <v>1</v>
      </c>
      <c r="F138">
        <v>1</v>
      </c>
      <c r="G138">
        <v>1</v>
      </c>
      <c r="H138">
        <v>3</v>
      </c>
      <c r="I138" t="s">
        <v>271</v>
      </c>
      <c r="J138" t="s">
        <v>273</v>
      </c>
      <c r="K138" t="s">
        <v>272</v>
      </c>
      <c r="L138">
        <v>1327</v>
      </c>
      <c r="N138">
        <v>1005</v>
      </c>
      <c r="O138" t="s">
        <v>193</v>
      </c>
      <c r="P138" t="s">
        <v>193</v>
      </c>
      <c r="Q138">
        <v>1</v>
      </c>
      <c r="W138">
        <v>0</v>
      </c>
      <c r="X138">
        <v>-863452992</v>
      </c>
      <c r="Y138">
        <v>100</v>
      </c>
      <c r="AA138">
        <v>9504.1299999999992</v>
      </c>
      <c r="AB138">
        <v>0</v>
      </c>
      <c r="AC138">
        <v>0</v>
      </c>
      <c r="AD138">
        <v>0</v>
      </c>
      <c r="AE138">
        <v>1448.8</v>
      </c>
      <c r="AF138">
        <v>0</v>
      </c>
      <c r="AG138">
        <v>0</v>
      </c>
      <c r="AH138">
        <v>0</v>
      </c>
      <c r="AI138">
        <v>6.56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6</v>
      </c>
      <c r="AT138">
        <v>100</v>
      </c>
      <c r="AU138" t="s">
        <v>6</v>
      </c>
      <c r="AV138">
        <v>0</v>
      </c>
      <c r="AW138">
        <v>1</v>
      </c>
      <c r="AX138">
        <v>-1</v>
      </c>
      <c r="AY138">
        <v>0</v>
      </c>
      <c r="AZ138">
        <v>0</v>
      </c>
      <c r="BA138" t="s">
        <v>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Y138*Source!I104</f>
        <v>6.09</v>
      </c>
      <c r="CY138">
        <f t="shared" si="24"/>
        <v>9504.1299999999992</v>
      </c>
      <c r="CZ138">
        <f t="shared" si="25"/>
        <v>1448.8</v>
      </c>
      <c r="DA138">
        <f t="shared" si="26"/>
        <v>6.56</v>
      </c>
      <c r="DB138">
        <f t="shared" si="27"/>
        <v>144880</v>
      </c>
      <c r="DC138">
        <f t="shared" si="28"/>
        <v>0</v>
      </c>
    </row>
    <row r="139" spans="1:107" x14ac:dyDescent="0.2">
      <c r="A139">
        <f>ROW(Source!A104)</f>
        <v>104</v>
      </c>
      <c r="B139">
        <v>16742901</v>
      </c>
      <c r="C139">
        <v>16745466</v>
      </c>
      <c r="D139">
        <v>15204315</v>
      </c>
      <c r="E139">
        <v>1</v>
      </c>
      <c r="F139">
        <v>1</v>
      </c>
      <c r="G139">
        <v>1</v>
      </c>
      <c r="H139">
        <v>3</v>
      </c>
      <c r="I139" t="s">
        <v>1459</v>
      </c>
      <c r="J139" t="s">
        <v>1460</v>
      </c>
      <c r="K139" t="s">
        <v>1461</v>
      </c>
      <c r="L139">
        <v>1296</v>
      </c>
      <c r="N139">
        <v>1002</v>
      </c>
      <c r="O139" t="s">
        <v>1462</v>
      </c>
      <c r="P139" t="s">
        <v>1462</v>
      </c>
      <c r="Q139">
        <v>1</v>
      </c>
      <c r="W139">
        <v>0</v>
      </c>
      <c r="X139">
        <v>-2122226716</v>
      </c>
      <c r="Y139">
        <v>32.4</v>
      </c>
      <c r="AA139">
        <v>307.39999999999998</v>
      </c>
      <c r="AB139">
        <v>0</v>
      </c>
      <c r="AC139">
        <v>0</v>
      </c>
      <c r="AD139">
        <v>0</v>
      </c>
      <c r="AE139">
        <v>46.86</v>
      </c>
      <c r="AF139">
        <v>0</v>
      </c>
      <c r="AG139">
        <v>0</v>
      </c>
      <c r="AH139">
        <v>0</v>
      </c>
      <c r="AI139">
        <v>6.56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32.4</v>
      </c>
      <c r="AU139" t="s">
        <v>6</v>
      </c>
      <c r="AV139">
        <v>0</v>
      </c>
      <c r="AW139">
        <v>2</v>
      </c>
      <c r="AX139">
        <v>16745489</v>
      </c>
      <c r="AY139">
        <v>1</v>
      </c>
      <c r="AZ139">
        <v>0</v>
      </c>
      <c r="BA139">
        <v>140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Y139*Source!I104</f>
        <v>1.97316</v>
      </c>
      <c r="CY139">
        <f t="shared" si="24"/>
        <v>307.39999999999998</v>
      </c>
      <c r="CZ139">
        <f t="shared" si="25"/>
        <v>46.86</v>
      </c>
      <c r="DA139">
        <f t="shared" si="26"/>
        <v>6.56</v>
      </c>
      <c r="DB139">
        <f t="shared" si="27"/>
        <v>1518.26</v>
      </c>
      <c r="DC139">
        <f t="shared" si="28"/>
        <v>0</v>
      </c>
    </row>
    <row r="140" spans="1:107" x14ac:dyDescent="0.2">
      <c r="A140">
        <f>ROW(Source!A109)</f>
        <v>109</v>
      </c>
      <c r="B140">
        <v>16742901</v>
      </c>
      <c r="C140">
        <v>16745494</v>
      </c>
      <c r="D140">
        <v>15430767</v>
      </c>
      <c r="E140">
        <v>1</v>
      </c>
      <c r="F140">
        <v>1</v>
      </c>
      <c r="G140">
        <v>1</v>
      </c>
      <c r="H140">
        <v>1</v>
      </c>
      <c r="I140" t="s">
        <v>1285</v>
      </c>
      <c r="J140" t="s">
        <v>6</v>
      </c>
      <c r="K140" t="s">
        <v>1286</v>
      </c>
      <c r="L140">
        <v>1191</v>
      </c>
      <c r="N140">
        <v>1013</v>
      </c>
      <c r="O140" t="s">
        <v>1287</v>
      </c>
      <c r="P140" t="s">
        <v>1287</v>
      </c>
      <c r="Q140">
        <v>1</v>
      </c>
      <c r="W140">
        <v>0</v>
      </c>
      <c r="X140">
        <v>-400197608</v>
      </c>
      <c r="Y140">
        <v>39.744</v>
      </c>
      <c r="AA140">
        <v>0</v>
      </c>
      <c r="AB140">
        <v>0</v>
      </c>
      <c r="AC140">
        <v>0</v>
      </c>
      <c r="AD140">
        <v>55.96</v>
      </c>
      <c r="AE140">
        <v>0</v>
      </c>
      <c r="AF140">
        <v>0</v>
      </c>
      <c r="AG140">
        <v>0</v>
      </c>
      <c r="AH140">
        <v>8.5299999999999994</v>
      </c>
      <c r="AI140">
        <v>1</v>
      </c>
      <c r="AJ140">
        <v>1</v>
      </c>
      <c r="AK140">
        <v>1</v>
      </c>
      <c r="AL140">
        <v>6.56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34.56</v>
      </c>
      <c r="AU140" t="s">
        <v>188</v>
      </c>
      <c r="AV140">
        <v>1</v>
      </c>
      <c r="AW140">
        <v>2</v>
      </c>
      <c r="AX140">
        <v>16745497</v>
      </c>
      <c r="AY140">
        <v>1</v>
      </c>
      <c r="AZ140">
        <v>0</v>
      </c>
      <c r="BA140">
        <v>141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Y140*Source!I109</f>
        <v>13.353984000000001</v>
      </c>
      <c r="CY140">
        <f>AD140</f>
        <v>55.96</v>
      </c>
      <c r="CZ140">
        <f>AH140</f>
        <v>8.5299999999999994</v>
      </c>
      <c r="DA140">
        <f>AL140</f>
        <v>6.56</v>
      </c>
      <c r="DB140">
        <f>ROUND((ROUND(AT140*CZ140,2)*1.15),2)</f>
        <v>339.02</v>
      </c>
      <c r="DC140">
        <f>ROUND((ROUND(AT140*AG140,2)*1.15),2)</f>
        <v>0</v>
      </c>
    </row>
    <row r="141" spans="1:107" x14ac:dyDescent="0.2">
      <c r="A141">
        <f>ROW(Source!A109)</f>
        <v>109</v>
      </c>
      <c r="B141">
        <v>16742901</v>
      </c>
      <c r="C141">
        <v>16745494</v>
      </c>
      <c r="D141">
        <v>15193110</v>
      </c>
      <c r="E141">
        <v>1</v>
      </c>
      <c r="F141">
        <v>1</v>
      </c>
      <c r="G141">
        <v>1</v>
      </c>
      <c r="H141">
        <v>3</v>
      </c>
      <c r="I141" t="s">
        <v>1288</v>
      </c>
      <c r="J141" t="s">
        <v>1289</v>
      </c>
      <c r="K141" t="s">
        <v>1290</v>
      </c>
      <c r="L141">
        <v>1327</v>
      </c>
      <c r="N141">
        <v>1005</v>
      </c>
      <c r="O141" t="s">
        <v>193</v>
      </c>
      <c r="P141" t="s">
        <v>193</v>
      </c>
      <c r="Q141">
        <v>1</v>
      </c>
      <c r="W141">
        <v>0</v>
      </c>
      <c r="X141">
        <v>1818210239</v>
      </c>
      <c r="Y141">
        <v>100</v>
      </c>
      <c r="AA141">
        <v>4600.59</v>
      </c>
      <c r="AB141">
        <v>0</v>
      </c>
      <c r="AC141">
        <v>0</v>
      </c>
      <c r="AD141">
        <v>0</v>
      </c>
      <c r="AE141">
        <v>701.31</v>
      </c>
      <c r="AF141">
        <v>0</v>
      </c>
      <c r="AG141">
        <v>0</v>
      </c>
      <c r="AH141">
        <v>0</v>
      </c>
      <c r="AI141">
        <v>6.56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100</v>
      </c>
      <c r="AU141" t="s">
        <v>6</v>
      </c>
      <c r="AV141">
        <v>0</v>
      </c>
      <c r="AW141">
        <v>2</v>
      </c>
      <c r="AX141">
        <v>16745498</v>
      </c>
      <c r="AY141">
        <v>1</v>
      </c>
      <c r="AZ141">
        <v>0</v>
      </c>
      <c r="BA141">
        <v>142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Y141*Source!I109</f>
        <v>33.6</v>
      </c>
      <c r="CY141">
        <f>AA141</f>
        <v>4600.59</v>
      </c>
      <c r="CZ141">
        <f>AE141</f>
        <v>701.31</v>
      </c>
      <c r="DA141">
        <f>AI141</f>
        <v>6.56</v>
      </c>
      <c r="DB141">
        <f t="shared" ref="DB141:DB172" si="29">ROUND(ROUND(AT141*CZ141,2),2)</f>
        <v>70131</v>
      </c>
      <c r="DC141">
        <f t="shared" ref="DC141:DC172" si="30">ROUND(ROUND(AT141*AG141,2),2)</f>
        <v>0</v>
      </c>
    </row>
    <row r="142" spans="1:107" x14ac:dyDescent="0.2">
      <c r="A142">
        <f>ROW(Source!A110)</f>
        <v>110</v>
      </c>
      <c r="B142">
        <v>16742901</v>
      </c>
      <c r="C142">
        <v>16745499</v>
      </c>
      <c r="D142">
        <v>15435609</v>
      </c>
      <c r="E142">
        <v>1</v>
      </c>
      <c r="F142">
        <v>1</v>
      </c>
      <c r="G142">
        <v>1</v>
      </c>
      <c r="H142">
        <v>1</v>
      </c>
      <c r="I142" t="s">
        <v>1291</v>
      </c>
      <c r="J142" t="s">
        <v>6</v>
      </c>
      <c r="K142" t="s">
        <v>1292</v>
      </c>
      <c r="L142">
        <v>1191</v>
      </c>
      <c r="N142">
        <v>1013</v>
      </c>
      <c r="O142" t="s">
        <v>1287</v>
      </c>
      <c r="P142" t="s">
        <v>1287</v>
      </c>
      <c r="Q142">
        <v>1</v>
      </c>
      <c r="W142">
        <v>0</v>
      </c>
      <c r="X142">
        <v>-814890593</v>
      </c>
      <c r="Y142">
        <v>383.06</v>
      </c>
      <c r="AA142">
        <v>0</v>
      </c>
      <c r="AB142">
        <v>0</v>
      </c>
      <c r="AC142">
        <v>0</v>
      </c>
      <c r="AD142">
        <v>58.84</v>
      </c>
      <c r="AE142">
        <v>0</v>
      </c>
      <c r="AF142">
        <v>0</v>
      </c>
      <c r="AG142">
        <v>0</v>
      </c>
      <c r="AH142">
        <v>8.9700000000000006</v>
      </c>
      <c r="AI142">
        <v>1</v>
      </c>
      <c r="AJ142">
        <v>1</v>
      </c>
      <c r="AK142">
        <v>1</v>
      </c>
      <c r="AL142">
        <v>6.56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383.06</v>
      </c>
      <c r="AU142" t="s">
        <v>6</v>
      </c>
      <c r="AV142">
        <v>1</v>
      </c>
      <c r="AW142">
        <v>2</v>
      </c>
      <c r="AX142">
        <v>16745506</v>
      </c>
      <c r="AY142">
        <v>1</v>
      </c>
      <c r="AZ142">
        <v>0</v>
      </c>
      <c r="BA142">
        <v>143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Y142*Source!I110</f>
        <v>25.435184</v>
      </c>
      <c r="CY142">
        <f>AD142</f>
        <v>58.84</v>
      </c>
      <c r="CZ142">
        <f>AH142</f>
        <v>8.9700000000000006</v>
      </c>
      <c r="DA142">
        <f>AL142</f>
        <v>6.56</v>
      </c>
      <c r="DB142">
        <f t="shared" si="29"/>
        <v>3436.05</v>
      </c>
      <c r="DC142">
        <f t="shared" si="30"/>
        <v>0</v>
      </c>
    </row>
    <row r="143" spans="1:107" x14ac:dyDescent="0.2">
      <c r="A143">
        <f>ROW(Source!A110)</f>
        <v>110</v>
      </c>
      <c r="B143">
        <v>16742901</v>
      </c>
      <c r="C143">
        <v>16745499</v>
      </c>
      <c r="D143">
        <v>15430395</v>
      </c>
      <c r="E143">
        <v>1</v>
      </c>
      <c r="F143">
        <v>1</v>
      </c>
      <c r="G143">
        <v>1</v>
      </c>
      <c r="H143">
        <v>1</v>
      </c>
      <c r="I143" t="s">
        <v>1293</v>
      </c>
      <c r="J143" t="s">
        <v>6</v>
      </c>
      <c r="K143" t="s">
        <v>1294</v>
      </c>
      <c r="L143">
        <v>1191</v>
      </c>
      <c r="N143">
        <v>1013</v>
      </c>
      <c r="O143" t="s">
        <v>1287</v>
      </c>
      <c r="P143" t="s">
        <v>1287</v>
      </c>
      <c r="Q143">
        <v>1</v>
      </c>
      <c r="W143">
        <v>0</v>
      </c>
      <c r="X143">
        <v>-1417349443</v>
      </c>
      <c r="Y143">
        <v>1.1599999999999999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6.56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1.1599999999999999</v>
      </c>
      <c r="AU143" t="s">
        <v>6</v>
      </c>
      <c r="AV143">
        <v>2</v>
      </c>
      <c r="AW143">
        <v>2</v>
      </c>
      <c r="AX143">
        <v>16745507</v>
      </c>
      <c r="AY143">
        <v>1</v>
      </c>
      <c r="AZ143">
        <v>0</v>
      </c>
      <c r="BA143">
        <v>144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Y143*Source!I110</f>
        <v>7.7023999999999995E-2</v>
      </c>
      <c r="CY143">
        <f>AD143</f>
        <v>0</v>
      </c>
      <c r="CZ143">
        <f>AH143</f>
        <v>0</v>
      </c>
      <c r="DA143">
        <f>AL143</f>
        <v>1</v>
      </c>
      <c r="DB143">
        <f t="shared" si="29"/>
        <v>0</v>
      </c>
      <c r="DC143">
        <f t="shared" si="30"/>
        <v>0</v>
      </c>
    </row>
    <row r="144" spans="1:107" x14ac:dyDescent="0.2">
      <c r="A144">
        <f>ROW(Source!A110)</f>
        <v>110</v>
      </c>
      <c r="B144">
        <v>16742901</v>
      </c>
      <c r="C144">
        <v>16745499</v>
      </c>
      <c r="D144">
        <v>15247974</v>
      </c>
      <c r="E144">
        <v>1</v>
      </c>
      <c r="F144">
        <v>1</v>
      </c>
      <c r="G144">
        <v>1</v>
      </c>
      <c r="H144">
        <v>2</v>
      </c>
      <c r="I144" t="s">
        <v>1314</v>
      </c>
      <c r="J144" t="s">
        <v>1315</v>
      </c>
      <c r="K144" t="s">
        <v>1316</v>
      </c>
      <c r="L144">
        <v>1368</v>
      </c>
      <c r="N144">
        <v>1011</v>
      </c>
      <c r="O144" t="s">
        <v>1298</v>
      </c>
      <c r="P144" t="s">
        <v>1298</v>
      </c>
      <c r="Q144">
        <v>1</v>
      </c>
      <c r="W144">
        <v>0</v>
      </c>
      <c r="X144">
        <v>1188625873</v>
      </c>
      <c r="Y144">
        <v>1.1599999999999999</v>
      </c>
      <c r="AA144">
        <v>0</v>
      </c>
      <c r="AB144">
        <v>205.07</v>
      </c>
      <c r="AC144">
        <v>13.5</v>
      </c>
      <c r="AD144">
        <v>0</v>
      </c>
      <c r="AE144">
        <v>0</v>
      </c>
      <c r="AF144">
        <v>31.26</v>
      </c>
      <c r="AG144">
        <v>13.5</v>
      </c>
      <c r="AH144">
        <v>0</v>
      </c>
      <c r="AI144">
        <v>1</v>
      </c>
      <c r="AJ144">
        <v>6.56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6</v>
      </c>
      <c r="AT144">
        <v>1.1599999999999999</v>
      </c>
      <c r="AU144" t="s">
        <v>6</v>
      </c>
      <c r="AV144">
        <v>0</v>
      </c>
      <c r="AW144">
        <v>2</v>
      </c>
      <c r="AX144">
        <v>16745508</v>
      </c>
      <c r="AY144">
        <v>1</v>
      </c>
      <c r="AZ144">
        <v>0</v>
      </c>
      <c r="BA144">
        <v>145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Y144*Source!I110</f>
        <v>7.7023999999999995E-2</v>
      </c>
      <c r="CY144">
        <f>AB144</f>
        <v>205.07</v>
      </c>
      <c r="CZ144">
        <f>AF144</f>
        <v>31.26</v>
      </c>
      <c r="DA144">
        <f>AJ144</f>
        <v>6.56</v>
      </c>
      <c r="DB144">
        <f t="shared" si="29"/>
        <v>36.26</v>
      </c>
      <c r="DC144">
        <f t="shared" si="30"/>
        <v>15.66</v>
      </c>
    </row>
    <row r="145" spans="1:107" x14ac:dyDescent="0.2">
      <c r="A145">
        <f>ROW(Source!A110)</f>
        <v>110</v>
      </c>
      <c r="B145">
        <v>16742901</v>
      </c>
      <c r="C145">
        <v>16745499</v>
      </c>
      <c r="D145">
        <v>15167286</v>
      </c>
      <c r="E145">
        <v>1</v>
      </c>
      <c r="F145">
        <v>1</v>
      </c>
      <c r="G145">
        <v>1</v>
      </c>
      <c r="H145">
        <v>3</v>
      </c>
      <c r="I145" t="s">
        <v>1317</v>
      </c>
      <c r="J145" t="s">
        <v>1318</v>
      </c>
      <c r="K145" t="s">
        <v>1319</v>
      </c>
      <c r="L145">
        <v>1339</v>
      </c>
      <c r="N145">
        <v>1007</v>
      </c>
      <c r="O145" t="s">
        <v>301</v>
      </c>
      <c r="P145" t="s">
        <v>301</v>
      </c>
      <c r="Q145">
        <v>1</v>
      </c>
      <c r="W145">
        <v>0</v>
      </c>
      <c r="X145">
        <v>-1660354250</v>
      </c>
      <c r="Y145">
        <v>0.35</v>
      </c>
      <c r="AA145">
        <v>16.010000000000002</v>
      </c>
      <c r="AB145">
        <v>0</v>
      </c>
      <c r="AC145">
        <v>0</v>
      </c>
      <c r="AD145">
        <v>0</v>
      </c>
      <c r="AE145">
        <v>2.44</v>
      </c>
      <c r="AF145">
        <v>0</v>
      </c>
      <c r="AG145">
        <v>0</v>
      </c>
      <c r="AH145">
        <v>0</v>
      </c>
      <c r="AI145">
        <v>6.56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0.35</v>
      </c>
      <c r="AU145" t="s">
        <v>6</v>
      </c>
      <c r="AV145">
        <v>0</v>
      </c>
      <c r="AW145">
        <v>2</v>
      </c>
      <c r="AX145">
        <v>16745509</v>
      </c>
      <c r="AY145">
        <v>1</v>
      </c>
      <c r="AZ145">
        <v>0</v>
      </c>
      <c r="BA145">
        <v>146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Y145*Source!I110</f>
        <v>2.324E-2</v>
      </c>
      <c r="CY145">
        <f>AA145</f>
        <v>16.010000000000002</v>
      </c>
      <c r="CZ145">
        <f>AE145</f>
        <v>2.44</v>
      </c>
      <c r="DA145">
        <f>AI145</f>
        <v>6.56</v>
      </c>
      <c r="DB145">
        <f t="shared" si="29"/>
        <v>0.85</v>
      </c>
      <c r="DC145">
        <f t="shared" si="30"/>
        <v>0</v>
      </c>
    </row>
    <row r="146" spans="1:107" x14ac:dyDescent="0.2">
      <c r="A146">
        <f>ROW(Source!A110)</f>
        <v>110</v>
      </c>
      <c r="B146">
        <v>16742901</v>
      </c>
      <c r="C146">
        <v>16745499</v>
      </c>
      <c r="D146">
        <v>15164566</v>
      </c>
      <c r="E146">
        <v>17</v>
      </c>
      <c r="F146">
        <v>1</v>
      </c>
      <c r="G146">
        <v>1</v>
      </c>
      <c r="H146">
        <v>3</v>
      </c>
      <c r="I146" t="s">
        <v>98</v>
      </c>
      <c r="J146" t="s">
        <v>6</v>
      </c>
      <c r="K146" t="s">
        <v>99</v>
      </c>
      <c r="L146">
        <v>1348</v>
      </c>
      <c r="N146">
        <v>1009</v>
      </c>
      <c r="O146" t="s">
        <v>100</v>
      </c>
      <c r="P146" t="s">
        <v>100</v>
      </c>
      <c r="Q146">
        <v>1000</v>
      </c>
      <c r="W146">
        <v>0</v>
      </c>
      <c r="X146">
        <v>-179832266</v>
      </c>
      <c r="Y146">
        <v>8.1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6.56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8.1</v>
      </c>
      <c r="AU146" t="s">
        <v>6</v>
      </c>
      <c r="AV146">
        <v>0</v>
      </c>
      <c r="AW146">
        <v>2</v>
      </c>
      <c r="AX146">
        <v>16745510</v>
      </c>
      <c r="AY146">
        <v>1</v>
      </c>
      <c r="AZ146">
        <v>0</v>
      </c>
      <c r="BA146">
        <v>147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Y146*Source!I110</f>
        <v>0.53783999999999998</v>
      </c>
      <c r="CY146">
        <f>AA146</f>
        <v>0</v>
      </c>
      <c r="CZ146">
        <f>AE146</f>
        <v>0</v>
      </c>
      <c r="DA146">
        <f>AI146</f>
        <v>6.56</v>
      </c>
      <c r="DB146">
        <f t="shared" si="29"/>
        <v>0</v>
      </c>
      <c r="DC146">
        <f t="shared" si="30"/>
        <v>0</v>
      </c>
    </row>
    <row r="147" spans="1:107" x14ac:dyDescent="0.2">
      <c r="A147">
        <f>ROW(Source!A110)</f>
        <v>110</v>
      </c>
      <c r="B147">
        <v>16742901</v>
      </c>
      <c r="C147">
        <v>16745499</v>
      </c>
      <c r="D147">
        <v>15172875</v>
      </c>
      <c r="E147">
        <v>1</v>
      </c>
      <c r="F147">
        <v>1</v>
      </c>
      <c r="G147">
        <v>1</v>
      </c>
      <c r="H147">
        <v>3</v>
      </c>
      <c r="I147" t="s">
        <v>1425</v>
      </c>
      <c r="J147" t="s">
        <v>1426</v>
      </c>
      <c r="K147" t="s">
        <v>1427</v>
      </c>
      <c r="L147">
        <v>1339</v>
      </c>
      <c r="N147">
        <v>1007</v>
      </c>
      <c r="O147" t="s">
        <v>301</v>
      </c>
      <c r="P147" t="s">
        <v>301</v>
      </c>
      <c r="Q147">
        <v>1</v>
      </c>
      <c r="W147">
        <v>0</v>
      </c>
      <c r="X147">
        <v>-1001479081</v>
      </c>
      <c r="Y147">
        <v>4.4000000000000004</v>
      </c>
      <c r="AA147">
        <v>3397.49</v>
      </c>
      <c r="AB147">
        <v>0</v>
      </c>
      <c r="AC147">
        <v>0</v>
      </c>
      <c r="AD147">
        <v>0</v>
      </c>
      <c r="AE147">
        <v>517.91</v>
      </c>
      <c r="AF147">
        <v>0</v>
      </c>
      <c r="AG147">
        <v>0</v>
      </c>
      <c r="AH147">
        <v>0</v>
      </c>
      <c r="AI147">
        <v>6.56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4.4000000000000004</v>
      </c>
      <c r="AU147" t="s">
        <v>6</v>
      </c>
      <c r="AV147">
        <v>0</v>
      </c>
      <c r="AW147">
        <v>2</v>
      </c>
      <c r="AX147">
        <v>16745511</v>
      </c>
      <c r="AY147">
        <v>1</v>
      </c>
      <c r="AZ147">
        <v>0</v>
      </c>
      <c r="BA147">
        <v>148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Y147*Source!I110</f>
        <v>0.29216000000000003</v>
      </c>
      <c r="CY147">
        <f>AA147</f>
        <v>3397.49</v>
      </c>
      <c r="CZ147">
        <f>AE147</f>
        <v>517.91</v>
      </c>
      <c r="DA147">
        <f>AI147</f>
        <v>6.56</v>
      </c>
      <c r="DB147">
        <f t="shared" si="29"/>
        <v>2278.8000000000002</v>
      </c>
      <c r="DC147">
        <f t="shared" si="30"/>
        <v>0</v>
      </c>
    </row>
    <row r="148" spans="1:107" x14ac:dyDescent="0.2">
      <c r="A148">
        <f>ROW(Source!A112)</f>
        <v>112</v>
      </c>
      <c r="B148">
        <v>16742901</v>
      </c>
      <c r="C148">
        <v>16745513</v>
      </c>
      <c r="D148">
        <v>15435099</v>
      </c>
      <c r="E148">
        <v>1</v>
      </c>
      <c r="F148">
        <v>1</v>
      </c>
      <c r="G148">
        <v>1</v>
      </c>
      <c r="H148">
        <v>1</v>
      </c>
      <c r="I148" t="s">
        <v>1463</v>
      </c>
      <c r="J148" t="s">
        <v>6</v>
      </c>
      <c r="K148" t="s">
        <v>1464</v>
      </c>
      <c r="L148">
        <v>1191</v>
      </c>
      <c r="N148">
        <v>1013</v>
      </c>
      <c r="O148" t="s">
        <v>1287</v>
      </c>
      <c r="P148" t="s">
        <v>1287</v>
      </c>
      <c r="Q148">
        <v>1</v>
      </c>
      <c r="W148">
        <v>0</v>
      </c>
      <c r="X148">
        <v>1010519658</v>
      </c>
      <c r="Y148">
        <v>165.88</v>
      </c>
      <c r="AA148">
        <v>0</v>
      </c>
      <c r="AB148">
        <v>0</v>
      </c>
      <c r="AC148">
        <v>0</v>
      </c>
      <c r="AD148">
        <v>56.68</v>
      </c>
      <c r="AE148">
        <v>0</v>
      </c>
      <c r="AF148">
        <v>0</v>
      </c>
      <c r="AG148">
        <v>0</v>
      </c>
      <c r="AH148">
        <v>8.64</v>
      </c>
      <c r="AI148">
        <v>1</v>
      </c>
      <c r="AJ148">
        <v>1</v>
      </c>
      <c r="AK148">
        <v>1</v>
      </c>
      <c r="AL148">
        <v>6.56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165.88</v>
      </c>
      <c r="AU148" t="s">
        <v>6</v>
      </c>
      <c r="AV148">
        <v>1</v>
      </c>
      <c r="AW148">
        <v>2</v>
      </c>
      <c r="AX148">
        <v>16745528</v>
      </c>
      <c r="AY148">
        <v>1</v>
      </c>
      <c r="AZ148">
        <v>0</v>
      </c>
      <c r="BA148">
        <v>149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Y148*Source!I112</f>
        <v>4.4787599999999994</v>
      </c>
      <c r="CY148">
        <f>AD148</f>
        <v>56.68</v>
      </c>
      <c r="CZ148">
        <f>AH148</f>
        <v>8.64</v>
      </c>
      <c r="DA148">
        <f>AL148</f>
        <v>6.56</v>
      </c>
      <c r="DB148">
        <f t="shared" si="29"/>
        <v>1433.2</v>
      </c>
      <c r="DC148">
        <f t="shared" si="30"/>
        <v>0</v>
      </c>
    </row>
    <row r="149" spans="1:107" x14ac:dyDescent="0.2">
      <c r="A149">
        <f>ROW(Source!A112)</f>
        <v>112</v>
      </c>
      <c r="B149">
        <v>16742901</v>
      </c>
      <c r="C149">
        <v>16745513</v>
      </c>
      <c r="D149">
        <v>15430395</v>
      </c>
      <c r="E149">
        <v>1</v>
      </c>
      <c r="F149">
        <v>1</v>
      </c>
      <c r="G149">
        <v>1</v>
      </c>
      <c r="H149">
        <v>1</v>
      </c>
      <c r="I149" t="s">
        <v>1293</v>
      </c>
      <c r="J149" t="s">
        <v>6</v>
      </c>
      <c r="K149" t="s">
        <v>1294</v>
      </c>
      <c r="L149">
        <v>1191</v>
      </c>
      <c r="N149">
        <v>1013</v>
      </c>
      <c r="O149" t="s">
        <v>1287</v>
      </c>
      <c r="P149" t="s">
        <v>1287</v>
      </c>
      <c r="Q149">
        <v>1</v>
      </c>
      <c r="W149">
        <v>0</v>
      </c>
      <c r="X149">
        <v>-1417349443</v>
      </c>
      <c r="Y149">
        <v>0.67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6.56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0.67</v>
      </c>
      <c r="AU149" t="s">
        <v>6</v>
      </c>
      <c r="AV149">
        <v>2</v>
      </c>
      <c r="AW149">
        <v>2</v>
      </c>
      <c r="AX149">
        <v>16745529</v>
      </c>
      <c r="AY149">
        <v>1</v>
      </c>
      <c r="AZ149">
        <v>0</v>
      </c>
      <c r="BA149">
        <v>150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Y149*Source!I112</f>
        <v>1.8090000000000002E-2</v>
      </c>
      <c r="CY149">
        <f>AD149</f>
        <v>0</v>
      </c>
      <c r="CZ149">
        <f>AH149</f>
        <v>0</v>
      </c>
      <c r="DA149">
        <f>AL149</f>
        <v>1</v>
      </c>
      <c r="DB149">
        <f t="shared" si="29"/>
        <v>0</v>
      </c>
      <c r="DC149">
        <f t="shared" si="30"/>
        <v>0</v>
      </c>
    </row>
    <row r="150" spans="1:107" x14ac:dyDescent="0.2">
      <c r="A150">
        <f>ROW(Source!A112)</f>
        <v>112</v>
      </c>
      <c r="B150">
        <v>16742901</v>
      </c>
      <c r="C150">
        <v>16745513</v>
      </c>
      <c r="D150">
        <v>15247878</v>
      </c>
      <c r="E150">
        <v>1</v>
      </c>
      <c r="F150">
        <v>1</v>
      </c>
      <c r="G150">
        <v>1</v>
      </c>
      <c r="H150">
        <v>2</v>
      </c>
      <c r="I150" t="s">
        <v>1465</v>
      </c>
      <c r="J150" t="s">
        <v>1466</v>
      </c>
      <c r="K150" t="s">
        <v>1467</v>
      </c>
      <c r="L150">
        <v>1368</v>
      </c>
      <c r="N150">
        <v>1011</v>
      </c>
      <c r="O150" t="s">
        <v>1298</v>
      </c>
      <c r="P150" t="s">
        <v>1298</v>
      </c>
      <c r="Q150">
        <v>1</v>
      </c>
      <c r="W150">
        <v>0</v>
      </c>
      <c r="X150">
        <v>1047452784</v>
      </c>
      <c r="Y150">
        <v>0.16</v>
      </c>
      <c r="AA150">
        <v>0</v>
      </c>
      <c r="AB150">
        <v>11.15</v>
      </c>
      <c r="AC150">
        <v>0</v>
      </c>
      <c r="AD150">
        <v>0</v>
      </c>
      <c r="AE150">
        <v>0</v>
      </c>
      <c r="AF150">
        <v>1.7</v>
      </c>
      <c r="AG150">
        <v>0</v>
      </c>
      <c r="AH150">
        <v>0</v>
      </c>
      <c r="AI150">
        <v>1</v>
      </c>
      <c r="AJ150">
        <v>6.56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0.16</v>
      </c>
      <c r="AU150" t="s">
        <v>6</v>
      </c>
      <c r="AV150">
        <v>0</v>
      </c>
      <c r="AW150">
        <v>2</v>
      </c>
      <c r="AX150">
        <v>16745530</v>
      </c>
      <c r="AY150">
        <v>1</v>
      </c>
      <c r="AZ150">
        <v>0</v>
      </c>
      <c r="BA150">
        <v>151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Y150*Source!I112</f>
        <v>4.3200000000000001E-3</v>
      </c>
      <c r="CY150">
        <f>AB150</f>
        <v>11.15</v>
      </c>
      <c r="CZ150">
        <f>AF150</f>
        <v>1.7</v>
      </c>
      <c r="DA150">
        <f>AJ150</f>
        <v>6.56</v>
      </c>
      <c r="DB150">
        <f t="shared" si="29"/>
        <v>0.27</v>
      </c>
      <c r="DC150">
        <f t="shared" si="30"/>
        <v>0</v>
      </c>
    </row>
    <row r="151" spans="1:107" x14ac:dyDescent="0.2">
      <c r="A151">
        <f>ROW(Source!A112)</f>
        <v>112</v>
      </c>
      <c r="B151">
        <v>16742901</v>
      </c>
      <c r="C151">
        <v>16745513</v>
      </c>
      <c r="D151">
        <v>15249073</v>
      </c>
      <c r="E151">
        <v>1</v>
      </c>
      <c r="F151">
        <v>1</v>
      </c>
      <c r="G151">
        <v>1</v>
      </c>
      <c r="H151">
        <v>2</v>
      </c>
      <c r="I151" t="s">
        <v>1299</v>
      </c>
      <c r="J151" t="s">
        <v>1300</v>
      </c>
      <c r="K151" t="s">
        <v>1301</v>
      </c>
      <c r="L151">
        <v>1368</v>
      </c>
      <c r="N151">
        <v>1011</v>
      </c>
      <c r="O151" t="s">
        <v>1298</v>
      </c>
      <c r="P151" t="s">
        <v>1298</v>
      </c>
      <c r="Q151">
        <v>1</v>
      </c>
      <c r="W151">
        <v>0</v>
      </c>
      <c r="X151">
        <v>1372534845</v>
      </c>
      <c r="Y151">
        <v>0.2</v>
      </c>
      <c r="AA151">
        <v>0</v>
      </c>
      <c r="AB151">
        <v>431.06</v>
      </c>
      <c r="AC151">
        <v>11.6</v>
      </c>
      <c r="AD151">
        <v>0</v>
      </c>
      <c r="AE151">
        <v>0</v>
      </c>
      <c r="AF151">
        <v>65.709999999999994</v>
      </c>
      <c r="AG151">
        <v>11.6</v>
      </c>
      <c r="AH151">
        <v>0</v>
      </c>
      <c r="AI151">
        <v>1</v>
      </c>
      <c r="AJ151">
        <v>6.56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0.2</v>
      </c>
      <c r="AU151" t="s">
        <v>6</v>
      </c>
      <c r="AV151">
        <v>0</v>
      </c>
      <c r="AW151">
        <v>2</v>
      </c>
      <c r="AX151">
        <v>16745531</v>
      </c>
      <c r="AY151">
        <v>1</v>
      </c>
      <c r="AZ151">
        <v>0</v>
      </c>
      <c r="BA151">
        <v>152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Y151*Source!I112</f>
        <v>5.4000000000000003E-3</v>
      </c>
      <c r="CY151">
        <f>AB151</f>
        <v>431.06</v>
      </c>
      <c r="CZ151">
        <f>AF151</f>
        <v>65.709999999999994</v>
      </c>
      <c r="DA151">
        <f>AJ151</f>
        <v>6.56</v>
      </c>
      <c r="DB151">
        <f t="shared" si="29"/>
        <v>13.14</v>
      </c>
      <c r="DC151">
        <f t="shared" si="30"/>
        <v>2.3199999999999998</v>
      </c>
    </row>
    <row r="152" spans="1:107" x14ac:dyDescent="0.2">
      <c r="A152">
        <f>ROW(Source!A112)</f>
        <v>112</v>
      </c>
      <c r="B152">
        <v>16742901</v>
      </c>
      <c r="C152">
        <v>16745513</v>
      </c>
      <c r="D152">
        <v>15249377</v>
      </c>
      <c r="E152">
        <v>1</v>
      </c>
      <c r="F152">
        <v>1</v>
      </c>
      <c r="G152">
        <v>1</v>
      </c>
      <c r="H152">
        <v>2</v>
      </c>
      <c r="I152" t="s">
        <v>1302</v>
      </c>
      <c r="J152" t="s">
        <v>1303</v>
      </c>
      <c r="K152" t="s">
        <v>1304</v>
      </c>
      <c r="L152">
        <v>1368</v>
      </c>
      <c r="N152">
        <v>1011</v>
      </c>
      <c r="O152" t="s">
        <v>1298</v>
      </c>
      <c r="P152" t="s">
        <v>1298</v>
      </c>
      <c r="Q152">
        <v>1</v>
      </c>
      <c r="W152">
        <v>0</v>
      </c>
      <c r="X152">
        <v>-353815937</v>
      </c>
      <c r="Y152">
        <v>0.74</v>
      </c>
      <c r="AA152">
        <v>0</v>
      </c>
      <c r="AB152">
        <v>53.14</v>
      </c>
      <c r="AC152">
        <v>0</v>
      </c>
      <c r="AD152">
        <v>0</v>
      </c>
      <c r="AE152">
        <v>0</v>
      </c>
      <c r="AF152">
        <v>8.1</v>
      </c>
      <c r="AG152">
        <v>0</v>
      </c>
      <c r="AH152">
        <v>0</v>
      </c>
      <c r="AI152">
        <v>1</v>
      </c>
      <c r="AJ152">
        <v>6.56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0.74</v>
      </c>
      <c r="AU152" t="s">
        <v>6</v>
      </c>
      <c r="AV152">
        <v>0</v>
      </c>
      <c r="AW152">
        <v>2</v>
      </c>
      <c r="AX152">
        <v>16745532</v>
      </c>
      <c r="AY152">
        <v>1</v>
      </c>
      <c r="AZ152">
        <v>0</v>
      </c>
      <c r="BA152">
        <v>153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Y152*Source!I112</f>
        <v>1.9980000000000001E-2</v>
      </c>
      <c r="CY152">
        <f>AB152</f>
        <v>53.14</v>
      </c>
      <c r="CZ152">
        <f>AF152</f>
        <v>8.1</v>
      </c>
      <c r="DA152">
        <f>AJ152</f>
        <v>6.56</v>
      </c>
      <c r="DB152">
        <f t="shared" si="29"/>
        <v>5.99</v>
      </c>
      <c r="DC152">
        <f t="shared" si="30"/>
        <v>0</v>
      </c>
    </row>
    <row r="153" spans="1:107" x14ac:dyDescent="0.2">
      <c r="A153">
        <f>ROW(Source!A112)</f>
        <v>112</v>
      </c>
      <c r="B153">
        <v>16742901</v>
      </c>
      <c r="C153">
        <v>16745513</v>
      </c>
      <c r="D153">
        <v>15249397</v>
      </c>
      <c r="E153">
        <v>1</v>
      </c>
      <c r="F153">
        <v>1</v>
      </c>
      <c r="G153">
        <v>1</v>
      </c>
      <c r="H153">
        <v>2</v>
      </c>
      <c r="I153" t="s">
        <v>1468</v>
      </c>
      <c r="J153" t="s">
        <v>1469</v>
      </c>
      <c r="K153" t="s">
        <v>1470</v>
      </c>
      <c r="L153">
        <v>1368</v>
      </c>
      <c r="N153">
        <v>1011</v>
      </c>
      <c r="O153" t="s">
        <v>1298</v>
      </c>
      <c r="P153" t="s">
        <v>1298</v>
      </c>
      <c r="Q153">
        <v>1</v>
      </c>
      <c r="W153">
        <v>0</v>
      </c>
      <c r="X153">
        <v>-1589061407</v>
      </c>
      <c r="Y153">
        <v>0.47</v>
      </c>
      <c r="AA153">
        <v>0</v>
      </c>
      <c r="AB153">
        <v>590.4</v>
      </c>
      <c r="AC153">
        <v>10.06</v>
      </c>
      <c r="AD153">
        <v>0</v>
      </c>
      <c r="AE153">
        <v>0</v>
      </c>
      <c r="AF153">
        <v>90</v>
      </c>
      <c r="AG153">
        <v>10.06</v>
      </c>
      <c r="AH153">
        <v>0</v>
      </c>
      <c r="AI153">
        <v>1</v>
      </c>
      <c r="AJ153">
        <v>6.56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0.47</v>
      </c>
      <c r="AU153" t="s">
        <v>6</v>
      </c>
      <c r="AV153">
        <v>0</v>
      </c>
      <c r="AW153">
        <v>2</v>
      </c>
      <c r="AX153">
        <v>16745533</v>
      </c>
      <c r="AY153">
        <v>1</v>
      </c>
      <c r="AZ153">
        <v>0</v>
      </c>
      <c r="BA153">
        <v>154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Y153*Source!I112</f>
        <v>1.269E-2</v>
      </c>
      <c r="CY153">
        <f>AB153</f>
        <v>590.4</v>
      </c>
      <c r="CZ153">
        <f>AF153</f>
        <v>90</v>
      </c>
      <c r="DA153">
        <f>AJ153</f>
        <v>6.56</v>
      </c>
      <c r="DB153">
        <f t="shared" si="29"/>
        <v>42.3</v>
      </c>
      <c r="DC153">
        <f t="shared" si="30"/>
        <v>4.7300000000000004</v>
      </c>
    </row>
    <row r="154" spans="1:107" x14ac:dyDescent="0.2">
      <c r="A154">
        <f>ROW(Source!A112)</f>
        <v>112</v>
      </c>
      <c r="B154">
        <v>16742901</v>
      </c>
      <c r="C154">
        <v>16745513</v>
      </c>
      <c r="D154">
        <v>15249998</v>
      </c>
      <c r="E154">
        <v>1</v>
      </c>
      <c r="F154">
        <v>1</v>
      </c>
      <c r="G154">
        <v>1</v>
      </c>
      <c r="H154">
        <v>2</v>
      </c>
      <c r="I154" t="s">
        <v>1344</v>
      </c>
      <c r="J154" t="s">
        <v>1345</v>
      </c>
      <c r="K154" t="s">
        <v>1346</v>
      </c>
      <c r="L154">
        <v>1368</v>
      </c>
      <c r="N154">
        <v>1011</v>
      </c>
      <c r="O154" t="s">
        <v>1298</v>
      </c>
      <c r="P154" t="s">
        <v>1298</v>
      </c>
      <c r="Q154">
        <v>1</v>
      </c>
      <c r="W154">
        <v>0</v>
      </c>
      <c r="X154">
        <v>1518765163</v>
      </c>
      <c r="Y154">
        <v>0.92</v>
      </c>
      <c r="AA154">
        <v>0</v>
      </c>
      <c r="AB154">
        <v>10.039999999999999</v>
      </c>
      <c r="AC154">
        <v>0</v>
      </c>
      <c r="AD154">
        <v>0</v>
      </c>
      <c r="AE154">
        <v>0</v>
      </c>
      <c r="AF154">
        <v>1.53</v>
      </c>
      <c r="AG154">
        <v>0</v>
      </c>
      <c r="AH154">
        <v>0</v>
      </c>
      <c r="AI154">
        <v>1</v>
      </c>
      <c r="AJ154">
        <v>6.56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0.92</v>
      </c>
      <c r="AU154" t="s">
        <v>6</v>
      </c>
      <c r="AV154">
        <v>0</v>
      </c>
      <c r="AW154">
        <v>2</v>
      </c>
      <c r="AX154">
        <v>16745534</v>
      </c>
      <c r="AY154">
        <v>1</v>
      </c>
      <c r="AZ154">
        <v>0</v>
      </c>
      <c r="BA154">
        <v>155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Y154*Source!I112</f>
        <v>2.4840000000000001E-2</v>
      </c>
      <c r="CY154">
        <f>AB154</f>
        <v>10.039999999999999</v>
      </c>
      <c r="CZ154">
        <f>AF154</f>
        <v>1.53</v>
      </c>
      <c r="DA154">
        <f>AJ154</f>
        <v>6.56</v>
      </c>
      <c r="DB154">
        <f t="shared" si="29"/>
        <v>1.41</v>
      </c>
      <c r="DC154">
        <f t="shared" si="30"/>
        <v>0</v>
      </c>
    </row>
    <row r="155" spans="1:107" x14ac:dyDescent="0.2">
      <c r="A155">
        <f>ROW(Source!A112)</f>
        <v>112</v>
      </c>
      <c r="B155">
        <v>16742901</v>
      </c>
      <c r="C155">
        <v>16745513</v>
      </c>
      <c r="D155">
        <v>15168772</v>
      </c>
      <c r="E155">
        <v>1</v>
      </c>
      <c r="F155">
        <v>1</v>
      </c>
      <c r="G155">
        <v>1</v>
      </c>
      <c r="H155">
        <v>3</v>
      </c>
      <c r="I155" t="s">
        <v>1471</v>
      </c>
      <c r="J155" t="s">
        <v>1472</v>
      </c>
      <c r="K155" t="s">
        <v>1473</v>
      </c>
      <c r="L155">
        <v>1348</v>
      </c>
      <c r="N155">
        <v>1009</v>
      </c>
      <c r="O155" t="s">
        <v>100</v>
      </c>
      <c r="P155" t="s">
        <v>100</v>
      </c>
      <c r="Q155">
        <v>1000</v>
      </c>
      <c r="W155">
        <v>0</v>
      </c>
      <c r="X155">
        <v>-1506867946</v>
      </c>
      <c r="Y155">
        <v>8.9999999999999993E-3</v>
      </c>
      <c r="AA155">
        <v>61821.440000000002</v>
      </c>
      <c r="AB155">
        <v>0</v>
      </c>
      <c r="AC155">
        <v>0</v>
      </c>
      <c r="AD155">
        <v>0</v>
      </c>
      <c r="AE155">
        <v>9424</v>
      </c>
      <c r="AF155">
        <v>0</v>
      </c>
      <c r="AG155">
        <v>0</v>
      </c>
      <c r="AH155">
        <v>0</v>
      </c>
      <c r="AI155">
        <v>6.56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8.9999999999999993E-3</v>
      </c>
      <c r="AU155" t="s">
        <v>6</v>
      </c>
      <c r="AV155">
        <v>0</v>
      </c>
      <c r="AW155">
        <v>2</v>
      </c>
      <c r="AX155">
        <v>16745535</v>
      </c>
      <c r="AY155">
        <v>1</v>
      </c>
      <c r="AZ155">
        <v>0</v>
      </c>
      <c r="BA155">
        <v>156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Y155*Source!I112</f>
        <v>2.4299999999999997E-4</v>
      </c>
      <c r="CY155">
        <f t="shared" ref="CY155:CY161" si="31">AA155</f>
        <v>61821.440000000002</v>
      </c>
      <c r="CZ155">
        <f t="shared" ref="CZ155:CZ161" si="32">AE155</f>
        <v>9424</v>
      </c>
      <c r="DA155">
        <f t="shared" ref="DA155:DA161" si="33">AI155</f>
        <v>6.56</v>
      </c>
      <c r="DB155">
        <f t="shared" si="29"/>
        <v>84.82</v>
      </c>
      <c r="DC155">
        <f t="shared" si="30"/>
        <v>0</v>
      </c>
    </row>
    <row r="156" spans="1:107" x14ac:dyDescent="0.2">
      <c r="A156">
        <f>ROW(Source!A112)</f>
        <v>112</v>
      </c>
      <c r="B156">
        <v>16742901</v>
      </c>
      <c r="C156">
        <v>16745513</v>
      </c>
      <c r="D156">
        <v>15172836</v>
      </c>
      <c r="E156">
        <v>1</v>
      </c>
      <c r="F156">
        <v>1</v>
      </c>
      <c r="G156">
        <v>1</v>
      </c>
      <c r="H156">
        <v>3</v>
      </c>
      <c r="I156" t="s">
        <v>299</v>
      </c>
      <c r="J156" t="s">
        <v>302</v>
      </c>
      <c r="K156" t="s">
        <v>300</v>
      </c>
      <c r="L156">
        <v>1339</v>
      </c>
      <c r="N156">
        <v>1007</v>
      </c>
      <c r="O156" t="s">
        <v>301</v>
      </c>
      <c r="P156" t="s">
        <v>301</v>
      </c>
      <c r="Q156">
        <v>1</v>
      </c>
      <c r="W156">
        <v>0</v>
      </c>
      <c r="X156">
        <v>519185539</v>
      </c>
      <c r="Y156">
        <v>0.54</v>
      </c>
      <c r="AA156">
        <v>3409.89</v>
      </c>
      <c r="AB156">
        <v>0</v>
      </c>
      <c r="AC156">
        <v>0</v>
      </c>
      <c r="AD156">
        <v>0</v>
      </c>
      <c r="AE156">
        <v>519.79999999999995</v>
      </c>
      <c r="AF156">
        <v>0</v>
      </c>
      <c r="AG156">
        <v>0</v>
      </c>
      <c r="AH156">
        <v>0</v>
      </c>
      <c r="AI156">
        <v>6.56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6</v>
      </c>
      <c r="AT156">
        <v>0.54</v>
      </c>
      <c r="AU156" t="s">
        <v>6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Y156*Source!I112</f>
        <v>1.4580000000000001E-2</v>
      </c>
      <c r="CY156">
        <f t="shared" si="31"/>
        <v>3409.89</v>
      </c>
      <c r="CZ156">
        <f t="shared" si="32"/>
        <v>519.79999999999995</v>
      </c>
      <c r="DA156">
        <f t="shared" si="33"/>
        <v>6.56</v>
      </c>
      <c r="DB156">
        <f t="shared" si="29"/>
        <v>280.69</v>
      </c>
      <c r="DC156">
        <f t="shared" si="30"/>
        <v>0</v>
      </c>
    </row>
    <row r="157" spans="1:107" x14ac:dyDescent="0.2">
      <c r="A157">
        <f>ROW(Source!A112)</f>
        <v>112</v>
      </c>
      <c r="B157">
        <v>16742901</v>
      </c>
      <c r="C157">
        <v>16745513</v>
      </c>
      <c r="D157">
        <v>15164565</v>
      </c>
      <c r="E157">
        <v>17</v>
      </c>
      <c r="F157">
        <v>1</v>
      </c>
      <c r="G157">
        <v>1</v>
      </c>
      <c r="H157">
        <v>3</v>
      </c>
      <c r="I157" t="s">
        <v>313</v>
      </c>
      <c r="J157" t="s">
        <v>6</v>
      </c>
      <c r="K157" t="s">
        <v>314</v>
      </c>
      <c r="L157">
        <v>1339</v>
      </c>
      <c r="N157">
        <v>1007</v>
      </c>
      <c r="O157" t="s">
        <v>301</v>
      </c>
      <c r="P157" t="s">
        <v>301</v>
      </c>
      <c r="Q157">
        <v>1</v>
      </c>
      <c r="W157">
        <v>0</v>
      </c>
      <c r="X157">
        <v>546204653</v>
      </c>
      <c r="Y157">
        <v>0.54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6.56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0.54</v>
      </c>
      <c r="AU157" t="s">
        <v>6</v>
      </c>
      <c r="AV157">
        <v>0</v>
      </c>
      <c r="AW157">
        <v>2</v>
      </c>
      <c r="AX157">
        <v>16745536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Y157*Source!I112</f>
        <v>1.4580000000000001E-2</v>
      </c>
      <c r="CY157">
        <f t="shared" si="31"/>
        <v>0</v>
      </c>
      <c r="CZ157">
        <f t="shared" si="32"/>
        <v>0</v>
      </c>
      <c r="DA157">
        <f t="shared" si="33"/>
        <v>6.56</v>
      </c>
      <c r="DB157">
        <f t="shared" si="29"/>
        <v>0</v>
      </c>
      <c r="DC157">
        <f t="shared" si="30"/>
        <v>0</v>
      </c>
    </row>
    <row r="158" spans="1:107" x14ac:dyDescent="0.2">
      <c r="A158">
        <f>ROW(Source!A112)</f>
        <v>112</v>
      </c>
      <c r="B158">
        <v>16742901</v>
      </c>
      <c r="C158">
        <v>16745513</v>
      </c>
      <c r="D158">
        <v>15162112</v>
      </c>
      <c r="E158">
        <v>17</v>
      </c>
      <c r="F158">
        <v>1</v>
      </c>
      <c r="G158">
        <v>1</v>
      </c>
      <c r="H158">
        <v>3</v>
      </c>
      <c r="I158" t="s">
        <v>316</v>
      </c>
      <c r="J158" t="s">
        <v>6</v>
      </c>
      <c r="K158" t="s">
        <v>317</v>
      </c>
      <c r="L158">
        <v>1356</v>
      </c>
      <c r="N158">
        <v>1010</v>
      </c>
      <c r="O158" t="s">
        <v>306</v>
      </c>
      <c r="P158" t="s">
        <v>306</v>
      </c>
      <c r="Q158">
        <v>1000</v>
      </c>
      <c r="W158">
        <v>0</v>
      </c>
      <c r="X158">
        <v>-637242490</v>
      </c>
      <c r="Y158">
        <v>0.56999999999999995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6.56</v>
      </c>
      <c r="AJ158">
        <v>1</v>
      </c>
      <c r="AK158">
        <v>1</v>
      </c>
      <c r="AL158">
        <v>1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6</v>
      </c>
      <c r="AT158">
        <v>0.56999999999999995</v>
      </c>
      <c r="AU158" t="s">
        <v>6</v>
      </c>
      <c r="AV158">
        <v>0</v>
      </c>
      <c r="AW158">
        <v>2</v>
      </c>
      <c r="AX158">
        <v>16745537</v>
      </c>
      <c r="AY158">
        <v>1</v>
      </c>
      <c r="AZ158">
        <v>0</v>
      </c>
      <c r="BA158">
        <v>158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Y158*Source!I112</f>
        <v>1.5389999999999999E-2</v>
      </c>
      <c r="CY158">
        <f t="shared" si="31"/>
        <v>0</v>
      </c>
      <c r="CZ158">
        <f t="shared" si="32"/>
        <v>0</v>
      </c>
      <c r="DA158">
        <f t="shared" si="33"/>
        <v>6.56</v>
      </c>
      <c r="DB158">
        <f t="shared" si="29"/>
        <v>0</v>
      </c>
      <c r="DC158">
        <f t="shared" si="30"/>
        <v>0</v>
      </c>
    </row>
    <row r="159" spans="1:107" x14ac:dyDescent="0.2">
      <c r="A159">
        <f>ROW(Source!A112)</f>
        <v>112</v>
      </c>
      <c r="B159">
        <v>16742901</v>
      </c>
      <c r="C159">
        <v>16745513</v>
      </c>
      <c r="D159">
        <v>15186829</v>
      </c>
      <c r="E159">
        <v>1</v>
      </c>
      <c r="F159">
        <v>1</v>
      </c>
      <c r="G159">
        <v>1</v>
      </c>
      <c r="H159">
        <v>3</v>
      </c>
      <c r="I159" t="s">
        <v>304</v>
      </c>
      <c r="J159" t="s">
        <v>307</v>
      </c>
      <c r="K159" t="s">
        <v>305</v>
      </c>
      <c r="L159">
        <v>1356</v>
      </c>
      <c r="N159">
        <v>1010</v>
      </c>
      <c r="O159" t="s">
        <v>306</v>
      </c>
      <c r="P159" t="s">
        <v>306</v>
      </c>
      <c r="Q159">
        <v>1000</v>
      </c>
      <c r="W159">
        <v>0</v>
      </c>
      <c r="X159">
        <v>-1135711210</v>
      </c>
      <c r="Y159">
        <v>0.56999999999999995</v>
      </c>
      <c r="AA159">
        <v>12223.71</v>
      </c>
      <c r="AB159">
        <v>0</v>
      </c>
      <c r="AC159">
        <v>0</v>
      </c>
      <c r="AD159">
        <v>0</v>
      </c>
      <c r="AE159">
        <v>1863.37</v>
      </c>
      <c r="AF159">
        <v>0</v>
      </c>
      <c r="AG159">
        <v>0</v>
      </c>
      <c r="AH159">
        <v>0</v>
      </c>
      <c r="AI159">
        <v>6.56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6</v>
      </c>
      <c r="AT159">
        <v>0.56999999999999995</v>
      </c>
      <c r="AU159" t="s">
        <v>6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Y159*Source!I112</f>
        <v>1.5389999999999999E-2</v>
      </c>
      <c r="CY159">
        <f t="shared" si="31"/>
        <v>12223.71</v>
      </c>
      <c r="CZ159">
        <f t="shared" si="32"/>
        <v>1863.37</v>
      </c>
      <c r="DA159">
        <f t="shared" si="33"/>
        <v>6.56</v>
      </c>
      <c r="DB159">
        <f t="shared" si="29"/>
        <v>1062.1199999999999</v>
      </c>
      <c r="DC159">
        <f t="shared" si="30"/>
        <v>0</v>
      </c>
    </row>
    <row r="160" spans="1:107" x14ac:dyDescent="0.2">
      <c r="A160">
        <f>ROW(Source!A112)</f>
        <v>112</v>
      </c>
      <c r="B160">
        <v>16742901</v>
      </c>
      <c r="C160">
        <v>16745513</v>
      </c>
      <c r="D160">
        <v>15161825</v>
      </c>
      <c r="E160">
        <v>17</v>
      </c>
      <c r="F160">
        <v>1</v>
      </c>
      <c r="G160">
        <v>1</v>
      </c>
      <c r="H160">
        <v>3</v>
      </c>
      <c r="I160" t="s">
        <v>319</v>
      </c>
      <c r="J160" t="s">
        <v>6</v>
      </c>
      <c r="K160" t="s">
        <v>320</v>
      </c>
      <c r="L160">
        <v>1348</v>
      </c>
      <c r="N160">
        <v>1009</v>
      </c>
      <c r="O160" t="s">
        <v>100</v>
      </c>
      <c r="P160" t="s">
        <v>100</v>
      </c>
      <c r="Q160">
        <v>1000</v>
      </c>
      <c r="W160">
        <v>0</v>
      </c>
      <c r="X160">
        <v>748648226</v>
      </c>
      <c r="Y160">
        <v>1.04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6.56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6</v>
      </c>
      <c r="AT160">
        <v>1.04</v>
      </c>
      <c r="AU160" t="s">
        <v>6</v>
      </c>
      <c r="AV160">
        <v>0</v>
      </c>
      <c r="AW160">
        <v>2</v>
      </c>
      <c r="AX160">
        <v>16745538</v>
      </c>
      <c r="AY160">
        <v>1</v>
      </c>
      <c r="AZ160">
        <v>0</v>
      </c>
      <c r="BA160">
        <v>159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Y160*Source!I112</f>
        <v>2.8080000000000001E-2</v>
      </c>
      <c r="CY160">
        <f t="shared" si="31"/>
        <v>0</v>
      </c>
      <c r="CZ160">
        <f t="shared" si="32"/>
        <v>0</v>
      </c>
      <c r="DA160">
        <f t="shared" si="33"/>
        <v>6.56</v>
      </c>
      <c r="DB160">
        <f t="shared" si="29"/>
        <v>0</v>
      </c>
      <c r="DC160">
        <f t="shared" si="30"/>
        <v>0</v>
      </c>
    </row>
    <row r="161" spans="1:107" x14ac:dyDescent="0.2">
      <c r="A161">
        <f>ROW(Source!A112)</f>
        <v>112</v>
      </c>
      <c r="B161">
        <v>16742901</v>
      </c>
      <c r="C161">
        <v>16745513</v>
      </c>
      <c r="D161">
        <v>15191608</v>
      </c>
      <c r="E161">
        <v>1</v>
      </c>
      <c r="F161">
        <v>1</v>
      </c>
      <c r="G161">
        <v>1</v>
      </c>
      <c r="H161">
        <v>3</v>
      </c>
      <c r="I161" t="s">
        <v>309</v>
      </c>
      <c r="J161" t="s">
        <v>311</v>
      </c>
      <c r="K161" t="s">
        <v>310</v>
      </c>
      <c r="L161">
        <v>1348</v>
      </c>
      <c r="N161">
        <v>1009</v>
      </c>
      <c r="O161" t="s">
        <v>100</v>
      </c>
      <c r="P161" t="s">
        <v>100</v>
      </c>
      <c r="Q161">
        <v>1000</v>
      </c>
      <c r="W161">
        <v>0</v>
      </c>
      <c r="X161">
        <v>1270864760</v>
      </c>
      <c r="Y161">
        <v>1.04</v>
      </c>
      <c r="AA161">
        <v>44237.43</v>
      </c>
      <c r="AB161">
        <v>0</v>
      </c>
      <c r="AC161">
        <v>0</v>
      </c>
      <c r="AD161">
        <v>0</v>
      </c>
      <c r="AE161">
        <v>6743.51</v>
      </c>
      <c r="AF161">
        <v>0</v>
      </c>
      <c r="AG161">
        <v>0</v>
      </c>
      <c r="AH161">
        <v>0</v>
      </c>
      <c r="AI161">
        <v>6.56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6</v>
      </c>
      <c r="AT161">
        <v>1.04</v>
      </c>
      <c r="AU161" t="s">
        <v>6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Y161*Source!I112</f>
        <v>2.8080000000000001E-2</v>
      </c>
      <c r="CY161">
        <f t="shared" si="31"/>
        <v>44237.43</v>
      </c>
      <c r="CZ161">
        <f t="shared" si="32"/>
        <v>6743.51</v>
      </c>
      <c r="DA161">
        <f t="shared" si="33"/>
        <v>6.56</v>
      </c>
      <c r="DB161">
        <f t="shared" si="29"/>
        <v>7013.25</v>
      </c>
      <c r="DC161">
        <f t="shared" si="30"/>
        <v>0</v>
      </c>
    </row>
    <row r="162" spans="1:107" x14ac:dyDescent="0.2">
      <c r="A162">
        <f>ROW(Source!A119)</f>
        <v>119</v>
      </c>
      <c r="B162">
        <v>16742901</v>
      </c>
      <c r="C162">
        <v>16745545</v>
      </c>
      <c r="D162">
        <v>15432258</v>
      </c>
      <c r="E162">
        <v>1</v>
      </c>
      <c r="F162">
        <v>1</v>
      </c>
      <c r="G162">
        <v>1</v>
      </c>
      <c r="H162">
        <v>1</v>
      </c>
      <c r="I162" t="s">
        <v>1474</v>
      </c>
      <c r="J162" t="s">
        <v>6</v>
      </c>
      <c r="K162" t="s">
        <v>1475</v>
      </c>
      <c r="L162">
        <v>1191</v>
      </c>
      <c r="N162">
        <v>1013</v>
      </c>
      <c r="O162" t="s">
        <v>1287</v>
      </c>
      <c r="P162" t="s">
        <v>1287</v>
      </c>
      <c r="Q162">
        <v>1</v>
      </c>
      <c r="W162">
        <v>0</v>
      </c>
      <c r="X162">
        <v>-608433632</v>
      </c>
      <c r="Y162">
        <v>80.19</v>
      </c>
      <c r="AA162">
        <v>0</v>
      </c>
      <c r="AB162">
        <v>0</v>
      </c>
      <c r="AC162">
        <v>0</v>
      </c>
      <c r="AD162">
        <v>55.5</v>
      </c>
      <c r="AE162">
        <v>0</v>
      </c>
      <c r="AF162">
        <v>0</v>
      </c>
      <c r="AG162">
        <v>0</v>
      </c>
      <c r="AH162">
        <v>8.4600000000000009</v>
      </c>
      <c r="AI162">
        <v>1</v>
      </c>
      <c r="AJ162">
        <v>1</v>
      </c>
      <c r="AK162">
        <v>1</v>
      </c>
      <c r="AL162">
        <v>6.56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80.19</v>
      </c>
      <c r="AU162" t="s">
        <v>6</v>
      </c>
      <c r="AV162">
        <v>1</v>
      </c>
      <c r="AW162">
        <v>2</v>
      </c>
      <c r="AX162">
        <v>16745559</v>
      </c>
      <c r="AY162">
        <v>1</v>
      </c>
      <c r="AZ162">
        <v>0</v>
      </c>
      <c r="BA162">
        <v>160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Y162*Source!I119</f>
        <v>15.564878999999999</v>
      </c>
      <c r="CY162">
        <f>AD162</f>
        <v>55.5</v>
      </c>
      <c r="CZ162">
        <f>AH162</f>
        <v>8.4600000000000009</v>
      </c>
      <c r="DA162">
        <f>AL162</f>
        <v>6.56</v>
      </c>
      <c r="DB162">
        <f t="shared" si="29"/>
        <v>678.41</v>
      </c>
      <c r="DC162">
        <f t="shared" si="30"/>
        <v>0</v>
      </c>
    </row>
    <row r="163" spans="1:107" x14ac:dyDescent="0.2">
      <c r="A163">
        <f>ROW(Source!A119)</f>
        <v>119</v>
      </c>
      <c r="B163">
        <v>16742901</v>
      </c>
      <c r="C163">
        <v>16745545</v>
      </c>
      <c r="D163">
        <v>15430395</v>
      </c>
      <c r="E163">
        <v>1</v>
      </c>
      <c r="F163">
        <v>1</v>
      </c>
      <c r="G163">
        <v>1</v>
      </c>
      <c r="H163">
        <v>1</v>
      </c>
      <c r="I163" t="s">
        <v>1293</v>
      </c>
      <c r="J163" t="s">
        <v>6</v>
      </c>
      <c r="K163" t="s">
        <v>1294</v>
      </c>
      <c r="L163">
        <v>1191</v>
      </c>
      <c r="N163">
        <v>1013</v>
      </c>
      <c r="O163" t="s">
        <v>1287</v>
      </c>
      <c r="P163" t="s">
        <v>1287</v>
      </c>
      <c r="Q163">
        <v>1</v>
      </c>
      <c r="W163">
        <v>0</v>
      </c>
      <c r="X163">
        <v>-1417349443</v>
      </c>
      <c r="Y163">
        <v>2.5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6.56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2.5</v>
      </c>
      <c r="AU163" t="s">
        <v>6</v>
      </c>
      <c r="AV163">
        <v>2</v>
      </c>
      <c r="AW163">
        <v>2</v>
      </c>
      <c r="AX163">
        <v>16745560</v>
      </c>
      <c r="AY163">
        <v>1</v>
      </c>
      <c r="AZ163">
        <v>0</v>
      </c>
      <c r="BA163">
        <v>161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Y163*Source!I119</f>
        <v>0.48524999999999996</v>
      </c>
      <c r="CY163">
        <f>AD163</f>
        <v>0</v>
      </c>
      <c r="CZ163">
        <f>AH163</f>
        <v>0</v>
      </c>
      <c r="DA163">
        <f>AL163</f>
        <v>1</v>
      </c>
      <c r="DB163">
        <f t="shared" si="29"/>
        <v>0</v>
      </c>
      <c r="DC163">
        <f t="shared" si="30"/>
        <v>0</v>
      </c>
    </row>
    <row r="164" spans="1:107" x14ac:dyDescent="0.2">
      <c r="A164">
        <f>ROW(Source!A119)</f>
        <v>119</v>
      </c>
      <c r="B164">
        <v>16742901</v>
      </c>
      <c r="C164">
        <v>16745545</v>
      </c>
      <c r="D164">
        <v>15247576</v>
      </c>
      <c r="E164">
        <v>1</v>
      </c>
      <c r="F164">
        <v>1</v>
      </c>
      <c r="G164">
        <v>1</v>
      </c>
      <c r="H164">
        <v>2</v>
      </c>
      <c r="I164" t="s">
        <v>1476</v>
      </c>
      <c r="J164" t="s">
        <v>1477</v>
      </c>
      <c r="K164" t="s">
        <v>1478</v>
      </c>
      <c r="L164">
        <v>1368</v>
      </c>
      <c r="N164">
        <v>1011</v>
      </c>
      <c r="O164" t="s">
        <v>1298</v>
      </c>
      <c r="P164" t="s">
        <v>1298</v>
      </c>
      <c r="Q164">
        <v>1</v>
      </c>
      <c r="W164">
        <v>0</v>
      </c>
      <c r="X164">
        <v>257150282</v>
      </c>
      <c r="Y164">
        <v>0.6</v>
      </c>
      <c r="AA164">
        <v>0</v>
      </c>
      <c r="AB164">
        <v>547.29999999999995</v>
      </c>
      <c r="AC164">
        <v>13.5</v>
      </c>
      <c r="AD164">
        <v>0</v>
      </c>
      <c r="AE164">
        <v>0</v>
      </c>
      <c r="AF164">
        <v>83.43</v>
      </c>
      <c r="AG164">
        <v>13.5</v>
      </c>
      <c r="AH164">
        <v>0</v>
      </c>
      <c r="AI164">
        <v>1</v>
      </c>
      <c r="AJ164">
        <v>6.56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0.6</v>
      </c>
      <c r="AU164" t="s">
        <v>6</v>
      </c>
      <c r="AV164">
        <v>0</v>
      </c>
      <c r="AW164">
        <v>2</v>
      </c>
      <c r="AX164">
        <v>16745561</v>
      </c>
      <c r="AY164">
        <v>1</v>
      </c>
      <c r="AZ164">
        <v>0</v>
      </c>
      <c r="BA164">
        <v>162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Y164*Source!I119</f>
        <v>0.11645999999999999</v>
      </c>
      <c r="CY164">
        <f>AB164</f>
        <v>547.29999999999995</v>
      </c>
      <c r="CZ164">
        <f>AF164</f>
        <v>83.43</v>
      </c>
      <c r="DA164">
        <f>AJ164</f>
        <v>6.56</v>
      </c>
      <c r="DB164">
        <f t="shared" si="29"/>
        <v>50.06</v>
      </c>
      <c r="DC164">
        <f t="shared" si="30"/>
        <v>8.1</v>
      </c>
    </row>
    <row r="165" spans="1:107" x14ac:dyDescent="0.2">
      <c r="A165">
        <f>ROW(Source!A119)</f>
        <v>119</v>
      </c>
      <c r="B165">
        <v>16742901</v>
      </c>
      <c r="C165">
        <v>16745545</v>
      </c>
      <c r="D165">
        <v>15247680</v>
      </c>
      <c r="E165">
        <v>1</v>
      </c>
      <c r="F165">
        <v>1</v>
      </c>
      <c r="G165">
        <v>1</v>
      </c>
      <c r="H165">
        <v>2</v>
      </c>
      <c r="I165" t="s">
        <v>1295</v>
      </c>
      <c r="J165" t="s">
        <v>1296</v>
      </c>
      <c r="K165" t="s">
        <v>1297</v>
      </c>
      <c r="L165">
        <v>1368</v>
      </c>
      <c r="N165">
        <v>1011</v>
      </c>
      <c r="O165" t="s">
        <v>1298</v>
      </c>
      <c r="P165" t="s">
        <v>1298</v>
      </c>
      <c r="Q165">
        <v>1</v>
      </c>
      <c r="W165">
        <v>0</v>
      </c>
      <c r="X165">
        <v>-1718674368</v>
      </c>
      <c r="Y165">
        <v>0.95</v>
      </c>
      <c r="AA165">
        <v>0</v>
      </c>
      <c r="AB165">
        <v>734.65</v>
      </c>
      <c r="AC165">
        <v>13.5</v>
      </c>
      <c r="AD165">
        <v>0</v>
      </c>
      <c r="AE165">
        <v>0</v>
      </c>
      <c r="AF165">
        <v>111.99</v>
      </c>
      <c r="AG165">
        <v>13.5</v>
      </c>
      <c r="AH165">
        <v>0</v>
      </c>
      <c r="AI165">
        <v>1</v>
      </c>
      <c r="AJ165">
        <v>6.56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0.95</v>
      </c>
      <c r="AU165" t="s">
        <v>6</v>
      </c>
      <c r="AV165">
        <v>0</v>
      </c>
      <c r="AW165">
        <v>2</v>
      </c>
      <c r="AX165">
        <v>16745562</v>
      </c>
      <c r="AY165">
        <v>1</v>
      </c>
      <c r="AZ165">
        <v>0</v>
      </c>
      <c r="BA165">
        <v>163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Y165*Source!I119</f>
        <v>0.18439499999999998</v>
      </c>
      <c r="CY165">
        <f>AB165</f>
        <v>734.65</v>
      </c>
      <c r="CZ165">
        <f>AF165</f>
        <v>111.99</v>
      </c>
      <c r="DA165">
        <f>AJ165</f>
        <v>6.56</v>
      </c>
      <c r="DB165">
        <f t="shared" si="29"/>
        <v>106.39</v>
      </c>
      <c r="DC165">
        <f t="shared" si="30"/>
        <v>12.83</v>
      </c>
    </row>
    <row r="166" spans="1:107" x14ac:dyDescent="0.2">
      <c r="A166">
        <f>ROW(Source!A119)</f>
        <v>119</v>
      </c>
      <c r="B166">
        <v>16742901</v>
      </c>
      <c r="C166">
        <v>16745545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1299</v>
      </c>
      <c r="J166" t="s">
        <v>1300</v>
      </c>
      <c r="K166" t="s">
        <v>1301</v>
      </c>
      <c r="L166">
        <v>1368</v>
      </c>
      <c r="N166">
        <v>1011</v>
      </c>
      <c r="O166" t="s">
        <v>1298</v>
      </c>
      <c r="P166" t="s">
        <v>1298</v>
      </c>
      <c r="Q166">
        <v>1</v>
      </c>
      <c r="W166">
        <v>0</v>
      </c>
      <c r="X166">
        <v>1372534845</v>
      </c>
      <c r="Y166">
        <v>0.95</v>
      </c>
      <c r="AA166">
        <v>0</v>
      </c>
      <c r="AB166">
        <v>431.06</v>
      </c>
      <c r="AC166">
        <v>11.6</v>
      </c>
      <c r="AD166">
        <v>0</v>
      </c>
      <c r="AE166">
        <v>0</v>
      </c>
      <c r="AF166">
        <v>65.709999999999994</v>
      </c>
      <c r="AG166">
        <v>11.6</v>
      </c>
      <c r="AH166">
        <v>0</v>
      </c>
      <c r="AI166">
        <v>1</v>
      </c>
      <c r="AJ166">
        <v>6.56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0.95</v>
      </c>
      <c r="AU166" t="s">
        <v>6</v>
      </c>
      <c r="AV166">
        <v>0</v>
      </c>
      <c r="AW166">
        <v>2</v>
      </c>
      <c r="AX166">
        <v>16745563</v>
      </c>
      <c r="AY166">
        <v>1</v>
      </c>
      <c r="AZ166">
        <v>0</v>
      </c>
      <c r="BA166">
        <v>164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Y166*Source!I119</f>
        <v>0.18439499999999998</v>
      </c>
      <c r="CY166">
        <f>AB166</f>
        <v>431.06</v>
      </c>
      <c r="CZ166">
        <f>AF166</f>
        <v>65.709999999999994</v>
      </c>
      <c r="DA166">
        <f>AJ166</f>
        <v>6.56</v>
      </c>
      <c r="DB166">
        <f t="shared" si="29"/>
        <v>62.42</v>
      </c>
      <c r="DC166">
        <f t="shared" si="30"/>
        <v>11.02</v>
      </c>
    </row>
    <row r="167" spans="1:107" x14ac:dyDescent="0.2">
      <c r="A167">
        <f>ROW(Source!A119)</f>
        <v>119</v>
      </c>
      <c r="B167">
        <v>16742901</v>
      </c>
      <c r="C167">
        <v>16745545</v>
      </c>
      <c r="D167">
        <v>15167286</v>
      </c>
      <c r="E167">
        <v>1</v>
      </c>
      <c r="F167">
        <v>1</v>
      </c>
      <c r="G167">
        <v>1</v>
      </c>
      <c r="H167">
        <v>3</v>
      </c>
      <c r="I167" t="s">
        <v>1317</v>
      </c>
      <c r="J167" t="s">
        <v>1318</v>
      </c>
      <c r="K167" t="s">
        <v>1319</v>
      </c>
      <c r="L167">
        <v>1339</v>
      </c>
      <c r="N167">
        <v>1007</v>
      </c>
      <c r="O167" t="s">
        <v>301</v>
      </c>
      <c r="P167" t="s">
        <v>301</v>
      </c>
      <c r="Q167">
        <v>1</v>
      </c>
      <c r="W167">
        <v>0</v>
      </c>
      <c r="X167">
        <v>-1660354250</v>
      </c>
      <c r="Y167">
        <v>8.2799999999999999E-2</v>
      </c>
      <c r="AA167">
        <v>16.010000000000002</v>
      </c>
      <c r="AB167">
        <v>0</v>
      </c>
      <c r="AC167">
        <v>0</v>
      </c>
      <c r="AD167">
        <v>0</v>
      </c>
      <c r="AE167">
        <v>2.44</v>
      </c>
      <c r="AF167">
        <v>0</v>
      </c>
      <c r="AG167">
        <v>0</v>
      </c>
      <c r="AH167">
        <v>0</v>
      </c>
      <c r="AI167">
        <v>6.56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8.2799999999999999E-2</v>
      </c>
      <c r="AU167" t="s">
        <v>6</v>
      </c>
      <c r="AV167">
        <v>0</v>
      </c>
      <c r="AW167">
        <v>2</v>
      </c>
      <c r="AX167">
        <v>16745564</v>
      </c>
      <c r="AY167">
        <v>1</v>
      </c>
      <c r="AZ167">
        <v>0</v>
      </c>
      <c r="BA167">
        <v>165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Y167*Source!I119</f>
        <v>1.6071479999999999E-2</v>
      </c>
      <c r="CY167">
        <f t="shared" ref="CY167:CY173" si="34">AA167</f>
        <v>16.010000000000002</v>
      </c>
      <c r="CZ167">
        <f t="shared" ref="CZ167:CZ173" si="35">AE167</f>
        <v>2.44</v>
      </c>
      <c r="DA167">
        <f t="shared" ref="DA167:DA173" si="36">AI167</f>
        <v>6.56</v>
      </c>
      <c r="DB167">
        <f t="shared" si="29"/>
        <v>0.2</v>
      </c>
      <c r="DC167">
        <f t="shared" si="30"/>
        <v>0</v>
      </c>
    </row>
    <row r="168" spans="1:107" x14ac:dyDescent="0.2">
      <c r="A168">
        <f>ROW(Source!A119)</f>
        <v>119</v>
      </c>
      <c r="B168">
        <v>16742901</v>
      </c>
      <c r="C168">
        <v>16745545</v>
      </c>
      <c r="D168">
        <v>15185848</v>
      </c>
      <c r="E168">
        <v>1</v>
      </c>
      <c r="F168">
        <v>1</v>
      </c>
      <c r="G168">
        <v>1</v>
      </c>
      <c r="H168">
        <v>3</v>
      </c>
      <c r="I168" t="s">
        <v>328</v>
      </c>
      <c r="J168" t="s">
        <v>330</v>
      </c>
      <c r="K168" t="s">
        <v>329</v>
      </c>
      <c r="L168">
        <v>1354</v>
      </c>
      <c r="N168">
        <v>1010</v>
      </c>
      <c r="O168" t="s">
        <v>73</v>
      </c>
      <c r="P168" t="s">
        <v>73</v>
      </c>
      <c r="Q168">
        <v>1</v>
      </c>
      <c r="W168">
        <v>0</v>
      </c>
      <c r="X168">
        <v>994085871</v>
      </c>
      <c r="Y168">
        <v>666.32320100000004</v>
      </c>
      <c r="AA168">
        <v>261.61</v>
      </c>
      <c r="AB168">
        <v>0</v>
      </c>
      <c r="AC168">
        <v>0</v>
      </c>
      <c r="AD168">
        <v>0</v>
      </c>
      <c r="AE168">
        <v>39.880000000000003</v>
      </c>
      <c r="AF168">
        <v>0</v>
      </c>
      <c r="AG168">
        <v>0</v>
      </c>
      <c r="AH168">
        <v>0</v>
      </c>
      <c r="AI168">
        <v>6.56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666.32320100000004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Y168*Source!I119</f>
        <v>129.3333333141</v>
      </c>
      <c r="CY168">
        <f t="shared" si="34"/>
        <v>261.61</v>
      </c>
      <c r="CZ168">
        <f t="shared" si="35"/>
        <v>39.880000000000003</v>
      </c>
      <c r="DA168">
        <f t="shared" si="36"/>
        <v>6.56</v>
      </c>
      <c r="DB168">
        <f t="shared" si="29"/>
        <v>26572.97</v>
      </c>
      <c r="DC168">
        <f t="shared" si="30"/>
        <v>0</v>
      </c>
    </row>
    <row r="169" spans="1:107" x14ac:dyDescent="0.2">
      <c r="A169">
        <f>ROW(Source!A119)</f>
        <v>119</v>
      </c>
      <c r="B169">
        <v>16742901</v>
      </c>
      <c r="C169">
        <v>16745545</v>
      </c>
      <c r="D169">
        <v>15162250</v>
      </c>
      <c r="E169">
        <v>17</v>
      </c>
      <c r="F169">
        <v>1</v>
      </c>
      <c r="G169">
        <v>1</v>
      </c>
      <c r="H169">
        <v>3</v>
      </c>
      <c r="I169" t="s">
        <v>336</v>
      </c>
      <c r="J169" t="s">
        <v>6</v>
      </c>
      <c r="K169" t="s">
        <v>337</v>
      </c>
      <c r="L169">
        <v>1339</v>
      </c>
      <c r="N169">
        <v>1007</v>
      </c>
      <c r="O169" t="s">
        <v>301</v>
      </c>
      <c r="P169" t="s">
        <v>301</v>
      </c>
      <c r="Q169">
        <v>1</v>
      </c>
      <c r="W169">
        <v>0</v>
      </c>
      <c r="X169">
        <v>789713021</v>
      </c>
      <c r="Y169">
        <v>20.2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6.56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6</v>
      </c>
      <c r="AT169">
        <v>20.2</v>
      </c>
      <c r="AU169" t="s">
        <v>6</v>
      </c>
      <c r="AV169">
        <v>0</v>
      </c>
      <c r="AW169">
        <v>2</v>
      </c>
      <c r="AX169">
        <v>16745565</v>
      </c>
      <c r="AY169">
        <v>1</v>
      </c>
      <c r="AZ169">
        <v>0</v>
      </c>
      <c r="BA169">
        <v>166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Y169*Source!I119</f>
        <v>3.92082</v>
      </c>
      <c r="CY169">
        <f t="shared" si="34"/>
        <v>0</v>
      </c>
      <c r="CZ169">
        <f t="shared" si="35"/>
        <v>0</v>
      </c>
      <c r="DA169">
        <f t="shared" si="36"/>
        <v>6.56</v>
      </c>
      <c r="DB169">
        <f t="shared" si="29"/>
        <v>0</v>
      </c>
      <c r="DC169">
        <f t="shared" si="30"/>
        <v>0</v>
      </c>
    </row>
    <row r="170" spans="1:107" x14ac:dyDescent="0.2">
      <c r="A170">
        <f>ROW(Source!A119)</f>
        <v>119</v>
      </c>
      <c r="B170">
        <v>16742901</v>
      </c>
      <c r="C170">
        <v>16745545</v>
      </c>
      <c r="D170">
        <v>15192126</v>
      </c>
      <c r="E170">
        <v>1</v>
      </c>
      <c r="F170">
        <v>1</v>
      </c>
      <c r="G170">
        <v>1</v>
      </c>
      <c r="H170">
        <v>3</v>
      </c>
      <c r="I170" t="s">
        <v>1479</v>
      </c>
      <c r="J170" t="s">
        <v>1480</v>
      </c>
      <c r="K170" t="s">
        <v>1481</v>
      </c>
      <c r="L170">
        <v>1348</v>
      </c>
      <c r="N170">
        <v>1009</v>
      </c>
      <c r="O170" t="s">
        <v>100</v>
      </c>
      <c r="P170" t="s">
        <v>100</v>
      </c>
      <c r="Q170">
        <v>1000</v>
      </c>
      <c r="W170">
        <v>0</v>
      </c>
      <c r="X170">
        <v>2015926177</v>
      </c>
      <c r="Y170">
        <v>3.1E-2</v>
      </c>
      <c r="AA170">
        <v>52572.82</v>
      </c>
      <c r="AB170">
        <v>0</v>
      </c>
      <c r="AC170">
        <v>0</v>
      </c>
      <c r="AD170">
        <v>0</v>
      </c>
      <c r="AE170">
        <v>8014.15</v>
      </c>
      <c r="AF170">
        <v>0</v>
      </c>
      <c r="AG170">
        <v>0</v>
      </c>
      <c r="AH170">
        <v>0</v>
      </c>
      <c r="AI170">
        <v>6.56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3.1E-2</v>
      </c>
      <c r="AU170" t="s">
        <v>6</v>
      </c>
      <c r="AV170">
        <v>0</v>
      </c>
      <c r="AW170">
        <v>2</v>
      </c>
      <c r="AX170">
        <v>16745566</v>
      </c>
      <c r="AY170">
        <v>1</v>
      </c>
      <c r="AZ170">
        <v>0</v>
      </c>
      <c r="BA170">
        <v>167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Y170*Source!I119</f>
        <v>6.0171000000000001E-3</v>
      </c>
      <c r="CY170">
        <f t="shared" si="34"/>
        <v>52572.82</v>
      </c>
      <c r="CZ170">
        <f t="shared" si="35"/>
        <v>8014.15</v>
      </c>
      <c r="DA170">
        <f t="shared" si="36"/>
        <v>6.56</v>
      </c>
      <c r="DB170">
        <f t="shared" si="29"/>
        <v>248.44</v>
      </c>
      <c r="DC170">
        <f t="shared" si="30"/>
        <v>0</v>
      </c>
    </row>
    <row r="171" spans="1:107" x14ac:dyDescent="0.2">
      <c r="A171">
        <f>ROW(Source!A119)</f>
        <v>119</v>
      </c>
      <c r="B171">
        <v>16742901</v>
      </c>
      <c r="C171">
        <v>16745545</v>
      </c>
      <c r="D171">
        <v>15202554</v>
      </c>
      <c r="E171">
        <v>1</v>
      </c>
      <c r="F171">
        <v>1</v>
      </c>
      <c r="G171">
        <v>1</v>
      </c>
      <c r="H171">
        <v>3</v>
      </c>
      <c r="I171" t="s">
        <v>332</v>
      </c>
      <c r="J171" t="s">
        <v>334</v>
      </c>
      <c r="K171" t="s">
        <v>333</v>
      </c>
      <c r="L171">
        <v>1348</v>
      </c>
      <c r="N171">
        <v>1009</v>
      </c>
      <c r="O171" t="s">
        <v>100</v>
      </c>
      <c r="P171" t="s">
        <v>100</v>
      </c>
      <c r="Q171">
        <v>1000</v>
      </c>
      <c r="W171">
        <v>0</v>
      </c>
      <c r="X171">
        <v>-1425202410</v>
      </c>
      <c r="Y171">
        <v>0.40998000000000001</v>
      </c>
      <c r="AA171">
        <v>28312.959999999999</v>
      </c>
      <c r="AB171">
        <v>0</v>
      </c>
      <c r="AC171">
        <v>0</v>
      </c>
      <c r="AD171">
        <v>0</v>
      </c>
      <c r="AE171">
        <v>4316</v>
      </c>
      <c r="AF171">
        <v>0</v>
      </c>
      <c r="AG171">
        <v>0</v>
      </c>
      <c r="AH171">
        <v>0</v>
      </c>
      <c r="AI171">
        <v>6.56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0.40998000000000001</v>
      </c>
      <c r="AU171" t="s">
        <v>6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Y171*Source!I119</f>
        <v>7.9577118000000002E-2</v>
      </c>
      <c r="CY171">
        <f t="shared" si="34"/>
        <v>28312.959999999999</v>
      </c>
      <c r="CZ171">
        <f t="shared" si="35"/>
        <v>4316</v>
      </c>
      <c r="DA171">
        <f t="shared" si="36"/>
        <v>6.56</v>
      </c>
      <c r="DB171">
        <f t="shared" si="29"/>
        <v>1769.47</v>
      </c>
      <c r="DC171">
        <f t="shared" si="30"/>
        <v>0</v>
      </c>
    </row>
    <row r="172" spans="1:107" x14ac:dyDescent="0.2">
      <c r="A172">
        <f>ROW(Source!A119)</f>
        <v>119</v>
      </c>
      <c r="B172">
        <v>16742901</v>
      </c>
      <c r="C172">
        <v>16745545</v>
      </c>
      <c r="D172">
        <v>15162257</v>
      </c>
      <c r="E172">
        <v>17</v>
      </c>
      <c r="F172">
        <v>1</v>
      </c>
      <c r="G172">
        <v>1</v>
      </c>
      <c r="H172">
        <v>3</v>
      </c>
      <c r="I172" t="s">
        <v>339</v>
      </c>
      <c r="J172" t="s">
        <v>6</v>
      </c>
      <c r="K172" t="s">
        <v>340</v>
      </c>
      <c r="L172">
        <v>1346</v>
      </c>
      <c r="N172">
        <v>1009</v>
      </c>
      <c r="O172" t="s">
        <v>341</v>
      </c>
      <c r="P172" t="s">
        <v>341</v>
      </c>
      <c r="Q172">
        <v>1</v>
      </c>
      <c r="W172">
        <v>0</v>
      </c>
      <c r="X172">
        <v>290394019</v>
      </c>
      <c r="Y172">
        <v>409.98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6.56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409.98</v>
      </c>
      <c r="AU172" t="s">
        <v>6</v>
      </c>
      <c r="AV172">
        <v>0</v>
      </c>
      <c r="AW172">
        <v>2</v>
      </c>
      <c r="AX172">
        <v>16745567</v>
      </c>
      <c r="AY172">
        <v>1</v>
      </c>
      <c r="AZ172">
        <v>0</v>
      </c>
      <c r="BA172">
        <v>168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Y172*Source!I119</f>
        <v>79.577117999999999</v>
      </c>
      <c r="CY172">
        <f t="shared" si="34"/>
        <v>0</v>
      </c>
      <c r="CZ172">
        <f t="shared" si="35"/>
        <v>0</v>
      </c>
      <c r="DA172">
        <f t="shared" si="36"/>
        <v>6.56</v>
      </c>
      <c r="DB172">
        <f t="shared" si="29"/>
        <v>0</v>
      </c>
      <c r="DC172">
        <f t="shared" si="30"/>
        <v>0</v>
      </c>
    </row>
    <row r="173" spans="1:107" x14ac:dyDescent="0.2">
      <c r="A173">
        <f>ROW(Source!A119)</f>
        <v>119</v>
      </c>
      <c r="B173">
        <v>16742901</v>
      </c>
      <c r="C173">
        <v>16745545</v>
      </c>
      <c r="D173">
        <v>15203461</v>
      </c>
      <c r="E173">
        <v>1</v>
      </c>
      <c r="F173">
        <v>1</v>
      </c>
      <c r="G173">
        <v>1</v>
      </c>
      <c r="H173">
        <v>3</v>
      </c>
      <c r="I173" t="s">
        <v>1380</v>
      </c>
      <c r="J173" t="s">
        <v>1381</v>
      </c>
      <c r="K173" t="s">
        <v>1382</v>
      </c>
      <c r="L173">
        <v>1348</v>
      </c>
      <c r="N173">
        <v>1009</v>
      </c>
      <c r="O173" t="s">
        <v>100</v>
      </c>
      <c r="P173" t="s">
        <v>100</v>
      </c>
      <c r="Q173">
        <v>1000</v>
      </c>
      <c r="W173">
        <v>0</v>
      </c>
      <c r="X173">
        <v>-1655298345</v>
      </c>
      <c r="Y173">
        <v>1.5499999999999999E-3</v>
      </c>
      <c r="AA173">
        <v>102467.2</v>
      </c>
      <c r="AB173">
        <v>0</v>
      </c>
      <c r="AC173">
        <v>0</v>
      </c>
      <c r="AD173">
        <v>0</v>
      </c>
      <c r="AE173">
        <v>15620</v>
      </c>
      <c r="AF173">
        <v>0</v>
      </c>
      <c r="AG173">
        <v>0</v>
      </c>
      <c r="AH173">
        <v>0</v>
      </c>
      <c r="AI173">
        <v>6.56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1.5499999999999999E-3</v>
      </c>
      <c r="AU173" t="s">
        <v>6</v>
      </c>
      <c r="AV173">
        <v>0</v>
      </c>
      <c r="AW173">
        <v>2</v>
      </c>
      <c r="AX173">
        <v>16745568</v>
      </c>
      <c r="AY173">
        <v>1</v>
      </c>
      <c r="AZ173">
        <v>0</v>
      </c>
      <c r="BA173">
        <v>169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Y173*Source!I119</f>
        <v>3.0085499999999999E-4</v>
      </c>
      <c r="CY173">
        <f t="shared" si="34"/>
        <v>102467.2</v>
      </c>
      <c r="CZ173">
        <f t="shared" si="35"/>
        <v>15620</v>
      </c>
      <c r="DA173">
        <f t="shared" si="36"/>
        <v>6.56</v>
      </c>
      <c r="DB173">
        <f t="shared" ref="DB173:DB204" si="37">ROUND(ROUND(AT173*CZ173,2),2)</f>
        <v>24.21</v>
      </c>
      <c r="DC173">
        <f t="shared" ref="DC173:DC204" si="38">ROUND(ROUND(AT173*AG173,2),2)</f>
        <v>0</v>
      </c>
    </row>
    <row r="174" spans="1:107" x14ac:dyDescent="0.2">
      <c r="A174">
        <f>ROW(Source!A124)</f>
        <v>124</v>
      </c>
      <c r="B174">
        <v>16742901</v>
      </c>
      <c r="C174">
        <v>16745573</v>
      </c>
      <c r="D174">
        <v>15432236</v>
      </c>
      <c r="E174">
        <v>1</v>
      </c>
      <c r="F174">
        <v>1</v>
      </c>
      <c r="G174">
        <v>1</v>
      </c>
      <c r="H174">
        <v>1</v>
      </c>
      <c r="I174" t="s">
        <v>1482</v>
      </c>
      <c r="J174" t="s">
        <v>6</v>
      </c>
      <c r="K174" t="s">
        <v>1483</v>
      </c>
      <c r="L174">
        <v>1191</v>
      </c>
      <c r="N174">
        <v>1013</v>
      </c>
      <c r="O174" t="s">
        <v>1287</v>
      </c>
      <c r="P174" t="s">
        <v>1287</v>
      </c>
      <c r="Q174">
        <v>1</v>
      </c>
      <c r="W174">
        <v>0</v>
      </c>
      <c r="X174">
        <v>-509590494</v>
      </c>
      <c r="Y174">
        <v>14.63</v>
      </c>
      <c r="AA174">
        <v>0</v>
      </c>
      <c r="AB174">
        <v>0</v>
      </c>
      <c r="AC174">
        <v>0</v>
      </c>
      <c r="AD174">
        <v>53.6</v>
      </c>
      <c r="AE174">
        <v>0</v>
      </c>
      <c r="AF174">
        <v>0</v>
      </c>
      <c r="AG174">
        <v>0</v>
      </c>
      <c r="AH174">
        <v>8.17</v>
      </c>
      <c r="AI174">
        <v>1</v>
      </c>
      <c r="AJ174">
        <v>1</v>
      </c>
      <c r="AK174">
        <v>1</v>
      </c>
      <c r="AL174">
        <v>6.56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14.63</v>
      </c>
      <c r="AU174" t="s">
        <v>6</v>
      </c>
      <c r="AV174">
        <v>1</v>
      </c>
      <c r="AW174">
        <v>2</v>
      </c>
      <c r="AX174">
        <v>16745579</v>
      </c>
      <c r="AY174">
        <v>1</v>
      </c>
      <c r="AZ174">
        <v>0</v>
      </c>
      <c r="BA174">
        <v>170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Y174*Source!I124</f>
        <v>23.700600000000001</v>
      </c>
      <c r="CY174">
        <f>AD174</f>
        <v>53.6</v>
      </c>
      <c r="CZ174">
        <f>AH174</f>
        <v>8.17</v>
      </c>
      <c r="DA174">
        <f>AL174</f>
        <v>6.56</v>
      </c>
      <c r="DB174">
        <f t="shared" si="37"/>
        <v>119.53</v>
      </c>
      <c r="DC174">
        <f t="shared" si="38"/>
        <v>0</v>
      </c>
    </row>
    <row r="175" spans="1:107" x14ac:dyDescent="0.2">
      <c r="A175">
        <f>ROW(Source!A124)</f>
        <v>124</v>
      </c>
      <c r="B175">
        <v>16742901</v>
      </c>
      <c r="C175">
        <v>16745573</v>
      </c>
      <c r="D175">
        <v>15247873</v>
      </c>
      <c r="E175">
        <v>1</v>
      </c>
      <c r="F175">
        <v>1</v>
      </c>
      <c r="G175">
        <v>1</v>
      </c>
      <c r="H175">
        <v>2</v>
      </c>
      <c r="I175" t="s">
        <v>1484</v>
      </c>
      <c r="J175" t="s">
        <v>1485</v>
      </c>
      <c r="K175" t="s">
        <v>1486</v>
      </c>
      <c r="L175">
        <v>1368</v>
      </c>
      <c r="N175">
        <v>1011</v>
      </c>
      <c r="O175" t="s">
        <v>1298</v>
      </c>
      <c r="P175" t="s">
        <v>1298</v>
      </c>
      <c r="Q175">
        <v>1</v>
      </c>
      <c r="W175">
        <v>0</v>
      </c>
      <c r="X175">
        <v>-1985289705</v>
      </c>
      <c r="Y175">
        <v>0.32</v>
      </c>
      <c r="AA175">
        <v>0</v>
      </c>
      <c r="AB175">
        <v>43.69</v>
      </c>
      <c r="AC175">
        <v>0</v>
      </c>
      <c r="AD175">
        <v>0</v>
      </c>
      <c r="AE175">
        <v>0</v>
      </c>
      <c r="AF175">
        <v>6.66</v>
      </c>
      <c r="AG175">
        <v>0</v>
      </c>
      <c r="AH175">
        <v>0</v>
      </c>
      <c r="AI175">
        <v>1</v>
      </c>
      <c r="AJ175">
        <v>6.56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0.32</v>
      </c>
      <c r="AU175" t="s">
        <v>6</v>
      </c>
      <c r="AV175">
        <v>0</v>
      </c>
      <c r="AW175">
        <v>2</v>
      </c>
      <c r="AX175">
        <v>16745580</v>
      </c>
      <c r="AY175">
        <v>1</v>
      </c>
      <c r="AZ175">
        <v>0</v>
      </c>
      <c r="BA175">
        <v>171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Y175*Source!I124</f>
        <v>0.51840000000000008</v>
      </c>
      <c r="CY175">
        <f>AB175</f>
        <v>43.69</v>
      </c>
      <c r="CZ175">
        <f>AF175</f>
        <v>6.66</v>
      </c>
      <c r="DA175">
        <f>AJ175</f>
        <v>6.56</v>
      </c>
      <c r="DB175">
        <f t="shared" si="37"/>
        <v>2.13</v>
      </c>
      <c r="DC175">
        <f t="shared" si="38"/>
        <v>0</v>
      </c>
    </row>
    <row r="176" spans="1:107" x14ac:dyDescent="0.2">
      <c r="A176">
        <f>ROW(Source!A124)</f>
        <v>124</v>
      </c>
      <c r="B176">
        <v>16742901</v>
      </c>
      <c r="C176">
        <v>16745573</v>
      </c>
      <c r="D176">
        <v>15172868</v>
      </c>
      <c r="E176">
        <v>1</v>
      </c>
      <c r="F176">
        <v>1</v>
      </c>
      <c r="G176">
        <v>1</v>
      </c>
      <c r="H176">
        <v>3</v>
      </c>
      <c r="I176" t="s">
        <v>1487</v>
      </c>
      <c r="J176" t="s">
        <v>1488</v>
      </c>
      <c r="K176" t="s">
        <v>1489</v>
      </c>
      <c r="L176">
        <v>1339</v>
      </c>
      <c r="N176">
        <v>1007</v>
      </c>
      <c r="O176" t="s">
        <v>301</v>
      </c>
      <c r="P176" t="s">
        <v>301</v>
      </c>
      <c r="Q176">
        <v>1</v>
      </c>
      <c r="W176">
        <v>0</v>
      </c>
      <c r="X176">
        <v>-861814431</v>
      </c>
      <c r="Y176">
        <v>0.24</v>
      </c>
      <c r="AA176">
        <v>3409.89</v>
      </c>
      <c r="AB176">
        <v>0</v>
      </c>
      <c r="AC176">
        <v>0</v>
      </c>
      <c r="AD176">
        <v>0</v>
      </c>
      <c r="AE176">
        <v>519.79999999999995</v>
      </c>
      <c r="AF176">
        <v>0</v>
      </c>
      <c r="AG176">
        <v>0</v>
      </c>
      <c r="AH176">
        <v>0</v>
      </c>
      <c r="AI176">
        <v>6.56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0.24</v>
      </c>
      <c r="AU176" t="s">
        <v>6</v>
      </c>
      <c r="AV176">
        <v>0</v>
      </c>
      <c r="AW176">
        <v>2</v>
      </c>
      <c r="AX176">
        <v>16745581</v>
      </c>
      <c r="AY176">
        <v>1</v>
      </c>
      <c r="AZ176">
        <v>0</v>
      </c>
      <c r="BA176">
        <v>172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Y176*Source!I124</f>
        <v>0.38880000000000003</v>
      </c>
      <c r="CY176">
        <f>AA176</f>
        <v>3409.89</v>
      </c>
      <c r="CZ176">
        <f>AE176</f>
        <v>519.79999999999995</v>
      </c>
      <c r="DA176">
        <f>AI176</f>
        <v>6.56</v>
      </c>
      <c r="DB176">
        <f t="shared" si="37"/>
        <v>124.75</v>
      </c>
      <c r="DC176">
        <f t="shared" si="38"/>
        <v>0</v>
      </c>
    </row>
    <row r="177" spans="1:107" x14ac:dyDescent="0.2">
      <c r="A177">
        <f>ROW(Source!A124)</f>
        <v>124</v>
      </c>
      <c r="B177">
        <v>16742901</v>
      </c>
      <c r="C177">
        <v>16745573</v>
      </c>
      <c r="D177">
        <v>15162112</v>
      </c>
      <c r="E177">
        <v>17</v>
      </c>
      <c r="F177">
        <v>1</v>
      </c>
      <c r="G177">
        <v>1</v>
      </c>
      <c r="H177">
        <v>3</v>
      </c>
      <c r="I177" t="s">
        <v>316</v>
      </c>
      <c r="J177" t="s">
        <v>6</v>
      </c>
      <c r="K177" t="s">
        <v>351</v>
      </c>
      <c r="L177">
        <v>1356</v>
      </c>
      <c r="N177">
        <v>1010</v>
      </c>
      <c r="O177" t="s">
        <v>306</v>
      </c>
      <c r="P177" t="s">
        <v>306</v>
      </c>
      <c r="Q177">
        <v>1000</v>
      </c>
      <c r="W177">
        <v>0</v>
      </c>
      <c r="X177">
        <v>1453754496</v>
      </c>
      <c r="Y177">
        <v>0.4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6.56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0.4</v>
      </c>
      <c r="AU177" t="s">
        <v>6</v>
      </c>
      <c r="AV177">
        <v>0</v>
      </c>
      <c r="AW177">
        <v>2</v>
      </c>
      <c r="AX177">
        <v>16745582</v>
      </c>
      <c r="AY177">
        <v>1</v>
      </c>
      <c r="AZ177">
        <v>0</v>
      </c>
      <c r="BA177">
        <v>173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Y177*Source!I124</f>
        <v>0.64800000000000013</v>
      </c>
      <c r="CY177">
        <f>AA177</f>
        <v>0</v>
      </c>
      <c r="CZ177">
        <f>AE177</f>
        <v>0</v>
      </c>
      <c r="DA177">
        <f>AI177</f>
        <v>6.56</v>
      </c>
      <c r="DB177">
        <f t="shared" si="37"/>
        <v>0</v>
      </c>
      <c r="DC177">
        <f t="shared" si="38"/>
        <v>0</v>
      </c>
    </row>
    <row r="178" spans="1:107" x14ac:dyDescent="0.2">
      <c r="A178">
        <f>ROW(Source!A124)</f>
        <v>124</v>
      </c>
      <c r="B178">
        <v>16742901</v>
      </c>
      <c r="C178">
        <v>16745573</v>
      </c>
      <c r="D178">
        <v>15186929</v>
      </c>
      <c r="E178">
        <v>1</v>
      </c>
      <c r="F178">
        <v>1</v>
      </c>
      <c r="G178">
        <v>1</v>
      </c>
      <c r="H178">
        <v>3</v>
      </c>
      <c r="I178" t="s">
        <v>347</v>
      </c>
      <c r="J178" t="s">
        <v>349</v>
      </c>
      <c r="K178" t="s">
        <v>348</v>
      </c>
      <c r="L178">
        <v>1339</v>
      </c>
      <c r="N178">
        <v>1007</v>
      </c>
      <c r="O178" t="s">
        <v>301</v>
      </c>
      <c r="P178" t="s">
        <v>301</v>
      </c>
      <c r="Q178">
        <v>1</v>
      </c>
      <c r="W178">
        <v>0</v>
      </c>
      <c r="X178">
        <v>-2036686642</v>
      </c>
      <c r="Y178">
        <v>1</v>
      </c>
      <c r="AA178">
        <v>678.37</v>
      </c>
      <c r="AB178">
        <v>0</v>
      </c>
      <c r="AC178">
        <v>0</v>
      </c>
      <c r="AD178">
        <v>0</v>
      </c>
      <c r="AE178">
        <v>103.41</v>
      </c>
      <c r="AF178">
        <v>0</v>
      </c>
      <c r="AG178">
        <v>0</v>
      </c>
      <c r="AH178">
        <v>0</v>
      </c>
      <c r="AI178">
        <v>6.56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1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Y178*Source!I124</f>
        <v>1.62</v>
      </c>
      <c r="CY178">
        <f>AA178</f>
        <v>678.37</v>
      </c>
      <c r="CZ178">
        <f>AE178</f>
        <v>103.41</v>
      </c>
      <c r="DA178">
        <f>AI178</f>
        <v>6.56</v>
      </c>
      <c r="DB178">
        <f t="shared" si="37"/>
        <v>103.41</v>
      </c>
      <c r="DC178">
        <f t="shared" si="38"/>
        <v>0</v>
      </c>
    </row>
    <row r="179" spans="1:107" x14ac:dyDescent="0.2">
      <c r="A179">
        <f>ROW(Source!A127)</f>
        <v>127</v>
      </c>
      <c r="B179">
        <v>16742901</v>
      </c>
      <c r="C179">
        <v>16745585</v>
      </c>
      <c r="D179">
        <v>15436556</v>
      </c>
      <c r="E179">
        <v>1</v>
      </c>
      <c r="F179">
        <v>1</v>
      </c>
      <c r="G179">
        <v>1</v>
      </c>
      <c r="H179">
        <v>1</v>
      </c>
      <c r="I179" t="s">
        <v>1490</v>
      </c>
      <c r="J179" t="s">
        <v>6</v>
      </c>
      <c r="K179" t="s">
        <v>1491</v>
      </c>
      <c r="L179">
        <v>1191</v>
      </c>
      <c r="N179">
        <v>1013</v>
      </c>
      <c r="O179" t="s">
        <v>1287</v>
      </c>
      <c r="P179" t="s">
        <v>1287</v>
      </c>
      <c r="Q179">
        <v>1</v>
      </c>
      <c r="W179">
        <v>0</v>
      </c>
      <c r="X179">
        <v>1069510174</v>
      </c>
      <c r="Y179">
        <v>6.55</v>
      </c>
      <c r="AA179">
        <v>0</v>
      </c>
      <c r="AB179">
        <v>0</v>
      </c>
      <c r="AC179">
        <v>0</v>
      </c>
      <c r="AD179">
        <v>63.11</v>
      </c>
      <c r="AE179">
        <v>0</v>
      </c>
      <c r="AF179">
        <v>0</v>
      </c>
      <c r="AG179">
        <v>0</v>
      </c>
      <c r="AH179">
        <v>9.6199999999999992</v>
      </c>
      <c r="AI179">
        <v>1</v>
      </c>
      <c r="AJ179">
        <v>1</v>
      </c>
      <c r="AK179">
        <v>1</v>
      </c>
      <c r="AL179">
        <v>6.56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6.55</v>
      </c>
      <c r="AU179" t="s">
        <v>6</v>
      </c>
      <c r="AV179">
        <v>1</v>
      </c>
      <c r="AW179">
        <v>2</v>
      </c>
      <c r="AX179">
        <v>16745593</v>
      </c>
      <c r="AY179">
        <v>1</v>
      </c>
      <c r="AZ179">
        <v>0</v>
      </c>
      <c r="BA179">
        <v>174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Y179*Source!I127</f>
        <v>22.8202</v>
      </c>
      <c r="CY179">
        <f>AD179</f>
        <v>63.11</v>
      </c>
      <c r="CZ179">
        <f>AH179</f>
        <v>9.6199999999999992</v>
      </c>
      <c r="DA179">
        <f>AL179</f>
        <v>6.56</v>
      </c>
      <c r="DB179">
        <f t="shared" si="37"/>
        <v>63.01</v>
      </c>
      <c r="DC179">
        <f t="shared" si="38"/>
        <v>0</v>
      </c>
    </row>
    <row r="180" spans="1:107" x14ac:dyDescent="0.2">
      <c r="A180">
        <f>ROW(Source!A127)</f>
        <v>127</v>
      </c>
      <c r="B180">
        <v>16742901</v>
      </c>
      <c r="C180">
        <v>16745585</v>
      </c>
      <c r="D180">
        <v>15430395</v>
      </c>
      <c r="E180">
        <v>1</v>
      </c>
      <c r="F180">
        <v>1</v>
      </c>
      <c r="G180">
        <v>1</v>
      </c>
      <c r="H180">
        <v>1</v>
      </c>
      <c r="I180" t="s">
        <v>1293</v>
      </c>
      <c r="J180" t="s">
        <v>6</v>
      </c>
      <c r="K180" t="s">
        <v>1294</v>
      </c>
      <c r="L180">
        <v>1191</v>
      </c>
      <c r="N180">
        <v>1013</v>
      </c>
      <c r="O180" t="s">
        <v>1287</v>
      </c>
      <c r="P180" t="s">
        <v>1287</v>
      </c>
      <c r="Q180">
        <v>1</v>
      </c>
      <c r="W180">
        <v>0</v>
      </c>
      <c r="X180">
        <v>-1417349443</v>
      </c>
      <c r="Y180">
        <v>0.02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6.56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0.02</v>
      </c>
      <c r="AU180" t="s">
        <v>6</v>
      </c>
      <c r="AV180">
        <v>2</v>
      </c>
      <c r="AW180">
        <v>2</v>
      </c>
      <c r="AX180">
        <v>16745594</v>
      </c>
      <c r="AY180">
        <v>1</v>
      </c>
      <c r="AZ180">
        <v>0</v>
      </c>
      <c r="BA180">
        <v>175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Y180*Source!I127</f>
        <v>6.9680000000000006E-2</v>
      </c>
      <c r="CY180">
        <f>AD180</f>
        <v>0</v>
      </c>
      <c r="CZ180">
        <f>AH180</f>
        <v>0</v>
      </c>
      <c r="DA180">
        <f>AL180</f>
        <v>1</v>
      </c>
      <c r="DB180">
        <f t="shared" si="37"/>
        <v>0</v>
      </c>
      <c r="DC180">
        <f t="shared" si="38"/>
        <v>0</v>
      </c>
    </row>
    <row r="181" spans="1:107" x14ac:dyDescent="0.2">
      <c r="A181">
        <f>ROW(Source!A127)</f>
        <v>127</v>
      </c>
      <c r="B181">
        <v>16742901</v>
      </c>
      <c r="C181">
        <v>16745585</v>
      </c>
      <c r="D181">
        <v>15247974</v>
      </c>
      <c r="E181">
        <v>1</v>
      </c>
      <c r="F181">
        <v>1</v>
      </c>
      <c r="G181">
        <v>1</v>
      </c>
      <c r="H181">
        <v>2</v>
      </c>
      <c r="I181" t="s">
        <v>1314</v>
      </c>
      <c r="J181" t="s">
        <v>1315</v>
      </c>
      <c r="K181" t="s">
        <v>1316</v>
      </c>
      <c r="L181">
        <v>1368</v>
      </c>
      <c r="N181">
        <v>1011</v>
      </c>
      <c r="O181" t="s">
        <v>1298</v>
      </c>
      <c r="P181" t="s">
        <v>1298</v>
      </c>
      <c r="Q181">
        <v>1</v>
      </c>
      <c r="W181">
        <v>0</v>
      </c>
      <c r="X181">
        <v>1188625873</v>
      </c>
      <c r="Y181">
        <v>0.01</v>
      </c>
      <c r="AA181">
        <v>0</v>
      </c>
      <c r="AB181">
        <v>205.07</v>
      </c>
      <c r="AC181">
        <v>13.5</v>
      </c>
      <c r="AD181">
        <v>0</v>
      </c>
      <c r="AE181">
        <v>0</v>
      </c>
      <c r="AF181">
        <v>31.26</v>
      </c>
      <c r="AG181">
        <v>13.5</v>
      </c>
      <c r="AH181">
        <v>0</v>
      </c>
      <c r="AI181">
        <v>1</v>
      </c>
      <c r="AJ181">
        <v>6.56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0.01</v>
      </c>
      <c r="AU181" t="s">
        <v>6</v>
      </c>
      <c r="AV181">
        <v>0</v>
      </c>
      <c r="AW181">
        <v>2</v>
      </c>
      <c r="AX181">
        <v>16745595</v>
      </c>
      <c r="AY181">
        <v>1</v>
      </c>
      <c r="AZ181">
        <v>0</v>
      </c>
      <c r="BA181">
        <v>176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Y181*Source!I127</f>
        <v>3.4840000000000003E-2</v>
      </c>
      <c r="CY181">
        <f>AB181</f>
        <v>205.07</v>
      </c>
      <c r="CZ181">
        <f>AF181</f>
        <v>31.26</v>
      </c>
      <c r="DA181">
        <f>AJ181</f>
        <v>6.56</v>
      </c>
      <c r="DB181">
        <f t="shared" si="37"/>
        <v>0.31</v>
      </c>
      <c r="DC181">
        <f t="shared" si="38"/>
        <v>0.14000000000000001</v>
      </c>
    </row>
    <row r="182" spans="1:107" x14ac:dyDescent="0.2">
      <c r="A182">
        <f>ROW(Source!A127)</f>
        <v>127</v>
      </c>
      <c r="B182">
        <v>16742901</v>
      </c>
      <c r="C182">
        <v>16745585</v>
      </c>
      <c r="D182">
        <v>15249073</v>
      </c>
      <c r="E182">
        <v>1</v>
      </c>
      <c r="F182">
        <v>1</v>
      </c>
      <c r="G182">
        <v>1</v>
      </c>
      <c r="H182">
        <v>2</v>
      </c>
      <c r="I182" t="s">
        <v>1299</v>
      </c>
      <c r="J182" t="s">
        <v>1300</v>
      </c>
      <c r="K182" t="s">
        <v>1301</v>
      </c>
      <c r="L182">
        <v>1368</v>
      </c>
      <c r="N182">
        <v>1011</v>
      </c>
      <c r="O182" t="s">
        <v>1298</v>
      </c>
      <c r="P182" t="s">
        <v>1298</v>
      </c>
      <c r="Q182">
        <v>1</v>
      </c>
      <c r="W182">
        <v>0</v>
      </c>
      <c r="X182">
        <v>1372534845</v>
      </c>
      <c r="Y182">
        <v>0.01</v>
      </c>
      <c r="AA182">
        <v>0</v>
      </c>
      <c r="AB182">
        <v>431.06</v>
      </c>
      <c r="AC182">
        <v>11.6</v>
      </c>
      <c r="AD182">
        <v>0</v>
      </c>
      <c r="AE182">
        <v>0</v>
      </c>
      <c r="AF182">
        <v>65.709999999999994</v>
      </c>
      <c r="AG182">
        <v>11.6</v>
      </c>
      <c r="AH182">
        <v>0</v>
      </c>
      <c r="AI182">
        <v>1</v>
      </c>
      <c r="AJ182">
        <v>6.56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0.01</v>
      </c>
      <c r="AU182" t="s">
        <v>6</v>
      </c>
      <c r="AV182">
        <v>0</v>
      </c>
      <c r="AW182">
        <v>2</v>
      </c>
      <c r="AX182">
        <v>16745596</v>
      </c>
      <c r="AY182">
        <v>1</v>
      </c>
      <c r="AZ182">
        <v>0</v>
      </c>
      <c r="BA182">
        <v>177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Y182*Source!I127</f>
        <v>3.4840000000000003E-2</v>
      </c>
      <c r="CY182">
        <f>AB182</f>
        <v>431.06</v>
      </c>
      <c r="CZ182">
        <f>AF182</f>
        <v>65.709999999999994</v>
      </c>
      <c r="DA182">
        <f>AJ182</f>
        <v>6.56</v>
      </c>
      <c r="DB182">
        <f t="shared" si="37"/>
        <v>0.66</v>
      </c>
      <c r="DC182">
        <f t="shared" si="38"/>
        <v>0.12</v>
      </c>
    </row>
    <row r="183" spans="1:107" x14ac:dyDescent="0.2">
      <c r="A183">
        <f>ROW(Source!A127)</f>
        <v>127</v>
      </c>
      <c r="B183">
        <v>16742901</v>
      </c>
      <c r="C183">
        <v>16745585</v>
      </c>
      <c r="D183">
        <v>15171018</v>
      </c>
      <c r="E183">
        <v>1</v>
      </c>
      <c r="F183">
        <v>1</v>
      </c>
      <c r="G183">
        <v>1</v>
      </c>
      <c r="H183">
        <v>3</v>
      </c>
      <c r="I183" t="s">
        <v>1431</v>
      </c>
      <c r="J183" t="s">
        <v>1432</v>
      </c>
      <c r="K183" t="s">
        <v>1433</v>
      </c>
      <c r="L183">
        <v>1346</v>
      </c>
      <c r="N183">
        <v>1009</v>
      </c>
      <c r="O183" t="s">
        <v>341</v>
      </c>
      <c r="P183" t="s">
        <v>341</v>
      </c>
      <c r="Q183">
        <v>1</v>
      </c>
      <c r="W183">
        <v>0</v>
      </c>
      <c r="X183">
        <v>813963326</v>
      </c>
      <c r="Y183">
        <v>0.1</v>
      </c>
      <c r="AA183">
        <v>11.94</v>
      </c>
      <c r="AB183">
        <v>0</v>
      </c>
      <c r="AC183">
        <v>0</v>
      </c>
      <c r="AD183">
        <v>0</v>
      </c>
      <c r="AE183">
        <v>1.82</v>
      </c>
      <c r="AF183">
        <v>0</v>
      </c>
      <c r="AG183">
        <v>0</v>
      </c>
      <c r="AH183">
        <v>0</v>
      </c>
      <c r="AI183">
        <v>6.56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0.1</v>
      </c>
      <c r="AU183" t="s">
        <v>6</v>
      </c>
      <c r="AV183">
        <v>0</v>
      </c>
      <c r="AW183">
        <v>2</v>
      </c>
      <c r="AX183">
        <v>16745597</v>
      </c>
      <c r="AY183">
        <v>1</v>
      </c>
      <c r="AZ183">
        <v>0</v>
      </c>
      <c r="BA183">
        <v>178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Y183*Source!I127</f>
        <v>0.34840000000000004</v>
      </c>
      <c r="CY183">
        <f>AA183</f>
        <v>11.94</v>
      </c>
      <c r="CZ183">
        <f>AE183</f>
        <v>1.82</v>
      </c>
      <c r="DA183">
        <f>AI183</f>
        <v>6.56</v>
      </c>
      <c r="DB183">
        <f t="shared" si="37"/>
        <v>0.18</v>
      </c>
      <c r="DC183">
        <f t="shared" si="38"/>
        <v>0</v>
      </c>
    </row>
    <row r="184" spans="1:107" x14ac:dyDescent="0.2">
      <c r="A184">
        <f>ROW(Source!A127)</f>
        <v>127</v>
      </c>
      <c r="B184">
        <v>16742901</v>
      </c>
      <c r="C184">
        <v>16745585</v>
      </c>
      <c r="D184">
        <v>15203211</v>
      </c>
      <c r="E184">
        <v>1</v>
      </c>
      <c r="F184">
        <v>1</v>
      </c>
      <c r="G184">
        <v>1</v>
      </c>
      <c r="H184">
        <v>3</v>
      </c>
      <c r="I184" t="s">
        <v>357</v>
      </c>
      <c r="J184" t="s">
        <v>359</v>
      </c>
      <c r="K184" t="s">
        <v>358</v>
      </c>
      <c r="L184">
        <v>1346</v>
      </c>
      <c r="N184">
        <v>1009</v>
      </c>
      <c r="O184" t="s">
        <v>341</v>
      </c>
      <c r="P184" t="s">
        <v>341</v>
      </c>
      <c r="Q184">
        <v>1</v>
      </c>
      <c r="W184">
        <v>0</v>
      </c>
      <c r="X184">
        <v>1453462043</v>
      </c>
      <c r="Y184">
        <v>13</v>
      </c>
      <c r="AA184">
        <v>98.99</v>
      </c>
      <c r="AB184">
        <v>0</v>
      </c>
      <c r="AC184">
        <v>0</v>
      </c>
      <c r="AD184">
        <v>0</v>
      </c>
      <c r="AE184">
        <v>15.09</v>
      </c>
      <c r="AF184">
        <v>0</v>
      </c>
      <c r="AG184">
        <v>0</v>
      </c>
      <c r="AH184">
        <v>0</v>
      </c>
      <c r="AI184">
        <v>6.56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13</v>
      </c>
      <c r="AU184" t="s">
        <v>6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Y184*Source!I127</f>
        <v>45.292000000000002</v>
      </c>
      <c r="CY184">
        <f>AA184</f>
        <v>98.99</v>
      </c>
      <c r="CZ184">
        <f>AE184</f>
        <v>15.09</v>
      </c>
      <c r="DA184">
        <f>AI184</f>
        <v>6.56</v>
      </c>
      <c r="DB184">
        <f t="shared" si="37"/>
        <v>196.17</v>
      </c>
      <c r="DC184">
        <f t="shared" si="38"/>
        <v>0</v>
      </c>
    </row>
    <row r="185" spans="1:107" x14ac:dyDescent="0.2">
      <c r="A185">
        <f>ROW(Source!A127)</f>
        <v>127</v>
      </c>
      <c r="B185">
        <v>16742901</v>
      </c>
      <c r="C185">
        <v>16745585</v>
      </c>
      <c r="D185">
        <v>15162572</v>
      </c>
      <c r="E185">
        <v>17</v>
      </c>
      <c r="F185">
        <v>1</v>
      </c>
      <c r="G185">
        <v>1</v>
      </c>
      <c r="H185">
        <v>3</v>
      </c>
      <c r="I185" t="s">
        <v>361</v>
      </c>
      <c r="J185" t="s">
        <v>6</v>
      </c>
      <c r="K185" t="s">
        <v>362</v>
      </c>
      <c r="L185">
        <v>1348</v>
      </c>
      <c r="N185">
        <v>1009</v>
      </c>
      <c r="O185" t="s">
        <v>100</v>
      </c>
      <c r="P185" t="s">
        <v>100</v>
      </c>
      <c r="Q185">
        <v>1000</v>
      </c>
      <c r="W185">
        <v>0</v>
      </c>
      <c r="X185">
        <v>-1212923053</v>
      </c>
      <c r="Y185">
        <v>1.2999999999999999E-2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6.56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1.2999999999999999E-2</v>
      </c>
      <c r="AU185" t="s">
        <v>6</v>
      </c>
      <c r="AV185">
        <v>0</v>
      </c>
      <c r="AW185">
        <v>2</v>
      </c>
      <c r="AX185">
        <v>16745598</v>
      </c>
      <c r="AY185">
        <v>1</v>
      </c>
      <c r="AZ185">
        <v>0</v>
      </c>
      <c r="BA185">
        <v>179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Y185*Source!I127</f>
        <v>4.5291999999999999E-2</v>
      </c>
      <c r="CY185">
        <f>AA185</f>
        <v>0</v>
      </c>
      <c r="CZ185">
        <f>AE185</f>
        <v>0</v>
      </c>
      <c r="DA185">
        <f>AI185</f>
        <v>6.56</v>
      </c>
      <c r="DB185">
        <f t="shared" si="37"/>
        <v>0</v>
      </c>
      <c r="DC185">
        <f t="shared" si="38"/>
        <v>0</v>
      </c>
    </row>
    <row r="186" spans="1:107" x14ac:dyDescent="0.2">
      <c r="A186">
        <f>ROW(Source!A130)</f>
        <v>130</v>
      </c>
      <c r="B186">
        <v>16742901</v>
      </c>
      <c r="C186">
        <v>16745601</v>
      </c>
      <c r="D186">
        <v>15432258</v>
      </c>
      <c r="E186">
        <v>1</v>
      </c>
      <c r="F186">
        <v>1</v>
      </c>
      <c r="G186">
        <v>1</v>
      </c>
      <c r="H186">
        <v>1</v>
      </c>
      <c r="I186" t="s">
        <v>1474</v>
      </c>
      <c r="J186" t="s">
        <v>6</v>
      </c>
      <c r="K186" t="s">
        <v>1475</v>
      </c>
      <c r="L186">
        <v>1191</v>
      </c>
      <c r="N186">
        <v>1013</v>
      </c>
      <c r="O186" t="s">
        <v>1287</v>
      </c>
      <c r="P186" t="s">
        <v>1287</v>
      </c>
      <c r="Q186">
        <v>1</v>
      </c>
      <c r="W186">
        <v>0</v>
      </c>
      <c r="X186">
        <v>-608433632</v>
      </c>
      <c r="Y186">
        <v>35.83</v>
      </c>
      <c r="AA186">
        <v>0</v>
      </c>
      <c r="AB186">
        <v>0</v>
      </c>
      <c r="AC186">
        <v>0</v>
      </c>
      <c r="AD186">
        <v>55.5</v>
      </c>
      <c r="AE186">
        <v>0</v>
      </c>
      <c r="AF186">
        <v>0</v>
      </c>
      <c r="AG186">
        <v>0</v>
      </c>
      <c r="AH186">
        <v>8.4600000000000009</v>
      </c>
      <c r="AI186">
        <v>1</v>
      </c>
      <c r="AJ186">
        <v>1</v>
      </c>
      <c r="AK186">
        <v>1</v>
      </c>
      <c r="AL186">
        <v>6.56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35.83</v>
      </c>
      <c r="AU186" t="s">
        <v>6</v>
      </c>
      <c r="AV186">
        <v>1</v>
      </c>
      <c r="AW186">
        <v>2</v>
      </c>
      <c r="AX186">
        <v>16745610</v>
      </c>
      <c r="AY186">
        <v>1</v>
      </c>
      <c r="AZ186">
        <v>0</v>
      </c>
      <c r="BA186">
        <v>180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Y186*Source!I130</f>
        <v>283.35080599999998</v>
      </c>
      <c r="CY186">
        <f>AD186</f>
        <v>55.5</v>
      </c>
      <c r="CZ186">
        <f>AH186</f>
        <v>8.4600000000000009</v>
      </c>
      <c r="DA186">
        <f>AL186</f>
        <v>6.56</v>
      </c>
      <c r="DB186">
        <f t="shared" si="37"/>
        <v>303.12</v>
      </c>
      <c r="DC186">
        <f t="shared" si="38"/>
        <v>0</v>
      </c>
    </row>
    <row r="187" spans="1:107" x14ac:dyDescent="0.2">
      <c r="A187">
        <f>ROW(Source!A130)</f>
        <v>130</v>
      </c>
      <c r="B187">
        <v>16742901</v>
      </c>
      <c r="C187">
        <v>16745601</v>
      </c>
      <c r="D187">
        <v>15430395</v>
      </c>
      <c r="E187">
        <v>1</v>
      </c>
      <c r="F187">
        <v>1</v>
      </c>
      <c r="G187">
        <v>1</v>
      </c>
      <c r="H187">
        <v>1</v>
      </c>
      <c r="I187" t="s">
        <v>1293</v>
      </c>
      <c r="J187" t="s">
        <v>6</v>
      </c>
      <c r="K187" t="s">
        <v>1294</v>
      </c>
      <c r="L187">
        <v>1191</v>
      </c>
      <c r="N187">
        <v>1013</v>
      </c>
      <c r="O187" t="s">
        <v>1287</v>
      </c>
      <c r="P187" t="s">
        <v>1287</v>
      </c>
      <c r="Q187">
        <v>1</v>
      </c>
      <c r="W187">
        <v>0</v>
      </c>
      <c r="X187">
        <v>-1417349443</v>
      </c>
      <c r="Y187">
        <v>0.94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6.56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0.94</v>
      </c>
      <c r="AU187" t="s">
        <v>6</v>
      </c>
      <c r="AV187">
        <v>2</v>
      </c>
      <c r="AW187">
        <v>2</v>
      </c>
      <c r="AX187">
        <v>16745611</v>
      </c>
      <c r="AY187">
        <v>1</v>
      </c>
      <c r="AZ187">
        <v>0</v>
      </c>
      <c r="BA187">
        <v>181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Y187*Source!I130</f>
        <v>7.4337079999999993</v>
      </c>
      <c r="CY187">
        <f>AD187</f>
        <v>0</v>
      </c>
      <c r="CZ187">
        <f>AH187</f>
        <v>0</v>
      </c>
      <c r="DA187">
        <f>AL187</f>
        <v>1</v>
      </c>
      <c r="DB187">
        <f t="shared" si="37"/>
        <v>0</v>
      </c>
      <c r="DC187">
        <f t="shared" si="38"/>
        <v>0</v>
      </c>
    </row>
    <row r="188" spans="1:107" x14ac:dyDescent="0.2">
      <c r="A188">
        <f>ROW(Source!A130)</f>
        <v>130</v>
      </c>
      <c r="B188">
        <v>16742901</v>
      </c>
      <c r="C188">
        <v>16745601</v>
      </c>
      <c r="D188">
        <v>15247905</v>
      </c>
      <c r="E188">
        <v>1</v>
      </c>
      <c r="F188">
        <v>1</v>
      </c>
      <c r="G188">
        <v>1</v>
      </c>
      <c r="H188">
        <v>2</v>
      </c>
      <c r="I188" t="s">
        <v>1492</v>
      </c>
      <c r="J188" t="s">
        <v>1493</v>
      </c>
      <c r="K188" t="s">
        <v>1494</v>
      </c>
      <c r="L188">
        <v>1368</v>
      </c>
      <c r="N188">
        <v>1011</v>
      </c>
      <c r="O188" t="s">
        <v>1298</v>
      </c>
      <c r="P188" t="s">
        <v>1298</v>
      </c>
      <c r="Q188">
        <v>1</v>
      </c>
      <c r="W188">
        <v>0</v>
      </c>
      <c r="X188">
        <v>1225731627</v>
      </c>
      <c r="Y188">
        <v>0.02</v>
      </c>
      <c r="AA188">
        <v>0</v>
      </c>
      <c r="AB188">
        <v>590.33000000000004</v>
      </c>
      <c r="AC188">
        <v>10.06</v>
      </c>
      <c r="AD188">
        <v>0</v>
      </c>
      <c r="AE188">
        <v>0</v>
      </c>
      <c r="AF188">
        <v>89.99</v>
      </c>
      <c r="AG188">
        <v>10.06</v>
      </c>
      <c r="AH188">
        <v>0</v>
      </c>
      <c r="AI188">
        <v>1</v>
      </c>
      <c r="AJ188">
        <v>6.56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0.02</v>
      </c>
      <c r="AU188" t="s">
        <v>6</v>
      </c>
      <c r="AV188">
        <v>0</v>
      </c>
      <c r="AW188">
        <v>2</v>
      </c>
      <c r="AX188">
        <v>16745612</v>
      </c>
      <c r="AY188">
        <v>1</v>
      </c>
      <c r="AZ188">
        <v>0</v>
      </c>
      <c r="BA188">
        <v>182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Y188*Source!I130</f>
        <v>0.158164</v>
      </c>
      <c r="CY188">
        <f>AB188</f>
        <v>590.33000000000004</v>
      </c>
      <c r="CZ188">
        <f>AF188</f>
        <v>89.99</v>
      </c>
      <c r="DA188">
        <f>AJ188</f>
        <v>6.56</v>
      </c>
      <c r="DB188">
        <f t="shared" si="37"/>
        <v>1.8</v>
      </c>
      <c r="DC188">
        <f t="shared" si="38"/>
        <v>0.2</v>
      </c>
    </row>
    <row r="189" spans="1:107" x14ac:dyDescent="0.2">
      <c r="A189">
        <f>ROW(Source!A130)</f>
        <v>130</v>
      </c>
      <c r="B189">
        <v>16742901</v>
      </c>
      <c r="C189">
        <v>16745601</v>
      </c>
      <c r="D189">
        <v>15247974</v>
      </c>
      <c r="E189">
        <v>1</v>
      </c>
      <c r="F189">
        <v>1</v>
      </c>
      <c r="G189">
        <v>1</v>
      </c>
      <c r="H189">
        <v>2</v>
      </c>
      <c r="I189" t="s">
        <v>1314</v>
      </c>
      <c r="J189" t="s">
        <v>1315</v>
      </c>
      <c r="K189" t="s">
        <v>1316</v>
      </c>
      <c r="L189">
        <v>1368</v>
      </c>
      <c r="N189">
        <v>1011</v>
      </c>
      <c r="O189" t="s">
        <v>1298</v>
      </c>
      <c r="P189" t="s">
        <v>1298</v>
      </c>
      <c r="Q189">
        <v>1</v>
      </c>
      <c r="W189">
        <v>0</v>
      </c>
      <c r="X189">
        <v>1188625873</v>
      </c>
      <c r="Y189">
        <v>0.21</v>
      </c>
      <c r="AA189">
        <v>0</v>
      </c>
      <c r="AB189">
        <v>205.07</v>
      </c>
      <c r="AC189">
        <v>13.5</v>
      </c>
      <c r="AD189">
        <v>0</v>
      </c>
      <c r="AE189">
        <v>0</v>
      </c>
      <c r="AF189">
        <v>31.26</v>
      </c>
      <c r="AG189">
        <v>13.5</v>
      </c>
      <c r="AH189">
        <v>0</v>
      </c>
      <c r="AI189">
        <v>1</v>
      </c>
      <c r="AJ189">
        <v>6.56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0.21</v>
      </c>
      <c r="AU189" t="s">
        <v>6</v>
      </c>
      <c r="AV189">
        <v>0</v>
      </c>
      <c r="AW189">
        <v>2</v>
      </c>
      <c r="AX189">
        <v>16745613</v>
      </c>
      <c r="AY189">
        <v>1</v>
      </c>
      <c r="AZ189">
        <v>0</v>
      </c>
      <c r="BA189">
        <v>183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Y189*Source!I130</f>
        <v>1.6607219999999998</v>
      </c>
      <c r="CY189">
        <f>AB189</f>
        <v>205.07</v>
      </c>
      <c r="CZ189">
        <f>AF189</f>
        <v>31.26</v>
      </c>
      <c r="DA189">
        <f>AJ189</f>
        <v>6.56</v>
      </c>
      <c r="DB189">
        <f t="shared" si="37"/>
        <v>6.56</v>
      </c>
      <c r="DC189">
        <f t="shared" si="38"/>
        <v>2.84</v>
      </c>
    </row>
    <row r="190" spans="1:107" x14ac:dyDescent="0.2">
      <c r="A190">
        <f>ROW(Source!A130)</f>
        <v>130</v>
      </c>
      <c r="B190">
        <v>16742901</v>
      </c>
      <c r="C190">
        <v>16745601</v>
      </c>
      <c r="D190">
        <v>15248143</v>
      </c>
      <c r="E190">
        <v>1</v>
      </c>
      <c r="F190">
        <v>1</v>
      </c>
      <c r="G190">
        <v>1</v>
      </c>
      <c r="H190">
        <v>2</v>
      </c>
      <c r="I190" t="s">
        <v>1495</v>
      </c>
      <c r="J190" t="s">
        <v>1496</v>
      </c>
      <c r="K190" t="s">
        <v>1497</v>
      </c>
      <c r="L190">
        <v>1368</v>
      </c>
      <c r="N190">
        <v>1011</v>
      </c>
      <c r="O190" t="s">
        <v>1298</v>
      </c>
      <c r="P190" t="s">
        <v>1298</v>
      </c>
      <c r="Q190">
        <v>1</v>
      </c>
      <c r="W190">
        <v>0</v>
      </c>
      <c r="X190">
        <v>983187852</v>
      </c>
      <c r="Y190">
        <v>0.71</v>
      </c>
      <c r="AA190">
        <v>0</v>
      </c>
      <c r="AB190">
        <v>81.28</v>
      </c>
      <c r="AC190">
        <v>10.06</v>
      </c>
      <c r="AD190">
        <v>0</v>
      </c>
      <c r="AE190">
        <v>0</v>
      </c>
      <c r="AF190">
        <v>12.39</v>
      </c>
      <c r="AG190">
        <v>10.06</v>
      </c>
      <c r="AH190">
        <v>0</v>
      </c>
      <c r="AI190">
        <v>1</v>
      </c>
      <c r="AJ190">
        <v>6.56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0.71</v>
      </c>
      <c r="AU190" t="s">
        <v>6</v>
      </c>
      <c r="AV190">
        <v>0</v>
      </c>
      <c r="AW190">
        <v>2</v>
      </c>
      <c r="AX190">
        <v>16745614</v>
      </c>
      <c r="AY190">
        <v>1</v>
      </c>
      <c r="AZ190">
        <v>0</v>
      </c>
      <c r="BA190">
        <v>184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Y190*Source!I130</f>
        <v>5.6148219999999993</v>
      </c>
      <c r="CY190">
        <f>AB190</f>
        <v>81.28</v>
      </c>
      <c r="CZ190">
        <f>AF190</f>
        <v>12.39</v>
      </c>
      <c r="DA190">
        <f>AJ190</f>
        <v>6.56</v>
      </c>
      <c r="DB190">
        <f t="shared" si="37"/>
        <v>8.8000000000000007</v>
      </c>
      <c r="DC190">
        <f t="shared" si="38"/>
        <v>7.14</v>
      </c>
    </row>
    <row r="191" spans="1:107" x14ac:dyDescent="0.2">
      <c r="A191">
        <f>ROW(Source!A130)</f>
        <v>130</v>
      </c>
      <c r="B191">
        <v>16742901</v>
      </c>
      <c r="C191">
        <v>16745601</v>
      </c>
      <c r="D191">
        <v>15167286</v>
      </c>
      <c r="E191">
        <v>1</v>
      </c>
      <c r="F191">
        <v>1</v>
      </c>
      <c r="G191">
        <v>1</v>
      </c>
      <c r="H191">
        <v>3</v>
      </c>
      <c r="I191" t="s">
        <v>1317</v>
      </c>
      <c r="J191" t="s">
        <v>1318</v>
      </c>
      <c r="K191" t="s">
        <v>1319</v>
      </c>
      <c r="L191">
        <v>1339</v>
      </c>
      <c r="N191">
        <v>1007</v>
      </c>
      <c r="O191" t="s">
        <v>301</v>
      </c>
      <c r="P191" t="s">
        <v>301</v>
      </c>
      <c r="Q191">
        <v>1</v>
      </c>
      <c r="W191">
        <v>0</v>
      </c>
      <c r="X191">
        <v>-1660354250</v>
      </c>
      <c r="Y191">
        <v>0.51300000000000001</v>
      </c>
      <c r="AA191">
        <v>16.010000000000002</v>
      </c>
      <c r="AB191">
        <v>0</v>
      </c>
      <c r="AC191">
        <v>0</v>
      </c>
      <c r="AD191">
        <v>0</v>
      </c>
      <c r="AE191">
        <v>2.44</v>
      </c>
      <c r="AF191">
        <v>0</v>
      </c>
      <c r="AG191">
        <v>0</v>
      </c>
      <c r="AH191">
        <v>0</v>
      </c>
      <c r="AI191">
        <v>6.56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0.51300000000000001</v>
      </c>
      <c r="AU191" t="s">
        <v>6</v>
      </c>
      <c r="AV191">
        <v>0</v>
      </c>
      <c r="AW191">
        <v>2</v>
      </c>
      <c r="AX191">
        <v>16745615</v>
      </c>
      <c r="AY191">
        <v>1</v>
      </c>
      <c r="AZ191">
        <v>0</v>
      </c>
      <c r="BA191">
        <v>185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Y191*Source!I130</f>
        <v>4.0569066000000005</v>
      </c>
      <c r="CY191">
        <f>AA191</f>
        <v>16.010000000000002</v>
      </c>
      <c r="CZ191">
        <f>AE191</f>
        <v>2.44</v>
      </c>
      <c r="DA191">
        <f>AI191</f>
        <v>6.56</v>
      </c>
      <c r="DB191">
        <f t="shared" si="37"/>
        <v>1.25</v>
      </c>
      <c r="DC191">
        <f t="shared" si="38"/>
        <v>0</v>
      </c>
    </row>
    <row r="192" spans="1:107" x14ac:dyDescent="0.2">
      <c r="A192">
        <f>ROW(Source!A130)</f>
        <v>130</v>
      </c>
      <c r="B192">
        <v>16742901</v>
      </c>
      <c r="C192">
        <v>16745601</v>
      </c>
      <c r="D192">
        <v>15173003</v>
      </c>
      <c r="E192">
        <v>1</v>
      </c>
      <c r="F192">
        <v>1</v>
      </c>
      <c r="G192">
        <v>1</v>
      </c>
      <c r="H192">
        <v>3</v>
      </c>
      <c r="I192" t="s">
        <v>368</v>
      </c>
      <c r="J192" t="s">
        <v>370</v>
      </c>
      <c r="K192" t="s">
        <v>369</v>
      </c>
      <c r="L192">
        <v>1346</v>
      </c>
      <c r="N192">
        <v>1009</v>
      </c>
      <c r="O192" t="s">
        <v>341</v>
      </c>
      <c r="P192" t="s">
        <v>341</v>
      </c>
      <c r="Q192">
        <v>1</v>
      </c>
      <c r="W192">
        <v>0</v>
      </c>
      <c r="X192">
        <v>-60067644</v>
      </c>
      <c r="Y192">
        <v>855.00001999999995</v>
      </c>
      <c r="AA192">
        <v>13.58</v>
      </c>
      <c r="AB192">
        <v>0</v>
      </c>
      <c r="AC192">
        <v>0</v>
      </c>
      <c r="AD192">
        <v>0</v>
      </c>
      <c r="AE192">
        <v>2.0699999999999998</v>
      </c>
      <c r="AF192">
        <v>0</v>
      </c>
      <c r="AG192">
        <v>0</v>
      </c>
      <c r="AH192">
        <v>0</v>
      </c>
      <c r="AI192">
        <v>6.56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855.00001999999995</v>
      </c>
      <c r="AU192" t="s">
        <v>6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Y192*Source!I130</f>
        <v>6761.5111581639994</v>
      </c>
      <c r="CY192">
        <f>AA192</f>
        <v>13.58</v>
      </c>
      <c r="CZ192">
        <f>AE192</f>
        <v>2.0699999999999998</v>
      </c>
      <c r="DA192">
        <f>AI192</f>
        <v>6.56</v>
      </c>
      <c r="DB192">
        <f t="shared" si="37"/>
        <v>1769.85</v>
      </c>
      <c r="DC192">
        <f t="shared" si="38"/>
        <v>0</v>
      </c>
    </row>
    <row r="193" spans="1:107" x14ac:dyDescent="0.2">
      <c r="A193">
        <f>ROW(Source!A130)</f>
        <v>130</v>
      </c>
      <c r="B193">
        <v>16742901</v>
      </c>
      <c r="C193">
        <v>16745601</v>
      </c>
      <c r="D193">
        <v>15162949</v>
      </c>
      <c r="E193">
        <v>17</v>
      </c>
      <c r="F193">
        <v>1</v>
      </c>
      <c r="G193">
        <v>1</v>
      </c>
      <c r="H193">
        <v>3</v>
      </c>
      <c r="I193" t="s">
        <v>372</v>
      </c>
      <c r="J193" t="s">
        <v>6</v>
      </c>
      <c r="K193" t="s">
        <v>373</v>
      </c>
      <c r="L193">
        <v>1348</v>
      </c>
      <c r="N193">
        <v>1009</v>
      </c>
      <c r="O193" t="s">
        <v>100</v>
      </c>
      <c r="P193" t="s">
        <v>100</v>
      </c>
      <c r="Q193">
        <v>1000</v>
      </c>
      <c r="W193">
        <v>0</v>
      </c>
      <c r="X193">
        <v>1880203204</v>
      </c>
      <c r="Y193">
        <v>0.85499999999999998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6.56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6</v>
      </c>
      <c r="AT193">
        <v>0.85499999999999998</v>
      </c>
      <c r="AU193" t="s">
        <v>6</v>
      </c>
      <c r="AV193">
        <v>0</v>
      </c>
      <c r="AW193">
        <v>2</v>
      </c>
      <c r="AX193">
        <v>16745616</v>
      </c>
      <c r="AY193">
        <v>1</v>
      </c>
      <c r="AZ193">
        <v>0</v>
      </c>
      <c r="BA193">
        <v>186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Y193*Source!I130</f>
        <v>6.7615109999999996</v>
      </c>
      <c r="CY193">
        <f>AA193</f>
        <v>0</v>
      </c>
      <c r="CZ193">
        <f>AE193</f>
        <v>0</v>
      </c>
      <c r="DA193">
        <f>AI193</f>
        <v>6.56</v>
      </c>
      <c r="DB193">
        <f t="shared" si="37"/>
        <v>0</v>
      </c>
      <c r="DC193">
        <f t="shared" si="38"/>
        <v>0</v>
      </c>
    </row>
    <row r="194" spans="1:107" x14ac:dyDescent="0.2">
      <c r="A194">
        <f>ROW(Source!A133)</f>
        <v>133</v>
      </c>
      <c r="B194">
        <v>16742901</v>
      </c>
      <c r="C194">
        <v>16748856</v>
      </c>
      <c r="D194">
        <v>15430397</v>
      </c>
      <c r="E194">
        <v>1</v>
      </c>
      <c r="F194">
        <v>1</v>
      </c>
      <c r="G194">
        <v>1</v>
      </c>
      <c r="H194">
        <v>1</v>
      </c>
      <c r="I194" t="s">
        <v>1323</v>
      </c>
      <c r="J194" t="s">
        <v>6</v>
      </c>
      <c r="K194" t="s">
        <v>1324</v>
      </c>
      <c r="L194">
        <v>1191</v>
      </c>
      <c r="N194">
        <v>1013</v>
      </c>
      <c r="O194" t="s">
        <v>1287</v>
      </c>
      <c r="P194" t="s">
        <v>1287</v>
      </c>
      <c r="Q194">
        <v>1</v>
      </c>
      <c r="W194">
        <v>0</v>
      </c>
      <c r="X194">
        <v>-1081351934</v>
      </c>
      <c r="Y194">
        <v>85.84</v>
      </c>
      <c r="AA194">
        <v>0</v>
      </c>
      <c r="AB194">
        <v>0</v>
      </c>
      <c r="AC194">
        <v>0</v>
      </c>
      <c r="AD194">
        <v>61.66</v>
      </c>
      <c r="AE194">
        <v>0</v>
      </c>
      <c r="AF194">
        <v>0</v>
      </c>
      <c r="AG194">
        <v>0</v>
      </c>
      <c r="AH194">
        <v>9.4</v>
      </c>
      <c r="AI194">
        <v>1</v>
      </c>
      <c r="AJ194">
        <v>1</v>
      </c>
      <c r="AK194">
        <v>1</v>
      </c>
      <c r="AL194">
        <v>6.56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85.84</v>
      </c>
      <c r="AU194" t="s">
        <v>6</v>
      </c>
      <c r="AV194">
        <v>1</v>
      </c>
      <c r="AW194">
        <v>2</v>
      </c>
      <c r="AX194">
        <v>16748857</v>
      </c>
      <c r="AY194">
        <v>1</v>
      </c>
      <c r="AZ194">
        <v>0</v>
      </c>
      <c r="BA194">
        <v>188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Y194*Source!I133</f>
        <v>102.14959999999999</v>
      </c>
      <c r="CY194">
        <f>AD194</f>
        <v>61.66</v>
      </c>
      <c r="CZ194">
        <f>AH194</f>
        <v>9.4</v>
      </c>
      <c r="DA194">
        <f>AL194</f>
        <v>6.56</v>
      </c>
      <c r="DB194">
        <f t="shared" si="37"/>
        <v>806.9</v>
      </c>
      <c r="DC194">
        <f t="shared" si="38"/>
        <v>0</v>
      </c>
    </row>
    <row r="195" spans="1:107" x14ac:dyDescent="0.2">
      <c r="A195">
        <f>ROW(Source!A133)</f>
        <v>133</v>
      </c>
      <c r="B195">
        <v>16742901</v>
      </c>
      <c r="C195">
        <v>16748856</v>
      </c>
      <c r="D195">
        <v>15430395</v>
      </c>
      <c r="E195">
        <v>1</v>
      </c>
      <c r="F195">
        <v>1</v>
      </c>
      <c r="G195">
        <v>1</v>
      </c>
      <c r="H195">
        <v>1</v>
      </c>
      <c r="I195" t="s">
        <v>1293</v>
      </c>
      <c r="J195" t="s">
        <v>6</v>
      </c>
      <c r="K195" t="s">
        <v>1294</v>
      </c>
      <c r="L195">
        <v>1191</v>
      </c>
      <c r="N195">
        <v>1013</v>
      </c>
      <c r="O195" t="s">
        <v>1287</v>
      </c>
      <c r="P195" t="s">
        <v>1287</v>
      </c>
      <c r="Q195">
        <v>1</v>
      </c>
      <c r="W195">
        <v>0</v>
      </c>
      <c r="X195">
        <v>-1417349443</v>
      </c>
      <c r="Y195">
        <v>6.29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6.56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6.29</v>
      </c>
      <c r="AU195" t="s">
        <v>6</v>
      </c>
      <c r="AV195">
        <v>2</v>
      </c>
      <c r="AW195">
        <v>2</v>
      </c>
      <c r="AX195">
        <v>16748858</v>
      </c>
      <c r="AY195">
        <v>1</v>
      </c>
      <c r="AZ195">
        <v>0</v>
      </c>
      <c r="BA195">
        <v>189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Y195*Source!I133</f>
        <v>7.4851000000000001</v>
      </c>
      <c r="CY195">
        <f>AD195</f>
        <v>0</v>
      </c>
      <c r="CZ195">
        <f>AH195</f>
        <v>0</v>
      </c>
      <c r="DA195">
        <f>AL195</f>
        <v>1</v>
      </c>
      <c r="DB195">
        <f t="shared" si="37"/>
        <v>0</v>
      </c>
      <c r="DC195">
        <f t="shared" si="38"/>
        <v>0</v>
      </c>
    </row>
    <row r="196" spans="1:107" x14ac:dyDescent="0.2">
      <c r="A196">
        <f>ROW(Source!A133)</f>
        <v>133</v>
      </c>
      <c r="B196">
        <v>16742901</v>
      </c>
      <c r="C196">
        <v>16748856</v>
      </c>
      <c r="D196">
        <v>15247974</v>
      </c>
      <c r="E196">
        <v>1</v>
      </c>
      <c r="F196">
        <v>1</v>
      </c>
      <c r="G196">
        <v>1</v>
      </c>
      <c r="H196">
        <v>2</v>
      </c>
      <c r="I196" t="s">
        <v>1314</v>
      </c>
      <c r="J196" t="s">
        <v>1315</v>
      </c>
      <c r="K196" t="s">
        <v>1316</v>
      </c>
      <c r="L196">
        <v>1368</v>
      </c>
      <c r="N196">
        <v>1011</v>
      </c>
      <c r="O196" t="s">
        <v>1298</v>
      </c>
      <c r="P196" t="s">
        <v>1298</v>
      </c>
      <c r="Q196">
        <v>1</v>
      </c>
      <c r="W196">
        <v>0</v>
      </c>
      <c r="X196">
        <v>1188625873</v>
      </c>
      <c r="Y196">
        <v>0.84</v>
      </c>
      <c r="AA196">
        <v>0</v>
      </c>
      <c r="AB196">
        <v>205.07</v>
      </c>
      <c r="AC196">
        <v>13.5</v>
      </c>
      <c r="AD196">
        <v>0</v>
      </c>
      <c r="AE196">
        <v>0</v>
      </c>
      <c r="AF196">
        <v>31.26</v>
      </c>
      <c r="AG196">
        <v>13.5</v>
      </c>
      <c r="AH196">
        <v>0</v>
      </c>
      <c r="AI196">
        <v>1</v>
      </c>
      <c r="AJ196">
        <v>6.56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0.84</v>
      </c>
      <c r="AU196" t="s">
        <v>6</v>
      </c>
      <c r="AV196">
        <v>0</v>
      </c>
      <c r="AW196">
        <v>2</v>
      </c>
      <c r="AX196">
        <v>16748859</v>
      </c>
      <c r="AY196">
        <v>1</v>
      </c>
      <c r="AZ196">
        <v>0</v>
      </c>
      <c r="BA196">
        <v>190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Y196*Source!I133</f>
        <v>0.99959999999999993</v>
      </c>
      <c r="CY196">
        <f>AB196</f>
        <v>205.07</v>
      </c>
      <c r="CZ196">
        <f>AF196</f>
        <v>31.26</v>
      </c>
      <c r="DA196">
        <f>AJ196</f>
        <v>6.56</v>
      </c>
      <c r="DB196">
        <f t="shared" si="37"/>
        <v>26.26</v>
      </c>
      <c r="DC196">
        <f t="shared" si="38"/>
        <v>11.34</v>
      </c>
    </row>
    <row r="197" spans="1:107" x14ac:dyDescent="0.2">
      <c r="A197">
        <f>ROW(Source!A133)</f>
        <v>133</v>
      </c>
      <c r="B197">
        <v>16742901</v>
      </c>
      <c r="C197">
        <v>16748856</v>
      </c>
      <c r="D197">
        <v>15248130</v>
      </c>
      <c r="E197">
        <v>1</v>
      </c>
      <c r="F197">
        <v>1</v>
      </c>
      <c r="G197">
        <v>1</v>
      </c>
      <c r="H197">
        <v>2</v>
      </c>
      <c r="I197" t="s">
        <v>1498</v>
      </c>
      <c r="J197" t="s">
        <v>1499</v>
      </c>
      <c r="K197" t="s">
        <v>1500</v>
      </c>
      <c r="L197">
        <v>1368</v>
      </c>
      <c r="N197">
        <v>1011</v>
      </c>
      <c r="O197" t="s">
        <v>1298</v>
      </c>
      <c r="P197" t="s">
        <v>1298</v>
      </c>
      <c r="Q197">
        <v>1</v>
      </c>
      <c r="W197">
        <v>0</v>
      </c>
      <c r="X197">
        <v>1573467769</v>
      </c>
      <c r="Y197">
        <v>5.45</v>
      </c>
      <c r="AA197">
        <v>0</v>
      </c>
      <c r="AB197">
        <v>92.82</v>
      </c>
      <c r="AC197">
        <v>8.91</v>
      </c>
      <c r="AD197">
        <v>0</v>
      </c>
      <c r="AE197">
        <v>0</v>
      </c>
      <c r="AF197">
        <v>14.15</v>
      </c>
      <c r="AG197">
        <v>8.91</v>
      </c>
      <c r="AH197">
        <v>0</v>
      </c>
      <c r="AI197">
        <v>1</v>
      </c>
      <c r="AJ197">
        <v>6.56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5.45</v>
      </c>
      <c r="AU197" t="s">
        <v>6</v>
      </c>
      <c r="AV197">
        <v>0</v>
      </c>
      <c r="AW197">
        <v>2</v>
      </c>
      <c r="AX197">
        <v>16748860</v>
      </c>
      <c r="AY197">
        <v>1</v>
      </c>
      <c r="AZ197">
        <v>0</v>
      </c>
      <c r="BA197">
        <v>191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Y197*Source!I133</f>
        <v>6.4855</v>
      </c>
      <c r="CY197">
        <f>AB197</f>
        <v>92.82</v>
      </c>
      <c r="CZ197">
        <f>AF197</f>
        <v>14.15</v>
      </c>
      <c r="DA197">
        <f>AJ197</f>
        <v>6.56</v>
      </c>
      <c r="DB197">
        <f t="shared" si="37"/>
        <v>77.12</v>
      </c>
      <c r="DC197">
        <f t="shared" si="38"/>
        <v>48.56</v>
      </c>
    </row>
    <row r="198" spans="1:107" x14ac:dyDescent="0.2">
      <c r="A198">
        <f>ROW(Source!A133)</f>
        <v>133</v>
      </c>
      <c r="B198">
        <v>16742901</v>
      </c>
      <c r="C198">
        <v>16748856</v>
      </c>
      <c r="D198">
        <v>15170041</v>
      </c>
      <c r="E198">
        <v>1</v>
      </c>
      <c r="F198">
        <v>1</v>
      </c>
      <c r="G198">
        <v>1</v>
      </c>
      <c r="H198">
        <v>3</v>
      </c>
      <c r="I198" t="s">
        <v>1501</v>
      </c>
      <c r="J198" t="s">
        <v>1502</v>
      </c>
      <c r="K198" t="s">
        <v>1503</v>
      </c>
      <c r="L198">
        <v>1348</v>
      </c>
      <c r="N198">
        <v>1009</v>
      </c>
      <c r="O198" t="s">
        <v>100</v>
      </c>
      <c r="P198" t="s">
        <v>100</v>
      </c>
      <c r="Q198">
        <v>1000</v>
      </c>
      <c r="W198">
        <v>0</v>
      </c>
      <c r="X198">
        <v>2032238625</v>
      </c>
      <c r="Y198">
        <v>1.2E-4</v>
      </c>
      <c r="AA198">
        <v>55596</v>
      </c>
      <c r="AB198">
        <v>0</v>
      </c>
      <c r="AC198">
        <v>0</v>
      </c>
      <c r="AD198">
        <v>0</v>
      </c>
      <c r="AE198">
        <v>8475</v>
      </c>
      <c r="AF198">
        <v>0</v>
      </c>
      <c r="AG198">
        <v>0</v>
      </c>
      <c r="AH198">
        <v>0</v>
      </c>
      <c r="AI198">
        <v>6.56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1.2E-4</v>
      </c>
      <c r="AU198" t="s">
        <v>6</v>
      </c>
      <c r="AV198">
        <v>0</v>
      </c>
      <c r="AW198">
        <v>2</v>
      </c>
      <c r="AX198">
        <v>16748861</v>
      </c>
      <c r="AY198">
        <v>1</v>
      </c>
      <c r="AZ198">
        <v>0</v>
      </c>
      <c r="BA198">
        <v>192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Y198*Source!I133</f>
        <v>1.428E-4</v>
      </c>
      <c r="CY198">
        <f>AA198</f>
        <v>55596</v>
      </c>
      <c r="CZ198">
        <f>AE198</f>
        <v>8475</v>
      </c>
      <c r="DA198">
        <f>AI198</f>
        <v>6.56</v>
      </c>
      <c r="DB198">
        <f t="shared" si="37"/>
        <v>1.02</v>
      </c>
      <c r="DC198">
        <f t="shared" si="38"/>
        <v>0</v>
      </c>
    </row>
    <row r="199" spans="1:107" x14ac:dyDescent="0.2">
      <c r="A199">
        <f>ROW(Source!A133)</f>
        <v>133</v>
      </c>
      <c r="B199">
        <v>16742901</v>
      </c>
      <c r="C199">
        <v>16748856</v>
      </c>
      <c r="D199">
        <v>15171982</v>
      </c>
      <c r="E199">
        <v>1</v>
      </c>
      <c r="F199">
        <v>1</v>
      </c>
      <c r="G199">
        <v>1</v>
      </c>
      <c r="H199">
        <v>3</v>
      </c>
      <c r="I199" t="s">
        <v>1320</v>
      </c>
      <c r="J199" t="s">
        <v>1321</v>
      </c>
      <c r="K199" t="s">
        <v>1322</v>
      </c>
      <c r="L199">
        <v>1348</v>
      </c>
      <c r="N199">
        <v>1009</v>
      </c>
      <c r="O199" t="s">
        <v>100</v>
      </c>
      <c r="P199" t="s">
        <v>100</v>
      </c>
      <c r="Q199">
        <v>1000</v>
      </c>
      <c r="W199">
        <v>0</v>
      </c>
      <c r="X199">
        <v>-1421715385</v>
      </c>
      <c r="Y199">
        <v>6.0000000000000001E-3</v>
      </c>
      <c r="AA199">
        <v>4788.67</v>
      </c>
      <c r="AB199">
        <v>0</v>
      </c>
      <c r="AC199">
        <v>0</v>
      </c>
      <c r="AD199">
        <v>0</v>
      </c>
      <c r="AE199">
        <v>729.98</v>
      </c>
      <c r="AF199">
        <v>0</v>
      </c>
      <c r="AG199">
        <v>0</v>
      </c>
      <c r="AH199">
        <v>0</v>
      </c>
      <c r="AI199">
        <v>6.56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6.0000000000000001E-3</v>
      </c>
      <c r="AU199" t="s">
        <v>6</v>
      </c>
      <c r="AV199">
        <v>0</v>
      </c>
      <c r="AW199">
        <v>2</v>
      </c>
      <c r="AX199">
        <v>16748862</v>
      </c>
      <c r="AY199">
        <v>1</v>
      </c>
      <c r="AZ199">
        <v>0</v>
      </c>
      <c r="BA199">
        <v>193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Y199*Source!I133</f>
        <v>7.1399999999999996E-3</v>
      </c>
      <c r="CY199">
        <f>AA199</f>
        <v>4788.67</v>
      </c>
      <c r="CZ199">
        <f>AE199</f>
        <v>729.98</v>
      </c>
      <c r="DA199">
        <f>AI199</f>
        <v>6.56</v>
      </c>
      <c r="DB199">
        <f t="shared" si="37"/>
        <v>4.38</v>
      </c>
      <c r="DC199">
        <f t="shared" si="38"/>
        <v>0</v>
      </c>
    </row>
    <row r="200" spans="1:107" x14ac:dyDescent="0.2">
      <c r="A200">
        <f>ROW(Source!A133)</f>
        <v>133</v>
      </c>
      <c r="B200">
        <v>16742901</v>
      </c>
      <c r="C200">
        <v>16748856</v>
      </c>
      <c r="D200">
        <v>15172875</v>
      </c>
      <c r="E200">
        <v>1</v>
      </c>
      <c r="F200">
        <v>1</v>
      </c>
      <c r="G200">
        <v>1</v>
      </c>
      <c r="H200">
        <v>3</v>
      </c>
      <c r="I200" t="s">
        <v>1425</v>
      </c>
      <c r="J200" t="s">
        <v>1426</v>
      </c>
      <c r="K200" t="s">
        <v>1427</v>
      </c>
      <c r="L200">
        <v>1339</v>
      </c>
      <c r="N200">
        <v>1007</v>
      </c>
      <c r="O200" t="s">
        <v>301</v>
      </c>
      <c r="P200" t="s">
        <v>301</v>
      </c>
      <c r="Q200">
        <v>1</v>
      </c>
      <c r="W200">
        <v>0</v>
      </c>
      <c r="X200">
        <v>-1001479081</v>
      </c>
      <c r="Y200">
        <v>1.87</v>
      </c>
      <c r="AA200">
        <v>3397.49</v>
      </c>
      <c r="AB200">
        <v>0</v>
      </c>
      <c r="AC200">
        <v>0</v>
      </c>
      <c r="AD200">
        <v>0</v>
      </c>
      <c r="AE200">
        <v>517.91</v>
      </c>
      <c r="AF200">
        <v>0</v>
      </c>
      <c r="AG200">
        <v>0</v>
      </c>
      <c r="AH200">
        <v>0</v>
      </c>
      <c r="AI200">
        <v>6.56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1.87</v>
      </c>
      <c r="AU200" t="s">
        <v>6</v>
      </c>
      <c r="AV200">
        <v>0</v>
      </c>
      <c r="AW200">
        <v>2</v>
      </c>
      <c r="AX200">
        <v>16748863</v>
      </c>
      <c r="AY200">
        <v>1</v>
      </c>
      <c r="AZ200">
        <v>0</v>
      </c>
      <c r="BA200">
        <v>194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Y200*Source!I133</f>
        <v>2.2252999999999998</v>
      </c>
      <c r="CY200">
        <f>AA200</f>
        <v>3397.49</v>
      </c>
      <c r="CZ200">
        <f>AE200</f>
        <v>517.91</v>
      </c>
      <c r="DA200">
        <f>AI200</f>
        <v>6.56</v>
      </c>
      <c r="DB200">
        <f t="shared" si="37"/>
        <v>968.49</v>
      </c>
      <c r="DC200">
        <f t="shared" si="38"/>
        <v>0</v>
      </c>
    </row>
    <row r="201" spans="1:107" x14ac:dyDescent="0.2">
      <c r="A201">
        <f>ROW(Source!A133)</f>
        <v>133</v>
      </c>
      <c r="B201">
        <v>16742901</v>
      </c>
      <c r="C201">
        <v>16748856</v>
      </c>
      <c r="D201">
        <v>15189930</v>
      </c>
      <c r="E201">
        <v>1</v>
      </c>
      <c r="F201">
        <v>1</v>
      </c>
      <c r="G201">
        <v>1</v>
      </c>
      <c r="H201">
        <v>3</v>
      </c>
      <c r="I201" t="s">
        <v>1504</v>
      </c>
      <c r="J201" t="s">
        <v>1505</v>
      </c>
      <c r="K201" t="s">
        <v>1506</v>
      </c>
      <c r="L201">
        <v>1327</v>
      </c>
      <c r="N201">
        <v>1005</v>
      </c>
      <c r="O201" t="s">
        <v>193</v>
      </c>
      <c r="P201" t="s">
        <v>193</v>
      </c>
      <c r="Q201">
        <v>1</v>
      </c>
      <c r="W201">
        <v>0</v>
      </c>
      <c r="X201">
        <v>1704710638</v>
      </c>
      <c r="Y201">
        <v>5.54</v>
      </c>
      <c r="AA201">
        <v>185.32</v>
      </c>
      <c r="AB201">
        <v>0</v>
      </c>
      <c r="AC201">
        <v>0</v>
      </c>
      <c r="AD201">
        <v>0</v>
      </c>
      <c r="AE201">
        <v>28.25</v>
      </c>
      <c r="AF201">
        <v>0</v>
      </c>
      <c r="AG201">
        <v>0</v>
      </c>
      <c r="AH201">
        <v>0</v>
      </c>
      <c r="AI201">
        <v>6.56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5.54</v>
      </c>
      <c r="AU201" t="s">
        <v>6</v>
      </c>
      <c r="AV201">
        <v>0</v>
      </c>
      <c r="AW201">
        <v>2</v>
      </c>
      <c r="AX201">
        <v>16748864</v>
      </c>
      <c r="AY201">
        <v>1</v>
      </c>
      <c r="AZ201">
        <v>0</v>
      </c>
      <c r="BA201">
        <v>195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Y201*Source!I133</f>
        <v>6.5926</v>
      </c>
      <c r="CY201">
        <f>AA201</f>
        <v>185.32</v>
      </c>
      <c r="CZ201">
        <f>AE201</f>
        <v>28.25</v>
      </c>
      <c r="DA201">
        <f>AI201</f>
        <v>6.56</v>
      </c>
      <c r="DB201">
        <f t="shared" si="37"/>
        <v>156.51</v>
      </c>
      <c r="DC201">
        <f t="shared" si="38"/>
        <v>0</v>
      </c>
    </row>
    <row r="202" spans="1:107" x14ac:dyDescent="0.2">
      <c r="A202">
        <f>ROW(Source!A134)</f>
        <v>134</v>
      </c>
      <c r="B202">
        <v>16742901</v>
      </c>
      <c r="C202">
        <v>16745620</v>
      </c>
      <c r="D202">
        <v>15435099</v>
      </c>
      <c r="E202">
        <v>1</v>
      </c>
      <c r="F202">
        <v>1</v>
      </c>
      <c r="G202">
        <v>1</v>
      </c>
      <c r="H202">
        <v>1</v>
      </c>
      <c r="I202" t="s">
        <v>1463</v>
      </c>
      <c r="J202" t="s">
        <v>6</v>
      </c>
      <c r="K202" t="s">
        <v>1464</v>
      </c>
      <c r="L202">
        <v>1191</v>
      </c>
      <c r="N202">
        <v>1013</v>
      </c>
      <c r="O202" t="s">
        <v>1287</v>
      </c>
      <c r="P202" t="s">
        <v>1287</v>
      </c>
      <c r="Q202">
        <v>1</v>
      </c>
      <c r="W202">
        <v>0</v>
      </c>
      <c r="X202">
        <v>1010519658</v>
      </c>
      <c r="Y202">
        <v>28.02</v>
      </c>
      <c r="AA202">
        <v>0</v>
      </c>
      <c r="AB202">
        <v>0</v>
      </c>
      <c r="AC202">
        <v>0</v>
      </c>
      <c r="AD202">
        <v>56.68</v>
      </c>
      <c r="AE202">
        <v>0</v>
      </c>
      <c r="AF202">
        <v>0</v>
      </c>
      <c r="AG202">
        <v>0</v>
      </c>
      <c r="AH202">
        <v>8.64</v>
      </c>
      <c r="AI202">
        <v>1</v>
      </c>
      <c r="AJ202">
        <v>1</v>
      </c>
      <c r="AK202">
        <v>1</v>
      </c>
      <c r="AL202">
        <v>6.56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28.02</v>
      </c>
      <c r="AU202" t="s">
        <v>6</v>
      </c>
      <c r="AV202">
        <v>1</v>
      </c>
      <c r="AW202">
        <v>2</v>
      </c>
      <c r="AX202">
        <v>16745634</v>
      </c>
      <c r="AY202">
        <v>1</v>
      </c>
      <c r="AZ202">
        <v>0</v>
      </c>
      <c r="BA202">
        <v>196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Y202*Source!I134</f>
        <v>164.73798599999998</v>
      </c>
      <c r="CY202">
        <f>AD202</f>
        <v>56.68</v>
      </c>
      <c r="CZ202">
        <f>AH202</f>
        <v>8.64</v>
      </c>
      <c r="DA202">
        <f>AL202</f>
        <v>6.56</v>
      </c>
      <c r="DB202">
        <f t="shared" si="37"/>
        <v>242.09</v>
      </c>
      <c r="DC202">
        <f t="shared" si="38"/>
        <v>0</v>
      </c>
    </row>
    <row r="203" spans="1:107" x14ac:dyDescent="0.2">
      <c r="A203">
        <f>ROW(Source!A134)</f>
        <v>134</v>
      </c>
      <c r="B203">
        <v>16742901</v>
      </c>
      <c r="C203">
        <v>16745620</v>
      </c>
      <c r="D203">
        <v>15430395</v>
      </c>
      <c r="E203">
        <v>1</v>
      </c>
      <c r="F203">
        <v>1</v>
      </c>
      <c r="G203">
        <v>1</v>
      </c>
      <c r="H203">
        <v>1</v>
      </c>
      <c r="I203" t="s">
        <v>1293</v>
      </c>
      <c r="J203" t="s">
        <v>6</v>
      </c>
      <c r="K203" t="s">
        <v>1294</v>
      </c>
      <c r="L203">
        <v>1191</v>
      </c>
      <c r="N203">
        <v>1013</v>
      </c>
      <c r="O203" t="s">
        <v>1287</v>
      </c>
      <c r="P203" t="s">
        <v>1287</v>
      </c>
      <c r="Q203">
        <v>1</v>
      </c>
      <c r="W203">
        <v>0</v>
      </c>
      <c r="X203">
        <v>-1417349443</v>
      </c>
      <c r="Y203">
        <v>0.16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6.56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0.16</v>
      </c>
      <c r="AU203" t="s">
        <v>6</v>
      </c>
      <c r="AV203">
        <v>2</v>
      </c>
      <c r="AW203">
        <v>2</v>
      </c>
      <c r="AX203">
        <v>16745635</v>
      </c>
      <c r="AY203">
        <v>1</v>
      </c>
      <c r="AZ203">
        <v>0</v>
      </c>
      <c r="BA203">
        <v>197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Y203*Source!I134</f>
        <v>0.94068799999999997</v>
      </c>
      <c r="CY203">
        <f>AD203</f>
        <v>0</v>
      </c>
      <c r="CZ203">
        <f>AH203</f>
        <v>0</v>
      </c>
      <c r="DA203">
        <f>AL203</f>
        <v>1</v>
      </c>
      <c r="DB203">
        <f t="shared" si="37"/>
        <v>0</v>
      </c>
      <c r="DC203">
        <f t="shared" si="38"/>
        <v>0</v>
      </c>
    </row>
    <row r="204" spans="1:107" x14ac:dyDescent="0.2">
      <c r="A204">
        <f>ROW(Source!A134)</f>
        <v>134</v>
      </c>
      <c r="B204">
        <v>16742901</v>
      </c>
      <c r="C204">
        <v>16745620</v>
      </c>
      <c r="D204">
        <v>15247974</v>
      </c>
      <c r="E204">
        <v>1</v>
      </c>
      <c r="F204">
        <v>1</v>
      </c>
      <c r="G204">
        <v>1</v>
      </c>
      <c r="H204">
        <v>2</v>
      </c>
      <c r="I204" t="s">
        <v>1314</v>
      </c>
      <c r="J204" t="s">
        <v>1315</v>
      </c>
      <c r="K204" t="s">
        <v>1316</v>
      </c>
      <c r="L204">
        <v>1368</v>
      </c>
      <c r="N204">
        <v>1011</v>
      </c>
      <c r="O204" t="s">
        <v>1298</v>
      </c>
      <c r="P204" t="s">
        <v>1298</v>
      </c>
      <c r="Q204">
        <v>1</v>
      </c>
      <c r="W204">
        <v>0</v>
      </c>
      <c r="X204">
        <v>1188625873</v>
      </c>
      <c r="Y204">
        <v>0.1</v>
      </c>
      <c r="AA204">
        <v>0</v>
      </c>
      <c r="AB204">
        <v>205.07</v>
      </c>
      <c r="AC204">
        <v>13.5</v>
      </c>
      <c r="AD204">
        <v>0</v>
      </c>
      <c r="AE204">
        <v>0</v>
      </c>
      <c r="AF204">
        <v>31.26</v>
      </c>
      <c r="AG204">
        <v>13.5</v>
      </c>
      <c r="AH204">
        <v>0</v>
      </c>
      <c r="AI204">
        <v>1</v>
      </c>
      <c r="AJ204">
        <v>6.56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0.1</v>
      </c>
      <c r="AU204" t="s">
        <v>6</v>
      </c>
      <c r="AV204">
        <v>0</v>
      </c>
      <c r="AW204">
        <v>2</v>
      </c>
      <c r="AX204">
        <v>16745636</v>
      </c>
      <c r="AY204">
        <v>1</v>
      </c>
      <c r="AZ204">
        <v>0</v>
      </c>
      <c r="BA204">
        <v>198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Y204*Source!I134</f>
        <v>0.58792999999999995</v>
      </c>
      <c r="CY204">
        <f>AB204</f>
        <v>205.07</v>
      </c>
      <c r="CZ204">
        <f>AF204</f>
        <v>31.26</v>
      </c>
      <c r="DA204">
        <f>AJ204</f>
        <v>6.56</v>
      </c>
      <c r="DB204">
        <f t="shared" si="37"/>
        <v>3.13</v>
      </c>
      <c r="DC204">
        <f t="shared" si="38"/>
        <v>1.35</v>
      </c>
    </row>
    <row r="205" spans="1:107" x14ac:dyDescent="0.2">
      <c r="A205">
        <f>ROW(Source!A134)</f>
        <v>134</v>
      </c>
      <c r="B205">
        <v>16742901</v>
      </c>
      <c r="C205">
        <v>16745620</v>
      </c>
      <c r="D205">
        <v>15249073</v>
      </c>
      <c r="E205">
        <v>1</v>
      </c>
      <c r="F205">
        <v>1</v>
      </c>
      <c r="G205">
        <v>1</v>
      </c>
      <c r="H205">
        <v>2</v>
      </c>
      <c r="I205" t="s">
        <v>1299</v>
      </c>
      <c r="J205" t="s">
        <v>1300</v>
      </c>
      <c r="K205" t="s">
        <v>1301</v>
      </c>
      <c r="L205">
        <v>1368</v>
      </c>
      <c r="N205">
        <v>1011</v>
      </c>
      <c r="O205" t="s">
        <v>1298</v>
      </c>
      <c r="P205" t="s">
        <v>1298</v>
      </c>
      <c r="Q205">
        <v>1</v>
      </c>
      <c r="W205">
        <v>0</v>
      </c>
      <c r="X205">
        <v>1372534845</v>
      </c>
      <c r="Y205">
        <v>0.06</v>
      </c>
      <c r="AA205">
        <v>0</v>
      </c>
      <c r="AB205">
        <v>431.06</v>
      </c>
      <c r="AC205">
        <v>11.6</v>
      </c>
      <c r="AD205">
        <v>0</v>
      </c>
      <c r="AE205">
        <v>0</v>
      </c>
      <c r="AF205">
        <v>65.709999999999994</v>
      </c>
      <c r="AG205">
        <v>11.6</v>
      </c>
      <c r="AH205">
        <v>0</v>
      </c>
      <c r="AI205">
        <v>1</v>
      </c>
      <c r="AJ205">
        <v>6.56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0.06</v>
      </c>
      <c r="AU205" t="s">
        <v>6</v>
      </c>
      <c r="AV205">
        <v>0</v>
      </c>
      <c r="AW205">
        <v>2</v>
      </c>
      <c r="AX205">
        <v>16745637</v>
      </c>
      <c r="AY205">
        <v>1</v>
      </c>
      <c r="AZ205">
        <v>0</v>
      </c>
      <c r="BA205">
        <v>199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Y205*Source!I134</f>
        <v>0.35275799999999996</v>
      </c>
      <c r="CY205">
        <f>AB205</f>
        <v>431.06</v>
      </c>
      <c r="CZ205">
        <f>AF205</f>
        <v>65.709999999999994</v>
      </c>
      <c r="DA205">
        <f>AJ205</f>
        <v>6.56</v>
      </c>
      <c r="DB205">
        <f t="shared" ref="DB205:DB228" si="39">ROUND(ROUND(AT205*CZ205,2),2)</f>
        <v>3.94</v>
      </c>
      <c r="DC205">
        <f t="shared" ref="DC205:DC228" si="40">ROUND(ROUND(AT205*AG205,2),2)</f>
        <v>0.7</v>
      </c>
    </row>
    <row r="206" spans="1:107" x14ac:dyDescent="0.2">
      <c r="A206">
        <f>ROW(Source!A134)</f>
        <v>134</v>
      </c>
      <c r="B206">
        <v>16742901</v>
      </c>
      <c r="C206">
        <v>16745620</v>
      </c>
      <c r="D206">
        <v>15167286</v>
      </c>
      <c r="E206">
        <v>1</v>
      </c>
      <c r="F206">
        <v>1</v>
      </c>
      <c r="G206">
        <v>1</v>
      </c>
      <c r="H206">
        <v>3</v>
      </c>
      <c r="I206" t="s">
        <v>1317</v>
      </c>
      <c r="J206" t="s">
        <v>1318</v>
      </c>
      <c r="K206" t="s">
        <v>1319</v>
      </c>
      <c r="L206">
        <v>1339</v>
      </c>
      <c r="N206">
        <v>1007</v>
      </c>
      <c r="O206" t="s">
        <v>301</v>
      </c>
      <c r="P206" t="s">
        <v>301</v>
      </c>
      <c r="Q206">
        <v>1</v>
      </c>
      <c r="W206">
        <v>0</v>
      </c>
      <c r="X206">
        <v>-1660354250</v>
      </c>
      <c r="Y206">
        <v>0.24</v>
      </c>
      <c r="AA206">
        <v>16.010000000000002</v>
      </c>
      <c r="AB206">
        <v>0</v>
      </c>
      <c r="AC206">
        <v>0</v>
      </c>
      <c r="AD206">
        <v>0</v>
      </c>
      <c r="AE206">
        <v>2.44</v>
      </c>
      <c r="AF206">
        <v>0</v>
      </c>
      <c r="AG206">
        <v>0</v>
      </c>
      <c r="AH206">
        <v>0</v>
      </c>
      <c r="AI206">
        <v>6.56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0.24</v>
      </c>
      <c r="AU206" t="s">
        <v>6</v>
      </c>
      <c r="AV206">
        <v>0</v>
      </c>
      <c r="AW206">
        <v>2</v>
      </c>
      <c r="AX206">
        <v>16745638</v>
      </c>
      <c r="AY206">
        <v>1</v>
      </c>
      <c r="AZ206">
        <v>0</v>
      </c>
      <c r="BA206">
        <v>200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Y206*Source!I134</f>
        <v>1.4110319999999998</v>
      </c>
      <c r="CY206">
        <f t="shared" ref="CY206:CY214" si="41">AA206</f>
        <v>16.010000000000002</v>
      </c>
      <c r="CZ206">
        <f t="shared" ref="CZ206:CZ214" si="42">AE206</f>
        <v>2.44</v>
      </c>
      <c r="DA206">
        <f t="shared" ref="DA206:DA214" si="43">AI206</f>
        <v>6.56</v>
      </c>
      <c r="DB206">
        <f t="shared" si="39"/>
        <v>0.59</v>
      </c>
      <c r="DC206">
        <f t="shared" si="40"/>
        <v>0</v>
      </c>
    </row>
    <row r="207" spans="1:107" x14ac:dyDescent="0.2">
      <c r="A207">
        <f>ROW(Source!A134)</f>
        <v>134</v>
      </c>
      <c r="B207">
        <v>16742901</v>
      </c>
      <c r="C207">
        <v>16745620</v>
      </c>
      <c r="D207">
        <v>15167766</v>
      </c>
      <c r="E207">
        <v>1</v>
      </c>
      <c r="F207">
        <v>1</v>
      </c>
      <c r="G207">
        <v>1</v>
      </c>
      <c r="H207">
        <v>3</v>
      </c>
      <c r="I207" t="s">
        <v>1507</v>
      </c>
      <c r="J207" t="s">
        <v>1508</v>
      </c>
      <c r="K207" t="s">
        <v>1509</v>
      </c>
      <c r="L207">
        <v>1354</v>
      </c>
      <c r="N207">
        <v>1010</v>
      </c>
      <c r="O207" t="s">
        <v>73</v>
      </c>
      <c r="P207" t="s">
        <v>73</v>
      </c>
      <c r="Q207">
        <v>1</v>
      </c>
      <c r="W207">
        <v>0</v>
      </c>
      <c r="X207">
        <v>-1046673864</v>
      </c>
      <c r="Y207">
        <v>3.2</v>
      </c>
      <c r="AA207">
        <v>29.52</v>
      </c>
      <c r="AB207">
        <v>0</v>
      </c>
      <c r="AC207">
        <v>0</v>
      </c>
      <c r="AD207">
        <v>0</v>
      </c>
      <c r="AE207">
        <v>4.5</v>
      </c>
      <c r="AF207">
        <v>0</v>
      </c>
      <c r="AG207">
        <v>0</v>
      </c>
      <c r="AH207">
        <v>0</v>
      </c>
      <c r="AI207">
        <v>6.56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3.2</v>
      </c>
      <c r="AU207" t="s">
        <v>6</v>
      </c>
      <c r="AV207">
        <v>0</v>
      </c>
      <c r="AW207">
        <v>2</v>
      </c>
      <c r="AX207">
        <v>16745639</v>
      </c>
      <c r="AY207">
        <v>1</v>
      </c>
      <c r="AZ207">
        <v>0</v>
      </c>
      <c r="BA207">
        <v>201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Y207*Source!I134</f>
        <v>18.813759999999998</v>
      </c>
      <c r="CY207">
        <f t="shared" si="41"/>
        <v>29.52</v>
      </c>
      <c r="CZ207">
        <f t="shared" si="42"/>
        <v>4.5</v>
      </c>
      <c r="DA207">
        <f t="shared" si="43"/>
        <v>6.56</v>
      </c>
      <c r="DB207">
        <f t="shared" si="39"/>
        <v>14.4</v>
      </c>
      <c r="DC207">
        <f t="shared" si="40"/>
        <v>0</v>
      </c>
    </row>
    <row r="208" spans="1:107" x14ac:dyDescent="0.2">
      <c r="A208">
        <f>ROW(Source!A134)</f>
        <v>134</v>
      </c>
      <c r="B208">
        <v>16742901</v>
      </c>
      <c r="C208">
        <v>16745620</v>
      </c>
      <c r="D208">
        <v>15168015</v>
      </c>
      <c r="E208">
        <v>1</v>
      </c>
      <c r="F208">
        <v>1</v>
      </c>
      <c r="G208">
        <v>1</v>
      </c>
      <c r="H208">
        <v>3</v>
      </c>
      <c r="I208" t="s">
        <v>1510</v>
      </c>
      <c r="J208" t="s">
        <v>1511</v>
      </c>
      <c r="K208" t="s">
        <v>1512</v>
      </c>
      <c r="L208">
        <v>1348</v>
      </c>
      <c r="N208">
        <v>1009</v>
      </c>
      <c r="O208" t="s">
        <v>100</v>
      </c>
      <c r="P208" t="s">
        <v>100</v>
      </c>
      <c r="Q208">
        <v>1000</v>
      </c>
      <c r="W208">
        <v>0</v>
      </c>
      <c r="X208">
        <v>-526970962</v>
      </c>
      <c r="Y208">
        <v>1.2E-2</v>
      </c>
      <c r="AA208">
        <v>3847.24</v>
      </c>
      <c r="AB208">
        <v>0</v>
      </c>
      <c r="AC208">
        <v>0</v>
      </c>
      <c r="AD208">
        <v>0</v>
      </c>
      <c r="AE208">
        <v>586.47</v>
      </c>
      <c r="AF208">
        <v>0</v>
      </c>
      <c r="AG208">
        <v>0</v>
      </c>
      <c r="AH208">
        <v>0</v>
      </c>
      <c r="AI208">
        <v>6.56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1.2E-2</v>
      </c>
      <c r="AU208" t="s">
        <v>6</v>
      </c>
      <c r="AV208">
        <v>0</v>
      </c>
      <c r="AW208">
        <v>2</v>
      </c>
      <c r="AX208">
        <v>16745640</v>
      </c>
      <c r="AY208">
        <v>1</v>
      </c>
      <c r="AZ208">
        <v>0</v>
      </c>
      <c r="BA208">
        <v>202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Y208*Source!I134</f>
        <v>7.0551599999999992E-2</v>
      </c>
      <c r="CY208">
        <f t="shared" si="41"/>
        <v>3847.24</v>
      </c>
      <c r="CZ208">
        <f t="shared" si="42"/>
        <v>586.47</v>
      </c>
      <c r="DA208">
        <f t="shared" si="43"/>
        <v>6.56</v>
      </c>
      <c r="DB208">
        <f t="shared" si="39"/>
        <v>7.04</v>
      </c>
      <c r="DC208">
        <f t="shared" si="40"/>
        <v>0</v>
      </c>
    </row>
    <row r="209" spans="1:107" x14ac:dyDescent="0.2">
      <c r="A209">
        <f>ROW(Source!A134)</f>
        <v>134</v>
      </c>
      <c r="B209">
        <v>16742901</v>
      </c>
      <c r="C209">
        <v>16745620</v>
      </c>
      <c r="D209">
        <v>15170682</v>
      </c>
      <c r="E209">
        <v>1</v>
      </c>
      <c r="F209">
        <v>1</v>
      </c>
      <c r="G209">
        <v>1</v>
      </c>
      <c r="H209">
        <v>3</v>
      </c>
      <c r="I209" t="s">
        <v>1428</v>
      </c>
      <c r="J209" t="s">
        <v>1429</v>
      </c>
      <c r="K209" t="s">
        <v>1430</v>
      </c>
      <c r="L209">
        <v>1327</v>
      </c>
      <c r="N209">
        <v>1005</v>
      </c>
      <c r="O209" t="s">
        <v>193</v>
      </c>
      <c r="P209" t="s">
        <v>193</v>
      </c>
      <c r="Q209">
        <v>1</v>
      </c>
      <c r="W209">
        <v>0</v>
      </c>
      <c r="X209">
        <v>-1987926685</v>
      </c>
      <c r="Y209">
        <v>1.6</v>
      </c>
      <c r="AA209">
        <v>474.42</v>
      </c>
      <c r="AB209">
        <v>0</v>
      </c>
      <c r="AC209">
        <v>0</v>
      </c>
      <c r="AD209">
        <v>0</v>
      </c>
      <c r="AE209">
        <v>72.319999999999993</v>
      </c>
      <c r="AF209">
        <v>0</v>
      </c>
      <c r="AG209">
        <v>0</v>
      </c>
      <c r="AH209">
        <v>0</v>
      </c>
      <c r="AI209">
        <v>6.56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1.6</v>
      </c>
      <c r="AU209" t="s">
        <v>6</v>
      </c>
      <c r="AV209">
        <v>0</v>
      </c>
      <c r="AW209">
        <v>2</v>
      </c>
      <c r="AX209">
        <v>16745641</v>
      </c>
      <c r="AY209">
        <v>1</v>
      </c>
      <c r="AZ209">
        <v>0</v>
      </c>
      <c r="BA209">
        <v>203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Y209*Source!I134</f>
        <v>9.4068799999999992</v>
      </c>
      <c r="CY209">
        <f t="shared" si="41"/>
        <v>474.42</v>
      </c>
      <c r="CZ209">
        <f t="shared" si="42"/>
        <v>72.319999999999993</v>
      </c>
      <c r="DA209">
        <f t="shared" si="43"/>
        <v>6.56</v>
      </c>
      <c r="DB209">
        <f t="shared" si="39"/>
        <v>115.71</v>
      </c>
      <c r="DC209">
        <f t="shared" si="40"/>
        <v>0</v>
      </c>
    </row>
    <row r="210" spans="1:107" x14ac:dyDescent="0.2">
      <c r="A210">
        <f>ROW(Source!A134)</f>
        <v>134</v>
      </c>
      <c r="B210">
        <v>16742901</v>
      </c>
      <c r="C210">
        <v>16745620</v>
      </c>
      <c r="D210">
        <v>15171907</v>
      </c>
      <c r="E210">
        <v>1</v>
      </c>
      <c r="F210">
        <v>1</v>
      </c>
      <c r="G210">
        <v>1</v>
      </c>
      <c r="H210">
        <v>3</v>
      </c>
      <c r="I210" t="s">
        <v>1513</v>
      </c>
      <c r="J210" t="s">
        <v>1514</v>
      </c>
      <c r="K210" t="s">
        <v>1515</v>
      </c>
      <c r="L210">
        <v>1339</v>
      </c>
      <c r="N210">
        <v>1007</v>
      </c>
      <c r="O210" t="s">
        <v>301</v>
      </c>
      <c r="P210" t="s">
        <v>301</v>
      </c>
      <c r="Q210">
        <v>1</v>
      </c>
      <c r="W210">
        <v>0</v>
      </c>
      <c r="X210">
        <v>1795918813</v>
      </c>
      <c r="Y210">
        <v>4.4000000000000003E-3</v>
      </c>
      <c r="AA210">
        <v>489.24</v>
      </c>
      <c r="AB210">
        <v>0</v>
      </c>
      <c r="AC210">
        <v>0</v>
      </c>
      <c r="AD210">
        <v>0</v>
      </c>
      <c r="AE210">
        <v>74.58</v>
      </c>
      <c r="AF210">
        <v>0</v>
      </c>
      <c r="AG210">
        <v>0</v>
      </c>
      <c r="AH210">
        <v>0</v>
      </c>
      <c r="AI210">
        <v>6.56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4.4000000000000003E-3</v>
      </c>
      <c r="AU210" t="s">
        <v>6</v>
      </c>
      <c r="AV210">
        <v>0</v>
      </c>
      <c r="AW210">
        <v>2</v>
      </c>
      <c r="AX210">
        <v>16745642</v>
      </c>
      <c r="AY210">
        <v>1</v>
      </c>
      <c r="AZ210">
        <v>0</v>
      </c>
      <c r="BA210">
        <v>204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Y210*Source!I134</f>
        <v>2.586892E-2</v>
      </c>
      <c r="CY210">
        <f t="shared" si="41"/>
        <v>489.24</v>
      </c>
      <c r="CZ210">
        <f t="shared" si="42"/>
        <v>74.58</v>
      </c>
      <c r="DA210">
        <f t="shared" si="43"/>
        <v>6.56</v>
      </c>
      <c r="DB210">
        <f t="shared" si="39"/>
        <v>0.33</v>
      </c>
      <c r="DC210">
        <f t="shared" si="40"/>
        <v>0</v>
      </c>
    </row>
    <row r="211" spans="1:107" x14ac:dyDescent="0.2">
      <c r="A211">
        <f>ROW(Source!A134)</f>
        <v>134</v>
      </c>
      <c r="B211">
        <v>16742901</v>
      </c>
      <c r="C211">
        <v>16745620</v>
      </c>
      <c r="D211">
        <v>15202490</v>
      </c>
      <c r="E211">
        <v>1</v>
      </c>
      <c r="F211">
        <v>1</v>
      </c>
      <c r="G211">
        <v>1</v>
      </c>
      <c r="H211">
        <v>3</v>
      </c>
      <c r="I211" t="s">
        <v>1516</v>
      </c>
      <c r="J211" t="s">
        <v>1517</v>
      </c>
      <c r="K211" t="s">
        <v>1518</v>
      </c>
      <c r="L211">
        <v>1346</v>
      </c>
      <c r="N211">
        <v>1009</v>
      </c>
      <c r="O211" t="s">
        <v>341</v>
      </c>
      <c r="P211" t="s">
        <v>341</v>
      </c>
      <c r="Q211">
        <v>1</v>
      </c>
      <c r="W211">
        <v>0</v>
      </c>
      <c r="X211">
        <v>-1684093315</v>
      </c>
      <c r="Y211">
        <v>2.4300000000000002</v>
      </c>
      <c r="AA211">
        <v>53.07</v>
      </c>
      <c r="AB211">
        <v>0</v>
      </c>
      <c r="AC211">
        <v>0</v>
      </c>
      <c r="AD211">
        <v>0</v>
      </c>
      <c r="AE211">
        <v>8.09</v>
      </c>
      <c r="AF211">
        <v>0</v>
      </c>
      <c r="AG211">
        <v>0</v>
      </c>
      <c r="AH211">
        <v>0</v>
      </c>
      <c r="AI211">
        <v>6.56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2.4300000000000002</v>
      </c>
      <c r="AU211" t="s">
        <v>6</v>
      </c>
      <c r="AV211">
        <v>0</v>
      </c>
      <c r="AW211">
        <v>2</v>
      </c>
      <c r="AX211">
        <v>16745643</v>
      </c>
      <c r="AY211">
        <v>1</v>
      </c>
      <c r="AZ211">
        <v>0</v>
      </c>
      <c r="BA211">
        <v>205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Y211*Source!I134</f>
        <v>14.286699</v>
      </c>
      <c r="CY211">
        <f t="shared" si="41"/>
        <v>53.07</v>
      </c>
      <c r="CZ211">
        <f t="shared" si="42"/>
        <v>8.09</v>
      </c>
      <c r="DA211">
        <f t="shared" si="43"/>
        <v>6.56</v>
      </c>
      <c r="DB211">
        <f t="shared" si="39"/>
        <v>19.66</v>
      </c>
      <c r="DC211">
        <f t="shared" si="40"/>
        <v>0</v>
      </c>
    </row>
    <row r="212" spans="1:107" x14ac:dyDescent="0.2">
      <c r="A212">
        <f>ROW(Source!A134)</f>
        <v>134</v>
      </c>
      <c r="B212">
        <v>16742901</v>
      </c>
      <c r="C212">
        <v>16745620</v>
      </c>
      <c r="D212">
        <v>15163054</v>
      </c>
      <c r="E212">
        <v>17</v>
      </c>
      <c r="F212">
        <v>1</v>
      </c>
      <c r="G212">
        <v>1</v>
      </c>
      <c r="H212">
        <v>3</v>
      </c>
      <c r="I212" t="s">
        <v>240</v>
      </c>
      <c r="J212" t="s">
        <v>6</v>
      </c>
      <c r="K212" t="s">
        <v>241</v>
      </c>
      <c r="L212">
        <v>1348</v>
      </c>
      <c r="N212">
        <v>1009</v>
      </c>
      <c r="O212" t="s">
        <v>100</v>
      </c>
      <c r="P212" t="s">
        <v>100</v>
      </c>
      <c r="Q212">
        <v>1000</v>
      </c>
      <c r="W212">
        <v>0</v>
      </c>
      <c r="X212">
        <v>1891904026</v>
      </c>
      <c r="Y212">
        <v>6.7000000000000004E-2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6.56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6</v>
      </c>
      <c r="AT212">
        <v>6.7000000000000004E-2</v>
      </c>
      <c r="AU212" t="s">
        <v>6</v>
      </c>
      <c r="AV212">
        <v>0</v>
      </c>
      <c r="AW212">
        <v>2</v>
      </c>
      <c r="AX212">
        <v>16745644</v>
      </c>
      <c r="AY212">
        <v>1</v>
      </c>
      <c r="AZ212">
        <v>0</v>
      </c>
      <c r="BA212">
        <v>206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Y212*Source!I134</f>
        <v>0.39391310000000002</v>
      </c>
      <c r="CY212">
        <f t="shared" si="41"/>
        <v>0</v>
      </c>
      <c r="CZ212">
        <f t="shared" si="42"/>
        <v>0</v>
      </c>
      <c r="DA212">
        <f t="shared" si="43"/>
        <v>6.56</v>
      </c>
      <c r="DB212">
        <f t="shared" si="39"/>
        <v>0</v>
      </c>
      <c r="DC212">
        <f t="shared" si="40"/>
        <v>0</v>
      </c>
    </row>
    <row r="213" spans="1:107" x14ac:dyDescent="0.2">
      <c r="A213">
        <f>ROW(Source!A134)</f>
        <v>134</v>
      </c>
      <c r="B213">
        <v>16742901</v>
      </c>
      <c r="C213">
        <v>16745620</v>
      </c>
      <c r="D213">
        <v>15203263</v>
      </c>
      <c r="E213">
        <v>1</v>
      </c>
      <c r="F213">
        <v>1</v>
      </c>
      <c r="G213">
        <v>1</v>
      </c>
      <c r="H213">
        <v>3</v>
      </c>
      <c r="I213" t="s">
        <v>385</v>
      </c>
      <c r="J213" t="s">
        <v>387</v>
      </c>
      <c r="K213" t="s">
        <v>386</v>
      </c>
      <c r="L213">
        <v>1348</v>
      </c>
      <c r="N213">
        <v>1009</v>
      </c>
      <c r="O213" t="s">
        <v>100</v>
      </c>
      <c r="P213" t="s">
        <v>100</v>
      </c>
      <c r="Q213">
        <v>1000</v>
      </c>
      <c r="W213">
        <v>0</v>
      </c>
      <c r="X213">
        <v>1146787971</v>
      </c>
      <c r="Y213">
        <v>6.7000000000000004E-2</v>
      </c>
      <c r="AA213">
        <v>55792.800000000003</v>
      </c>
      <c r="AB213">
        <v>0</v>
      </c>
      <c r="AC213">
        <v>0</v>
      </c>
      <c r="AD213">
        <v>0</v>
      </c>
      <c r="AE213">
        <v>8505</v>
      </c>
      <c r="AF213">
        <v>0</v>
      </c>
      <c r="AG213">
        <v>0</v>
      </c>
      <c r="AH213">
        <v>0</v>
      </c>
      <c r="AI213">
        <v>6.56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6</v>
      </c>
      <c r="AT213">
        <v>6.7000000000000004E-2</v>
      </c>
      <c r="AU213" t="s">
        <v>6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6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Y213*Source!I134</f>
        <v>0.39391310000000002</v>
      </c>
      <c r="CY213">
        <f t="shared" si="41"/>
        <v>55792.800000000003</v>
      </c>
      <c r="CZ213">
        <f t="shared" si="42"/>
        <v>8505</v>
      </c>
      <c r="DA213">
        <f t="shared" si="43"/>
        <v>6.56</v>
      </c>
      <c r="DB213">
        <f t="shared" si="39"/>
        <v>569.84</v>
      </c>
      <c r="DC213">
        <f t="shared" si="40"/>
        <v>0</v>
      </c>
    </row>
    <row r="214" spans="1:107" x14ac:dyDescent="0.2">
      <c r="A214">
        <f>ROW(Source!A134)</f>
        <v>134</v>
      </c>
      <c r="B214">
        <v>16742901</v>
      </c>
      <c r="C214">
        <v>16745620</v>
      </c>
      <c r="D214">
        <v>15204729</v>
      </c>
      <c r="E214">
        <v>1</v>
      </c>
      <c r="F214">
        <v>1</v>
      </c>
      <c r="G214">
        <v>1</v>
      </c>
      <c r="H214">
        <v>3</v>
      </c>
      <c r="I214" t="s">
        <v>1434</v>
      </c>
      <c r="J214" t="s">
        <v>1435</v>
      </c>
      <c r="K214" t="s">
        <v>1436</v>
      </c>
      <c r="L214">
        <v>1348</v>
      </c>
      <c r="N214">
        <v>1009</v>
      </c>
      <c r="O214" t="s">
        <v>100</v>
      </c>
      <c r="P214" t="s">
        <v>100</v>
      </c>
      <c r="Q214">
        <v>1000</v>
      </c>
      <c r="W214">
        <v>0</v>
      </c>
      <c r="X214">
        <v>-2084827333</v>
      </c>
      <c r="Y214">
        <v>6.4000000000000001E-2</v>
      </c>
      <c r="AA214">
        <v>28168.639999999999</v>
      </c>
      <c r="AB214">
        <v>0</v>
      </c>
      <c r="AC214">
        <v>0</v>
      </c>
      <c r="AD214">
        <v>0</v>
      </c>
      <c r="AE214">
        <v>4294</v>
      </c>
      <c r="AF214">
        <v>0</v>
      </c>
      <c r="AG214">
        <v>0</v>
      </c>
      <c r="AH214">
        <v>0</v>
      </c>
      <c r="AI214">
        <v>6.56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6.4000000000000001E-2</v>
      </c>
      <c r="AU214" t="s">
        <v>6</v>
      </c>
      <c r="AV214">
        <v>0</v>
      </c>
      <c r="AW214">
        <v>2</v>
      </c>
      <c r="AX214">
        <v>16745645</v>
      </c>
      <c r="AY214">
        <v>1</v>
      </c>
      <c r="AZ214">
        <v>0</v>
      </c>
      <c r="BA214">
        <v>207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Y214*Source!I134</f>
        <v>0.37627519999999998</v>
      </c>
      <c r="CY214">
        <f t="shared" si="41"/>
        <v>28168.639999999999</v>
      </c>
      <c r="CZ214">
        <f t="shared" si="42"/>
        <v>4294</v>
      </c>
      <c r="DA214">
        <f t="shared" si="43"/>
        <v>6.56</v>
      </c>
      <c r="DB214">
        <f t="shared" si="39"/>
        <v>274.82</v>
      </c>
      <c r="DC214">
        <f t="shared" si="40"/>
        <v>0</v>
      </c>
    </row>
    <row r="215" spans="1:107" x14ac:dyDescent="0.2">
      <c r="A215">
        <f>ROW(Source!A137)</f>
        <v>137</v>
      </c>
      <c r="B215">
        <v>16742901</v>
      </c>
      <c r="C215">
        <v>16745648</v>
      </c>
      <c r="D215">
        <v>15430497</v>
      </c>
      <c r="E215">
        <v>1</v>
      </c>
      <c r="F215">
        <v>1</v>
      </c>
      <c r="G215">
        <v>1</v>
      </c>
      <c r="H215">
        <v>1</v>
      </c>
      <c r="I215" t="s">
        <v>1519</v>
      </c>
      <c r="J215" t="s">
        <v>6</v>
      </c>
      <c r="K215" t="s">
        <v>1520</v>
      </c>
      <c r="L215">
        <v>1191</v>
      </c>
      <c r="N215">
        <v>1013</v>
      </c>
      <c r="O215" t="s">
        <v>1287</v>
      </c>
      <c r="P215" t="s">
        <v>1287</v>
      </c>
      <c r="Q215">
        <v>1</v>
      </c>
      <c r="W215">
        <v>0</v>
      </c>
      <c r="X215">
        <v>-719309759</v>
      </c>
      <c r="Y215">
        <v>33.630000000000003</v>
      </c>
      <c r="AA215">
        <v>0</v>
      </c>
      <c r="AB215">
        <v>0</v>
      </c>
      <c r="AC215">
        <v>0</v>
      </c>
      <c r="AD215">
        <v>58.12</v>
      </c>
      <c r="AE215">
        <v>0</v>
      </c>
      <c r="AF215">
        <v>0</v>
      </c>
      <c r="AG215">
        <v>0</v>
      </c>
      <c r="AH215">
        <v>8.86</v>
      </c>
      <c r="AI215">
        <v>1</v>
      </c>
      <c r="AJ215">
        <v>1</v>
      </c>
      <c r="AK215">
        <v>1</v>
      </c>
      <c r="AL215">
        <v>6.56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6</v>
      </c>
      <c r="AT215">
        <v>33.630000000000003</v>
      </c>
      <c r="AU215" t="s">
        <v>6</v>
      </c>
      <c r="AV215">
        <v>1</v>
      </c>
      <c r="AW215">
        <v>2</v>
      </c>
      <c r="AX215">
        <v>16745660</v>
      </c>
      <c r="AY215">
        <v>1</v>
      </c>
      <c r="AZ215">
        <v>0</v>
      </c>
      <c r="BA215">
        <v>208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Y215*Source!I137</f>
        <v>70.464939000000001</v>
      </c>
      <c r="CY215">
        <f>AD215</f>
        <v>58.12</v>
      </c>
      <c r="CZ215">
        <f>AH215</f>
        <v>8.86</v>
      </c>
      <c r="DA215">
        <f>AL215</f>
        <v>6.56</v>
      </c>
      <c r="DB215">
        <f t="shared" si="39"/>
        <v>297.95999999999998</v>
      </c>
      <c r="DC215">
        <f t="shared" si="40"/>
        <v>0</v>
      </c>
    </row>
    <row r="216" spans="1:107" x14ac:dyDescent="0.2">
      <c r="A216">
        <f>ROW(Source!A137)</f>
        <v>137</v>
      </c>
      <c r="B216">
        <v>16742901</v>
      </c>
      <c r="C216">
        <v>16745648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1293</v>
      </c>
      <c r="J216" t="s">
        <v>6</v>
      </c>
      <c r="K216" t="s">
        <v>1294</v>
      </c>
      <c r="L216">
        <v>1191</v>
      </c>
      <c r="N216">
        <v>1013</v>
      </c>
      <c r="O216" t="s">
        <v>1287</v>
      </c>
      <c r="P216" t="s">
        <v>1287</v>
      </c>
      <c r="Q216">
        <v>1</v>
      </c>
      <c r="W216">
        <v>0</v>
      </c>
      <c r="X216">
        <v>-1417349443</v>
      </c>
      <c r="Y216">
        <v>0.02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6.56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0.02</v>
      </c>
      <c r="AU216" t="s">
        <v>6</v>
      </c>
      <c r="AV216">
        <v>2</v>
      </c>
      <c r="AW216">
        <v>2</v>
      </c>
      <c r="AX216">
        <v>16745661</v>
      </c>
      <c r="AY216">
        <v>1</v>
      </c>
      <c r="AZ216">
        <v>0</v>
      </c>
      <c r="BA216">
        <v>209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Y216*Source!I137</f>
        <v>4.1905999999999999E-2</v>
      </c>
      <c r="CY216">
        <f>AD216</f>
        <v>0</v>
      </c>
      <c r="CZ216">
        <f>AH216</f>
        <v>0</v>
      </c>
      <c r="DA216">
        <f>AL216</f>
        <v>1</v>
      </c>
      <c r="DB216">
        <f t="shared" si="39"/>
        <v>0</v>
      </c>
      <c r="DC216">
        <f t="shared" si="40"/>
        <v>0</v>
      </c>
    </row>
    <row r="217" spans="1:107" x14ac:dyDescent="0.2">
      <c r="A217">
        <f>ROW(Source!A137)</f>
        <v>137</v>
      </c>
      <c r="B217">
        <v>16742901</v>
      </c>
      <c r="C217">
        <v>16745648</v>
      </c>
      <c r="D217">
        <v>15247974</v>
      </c>
      <c r="E217">
        <v>1</v>
      </c>
      <c r="F217">
        <v>1</v>
      </c>
      <c r="G217">
        <v>1</v>
      </c>
      <c r="H217">
        <v>2</v>
      </c>
      <c r="I217" t="s">
        <v>1314</v>
      </c>
      <c r="J217" t="s">
        <v>1315</v>
      </c>
      <c r="K217" t="s">
        <v>1316</v>
      </c>
      <c r="L217">
        <v>1368</v>
      </c>
      <c r="N217">
        <v>1011</v>
      </c>
      <c r="O217" t="s">
        <v>1298</v>
      </c>
      <c r="P217" t="s">
        <v>1298</v>
      </c>
      <c r="Q217">
        <v>1</v>
      </c>
      <c r="W217">
        <v>0</v>
      </c>
      <c r="X217">
        <v>1188625873</v>
      </c>
      <c r="Y217">
        <v>0.01</v>
      </c>
      <c r="AA217">
        <v>0</v>
      </c>
      <c r="AB217">
        <v>205.07</v>
      </c>
      <c r="AC217">
        <v>13.5</v>
      </c>
      <c r="AD217">
        <v>0</v>
      </c>
      <c r="AE217">
        <v>0</v>
      </c>
      <c r="AF217">
        <v>31.26</v>
      </c>
      <c r="AG217">
        <v>13.5</v>
      </c>
      <c r="AH217">
        <v>0</v>
      </c>
      <c r="AI217">
        <v>1</v>
      </c>
      <c r="AJ217">
        <v>6.56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0.01</v>
      </c>
      <c r="AU217" t="s">
        <v>6</v>
      </c>
      <c r="AV217">
        <v>0</v>
      </c>
      <c r="AW217">
        <v>2</v>
      </c>
      <c r="AX217">
        <v>16745662</v>
      </c>
      <c r="AY217">
        <v>1</v>
      </c>
      <c r="AZ217">
        <v>0</v>
      </c>
      <c r="BA217">
        <v>210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Y217*Source!I137</f>
        <v>2.0952999999999999E-2</v>
      </c>
      <c r="CY217">
        <f>AB217</f>
        <v>205.07</v>
      </c>
      <c r="CZ217">
        <f>AF217</f>
        <v>31.26</v>
      </c>
      <c r="DA217">
        <f>AJ217</f>
        <v>6.56</v>
      </c>
      <c r="DB217">
        <f t="shared" si="39"/>
        <v>0.31</v>
      </c>
      <c r="DC217">
        <f t="shared" si="40"/>
        <v>0.14000000000000001</v>
      </c>
    </row>
    <row r="218" spans="1:107" x14ac:dyDescent="0.2">
      <c r="A218">
        <f>ROW(Source!A137)</f>
        <v>137</v>
      </c>
      <c r="B218">
        <v>16742901</v>
      </c>
      <c r="C218">
        <v>16745648</v>
      </c>
      <c r="D218">
        <v>15249073</v>
      </c>
      <c r="E218">
        <v>1</v>
      </c>
      <c r="F218">
        <v>1</v>
      </c>
      <c r="G218">
        <v>1</v>
      </c>
      <c r="H218">
        <v>2</v>
      </c>
      <c r="I218" t="s">
        <v>1299</v>
      </c>
      <c r="J218" t="s">
        <v>1300</v>
      </c>
      <c r="K218" t="s">
        <v>1301</v>
      </c>
      <c r="L218">
        <v>1368</v>
      </c>
      <c r="N218">
        <v>1011</v>
      </c>
      <c r="O218" t="s">
        <v>1298</v>
      </c>
      <c r="P218" t="s">
        <v>1298</v>
      </c>
      <c r="Q218">
        <v>1</v>
      </c>
      <c r="W218">
        <v>0</v>
      </c>
      <c r="X218">
        <v>1372534845</v>
      </c>
      <c r="Y218">
        <v>0.01</v>
      </c>
      <c r="AA218">
        <v>0</v>
      </c>
      <c r="AB218">
        <v>431.06</v>
      </c>
      <c r="AC218">
        <v>11.6</v>
      </c>
      <c r="AD218">
        <v>0</v>
      </c>
      <c r="AE218">
        <v>0</v>
      </c>
      <c r="AF218">
        <v>65.709999999999994</v>
      </c>
      <c r="AG218">
        <v>11.6</v>
      </c>
      <c r="AH218">
        <v>0</v>
      </c>
      <c r="AI218">
        <v>1</v>
      </c>
      <c r="AJ218">
        <v>6.56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0.01</v>
      </c>
      <c r="AU218" t="s">
        <v>6</v>
      </c>
      <c r="AV218">
        <v>0</v>
      </c>
      <c r="AW218">
        <v>2</v>
      </c>
      <c r="AX218">
        <v>16745663</v>
      </c>
      <c r="AY218">
        <v>1</v>
      </c>
      <c r="AZ218">
        <v>0</v>
      </c>
      <c r="BA218">
        <v>211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Y218*Source!I137</f>
        <v>2.0952999999999999E-2</v>
      </c>
      <c r="CY218">
        <f>AB218</f>
        <v>431.06</v>
      </c>
      <c r="CZ218">
        <f>AF218</f>
        <v>65.709999999999994</v>
      </c>
      <c r="DA218">
        <f>AJ218</f>
        <v>6.56</v>
      </c>
      <c r="DB218">
        <f t="shared" si="39"/>
        <v>0.66</v>
      </c>
      <c r="DC218">
        <f t="shared" si="40"/>
        <v>0.12</v>
      </c>
    </row>
    <row r="219" spans="1:107" x14ac:dyDescent="0.2">
      <c r="A219">
        <f>ROW(Source!A137)</f>
        <v>137</v>
      </c>
      <c r="B219">
        <v>16742901</v>
      </c>
      <c r="C219">
        <v>16745648</v>
      </c>
      <c r="D219">
        <v>15163097</v>
      </c>
      <c r="E219">
        <v>17</v>
      </c>
      <c r="F219">
        <v>1</v>
      </c>
      <c r="G219">
        <v>1</v>
      </c>
      <c r="H219">
        <v>3</v>
      </c>
      <c r="I219" t="s">
        <v>394</v>
      </c>
      <c r="J219" t="s">
        <v>6</v>
      </c>
      <c r="K219" t="s">
        <v>395</v>
      </c>
      <c r="L219">
        <v>1328</v>
      </c>
      <c r="N219">
        <v>1005</v>
      </c>
      <c r="O219" t="s">
        <v>20</v>
      </c>
      <c r="P219" t="s">
        <v>20</v>
      </c>
      <c r="Q219">
        <v>100</v>
      </c>
      <c r="W219">
        <v>0</v>
      </c>
      <c r="X219">
        <v>-93777278</v>
      </c>
      <c r="Y219">
        <v>1.1299999999999999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6.56</v>
      </c>
      <c r="AJ219">
        <v>1</v>
      </c>
      <c r="AK219">
        <v>1</v>
      </c>
      <c r="AL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6</v>
      </c>
      <c r="AT219">
        <v>1.1299999999999999</v>
      </c>
      <c r="AU219" t="s">
        <v>6</v>
      </c>
      <c r="AV219">
        <v>0</v>
      </c>
      <c r="AW219">
        <v>2</v>
      </c>
      <c r="AX219">
        <v>16745664</v>
      </c>
      <c r="AY219">
        <v>1</v>
      </c>
      <c r="AZ219">
        <v>0</v>
      </c>
      <c r="BA219">
        <v>212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Y219*Source!I137</f>
        <v>2.3676889999999995</v>
      </c>
      <c r="CY219">
        <f t="shared" ref="CY219:CY225" si="44">AA219</f>
        <v>0</v>
      </c>
      <c r="CZ219">
        <f t="shared" ref="CZ219:CZ225" si="45">AE219</f>
        <v>0</v>
      </c>
      <c r="DA219">
        <f t="shared" ref="DA219:DA225" si="46">AI219</f>
        <v>6.56</v>
      </c>
      <c r="DB219">
        <f t="shared" si="39"/>
        <v>0</v>
      </c>
      <c r="DC219">
        <f t="shared" si="40"/>
        <v>0</v>
      </c>
    </row>
    <row r="220" spans="1:107" x14ac:dyDescent="0.2">
      <c r="A220">
        <f>ROW(Source!A137)</f>
        <v>137</v>
      </c>
      <c r="B220">
        <v>16742901</v>
      </c>
      <c r="C220">
        <v>16745648</v>
      </c>
      <c r="D220">
        <v>15167277</v>
      </c>
      <c r="E220">
        <v>1</v>
      </c>
      <c r="F220">
        <v>1</v>
      </c>
      <c r="G220">
        <v>1</v>
      </c>
      <c r="H220">
        <v>3</v>
      </c>
      <c r="I220" t="s">
        <v>1521</v>
      </c>
      <c r="J220" t="s">
        <v>1522</v>
      </c>
      <c r="K220" t="s">
        <v>1523</v>
      </c>
      <c r="L220">
        <v>1348</v>
      </c>
      <c r="N220">
        <v>1009</v>
      </c>
      <c r="O220" t="s">
        <v>100</v>
      </c>
      <c r="P220" t="s">
        <v>100</v>
      </c>
      <c r="Q220">
        <v>1000</v>
      </c>
      <c r="W220">
        <v>0</v>
      </c>
      <c r="X220">
        <v>-107449080</v>
      </c>
      <c r="Y220">
        <v>7.1000000000000004E-3</v>
      </c>
      <c r="AA220">
        <v>37064</v>
      </c>
      <c r="AB220">
        <v>0</v>
      </c>
      <c r="AC220">
        <v>0</v>
      </c>
      <c r="AD220">
        <v>0</v>
      </c>
      <c r="AE220">
        <v>5650</v>
      </c>
      <c r="AF220">
        <v>0</v>
      </c>
      <c r="AG220">
        <v>0</v>
      </c>
      <c r="AH220">
        <v>0</v>
      </c>
      <c r="AI220">
        <v>6.56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7.1000000000000004E-3</v>
      </c>
      <c r="AU220" t="s">
        <v>6</v>
      </c>
      <c r="AV220">
        <v>0</v>
      </c>
      <c r="AW220">
        <v>2</v>
      </c>
      <c r="AX220">
        <v>16745665</v>
      </c>
      <c r="AY220">
        <v>1</v>
      </c>
      <c r="AZ220">
        <v>0</v>
      </c>
      <c r="BA220">
        <v>213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Y220*Source!I137</f>
        <v>1.487663E-2</v>
      </c>
      <c r="CY220">
        <f t="shared" si="44"/>
        <v>37064</v>
      </c>
      <c r="CZ220">
        <f t="shared" si="45"/>
        <v>5650</v>
      </c>
      <c r="DA220">
        <f t="shared" si="46"/>
        <v>6.56</v>
      </c>
      <c r="DB220">
        <f t="shared" si="39"/>
        <v>40.119999999999997</v>
      </c>
      <c r="DC220">
        <f t="shared" si="40"/>
        <v>0</v>
      </c>
    </row>
    <row r="221" spans="1:107" x14ac:dyDescent="0.2">
      <c r="A221">
        <f>ROW(Source!A137)</f>
        <v>137</v>
      </c>
      <c r="B221">
        <v>16742901</v>
      </c>
      <c r="C221">
        <v>16745648</v>
      </c>
      <c r="D221">
        <v>15167286</v>
      </c>
      <c r="E221">
        <v>1</v>
      </c>
      <c r="F221">
        <v>1</v>
      </c>
      <c r="G221">
        <v>1</v>
      </c>
      <c r="H221">
        <v>3</v>
      </c>
      <c r="I221" t="s">
        <v>1317</v>
      </c>
      <c r="J221" t="s">
        <v>1318</v>
      </c>
      <c r="K221" t="s">
        <v>1319</v>
      </c>
      <c r="L221">
        <v>1339</v>
      </c>
      <c r="N221">
        <v>1007</v>
      </c>
      <c r="O221" t="s">
        <v>301</v>
      </c>
      <c r="P221" t="s">
        <v>301</v>
      </c>
      <c r="Q221">
        <v>1</v>
      </c>
      <c r="W221">
        <v>0</v>
      </c>
      <c r="X221">
        <v>-1660354250</v>
      </c>
      <c r="Y221">
        <v>0.01</v>
      </c>
      <c r="AA221">
        <v>16.010000000000002</v>
      </c>
      <c r="AB221">
        <v>0</v>
      </c>
      <c r="AC221">
        <v>0</v>
      </c>
      <c r="AD221">
        <v>0</v>
      </c>
      <c r="AE221">
        <v>2.44</v>
      </c>
      <c r="AF221">
        <v>0</v>
      </c>
      <c r="AG221">
        <v>0</v>
      </c>
      <c r="AH221">
        <v>0</v>
      </c>
      <c r="AI221">
        <v>6.56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0.01</v>
      </c>
      <c r="AU221" t="s">
        <v>6</v>
      </c>
      <c r="AV221">
        <v>0</v>
      </c>
      <c r="AW221">
        <v>2</v>
      </c>
      <c r="AX221">
        <v>16745666</v>
      </c>
      <c r="AY221">
        <v>1</v>
      </c>
      <c r="AZ221">
        <v>0</v>
      </c>
      <c r="BA221">
        <v>214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Y221*Source!I137</f>
        <v>2.0952999999999999E-2</v>
      </c>
      <c r="CY221">
        <f t="shared" si="44"/>
        <v>16.010000000000002</v>
      </c>
      <c r="CZ221">
        <f t="shared" si="45"/>
        <v>2.44</v>
      </c>
      <c r="DA221">
        <f t="shared" si="46"/>
        <v>6.56</v>
      </c>
      <c r="DB221">
        <f t="shared" si="39"/>
        <v>0.02</v>
      </c>
      <c r="DC221">
        <f t="shared" si="40"/>
        <v>0</v>
      </c>
    </row>
    <row r="222" spans="1:107" x14ac:dyDescent="0.2">
      <c r="A222">
        <f>ROW(Source!A137)</f>
        <v>137</v>
      </c>
      <c r="B222">
        <v>16742901</v>
      </c>
      <c r="C222">
        <v>16745648</v>
      </c>
      <c r="D222">
        <v>15171018</v>
      </c>
      <c r="E222">
        <v>1</v>
      </c>
      <c r="F222">
        <v>1</v>
      </c>
      <c r="G222">
        <v>1</v>
      </c>
      <c r="H222">
        <v>3</v>
      </c>
      <c r="I222" t="s">
        <v>1431</v>
      </c>
      <c r="J222" t="s">
        <v>1432</v>
      </c>
      <c r="K222" t="s">
        <v>1433</v>
      </c>
      <c r="L222">
        <v>1346</v>
      </c>
      <c r="N222">
        <v>1009</v>
      </c>
      <c r="O222" t="s">
        <v>341</v>
      </c>
      <c r="P222" t="s">
        <v>341</v>
      </c>
      <c r="Q222">
        <v>1</v>
      </c>
      <c r="W222">
        <v>0</v>
      </c>
      <c r="X222">
        <v>813963326</v>
      </c>
      <c r="Y222">
        <v>0.01</v>
      </c>
      <c r="AA222">
        <v>11.94</v>
      </c>
      <c r="AB222">
        <v>0</v>
      </c>
      <c r="AC222">
        <v>0</v>
      </c>
      <c r="AD222">
        <v>0</v>
      </c>
      <c r="AE222">
        <v>1.82</v>
      </c>
      <c r="AF222">
        <v>0</v>
      </c>
      <c r="AG222">
        <v>0</v>
      </c>
      <c r="AH222">
        <v>0</v>
      </c>
      <c r="AI222">
        <v>6.56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0.01</v>
      </c>
      <c r="AU222" t="s">
        <v>6</v>
      </c>
      <c r="AV222">
        <v>0</v>
      </c>
      <c r="AW222">
        <v>2</v>
      </c>
      <c r="AX222">
        <v>16745667</v>
      </c>
      <c r="AY222">
        <v>1</v>
      </c>
      <c r="AZ222">
        <v>0</v>
      </c>
      <c r="BA222">
        <v>215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Y222*Source!I137</f>
        <v>2.0952999999999999E-2</v>
      </c>
      <c r="CY222">
        <f t="shared" si="44"/>
        <v>11.94</v>
      </c>
      <c r="CZ222">
        <f t="shared" si="45"/>
        <v>1.82</v>
      </c>
      <c r="DA222">
        <f t="shared" si="46"/>
        <v>6.56</v>
      </c>
      <c r="DB222">
        <f t="shared" si="39"/>
        <v>0.02</v>
      </c>
      <c r="DC222">
        <f t="shared" si="40"/>
        <v>0</v>
      </c>
    </row>
    <row r="223" spans="1:107" x14ac:dyDescent="0.2">
      <c r="A223">
        <f>ROW(Source!A137)</f>
        <v>137</v>
      </c>
      <c r="B223">
        <v>16742901</v>
      </c>
      <c r="C223">
        <v>16745648</v>
      </c>
      <c r="D223">
        <v>15171907</v>
      </c>
      <c r="E223">
        <v>1</v>
      </c>
      <c r="F223">
        <v>1</v>
      </c>
      <c r="G223">
        <v>1</v>
      </c>
      <c r="H223">
        <v>3</v>
      </c>
      <c r="I223" t="s">
        <v>1513</v>
      </c>
      <c r="J223" t="s">
        <v>1514</v>
      </c>
      <c r="K223" t="s">
        <v>1515</v>
      </c>
      <c r="L223">
        <v>1339</v>
      </c>
      <c r="N223">
        <v>1007</v>
      </c>
      <c r="O223" t="s">
        <v>301</v>
      </c>
      <c r="P223" t="s">
        <v>301</v>
      </c>
      <c r="Q223">
        <v>1</v>
      </c>
      <c r="W223">
        <v>0</v>
      </c>
      <c r="X223">
        <v>1795918813</v>
      </c>
      <c r="Y223">
        <v>4.0000000000000002E-4</v>
      </c>
      <c r="AA223">
        <v>489.24</v>
      </c>
      <c r="AB223">
        <v>0</v>
      </c>
      <c r="AC223">
        <v>0</v>
      </c>
      <c r="AD223">
        <v>0</v>
      </c>
      <c r="AE223">
        <v>74.58</v>
      </c>
      <c r="AF223">
        <v>0</v>
      </c>
      <c r="AG223">
        <v>0</v>
      </c>
      <c r="AH223">
        <v>0</v>
      </c>
      <c r="AI223">
        <v>6.56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4.0000000000000002E-4</v>
      </c>
      <c r="AU223" t="s">
        <v>6</v>
      </c>
      <c r="AV223">
        <v>0</v>
      </c>
      <c r="AW223">
        <v>2</v>
      </c>
      <c r="AX223">
        <v>16745668</v>
      </c>
      <c r="AY223">
        <v>1</v>
      </c>
      <c r="AZ223">
        <v>0</v>
      </c>
      <c r="BA223">
        <v>216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Y223*Source!I137</f>
        <v>8.3812000000000003E-4</v>
      </c>
      <c r="CY223">
        <f t="shared" si="44"/>
        <v>489.24</v>
      </c>
      <c r="CZ223">
        <f t="shared" si="45"/>
        <v>74.58</v>
      </c>
      <c r="DA223">
        <f t="shared" si="46"/>
        <v>6.56</v>
      </c>
      <c r="DB223">
        <f t="shared" si="39"/>
        <v>0.03</v>
      </c>
      <c r="DC223">
        <f t="shared" si="40"/>
        <v>0</v>
      </c>
    </row>
    <row r="224" spans="1:107" x14ac:dyDescent="0.2">
      <c r="A224">
        <f>ROW(Source!A137)</f>
        <v>137</v>
      </c>
      <c r="B224">
        <v>16742901</v>
      </c>
      <c r="C224">
        <v>16745648</v>
      </c>
      <c r="D224">
        <v>15202473</v>
      </c>
      <c r="E224">
        <v>1</v>
      </c>
      <c r="F224">
        <v>1</v>
      </c>
      <c r="G224">
        <v>1</v>
      </c>
      <c r="H224">
        <v>3</v>
      </c>
      <c r="I224" t="s">
        <v>1524</v>
      </c>
      <c r="J224" t="s">
        <v>1525</v>
      </c>
      <c r="K224" t="s">
        <v>1526</v>
      </c>
      <c r="L224">
        <v>1348</v>
      </c>
      <c r="N224">
        <v>1009</v>
      </c>
      <c r="O224" t="s">
        <v>100</v>
      </c>
      <c r="P224" t="s">
        <v>100</v>
      </c>
      <c r="Q224">
        <v>1000</v>
      </c>
      <c r="W224">
        <v>0</v>
      </c>
      <c r="X224">
        <v>1034009243</v>
      </c>
      <c r="Y224">
        <v>2E-3</v>
      </c>
      <c r="AA224">
        <v>170494.4</v>
      </c>
      <c r="AB224">
        <v>0</v>
      </c>
      <c r="AC224">
        <v>0</v>
      </c>
      <c r="AD224">
        <v>0</v>
      </c>
      <c r="AE224">
        <v>25990</v>
      </c>
      <c r="AF224">
        <v>0</v>
      </c>
      <c r="AG224">
        <v>0</v>
      </c>
      <c r="AH224">
        <v>0</v>
      </c>
      <c r="AI224">
        <v>6.56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2E-3</v>
      </c>
      <c r="AU224" t="s">
        <v>6</v>
      </c>
      <c r="AV224">
        <v>0</v>
      </c>
      <c r="AW224">
        <v>2</v>
      </c>
      <c r="AX224">
        <v>16745669</v>
      </c>
      <c r="AY224">
        <v>1</v>
      </c>
      <c r="AZ224">
        <v>0</v>
      </c>
      <c r="BA224">
        <v>217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Y224*Source!I137</f>
        <v>4.1906000000000001E-3</v>
      </c>
      <c r="CY224">
        <f t="shared" si="44"/>
        <v>170494.4</v>
      </c>
      <c r="CZ224">
        <f t="shared" si="45"/>
        <v>25990</v>
      </c>
      <c r="DA224">
        <f t="shared" si="46"/>
        <v>6.56</v>
      </c>
      <c r="DB224">
        <f t="shared" si="39"/>
        <v>51.98</v>
      </c>
      <c r="DC224">
        <f t="shared" si="40"/>
        <v>0</v>
      </c>
    </row>
    <row r="225" spans="1:107" x14ac:dyDescent="0.2">
      <c r="A225">
        <f>ROW(Source!A137)</f>
        <v>137</v>
      </c>
      <c r="B225">
        <v>16742901</v>
      </c>
      <c r="C225">
        <v>16745648</v>
      </c>
      <c r="D225">
        <v>15204729</v>
      </c>
      <c r="E225">
        <v>1</v>
      </c>
      <c r="F225">
        <v>1</v>
      </c>
      <c r="G225">
        <v>1</v>
      </c>
      <c r="H225">
        <v>3</v>
      </c>
      <c r="I225" t="s">
        <v>1434</v>
      </c>
      <c r="J225" t="s">
        <v>1435</v>
      </c>
      <c r="K225" t="s">
        <v>1436</v>
      </c>
      <c r="L225">
        <v>1348</v>
      </c>
      <c r="N225">
        <v>1009</v>
      </c>
      <c r="O225" t="s">
        <v>100</v>
      </c>
      <c r="P225" t="s">
        <v>100</v>
      </c>
      <c r="Q225">
        <v>1000</v>
      </c>
      <c r="W225">
        <v>0</v>
      </c>
      <c r="X225">
        <v>-2084827333</v>
      </c>
      <c r="Y225">
        <v>6.7000000000000002E-3</v>
      </c>
      <c r="AA225">
        <v>28168.639999999999</v>
      </c>
      <c r="AB225">
        <v>0</v>
      </c>
      <c r="AC225">
        <v>0</v>
      </c>
      <c r="AD225">
        <v>0</v>
      </c>
      <c r="AE225">
        <v>4294</v>
      </c>
      <c r="AF225">
        <v>0</v>
      </c>
      <c r="AG225">
        <v>0</v>
      </c>
      <c r="AH225">
        <v>0</v>
      </c>
      <c r="AI225">
        <v>6.56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6.7000000000000002E-3</v>
      </c>
      <c r="AU225" t="s">
        <v>6</v>
      </c>
      <c r="AV225">
        <v>0</v>
      </c>
      <c r="AW225">
        <v>2</v>
      </c>
      <c r="AX225">
        <v>16745670</v>
      </c>
      <c r="AY225">
        <v>1</v>
      </c>
      <c r="AZ225">
        <v>0</v>
      </c>
      <c r="BA225">
        <v>218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Y225*Source!I137</f>
        <v>1.4038510000000001E-2</v>
      </c>
      <c r="CY225">
        <f t="shared" si="44"/>
        <v>28168.639999999999</v>
      </c>
      <c r="CZ225">
        <f t="shared" si="45"/>
        <v>4294</v>
      </c>
      <c r="DA225">
        <f t="shared" si="46"/>
        <v>6.56</v>
      </c>
      <c r="DB225">
        <f t="shared" si="39"/>
        <v>28.77</v>
      </c>
      <c r="DC225">
        <f t="shared" si="40"/>
        <v>0</v>
      </c>
    </row>
    <row r="226" spans="1:107" x14ac:dyDescent="0.2">
      <c r="A226">
        <f>ROW(Source!A139)</f>
        <v>139</v>
      </c>
      <c r="B226">
        <v>16742901</v>
      </c>
      <c r="C226">
        <v>16745672</v>
      </c>
      <c r="D226">
        <v>15436556</v>
      </c>
      <c r="E226">
        <v>1</v>
      </c>
      <c r="F226">
        <v>1</v>
      </c>
      <c r="G226">
        <v>1</v>
      </c>
      <c r="H226">
        <v>1</v>
      </c>
      <c r="I226" t="s">
        <v>1490</v>
      </c>
      <c r="J226" t="s">
        <v>6</v>
      </c>
      <c r="K226" t="s">
        <v>1491</v>
      </c>
      <c r="L226">
        <v>1191</v>
      </c>
      <c r="N226">
        <v>1013</v>
      </c>
      <c r="O226" t="s">
        <v>1287</v>
      </c>
      <c r="P226" t="s">
        <v>1287</v>
      </c>
      <c r="Q226">
        <v>1</v>
      </c>
      <c r="W226">
        <v>0</v>
      </c>
      <c r="X226">
        <v>1069510174</v>
      </c>
      <c r="Y226">
        <v>8.3800000000000008</v>
      </c>
      <c r="AA226">
        <v>0</v>
      </c>
      <c r="AB226">
        <v>0</v>
      </c>
      <c r="AC226">
        <v>0</v>
      </c>
      <c r="AD226">
        <v>63.11</v>
      </c>
      <c r="AE226">
        <v>0</v>
      </c>
      <c r="AF226">
        <v>0</v>
      </c>
      <c r="AG226">
        <v>0</v>
      </c>
      <c r="AH226">
        <v>9.6199999999999992</v>
      </c>
      <c r="AI226">
        <v>1</v>
      </c>
      <c r="AJ226">
        <v>1</v>
      </c>
      <c r="AK226">
        <v>1</v>
      </c>
      <c r="AL226">
        <v>6.56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8.3800000000000008</v>
      </c>
      <c r="AU226" t="s">
        <v>6</v>
      </c>
      <c r="AV226">
        <v>1</v>
      </c>
      <c r="AW226">
        <v>2</v>
      </c>
      <c r="AX226">
        <v>16745676</v>
      </c>
      <c r="AY226">
        <v>1</v>
      </c>
      <c r="AZ226">
        <v>0</v>
      </c>
      <c r="BA226">
        <v>219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Y226*Source!I139</f>
        <v>17.558614000000002</v>
      </c>
      <c r="CY226">
        <f>AD226</f>
        <v>63.11</v>
      </c>
      <c r="CZ226">
        <f>AH226</f>
        <v>9.6199999999999992</v>
      </c>
      <c r="DA226">
        <f>AL226</f>
        <v>6.56</v>
      </c>
      <c r="DB226">
        <f t="shared" si="39"/>
        <v>80.62</v>
      </c>
      <c r="DC226">
        <f t="shared" si="40"/>
        <v>0</v>
      </c>
    </row>
    <row r="227" spans="1:107" x14ac:dyDescent="0.2">
      <c r="A227">
        <f>ROW(Source!A139)</f>
        <v>139</v>
      </c>
      <c r="B227">
        <v>16742901</v>
      </c>
      <c r="C227">
        <v>16745672</v>
      </c>
      <c r="D227">
        <v>15203263</v>
      </c>
      <c r="E227">
        <v>1</v>
      </c>
      <c r="F227">
        <v>1</v>
      </c>
      <c r="G227">
        <v>1</v>
      </c>
      <c r="H227">
        <v>3</v>
      </c>
      <c r="I227" t="s">
        <v>385</v>
      </c>
      <c r="J227" t="s">
        <v>387</v>
      </c>
      <c r="K227" t="s">
        <v>386</v>
      </c>
      <c r="L227">
        <v>1348</v>
      </c>
      <c r="N227">
        <v>1009</v>
      </c>
      <c r="O227" t="s">
        <v>100</v>
      </c>
      <c r="P227" t="s">
        <v>100</v>
      </c>
      <c r="Q227">
        <v>1000</v>
      </c>
      <c r="W227">
        <v>0</v>
      </c>
      <c r="X227">
        <v>1146787971</v>
      </c>
      <c r="Y227">
        <v>1.6E-2</v>
      </c>
      <c r="AA227">
        <v>55792.800000000003</v>
      </c>
      <c r="AB227">
        <v>0</v>
      </c>
      <c r="AC227">
        <v>0</v>
      </c>
      <c r="AD227">
        <v>0</v>
      </c>
      <c r="AE227">
        <v>8505</v>
      </c>
      <c r="AF227">
        <v>0</v>
      </c>
      <c r="AG227">
        <v>0</v>
      </c>
      <c r="AH227">
        <v>0</v>
      </c>
      <c r="AI227">
        <v>6.56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6</v>
      </c>
      <c r="AT227">
        <v>1.6E-2</v>
      </c>
      <c r="AU227" t="s">
        <v>6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6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Y227*Source!I139</f>
        <v>3.35248E-2</v>
      </c>
      <c r="CY227">
        <f>AA227</f>
        <v>55792.800000000003</v>
      </c>
      <c r="CZ227">
        <f>AE227</f>
        <v>8505</v>
      </c>
      <c r="DA227">
        <f>AI227</f>
        <v>6.56</v>
      </c>
      <c r="DB227">
        <f t="shared" si="39"/>
        <v>136.08000000000001</v>
      </c>
      <c r="DC227">
        <f t="shared" si="40"/>
        <v>0</v>
      </c>
    </row>
    <row r="228" spans="1:107" x14ac:dyDescent="0.2">
      <c r="A228">
        <f>ROW(Source!A139)</f>
        <v>139</v>
      </c>
      <c r="B228">
        <v>16742901</v>
      </c>
      <c r="C228">
        <v>16745672</v>
      </c>
      <c r="D228">
        <v>15163100</v>
      </c>
      <c r="E228">
        <v>17</v>
      </c>
      <c r="F228">
        <v>1</v>
      </c>
      <c r="G228">
        <v>1</v>
      </c>
      <c r="H228">
        <v>3</v>
      </c>
      <c r="I228" t="s">
        <v>402</v>
      </c>
      <c r="J228" t="s">
        <v>6</v>
      </c>
      <c r="K228" t="s">
        <v>403</v>
      </c>
      <c r="L228">
        <v>1348</v>
      </c>
      <c r="N228">
        <v>1009</v>
      </c>
      <c r="O228" t="s">
        <v>100</v>
      </c>
      <c r="P228" t="s">
        <v>100</v>
      </c>
      <c r="Q228">
        <v>1000</v>
      </c>
      <c r="W228">
        <v>0</v>
      </c>
      <c r="X228">
        <v>973262446</v>
      </c>
      <c r="Y228">
        <v>1.6E-2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6.56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6</v>
      </c>
      <c r="AT228">
        <v>1.6E-2</v>
      </c>
      <c r="AU228" t="s">
        <v>6</v>
      </c>
      <c r="AV228">
        <v>0</v>
      </c>
      <c r="AW228">
        <v>2</v>
      </c>
      <c r="AX228">
        <v>16745677</v>
      </c>
      <c r="AY228">
        <v>1</v>
      </c>
      <c r="AZ228">
        <v>0</v>
      </c>
      <c r="BA228">
        <v>220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Y228*Source!I139</f>
        <v>3.35248E-2</v>
      </c>
      <c r="CY228">
        <f>AA228</f>
        <v>0</v>
      </c>
      <c r="CZ228">
        <f>AE228</f>
        <v>0</v>
      </c>
      <c r="DA228">
        <f>AI228</f>
        <v>6.56</v>
      </c>
      <c r="DB228">
        <f t="shared" si="39"/>
        <v>0</v>
      </c>
      <c r="DC228">
        <f t="shared" si="40"/>
        <v>0</v>
      </c>
    </row>
    <row r="229" spans="1:107" x14ac:dyDescent="0.2">
      <c r="A229">
        <f>ROW(Source!A142)</f>
        <v>142</v>
      </c>
      <c r="B229">
        <v>16742901</v>
      </c>
      <c r="C229">
        <v>16745681</v>
      </c>
      <c r="D229">
        <v>15430767</v>
      </c>
      <c r="E229">
        <v>1</v>
      </c>
      <c r="F229">
        <v>1</v>
      </c>
      <c r="G229">
        <v>1</v>
      </c>
      <c r="H229">
        <v>1</v>
      </c>
      <c r="I229" t="s">
        <v>1285</v>
      </c>
      <c r="J229" t="s">
        <v>6</v>
      </c>
      <c r="K229" t="s">
        <v>1286</v>
      </c>
      <c r="L229">
        <v>1191</v>
      </c>
      <c r="N229">
        <v>1013</v>
      </c>
      <c r="O229" t="s">
        <v>1287</v>
      </c>
      <c r="P229" t="s">
        <v>1287</v>
      </c>
      <c r="Q229">
        <v>1</v>
      </c>
      <c r="W229">
        <v>0</v>
      </c>
      <c r="X229">
        <v>-400197608</v>
      </c>
      <c r="Y229">
        <v>65.84899999999999</v>
      </c>
      <c r="AA229">
        <v>0</v>
      </c>
      <c r="AB229">
        <v>0</v>
      </c>
      <c r="AC229">
        <v>0</v>
      </c>
      <c r="AD229">
        <v>55.96</v>
      </c>
      <c r="AE229">
        <v>0</v>
      </c>
      <c r="AF229">
        <v>0</v>
      </c>
      <c r="AG229">
        <v>0</v>
      </c>
      <c r="AH229">
        <v>8.5299999999999994</v>
      </c>
      <c r="AI229">
        <v>1</v>
      </c>
      <c r="AJ229">
        <v>1</v>
      </c>
      <c r="AK229">
        <v>1</v>
      </c>
      <c r="AL229">
        <v>6.56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57.26</v>
      </c>
      <c r="AU229" t="s">
        <v>188</v>
      </c>
      <c r="AV229">
        <v>1</v>
      </c>
      <c r="AW229">
        <v>2</v>
      </c>
      <c r="AX229">
        <v>16745690</v>
      </c>
      <c r="AY229">
        <v>1</v>
      </c>
      <c r="AZ229">
        <v>0</v>
      </c>
      <c r="BA229">
        <v>221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Y229*Source!I142</f>
        <v>3.6875439999999995</v>
      </c>
      <c r="CY229">
        <f>AD229</f>
        <v>55.96</v>
      </c>
      <c r="CZ229">
        <f>AH229</f>
        <v>8.5299999999999994</v>
      </c>
      <c r="DA229">
        <f>AL229</f>
        <v>6.56</v>
      </c>
      <c r="DB229">
        <f>ROUND((ROUND(AT229*CZ229,2)*1.15),2)</f>
        <v>561.69000000000005</v>
      </c>
      <c r="DC229">
        <f>ROUND((ROUND(AT229*AG229,2)*1.15),2)</f>
        <v>0</v>
      </c>
    </row>
    <row r="230" spans="1:107" x14ac:dyDescent="0.2">
      <c r="A230">
        <f>ROW(Source!A142)</f>
        <v>142</v>
      </c>
      <c r="B230">
        <v>16742901</v>
      </c>
      <c r="C230">
        <v>16745681</v>
      </c>
      <c r="D230">
        <v>15430395</v>
      </c>
      <c r="E230">
        <v>1</v>
      </c>
      <c r="F230">
        <v>1</v>
      </c>
      <c r="G230">
        <v>1</v>
      </c>
      <c r="H230">
        <v>1</v>
      </c>
      <c r="I230" t="s">
        <v>1293</v>
      </c>
      <c r="J230" t="s">
        <v>6</v>
      </c>
      <c r="K230" t="s">
        <v>1294</v>
      </c>
      <c r="L230">
        <v>1191</v>
      </c>
      <c r="N230">
        <v>1013</v>
      </c>
      <c r="O230" t="s">
        <v>1287</v>
      </c>
      <c r="P230" t="s">
        <v>1287</v>
      </c>
      <c r="Q230">
        <v>1</v>
      </c>
      <c r="W230">
        <v>0</v>
      </c>
      <c r="X230">
        <v>-1417349443</v>
      </c>
      <c r="Y230">
        <v>0.06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6.56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0.06</v>
      </c>
      <c r="AU230" t="s">
        <v>6</v>
      </c>
      <c r="AV230">
        <v>2</v>
      </c>
      <c r="AW230">
        <v>2</v>
      </c>
      <c r="AX230">
        <v>16745691</v>
      </c>
      <c r="AY230">
        <v>1</v>
      </c>
      <c r="AZ230">
        <v>2048</v>
      </c>
      <c r="BA230">
        <v>222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Y230*Source!I142</f>
        <v>3.3600000000000001E-3</v>
      </c>
      <c r="CY230">
        <f>AD230</f>
        <v>0</v>
      </c>
      <c r="CZ230">
        <f>AH230</f>
        <v>0</v>
      </c>
      <c r="DA230">
        <f>AL230</f>
        <v>1</v>
      </c>
      <c r="DB230">
        <f>ROUND(ROUND(AT230*CZ230,2),2)</f>
        <v>0</v>
      </c>
      <c r="DC230">
        <f>ROUND(ROUND(AT230*AG230,2),2)</f>
        <v>0</v>
      </c>
    </row>
    <row r="231" spans="1:107" x14ac:dyDescent="0.2">
      <c r="A231">
        <f>ROW(Source!A142)</f>
        <v>142</v>
      </c>
      <c r="B231">
        <v>16742901</v>
      </c>
      <c r="C231">
        <v>16745681</v>
      </c>
      <c r="D231">
        <v>15247974</v>
      </c>
      <c r="E231">
        <v>1</v>
      </c>
      <c r="F231">
        <v>1</v>
      </c>
      <c r="G231">
        <v>1</v>
      </c>
      <c r="H231">
        <v>2</v>
      </c>
      <c r="I231" t="s">
        <v>1314</v>
      </c>
      <c r="J231" t="s">
        <v>1315</v>
      </c>
      <c r="K231" t="s">
        <v>1316</v>
      </c>
      <c r="L231">
        <v>1368</v>
      </c>
      <c r="N231">
        <v>1011</v>
      </c>
      <c r="O231" t="s">
        <v>1298</v>
      </c>
      <c r="P231" t="s">
        <v>1298</v>
      </c>
      <c r="Q231">
        <v>1</v>
      </c>
      <c r="W231">
        <v>0</v>
      </c>
      <c r="X231">
        <v>1188625873</v>
      </c>
      <c r="Y231">
        <v>6.25E-2</v>
      </c>
      <c r="AA231">
        <v>0</v>
      </c>
      <c r="AB231">
        <v>205.07</v>
      </c>
      <c r="AC231">
        <v>13.5</v>
      </c>
      <c r="AD231">
        <v>0</v>
      </c>
      <c r="AE231">
        <v>0</v>
      </c>
      <c r="AF231">
        <v>31.26</v>
      </c>
      <c r="AG231">
        <v>13.5</v>
      </c>
      <c r="AH231">
        <v>0</v>
      </c>
      <c r="AI231">
        <v>1</v>
      </c>
      <c r="AJ231">
        <v>6.56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0.05</v>
      </c>
      <c r="AU231" t="s">
        <v>187</v>
      </c>
      <c r="AV231">
        <v>0</v>
      </c>
      <c r="AW231">
        <v>2</v>
      </c>
      <c r="AX231">
        <v>16745692</v>
      </c>
      <c r="AY231">
        <v>1</v>
      </c>
      <c r="AZ231">
        <v>0</v>
      </c>
      <c r="BA231">
        <v>223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Y231*Source!I142</f>
        <v>3.5000000000000001E-3</v>
      </c>
      <c r="CY231">
        <f>AB231</f>
        <v>205.07</v>
      </c>
      <c r="CZ231">
        <f>AF231</f>
        <v>31.26</v>
      </c>
      <c r="DA231">
        <f>AJ231</f>
        <v>6.56</v>
      </c>
      <c r="DB231">
        <f>ROUND((ROUND(AT231*CZ231,2)*1.25),2)</f>
        <v>1.95</v>
      </c>
      <c r="DC231">
        <f>ROUND((ROUND(AT231*AG231,2)*1.25),2)</f>
        <v>0.85</v>
      </c>
    </row>
    <row r="232" spans="1:107" x14ac:dyDescent="0.2">
      <c r="A232">
        <f>ROW(Source!A142)</f>
        <v>142</v>
      </c>
      <c r="B232">
        <v>16742901</v>
      </c>
      <c r="C232">
        <v>16745681</v>
      </c>
      <c r="D232">
        <v>15249073</v>
      </c>
      <c r="E232">
        <v>1</v>
      </c>
      <c r="F232">
        <v>1</v>
      </c>
      <c r="G232">
        <v>1</v>
      </c>
      <c r="H232">
        <v>2</v>
      </c>
      <c r="I232" t="s">
        <v>1299</v>
      </c>
      <c r="J232" t="s">
        <v>1300</v>
      </c>
      <c r="K232" t="s">
        <v>1301</v>
      </c>
      <c r="L232">
        <v>1368</v>
      </c>
      <c r="N232">
        <v>1011</v>
      </c>
      <c r="O232" t="s">
        <v>1298</v>
      </c>
      <c r="P232" t="s">
        <v>1298</v>
      </c>
      <c r="Q232">
        <v>1</v>
      </c>
      <c r="W232">
        <v>0</v>
      </c>
      <c r="X232">
        <v>1372534845</v>
      </c>
      <c r="Y232">
        <v>6.2500000000000003E-3</v>
      </c>
      <c r="AA232">
        <v>0</v>
      </c>
      <c r="AB232">
        <v>431.06</v>
      </c>
      <c r="AC232">
        <v>11.6</v>
      </c>
      <c r="AD232">
        <v>0</v>
      </c>
      <c r="AE232">
        <v>0</v>
      </c>
      <c r="AF232">
        <v>65.709999999999994</v>
      </c>
      <c r="AG232">
        <v>11.6</v>
      </c>
      <c r="AH232">
        <v>0</v>
      </c>
      <c r="AI232">
        <v>1</v>
      </c>
      <c r="AJ232">
        <v>6.56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5.0000000000000001E-3</v>
      </c>
      <c r="AU232" t="s">
        <v>187</v>
      </c>
      <c r="AV232">
        <v>0</v>
      </c>
      <c r="AW232">
        <v>2</v>
      </c>
      <c r="AX232">
        <v>16745693</v>
      </c>
      <c r="AY232">
        <v>1</v>
      </c>
      <c r="AZ232">
        <v>0</v>
      </c>
      <c r="BA232">
        <v>224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Y232*Source!I142</f>
        <v>3.5000000000000005E-4</v>
      </c>
      <c r="CY232">
        <f>AB232</f>
        <v>431.06</v>
      </c>
      <c r="CZ232">
        <f>AF232</f>
        <v>65.709999999999994</v>
      </c>
      <c r="DA232">
        <f>AJ232</f>
        <v>6.56</v>
      </c>
      <c r="DB232">
        <f>ROUND((ROUND(AT232*CZ232,2)*1.25),2)</f>
        <v>0.41</v>
      </c>
      <c r="DC232">
        <f>ROUND((ROUND(AT232*AG232,2)*1.25),2)</f>
        <v>0.08</v>
      </c>
    </row>
    <row r="233" spans="1:107" x14ac:dyDescent="0.2">
      <c r="A233">
        <f>ROW(Source!A142)</f>
        <v>142</v>
      </c>
      <c r="B233">
        <v>16742901</v>
      </c>
      <c r="C233">
        <v>16745681</v>
      </c>
      <c r="D233">
        <v>15170110</v>
      </c>
      <c r="E233">
        <v>1</v>
      </c>
      <c r="F233">
        <v>1</v>
      </c>
      <c r="G233">
        <v>1</v>
      </c>
      <c r="H233">
        <v>3</v>
      </c>
      <c r="I233" t="s">
        <v>1527</v>
      </c>
      <c r="J233" t="s">
        <v>1528</v>
      </c>
      <c r="K233" t="s">
        <v>1529</v>
      </c>
      <c r="L233">
        <v>1355</v>
      </c>
      <c r="N233">
        <v>1010</v>
      </c>
      <c r="O233" t="s">
        <v>843</v>
      </c>
      <c r="P233" t="s">
        <v>843</v>
      </c>
      <c r="Q233">
        <v>100</v>
      </c>
      <c r="W233">
        <v>0</v>
      </c>
      <c r="X233">
        <v>1307649985</v>
      </c>
      <c r="Y233">
        <v>0.82</v>
      </c>
      <c r="AA233">
        <v>459.2</v>
      </c>
      <c r="AB233">
        <v>0</v>
      </c>
      <c r="AC233">
        <v>0</v>
      </c>
      <c r="AD233">
        <v>0</v>
      </c>
      <c r="AE233">
        <v>70</v>
      </c>
      <c r="AF233">
        <v>0</v>
      </c>
      <c r="AG233">
        <v>0</v>
      </c>
      <c r="AH233">
        <v>0</v>
      </c>
      <c r="AI233">
        <v>6.56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0.82</v>
      </c>
      <c r="AU233" t="s">
        <v>6</v>
      </c>
      <c r="AV233">
        <v>0</v>
      </c>
      <c r="AW233">
        <v>2</v>
      </c>
      <c r="AX233">
        <v>16745694</v>
      </c>
      <c r="AY233">
        <v>1</v>
      </c>
      <c r="AZ233">
        <v>0</v>
      </c>
      <c r="BA233">
        <v>225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Y233*Source!I142</f>
        <v>4.5919999999999996E-2</v>
      </c>
      <c r="CY233">
        <f>AA233</f>
        <v>459.2</v>
      </c>
      <c r="CZ233">
        <f>AE233</f>
        <v>70</v>
      </c>
      <c r="DA233">
        <f>AI233</f>
        <v>6.56</v>
      </c>
      <c r="DB233">
        <f>ROUND(ROUND(AT233*CZ233,2),2)</f>
        <v>57.4</v>
      </c>
      <c r="DC233">
        <f>ROUND(ROUND(AT233*AG233,2),2)</f>
        <v>0</v>
      </c>
    </row>
    <row r="234" spans="1:107" x14ac:dyDescent="0.2">
      <c r="A234">
        <f>ROW(Source!A142)</f>
        <v>142</v>
      </c>
      <c r="B234">
        <v>16742901</v>
      </c>
      <c r="C234">
        <v>16745681</v>
      </c>
      <c r="D234">
        <v>15188398</v>
      </c>
      <c r="E234">
        <v>1</v>
      </c>
      <c r="F234">
        <v>1</v>
      </c>
      <c r="G234">
        <v>1</v>
      </c>
      <c r="H234">
        <v>3</v>
      </c>
      <c r="I234" t="s">
        <v>1530</v>
      </c>
      <c r="J234" t="s">
        <v>1531</v>
      </c>
      <c r="K234" t="s">
        <v>1532</v>
      </c>
      <c r="L234">
        <v>1301</v>
      </c>
      <c r="N234">
        <v>1003</v>
      </c>
      <c r="O234" t="s">
        <v>220</v>
      </c>
      <c r="P234" t="s">
        <v>220</v>
      </c>
      <c r="Q234">
        <v>1</v>
      </c>
      <c r="W234">
        <v>0</v>
      </c>
      <c r="X234">
        <v>238585318</v>
      </c>
      <c r="Y234">
        <v>157</v>
      </c>
      <c r="AA234">
        <v>40.409999999999997</v>
      </c>
      <c r="AB234">
        <v>0</v>
      </c>
      <c r="AC234">
        <v>0</v>
      </c>
      <c r="AD234">
        <v>0</v>
      </c>
      <c r="AE234">
        <v>6.16</v>
      </c>
      <c r="AF234">
        <v>0</v>
      </c>
      <c r="AG234">
        <v>0</v>
      </c>
      <c r="AH234">
        <v>0</v>
      </c>
      <c r="AI234">
        <v>6.56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157</v>
      </c>
      <c r="AU234" t="s">
        <v>6</v>
      </c>
      <c r="AV234">
        <v>0</v>
      </c>
      <c r="AW234">
        <v>2</v>
      </c>
      <c r="AX234">
        <v>16745695</v>
      </c>
      <c r="AY234">
        <v>1</v>
      </c>
      <c r="AZ234">
        <v>0</v>
      </c>
      <c r="BA234">
        <v>226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Y234*Source!I142</f>
        <v>8.7919999999999998</v>
      </c>
      <c r="CY234">
        <f>AA234</f>
        <v>40.409999999999997</v>
      </c>
      <c r="CZ234">
        <f>AE234</f>
        <v>6.16</v>
      </c>
      <c r="DA234">
        <f>AI234</f>
        <v>6.56</v>
      </c>
      <c r="DB234">
        <f>ROUND(ROUND(AT234*CZ234,2),2)</f>
        <v>967.12</v>
      </c>
      <c r="DC234">
        <f>ROUND(ROUND(AT234*AG234,2),2)</f>
        <v>0</v>
      </c>
    </row>
    <row r="235" spans="1:107" x14ac:dyDescent="0.2">
      <c r="A235">
        <f>ROW(Source!A142)</f>
        <v>142</v>
      </c>
      <c r="B235">
        <v>16742901</v>
      </c>
      <c r="C235">
        <v>16745681</v>
      </c>
      <c r="D235">
        <v>15188460</v>
      </c>
      <c r="E235">
        <v>1</v>
      </c>
      <c r="F235">
        <v>1</v>
      </c>
      <c r="G235">
        <v>1</v>
      </c>
      <c r="H235">
        <v>3</v>
      </c>
      <c r="I235" t="s">
        <v>1533</v>
      </c>
      <c r="J235" t="s">
        <v>1534</v>
      </c>
      <c r="K235" t="s">
        <v>1535</v>
      </c>
      <c r="L235">
        <v>1301</v>
      </c>
      <c r="N235">
        <v>1003</v>
      </c>
      <c r="O235" t="s">
        <v>220</v>
      </c>
      <c r="P235" t="s">
        <v>220</v>
      </c>
      <c r="Q235">
        <v>1</v>
      </c>
      <c r="W235">
        <v>0</v>
      </c>
      <c r="X235">
        <v>-1697320922</v>
      </c>
      <c r="Y235">
        <v>241</v>
      </c>
      <c r="AA235">
        <v>45</v>
      </c>
      <c r="AB235">
        <v>0</v>
      </c>
      <c r="AC235">
        <v>0</v>
      </c>
      <c r="AD235">
        <v>0</v>
      </c>
      <c r="AE235">
        <v>6.86</v>
      </c>
      <c r="AF235">
        <v>0</v>
      </c>
      <c r="AG235">
        <v>0</v>
      </c>
      <c r="AH235">
        <v>0</v>
      </c>
      <c r="AI235">
        <v>6.56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241</v>
      </c>
      <c r="AU235" t="s">
        <v>6</v>
      </c>
      <c r="AV235">
        <v>0</v>
      </c>
      <c r="AW235">
        <v>2</v>
      </c>
      <c r="AX235">
        <v>16745696</v>
      </c>
      <c r="AY235">
        <v>1</v>
      </c>
      <c r="AZ235">
        <v>0</v>
      </c>
      <c r="BA235">
        <v>227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Y235*Source!I142</f>
        <v>13.496</v>
      </c>
      <c r="CY235">
        <f>AA235</f>
        <v>45</v>
      </c>
      <c r="CZ235">
        <f>AE235</f>
        <v>6.86</v>
      </c>
      <c r="DA235">
        <f>AI235</f>
        <v>6.56</v>
      </c>
      <c r="DB235">
        <f>ROUND(ROUND(AT235*CZ235,2),2)</f>
        <v>1653.26</v>
      </c>
      <c r="DC235">
        <f>ROUND(ROUND(AT235*AG235,2),2)</f>
        <v>0</v>
      </c>
    </row>
    <row r="236" spans="1:107" x14ac:dyDescent="0.2">
      <c r="A236">
        <f>ROW(Source!A142)</f>
        <v>142</v>
      </c>
      <c r="B236">
        <v>16742901</v>
      </c>
      <c r="C236">
        <v>16745681</v>
      </c>
      <c r="D236">
        <v>15195776</v>
      </c>
      <c r="E236">
        <v>1</v>
      </c>
      <c r="F236">
        <v>1</v>
      </c>
      <c r="G236">
        <v>1</v>
      </c>
      <c r="H236">
        <v>3</v>
      </c>
      <c r="I236" t="s">
        <v>1536</v>
      </c>
      <c r="J236" t="s">
        <v>1537</v>
      </c>
      <c r="K236" t="s">
        <v>1538</v>
      </c>
      <c r="L236">
        <v>1301</v>
      </c>
      <c r="N236">
        <v>1003</v>
      </c>
      <c r="O236" t="s">
        <v>220</v>
      </c>
      <c r="P236" t="s">
        <v>220</v>
      </c>
      <c r="Q236">
        <v>1</v>
      </c>
      <c r="W236">
        <v>0</v>
      </c>
      <c r="X236">
        <v>1321173899</v>
      </c>
      <c r="Y236">
        <v>46</v>
      </c>
      <c r="AA236">
        <v>27.36</v>
      </c>
      <c r="AB236">
        <v>0</v>
      </c>
      <c r="AC236">
        <v>0</v>
      </c>
      <c r="AD236">
        <v>0</v>
      </c>
      <c r="AE236">
        <v>4.17</v>
      </c>
      <c r="AF236">
        <v>0</v>
      </c>
      <c r="AG236">
        <v>0</v>
      </c>
      <c r="AH236">
        <v>0</v>
      </c>
      <c r="AI236">
        <v>6.56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46</v>
      </c>
      <c r="AU236" t="s">
        <v>6</v>
      </c>
      <c r="AV236">
        <v>0</v>
      </c>
      <c r="AW236">
        <v>2</v>
      </c>
      <c r="AX236">
        <v>16745697</v>
      </c>
      <c r="AY236">
        <v>1</v>
      </c>
      <c r="AZ236">
        <v>0</v>
      </c>
      <c r="BA236">
        <v>228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Y236*Source!I142</f>
        <v>2.5760000000000001</v>
      </c>
      <c r="CY236">
        <f>AA236</f>
        <v>27.36</v>
      </c>
      <c r="CZ236">
        <f>AE236</f>
        <v>4.17</v>
      </c>
      <c r="DA236">
        <f>AI236</f>
        <v>6.56</v>
      </c>
      <c r="DB236">
        <f>ROUND(ROUND(AT236*CZ236,2),2)</f>
        <v>191.82</v>
      </c>
      <c r="DC236">
        <f>ROUND(ROUND(AT236*AG236,2),2)</f>
        <v>0</v>
      </c>
    </row>
    <row r="237" spans="1:107" x14ac:dyDescent="0.2">
      <c r="A237">
        <f>ROW(Source!A143)</f>
        <v>143</v>
      </c>
      <c r="B237">
        <v>16742901</v>
      </c>
      <c r="C237">
        <v>16745699</v>
      </c>
      <c r="D237">
        <v>15432273</v>
      </c>
      <c r="E237">
        <v>1</v>
      </c>
      <c r="F237">
        <v>1</v>
      </c>
      <c r="G237">
        <v>1</v>
      </c>
      <c r="H237">
        <v>1</v>
      </c>
      <c r="I237" t="s">
        <v>1539</v>
      </c>
      <c r="J237" t="s">
        <v>6</v>
      </c>
      <c r="K237" t="s">
        <v>1540</v>
      </c>
      <c r="L237">
        <v>1191</v>
      </c>
      <c r="N237">
        <v>1013</v>
      </c>
      <c r="O237" t="s">
        <v>1287</v>
      </c>
      <c r="P237" t="s">
        <v>1287</v>
      </c>
      <c r="Q237">
        <v>1</v>
      </c>
      <c r="W237">
        <v>0</v>
      </c>
      <c r="X237">
        <v>1430930646</v>
      </c>
      <c r="Y237">
        <v>21.044999999999998</v>
      </c>
      <c r="AA237">
        <v>0</v>
      </c>
      <c r="AB237">
        <v>0</v>
      </c>
      <c r="AC237">
        <v>0</v>
      </c>
      <c r="AD237">
        <v>54.05</v>
      </c>
      <c r="AE237">
        <v>0</v>
      </c>
      <c r="AF237">
        <v>0</v>
      </c>
      <c r="AG237">
        <v>0</v>
      </c>
      <c r="AH237">
        <v>8.24</v>
      </c>
      <c r="AI237">
        <v>1</v>
      </c>
      <c r="AJ237">
        <v>1</v>
      </c>
      <c r="AK237">
        <v>1</v>
      </c>
      <c r="AL237">
        <v>6.56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18.3</v>
      </c>
      <c r="AU237" t="s">
        <v>188</v>
      </c>
      <c r="AV237">
        <v>1</v>
      </c>
      <c r="AW237">
        <v>2</v>
      </c>
      <c r="AX237">
        <v>16745706</v>
      </c>
      <c r="AY237">
        <v>1</v>
      </c>
      <c r="AZ237">
        <v>0</v>
      </c>
      <c r="BA237">
        <v>229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Y237*Source!I143</f>
        <v>1.17852</v>
      </c>
      <c r="CY237">
        <f>AD237</f>
        <v>54.05</v>
      </c>
      <c r="CZ237">
        <f>AH237</f>
        <v>8.24</v>
      </c>
      <c r="DA237">
        <f>AL237</f>
        <v>6.56</v>
      </c>
      <c r="DB237">
        <f>ROUND((ROUND(AT237*CZ237,2)*1.15),2)</f>
        <v>173.41</v>
      </c>
      <c r="DC237">
        <f>ROUND((ROUND(AT237*AG237,2)*1.15),2)</f>
        <v>0</v>
      </c>
    </row>
    <row r="238" spans="1:107" x14ac:dyDescent="0.2">
      <c r="A238">
        <f>ROW(Source!A143)</f>
        <v>143</v>
      </c>
      <c r="B238">
        <v>16742901</v>
      </c>
      <c r="C238">
        <v>16745699</v>
      </c>
      <c r="D238">
        <v>15430395</v>
      </c>
      <c r="E238">
        <v>1</v>
      </c>
      <c r="F238">
        <v>1</v>
      </c>
      <c r="G238">
        <v>1</v>
      </c>
      <c r="H238">
        <v>1</v>
      </c>
      <c r="I238" t="s">
        <v>1293</v>
      </c>
      <c r="J238" t="s">
        <v>6</v>
      </c>
      <c r="K238" t="s">
        <v>1294</v>
      </c>
      <c r="L238">
        <v>1191</v>
      </c>
      <c r="N238">
        <v>1013</v>
      </c>
      <c r="O238" t="s">
        <v>1287</v>
      </c>
      <c r="P238" t="s">
        <v>1287</v>
      </c>
      <c r="Q238">
        <v>1</v>
      </c>
      <c r="W238">
        <v>0</v>
      </c>
      <c r="X238">
        <v>-1417349443</v>
      </c>
      <c r="Y238">
        <v>0.52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6.56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0.52</v>
      </c>
      <c r="AU238" t="s">
        <v>6</v>
      </c>
      <c r="AV238">
        <v>2</v>
      </c>
      <c r="AW238">
        <v>2</v>
      </c>
      <c r="AX238">
        <v>16745707</v>
      </c>
      <c r="AY238">
        <v>1</v>
      </c>
      <c r="AZ238">
        <v>2048</v>
      </c>
      <c r="BA238">
        <v>230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Y238*Source!I143</f>
        <v>2.912E-2</v>
      </c>
      <c r="CY238">
        <f>AD238</f>
        <v>0</v>
      </c>
      <c r="CZ238">
        <f>AH238</f>
        <v>0</v>
      </c>
      <c r="DA238">
        <f>AL238</f>
        <v>1</v>
      </c>
      <c r="DB238">
        <f>ROUND(ROUND(AT238*CZ238,2),2)</f>
        <v>0</v>
      </c>
      <c r="DC238">
        <f>ROUND(ROUND(AT238*AG238,2),2)</f>
        <v>0</v>
      </c>
    </row>
    <row r="239" spans="1:107" x14ac:dyDescent="0.2">
      <c r="A239">
        <f>ROW(Source!A143)</f>
        <v>143</v>
      </c>
      <c r="B239">
        <v>16742901</v>
      </c>
      <c r="C239">
        <v>16745699</v>
      </c>
      <c r="D239">
        <v>15249073</v>
      </c>
      <c r="E239">
        <v>1</v>
      </c>
      <c r="F239">
        <v>1</v>
      </c>
      <c r="G239">
        <v>1</v>
      </c>
      <c r="H239">
        <v>2</v>
      </c>
      <c r="I239" t="s">
        <v>1299</v>
      </c>
      <c r="J239" t="s">
        <v>1300</v>
      </c>
      <c r="K239" t="s">
        <v>1301</v>
      </c>
      <c r="L239">
        <v>1368</v>
      </c>
      <c r="N239">
        <v>1011</v>
      </c>
      <c r="O239" t="s">
        <v>1298</v>
      </c>
      <c r="P239" t="s">
        <v>1298</v>
      </c>
      <c r="Q239">
        <v>1</v>
      </c>
      <c r="W239">
        <v>0</v>
      </c>
      <c r="X239">
        <v>1372534845</v>
      </c>
      <c r="Y239">
        <v>0.65</v>
      </c>
      <c r="AA239">
        <v>0</v>
      </c>
      <c r="AB239">
        <v>431.06</v>
      </c>
      <c r="AC239">
        <v>11.6</v>
      </c>
      <c r="AD239">
        <v>0</v>
      </c>
      <c r="AE239">
        <v>0</v>
      </c>
      <c r="AF239">
        <v>65.709999999999994</v>
      </c>
      <c r="AG239">
        <v>11.6</v>
      </c>
      <c r="AH239">
        <v>0</v>
      </c>
      <c r="AI239">
        <v>1</v>
      </c>
      <c r="AJ239">
        <v>6.56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0.52</v>
      </c>
      <c r="AU239" t="s">
        <v>187</v>
      </c>
      <c r="AV239">
        <v>0</v>
      </c>
      <c r="AW239">
        <v>2</v>
      </c>
      <c r="AX239">
        <v>16745708</v>
      </c>
      <c r="AY239">
        <v>1</v>
      </c>
      <c r="AZ239">
        <v>0</v>
      </c>
      <c r="BA239">
        <v>231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Y239*Source!I143</f>
        <v>3.6400000000000002E-2</v>
      </c>
      <c r="CY239">
        <f>AB239</f>
        <v>431.06</v>
      </c>
      <c r="CZ239">
        <f>AF239</f>
        <v>65.709999999999994</v>
      </c>
      <c r="DA239">
        <f>AJ239</f>
        <v>6.56</v>
      </c>
      <c r="DB239">
        <f>ROUND((ROUND(AT239*CZ239,2)*1.25),2)</f>
        <v>42.71</v>
      </c>
      <c r="DC239">
        <f>ROUND((ROUND(AT239*AG239,2)*1.25),2)</f>
        <v>7.54</v>
      </c>
    </row>
    <row r="240" spans="1:107" x14ac:dyDescent="0.2">
      <c r="A240">
        <f>ROW(Source!A143)</f>
        <v>143</v>
      </c>
      <c r="B240">
        <v>16742901</v>
      </c>
      <c r="C240">
        <v>16745699</v>
      </c>
      <c r="D240">
        <v>15166816</v>
      </c>
      <c r="E240">
        <v>1</v>
      </c>
      <c r="F240">
        <v>1</v>
      </c>
      <c r="G240">
        <v>1</v>
      </c>
      <c r="H240">
        <v>3</v>
      </c>
      <c r="I240" t="s">
        <v>413</v>
      </c>
      <c r="J240" t="s">
        <v>415</v>
      </c>
      <c r="K240" t="s">
        <v>414</v>
      </c>
      <c r="L240">
        <v>1327</v>
      </c>
      <c r="N240">
        <v>1005</v>
      </c>
      <c r="O240" t="s">
        <v>193</v>
      </c>
      <c r="P240" t="s">
        <v>193</v>
      </c>
      <c r="Q240">
        <v>1</v>
      </c>
      <c r="W240">
        <v>0</v>
      </c>
      <c r="X240">
        <v>675650468</v>
      </c>
      <c r="Y240">
        <v>102.5</v>
      </c>
      <c r="AA240">
        <v>134.28</v>
      </c>
      <c r="AB240">
        <v>0</v>
      </c>
      <c r="AC240">
        <v>0</v>
      </c>
      <c r="AD240">
        <v>0</v>
      </c>
      <c r="AE240">
        <v>20.47</v>
      </c>
      <c r="AF240">
        <v>0</v>
      </c>
      <c r="AG240">
        <v>0</v>
      </c>
      <c r="AH240">
        <v>0</v>
      </c>
      <c r="AI240">
        <v>6.56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6</v>
      </c>
      <c r="AT240">
        <v>102.5</v>
      </c>
      <c r="AU240" t="s">
        <v>6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Y240*Source!I143</f>
        <v>5.74</v>
      </c>
      <c r="CY240">
        <f>AA240</f>
        <v>134.28</v>
      </c>
      <c r="CZ240">
        <f>AE240</f>
        <v>20.47</v>
      </c>
      <c r="DA240">
        <f>AI240</f>
        <v>6.56</v>
      </c>
      <c r="DB240">
        <f>ROUND(ROUND(AT240*CZ240,2),2)</f>
        <v>2098.1799999999998</v>
      </c>
      <c r="DC240">
        <f>ROUND(ROUND(AT240*AG240,2),2)</f>
        <v>0</v>
      </c>
    </row>
    <row r="241" spans="1:107" x14ac:dyDescent="0.2">
      <c r="A241">
        <f>ROW(Source!A143)</f>
        <v>143</v>
      </c>
      <c r="B241">
        <v>16742901</v>
      </c>
      <c r="C241">
        <v>16745699</v>
      </c>
      <c r="D241">
        <v>15170043</v>
      </c>
      <c r="E241">
        <v>1</v>
      </c>
      <c r="F241">
        <v>1</v>
      </c>
      <c r="G241">
        <v>1</v>
      </c>
      <c r="H241">
        <v>3</v>
      </c>
      <c r="I241" t="s">
        <v>1541</v>
      </c>
      <c r="J241" t="s">
        <v>1542</v>
      </c>
      <c r="K241" t="s">
        <v>1543</v>
      </c>
      <c r="L241">
        <v>1348</v>
      </c>
      <c r="N241">
        <v>1009</v>
      </c>
      <c r="O241" t="s">
        <v>100</v>
      </c>
      <c r="P241" t="s">
        <v>100</v>
      </c>
      <c r="Q241">
        <v>1000</v>
      </c>
      <c r="W241">
        <v>0</v>
      </c>
      <c r="X241">
        <v>888381482</v>
      </c>
      <c r="Y241">
        <v>3.7000000000000002E-3</v>
      </c>
      <c r="AA241">
        <v>55596</v>
      </c>
      <c r="AB241">
        <v>0</v>
      </c>
      <c r="AC241">
        <v>0</v>
      </c>
      <c r="AD241">
        <v>0</v>
      </c>
      <c r="AE241">
        <v>8475</v>
      </c>
      <c r="AF241">
        <v>0</v>
      </c>
      <c r="AG241">
        <v>0</v>
      </c>
      <c r="AH241">
        <v>0</v>
      </c>
      <c r="AI241">
        <v>6.56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3.7000000000000002E-3</v>
      </c>
      <c r="AU241" t="s">
        <v>6</v>
      </c>
      <c r="AV241">
        <v>0</v>
      </c>
      <c r="AW241">
        <v>2</v>
      </c>
      <c r="AX241">
        <v>16745709</v>
      </c>
      <c r="AY241">
        <v>1</v>
      </c>
      <c r="AZ241">
        <v>0</v>
      </c>
      <c r="BA241">
        <v>232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Y241*Source!I143</f>
        <v>2.0720000000000002E-4</v>
      </c>
      <c r="CY241">
        <f>AA241</f>
        <v>55596</v>
      </c>
      <c r="CZ241">
        <f>AE241</f>
        <v>8475</v>
      </c>
      <c r="DA241">
        <f>AI241</f>
        <v>6.56</v>
      </c>
      <c r="DB241">
        <f>ROUND(ROUND(AT241*CZ241,2),2)</f>
        <v>31.36</v>
      </c>
      <c r="DC241">
        <f>ROUND(ROUND(AT241*AG241,2),2)</f>
        <v>0</v>
      </c>
    </row>
    <row r="242" spans="1:107" x14ac:dyDescent="0.2">
      <c r="A242">
        <f>ROW(Source!A143)</f>
        <v>143</v>
      </c>
      <c r="B242">
        <v>16742901</v>
      </c>
      <c r="C242">
        <v>16745699</v>
      </c>
      <c r="D242">
        <v>15196813</v>
      </c>
      <c r="E242">
        <v>1</v>
      </c>
      <c r="F242">
        <v>1</v>
      </c>
      <c r="G242">
        <v>1</v>
      </c>
      <c r="H242">
        <v>3</v>
      </c>
      <c r="I242" t="s">
        <v>417</v>
      </c>
      <c r="J242" t="s">
        <v>420</v>
      </c>
      <c r="K242" t="s">
        <v>418</v>
      </c>
      <c r="L242">
        <v>1329</v>
      </c>
      <c r="N242">
        <v>1005</v>
      </c>
      <c r="O242" t="s">
        <v>419</v>
      </c>
      <c r="P242" t="s">
        <v>419</v>
      </c>
      <c r="Q242">
        <v>1000</v>
      </c>
      <c r="W242">
        <v>1</v>
      </c>
      <c r="X242">
        <v>1143569307</v>
      </c>
      <c r="Y242">
        <v>-0.10249999999999999</v>
      </c>
      <c r="AA242">
        <v>78720</v>
      </c>
      <c r="AB242">
        <v>0</v>
      </c>
      <c r="AC242">
        <v>0</v>
      </c>
      <c r="AD242">
        <v>0</v>
      </c>
      <c r="AE242">
        <v>12000</v>
      </c>
      <c r="AF242">
        <v>0</v>
      </c>
      <c r="AG242">
        <v>0</v>
      </c>
      <c r="AH242">
        <v>0</v>
      </c>
      <c r="AI242">
        <v>6.56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-0.10249999999999999</v>
      </c>
      <c r="AU242" t="s">
        <v>6</v>
      </c>
      <c r="AV242">
        <v>0</v>
      </c>
      <c r="AW242">
        <v>2</v>
      </c>
      <c r="AX242">
        <v>16745710</v>
      </c>
      <c r="AY242">
        <v>1</v>
      </c>
      <c r="AZ242">
        <v>6144</v>
      </c>
      <c r="BA242">
        <v>233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Y242*Source!I143</f>
        <v>-5.7399999999999994E-3</v>
      </c>
      <c r="CY242">
        <f>AA242</f>
        <v>78720</v>
      </c>
      <c r="CZ242">
        <f>AE242</f>
        <v>12000</v>
      </c>
      <c r="DA242">
        <f>AI242</f>
        <v>6.56</v>
      </c>
      <c r="DB242">
        <f>ROUND(ROUND(AT242*CZ242,2),2)</f>
        <v>-1230</v>
      </c>
      <c r="DC242">
        <f>ROUND(ROUND(AT242*AG242,2),2)</f>
        <v>0</v>
      </c>
    </row>
    <row r="243" spans="1:107" x14ac:dyDescent="0.2">
      <c r="A243">
        <f>ROW(Source!A146)</f>
        <v>146</v>
      </c>
      <c r="B243">
        <v>16742901</v>
      </c>
      <c r="C243">
        <v>16745713</v>
      </c>
      <c r="D243">
        <v>15438286</v>
      </c>
      <c r="E243">
        <v>1</v>
      </c>
      <c r="F243">
        <v>1</v>
      </c>
      <c r="G243">
        <v>1</v>
      </c>
      <c r="H243">
        <v>1</v>
      </c>
      <c r="I243" t="s">
        <v>1451</v>
      </c>
      <c r="J243" t="s">
        <v>6</v>
      </c>
      <c r="K243" t="s">
        <v>1452</v>
      </c>
      <c r="L243">
        <v>1191</v>
      </c>
      <c r="N243">
        <v>1013</v>
      </c>
      <c r="O243" t="s">
        <v>1287</v>
      </c>
      <c r="P243" t="s">
        <v>1287</v>
      </c>
      <c r="Q243">
        <v>1</v>
      </c>
      <c r="W243">
        <v>0</v>
      </c>
      <c r="X243">
        <v>-1027537862</v>
      </c>
      <c r="Y243">
        <v>183.62049999999996</v>
      </c>
      <c r="AA243">
        <v>0</v>
      </c>
      <c r="AB243">
        <v>0</v>
      </c>
      <c r="AC243">
        <v>0</v>
      </c>
      <c r="AD243">
        <v>60.22</v>
      </c>
      <c r="AE243">
        <v>0</v>
      </c>
      <c r="AF243">
        <v>0</v>
      </c>
      <c r="AG243">
        <v>0</v>
      </c>
      <c r="AH243">
        <v>9.18</v>
      </c>
      <c r="AI243">
        <v>1</v>
      </c>
      <c r="AJ243">
        <v>1</v>
      </c>
      <c r="AK243">
        <v>1</v>
      </c>
      <c r="AL243">
        <v>6.56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159.66999999999999</v>
      </c>
      <c r="AU243" t="s">
        <v>188</v>
      </c>
      <c r="AV243">
        <v>1</v>
      </c>
      <c r="AW243">
        <v>2</v>
      </c>
      <c r="AX243">
        <v>16745727</v>
      </c>
      <c r="AY243">
        <v>1</v>
      </c>
      <c r="AZ243">
        <v>0</v>
      </c>
      <c r="BA243">
        <v>234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Y243*Source!I146</f>
        <v>218.50839499999995</v>
      </c>
      <c r="CY243">
        <f>AD243</f>
        <v>60.22</v>
      </c>
      <c r="CZ243">
        <f>AH243</f>
        <v>9.18</v>
      </c>
      <c r="DA243">
        <f>AL243</f>
        <v>6.56</v>
      </c>
      <c r="DB243">
        <f>ROUND((ROUND(AT243*CZ243,2)*1.15),2)</f>
        <v>1685.64</v>
      </c>
      <c r="DC243">
        <f>ROUND((ROUND(AT243*AG243,2)*1.15),2)</f>
        <v>0</v>
      </c>
    </row>
    <row r="244" spans="1:107" x14ac:dyDescent="0.2">
      <c r="A244">
        <f>ROW(Source!A146)</f>
        <v>146</v>
      </c>
      <c r="B244">
        <v>16742901</v>
      </c>
      <c r="C244">
        <v>16745713</v>
      </c>
      <c r="D244">
        <v>15430395</v>
      </c>
      <c r="E244">
        <v>1</v>
      </c>
      <c r="F244">
        <v>1</v>
      </c>
      <c r="G244">
        <v>1</v>
      </c>
      <c r="H244">
        <v>1</v>
      </c>
      <c r="I244" t="s">
        <v>1293</v>
      </c>
      <c r="J244" t="s">
        <v>6</v>
      </c>
      <c r="K244" t="s">
        <v>1294</v>
      </c>
      <c r="L244">
        <v>1191</v>
      </c>
      <c r="N244">
        <v>1013</v>
      </c>
      <c r="O244" t="s">
        <v>1287</v>
      </c>
      <c r="P244" t="s">
        <v>1287</v>
      </c>
      <c r="Q244">
        <v>1</v>
      </c>
      <c r="W244">
        <v>0</v>
      </c>
      <c r="X244">
        <v>-1417349443</v>
      </c>
      <c r="Y244">
        <v>1.65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6.56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1.65</v>
      </c>
      <c r="AU244" t="s">
        <v>6</v>
      </c>
      <c r="AV244">
        <v>2</v>
      </c>
      <c r="AW244">
        <v>2</v>
      </c>
      <c r="AX244">
        <v>16745728</v>
      </c>
      <c r="AY244">
        <v>1</v>
      </c>
      <c r="AZ244">
        <v>2048</v>
      </c>
      <c r="BA244">
        <v>235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Y244*Source!I146</f>
        <v>1.9634999999999998</v>
      </c>
      <c r="CY244">
        <f>AD244</f>
        <v>0</v>
      </c>
      <c r="CZ244">
        <f>AH244</f>
        <v>0</v>
      </c>
      <c r="DA244">
        <f>AL244</f>
        <v>1</v>
      </c>
      <c r="DB244">
        <f>ROUND(ROUND(AT244*CZ244,2),2)</f>
        <v>0</v>
      </c>
      <c r="DC244">
        <f>ROUND(ROUND(AT244*AG244,2),2)</f>
        <v>0</v>
      </c>
    </row>
    <row r="245" spans="1:107" x14ac:dyDescent="0.2">
      <c r="A245">
        <f>ROW(Source!A146)</f>
        <v>146</v>
      </c>
      <c r="B245">
        <v>16742901</v>
      </c>
      <c r="C245">
        <v>16745713</v>
      </c>
      <c r="D245">
        <v>15247905</v>
      </c>
      <c r="E245">
        <v>1</v>
      </c>
      <c r="F245">
        <v>1</v>
      </c>
      <c r="G245">
        <v>1</v>
      </c>
      <c r="H245">
        <v>2</v>
      </c>
      <c r="I245" t="s">
        <v>1492</v>
      </c>
      <c r="J245" t="s">
        <v>1493</v>
      </c>
      <c r="K245" t="s">
        <v>1494</v>
      </c>
      <c r="L245">
        <v>1368</v>
      </c>
      <c r="N245">
        <v>1011</v>
      </c>
      <c r="O245" t="s">
        <v>1298</v>
      </c>
      <c r="P245" t="s">
        <v>1298</v>
      </c>
      <c r="Q245">
        <v>1</v>
      </c>
      <c r="W245">
        <v>0</v>
      </c>
      <c r="X245">
        <v>1225731627</v>
      </c>
      <c r="Y245">
        <v>0.1</v>
      </c>
      <c r="AA245">
        <v>0</v>
      </c>
      <c r="AB245">
        <v>590.33000000000004</v>
      </c>
      <c r="AC245">
        <v>10.06</v>
      </c>
      <c r="AD245">
        <v>0</v>
      </c>
      <c r="AE245">
        <v>0</v>
      </c>
      <c r="AF245">
        <v>89.99</v>
      </c>
      <c r="AG245">
        <v>10.06</v>
      </c>
      <c r="AH245">
        <v>0</v>
      </c>
      <c r="AI245">
        <v>1</v>
      </c>
      <c r="AJ245">
        <v>6.56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0.08</v>
      </c>
      <c r="AU245" t="s">
        <v>187</v>
      </c>
      <c r="AV245">
        <v>0</v>
      </c>
      <c r="AW245">
        <v>2</v>
      </c>
      <c r="AX245">
        <v>16745729</v>
      </c>
      <c r="AY245">
        <v>1</v>
      </c>
      <c r="AZ245">
        <v>0</v>
      </c>
      <c r="BA245">
        <v>236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Y245*Source!I146</f>
        <v>0.11899999999999999</v>
      </c>
      <c r="CY245">
        <f>AB245</f>
        <v>590.33000000000004</v>
      </c>
      <c r="CZ245">
        <f>AF245</f>
        <v>89.99</v>
      </c>
      <c r="DA245">
        <f>AJ245</f>
        <v>6.56</v>
      </c>
      <c r="DB245">
        <f>ROUND((ROUND(AT245*CZ245,2)*1.25),2)</f>
        <v>9</v>
      </c>
      <c r="DC245">
        <f>ROUND((ROUND(AT245*AG245,2)*1.25),2)</f>
        <v>1</v>
      </c>
    </row>
    <row r="246" spans="1:107" x14ac:dyDescent="0.2">
      <c r="A246">
        <f>ROW(Source!A146)</f>
        <v>146</v>
      </c>
      <c r="B246">
        <v>16742901</v>
      </c>
      <c r="C246">
        <v>16745713</v>
      </c>
      <c r="D246">
        <v>15247974</v>
      </c>
      <c r="E246">
        <v>1</v>
      </c>
      <c r="F246">
        <v>1</v>
      </c>
      <c r="G246">
        <v>1</v>
      </c>
      <c r="H246">
        <v>2</v>
      </c>
      <c r="I246" t="s">
        <v>1314</v>
      </c>
      <c r="J246" t="s">
        <v>1315</v>
      </c>
      <c r="K246" t="s">
        <v>1316</v>
      </c>
      <c r="L246">
        <v>1368</v>
      </c>
      <c r="N246">
        <v>1011</v>
      </c>
      <c r="O246" t="s">
        <v>1298</v>
      </c>
      <c r="P246" t="s">
        <v>1298</v>
      </c>
      <c r="Q246">
        <v>1</v>
      </c>
      <c r="W246">
        <v>0</v>
      </c>
      <c r="X246">
        <v>1188625873</v>
      </c>
      <c r="Y246">
        <v>0.33750000000000002</v>
      </c>
      <c r="AA246">
        <v>0</v>
      </c>
      <c r="AB246">
        <v>205.07</v>
      </c>
      <c r="AC246">
        <v>13.5</v>
      </c>
      <c r="AD246">
        <v>0</v>
      </c>
      <c r="AE246">
        <v>0</v>
      </c>
      <c r="AF246">
        <v>31.26</v>
      </c>
      <c r="AG246">
        <v>13.5</v>
      </c>
      <c r="AH246">
        <v>0</v>
      </c>
      <c r="AI246">
        <v>1</v>
      </c>
      <c r="AJ246">
        <v>6.56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0.27</v>
      </c>
      <c r="AU246" t="s">
        <v>187</v>
      </c>
      <c r="AV246">
        <v>0</v>
      </c>
      <c r="AW246">
        <v>2</v>
      </c>
      <c r="AX246">
        <v>16745730</v>
      </c>
      <c r="AY246">
        <v>1</v>
      </c>
      <c r="AZ246">
        <v>0</v>
      </c>
      <c r="BA246">
        <v>237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Y246*Source!I146</f>
        <v>0.40162500000000001</v>
      </c>
      <c r="CY246">
        <f>AB246</f>
        <v>205.07</v>
      </c>
      <c r="CZ246">
        <f>AF246</f>
        <v>31.26</v>
      </c>
      <c r="DA246">
        <f>AJ246</f>
        <v>6.56</v>
      </c>
      <c r="DB246">
        <f>ROUND((ROUND(AT246*CZ246,2)*1.25),2)</f>
        <v>10.55</v>
      </c>
      <c r="DC246">
        <f>ROUND((ROUND(AT246*AG246,2)*1.25),2)</f>
        <v>4.5599999999999996</v>
      </c>
    </row>
    <row r="247" spans="1:107" x14ac:dyDescent="0.2">
      <c r="A247">
        <f>ROW(Source!A146)</f>
        <v>146</v>
      </c>
      <c r="B247">
        <v>16742901</v>
      </c>
      <c r="C247">
        <v>16745713</v>
      </c>
      <c r="D247">
        <v>15248143</v>
      </c>
      <c r="E247">
        <v>1</v>
      </c>
      <c r="F247">
        <v>1</v>
      </c>
      <c r="G247">
        <v>1</v>
      </c>
      <c r="H247">
        <v>2</v>
      </c>
      <c r="I247" t="s">
        <v>1495</v>
      </c>
      <c r="J247" t="s">
        <v>1496</v>
      </c>
      <c r="K247" t="s">
        <v>1497</v>
      </c>
      <c r="L247">
        <v>1368</v>
      </c>
      <c r="N247">
        <v>1011</v>
      </c>
      <c r="O247" t="s">
        <v>1298</v>
      </c>
      <c r="P247" t="s">
        <v>1298</v>
      </c>
      <c r="Q247">
        <v>1</v>
      </c>
      <c r="W247">
        <v>0</v>
      </c>
      <c r="X247">
        <v>983187852</v>
      </c>
      <c r="Y247">
        <v>1.625</v>
      </c>
      <c r="AA247">
        <v>0</v>
      </c>
      <c r="AB247">
        <v>81.28</v>
      </c>
      <c r="AC247">
        <v>10.06</v>
      </c>
      <c r="AD247">
        <v>0</v>
      </c>
      <c r="AE247">
        <v>0</v>
      </c>
      <c r="AF247">
        <v>12.39</v>
      </c>
      <c r="AG247">
        <v>10.06</v>
      </c>
      <c r="AH247">
        <v>0</v>
      </c>
      <c r="AI247">
        <v>1</v>
      </c>
      <c r="AJ247">
        <v>6.56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1.3</v>
      </c>
      <c r="AU247" t="s">
        <v>187</v>
      </c>
      <c r="AV247">
        <v>0</v>
      </c>
      <c r="AW247">
        <v>2</v>
      </c>
      <c r="AX247">
        <v>16745731</v>
      </c>
      <c r="AY247">
        <v>1</v>
      </c>
      <c r="AZ247">
        <v>0</v>
      </c>
      <c r="BA247">
        <v>238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Y247*Source!I146</f>
        <v>1.9337499999999999</v>
      </c>
      <c r="CY247">
        <f>AB247</f>
        <v>81.28</v>
      </c>
      <c r="CZ247">
        <f>AF247</f>
        <v>12.39</v>
      </c>
      <c r="DA247">
        <f>AJ247</f>
        <v>6.56</v>
      </c>
      <c r="DB247">
        <f>ROUND((ROUND(AT247*CZ247,2)*1.25),2)</f>
        <v>20.14</v>
      </c>
      <c r="DC247">
        <f>ROUND((ROUND(AT247*AG247,2)*1.25),2)</f>
        <v>16.350000000000001</v>
      </c>
    </row>
    <row r="248" spans="1:107" x14ac:dyDescent="0.2">
      <c r="A248">
        <f>ROW(Source!A146)</f>
        <v>146</v>
      </c>
      <c r="B248">
        <v>16742901</v>
      </c>
      <c r="C248">
        <v>16745713</v>
      </c>
      <c r="D248">
        <v>15167286</v>
      </c>
      <c r="E248">
        <v>1</v>
      </c>
      <c r="F248">
        <v>1</v>
      </c>
      <c r="G248">
        <v>1</v>
      </c>
      <c r="H248">
        <v>3</v>
      </c>
      <c r="I248" t="s">
        <v>1317</v>
      </c>
      <c r="J248" t="s">
        <v>1318</v>
      </c>
      <c r="K248" t="s">
        <v>1319</v>
      </c>
      <c r="L248">
        <v>1339</v>
      </c>
      <c r="N248">
        <v>1007</v>
      </c>
      <c r="O248" t="s">
        <v>301</v>
      </c>
      <c r="P248" t="s">
        <v>301</v>
      </c>
      <c r="Q248">
        <v>1</v>
      </c>
      <c r="W248">
        <v>0</v>
      </c>
      <c r="X248">
        <v>-1660354250</v>
      </c>
      <c r="Y248">
        <v>0.93</v>
      </c>
      <c r="AA248">
        <v>16.010000000000002</v>
      </c>
      <c r="AB248">
        <v>0</v>
      </c>
      <c r="AC248">
        <v>0</v>
      </c>
      <c r="AD248">
        <v>0</v>
      </c>
      <c r="AE248">
        <v>2.44</v>
      </c>
      <c r="AF248">
        <v>0</v>
      </c>
      <c r="AG248">
        <v>0</v>
      </c>
      <c r="AH248">
        <v>0</v>
      </c>
      <c r="AI248">
        <v>6.56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0.93</v>
      </c>
      <c r="AU248" t="s">
        <v>6</v>
      </c>
      <c r="AV248">
        <v>0</v>
      </c>
      <c r="AW248">
        <v>2</v>
      </c>
      <c r="AX248">
        <v>16745732</v>
      </c>
      <c r="AY248">
        <v>1</v>
      </c>
      <c r="AZ248">
        <v>0</v>
      </c>
      <c r="BA248">
        <v>239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Y248*Source!I146</f>
        <v>1.1067</v>
      </c>
      <c r="CY248">
        <f t="shared" ref="CY248:CY255" si="47">AA248</f>
        <v>16.010000000000002</v>
      </c>
      <c r="CZ248">
        <f t="shared" ref="CZ248:CZ255" si="48">AE248</f>
        <v>2.44</v>
      </c>
      <c r="DA248">
        <f t="shared" ref="DA248:DA255" si="49">AI248</f>
        <v>6.56</v>
      </c>
      <c r="DB248">
        <f t="shared" ref="DB248:DB255" si="50">ROUND(ROUND(AT248*CZ248,2),2)</f>
        <v>2.27</v>
      </c>
      <c r="DC248">
        <f t="shared" ref="DC248:DC255" si="51">ROUND(ROUND(AT248*AG248,2),2)</f>
        <v>0</v>
      </c>
    </row>
    <row r="249" spans="1:107" x14ac:dyDescent="0.2">
      <c r="A249">
        <f>ROW(Source!A146)</f>
        <v>146</v>
      </c>
      <c r="B249">
        <v>16742901</v>
      </c>
      <c r="C249">
        <v>16745713</v>
      </c>
      <c r="D249">
        <v>15171018</v>
      </c>
      <c r="E249">
        <v>1</v>
      </c>
      <c r="F249">
        <v>1</v>
      </c>
      <c r="G249">
        <v>1</v>
      </c>
      <c r="H249">
        <v>3</v>
      </c>
      <c r="I249" t="s">
        <v>1431</v>
      </c>
      <c r="J249" t="s">
        <v>1432</v>
      </c>
      <c r="K249" t="s">
        <v>1433</v>
      </c>
      <c r="L249">
        <v>1346</v>
      </c>
      <c r="N249">
        <v>1009</v>
      </c>
      <c r="O249" t="s">
        <v>341</v>
      </c>
      <c r="P249" t="s">
        <v>341</v>
      </c>
      <c r="Q249">
        <v>1</v>
      </c>
      <c r="W249">
        <v>0</v>
      </c>
      <c r="X249">
        <v>813963326</v>
      </c>
      <c r="Y249">
        <v>0.5</v>
      </c>
      <c r="AA249">
        <v>11.94</v>
      </c>
      <c r="AB249">
        <v>0</v>
      </c>
      <c r="AC249">
        <v>0</v>
      </c>
      <c r="AD249">
        <v>0</v>
      </c>
      <c r="AE249">
        <v>1.82</v>
      </c>
      <c r="AF249">
        <v>0</v>
      </c>
      <c r="AG249">
        <v>0</v>
      </c>
      <c r="AH249">
        <v>0</v>
      </c>
      <c r="AI249">
        <v>6.56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0.5</v>
      </c>
      <c r="AU249" t="s">
        <v>6</v>
      </c>
      <c r="AV249">
        <v>0</v>
      </c>
      <c r="AW249">
        <v>2</v>
      </c>
      <c r="AX249">
        <v>16745733</v>
      </c>
      <c r="AY249">
        <v>1</v>
      </c>
      <c r="AZ249">
        <v>0</v>
      </c>
      <c r="BA249">
        <v>240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Y249*Source!I146</f>
        <v>0.59499999999999997</v>
      </c>
      <c r="CY249">
        <f t="shared" si="47"/>
        <v>11.94</v>
      </c>
      <c r="CZ249">
        <f t="shared" si="48"/>
        <v>1.82</v>
      </c>
      <c r="DA249">
        <f t="shared" si="49"/>
        <v>6.56</v>
      </c>
      <c r="DB249">
        <f t="shared" si="50"/>
        <v>0.91</v>
      </c>
      <c r="DC249">
        <f t="shared" si="51"/>
        <v>0</v>
      </c>
    </row>
    <row r="250" spans="1:107" x14ac:dyDescent="0.2">
      <c r="A250">
        <f>ROW(Source!A146)</f>
        <v>146</v>
      </c>
      <c r="B250">
        <v>16742901</v>
      </c>
      <c r="C250">
        <v>16745713</v>
      </c>
      <c r="D250">
        <v>15162949</v>
      </c>
      <c r="E250">
        <v>17</v>
      </c>
      <c r="F250">
        <v>1</v>
      </c>
      <c r="G250">
        <v>1</v>
      </c>
      <c r="H250">
        <v>3</v>
      </c>
      <c r="I250" t="s">
        <v>372</v>
      </c>
      <c r="J250" t="s">
        <v>6</v>
      </c>
      <c r="K250" t="s">
        <v>426</v>
      </c>
      <c r="L250">
        <v>1348</v>
      </c>
      <c r="N250">
        <v>1009</v>
      </c>
      <c r="O250" t="s">
        <v>100</v>
      </c>
      <c r="P250" t="s">
        <v>100</v>
      </c>
      <c r="Q250">
        <v>1000</v>
      </c>
      <c r="W250">
        <v>0</v>
      </c>
      <c r="X250">
        <v>1531120620</v>
      </c>
      <c r="Y250">
        <v>0.05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6.56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6</v>
      </c>
      <c r="AT250">
        <v>0.05</v>
      </c>
      <c r="AU250" t="s">
        <v>6</v>
      </c>
      <c r="AV250">
        <v>0</v>
      </c>
      <c r="AW250">
        <v>2</v>
      </c>
      <c r="AX250">
        <v>16745734</v>
      </c>
      <c r="AY250">
        <v>1</v>
      </c>
      <c r="AZ250">
        <v>0</v>
      </c>
      <c r="BA250">
        <v>241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Y250*Source!I146</f>
        <v>5.9499999999999997E-2</v>
      </c>
      <c r="CY250">
        <f t="shared" si="47"/>
        <v>0</v>
      </c>
      <c r="CZ250">
        <f t="shared" si="48"/>
        <v>0</v>
      </c>
      <c r="DA250">
        <f t="shared" si="49"/>
        <v>6.56</v>
      </c>
      <c r="DB250">
        <f t="shared" si="50"/>
        <v>0</v>
      </c>
      <c r="DC250">
        <f t="shared" si="51"/>
        <v>0</v>
      </c>
    </row>
    <row r="251" spans="1:107" x14ac:dyDescent="0.2">
      <c r="A251">
        <f>ROW(Source!A146)</f>
        <v>146</v>
      </c>
      <c r="B251">
        <v>16742901</v>
      </c>
      <c r="C251">
        <v>16745713</v>
      </c>
      <c r="D251">
        <v>15173093</v>
      </c>
      <c r="E251">
        <v>1</v>
      </c>
      <c r="F251">
        <v>1</v>
      </c>
      <c r="G251">
        <v>1</v>
      </c>
      <c r="H251">
        <v>3</v>
      </c>
      <c r="I251" t="s">
        <v>428</v>
      </c>
      <c r="J251" t="s">
        <v>430</v>
      </c>
      <c r="K251" t="s">
        <v>429</v>
      </c>
      <c r="L251">
        <v>1348</v>
      </c>
      <c r="N251">
        <v>1009</v>
      </c>
      <c r="O251" t="s">
        <v>100</v>
      </c>
      <c r="P251" t="s">
        <v>100</v>
      </c>
      <c r="Q251">
        <v>1000</v>
      </c>
      <c r="W251">
        <v>0</v>
      </c>
      <c r="X251">
        <v>-195795605</v>
      </c>
      <c r="Y251">
        <v>0.05</v>
      </c>
      <c r="AA251">
        <v>59040</v>
      </c>
      <c r="AB251">
        <v>0</v>
      </c>
      <c r="AC251">
        <v>0</v>
      </c>
      <c r="AD251">
        <v>0</v>
      </c>
      <c r="AE251">
        <v>9000</v>
      </c>
      <c r="AF251">
        <v>0</v>
      </c>
      <c r="AG251">
        <v>0</v>
      </c>
      <c r="AH251">
        <v>0</v>
      </c>
      <c r="AI251">
        <v>6.56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6</v>
      </c>
      <c r="AT251">
        <v>0.05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Y251*Source!I146</f>
        <v>5.9499999999999997E-2</v>
      </c>
      <c r="CY251">
        <f t="shared" si="47"/>
        <v>59040</v>
      </c>
      <c r="CZ251">
        <f t="shared" si="48"/>
        <v>9000</v>
      </c>
      <c r="DA251">
        <f t="shared" si="49"/>
        <v>6.56</v>
      </c>
      <c r="DB251">
        <f t="shared" si="50"/>
        <v>450</v>
      </c>
      <c r="DC251">
        <f t="shared" si="51"/>
        <v>0</v>
      </c>
    </row>
    <row r="252" spans="1:107" x14ac:dyDescent="0.2">
      <c r="A252">
        <f>ROW(Source!A146)</f>
        <v>146</v>
      </c>
      <c r="B252">
        <v>16742901</v>
      </c>
      <c r="C252">
        <v>16745713</v>
      </c>
      <c r="D252">
        <v>15186985</v>
      </c>
      <c r="E252">
        <v>1</v>
      </c>
      <c r="F252">
        <v>1</v>
      </c>
      <c r="G252">
        <v>1</v>
      </c>
      <c r="H252">
        <v>3</v>
      </c>
      <c r="I252" t="s">
        <v>432</v>
      </c>
      <c r="J252" t="s">
        <v>434</v>
      </c>
      <c r="K252" t="s">
        <v>433</v>
      </c>
      <c r="L252">
        <v>1327</v>
      </c>
      <c r="N252">
        <v>1005</v>
      </c>
      <c r="O252" t="s">
        <v>193</v>
      </c>
      <c r="P252" t="s">
        <v>193</v>
      </c>
      <c r="Q252">
        <v>1</v>
      </c>
      <c r="W252">
        <v>0</v>
      </c>
      <c r="X252">
        <v>-1231952768</v>
      </c>
      <c r="Y252">
        <v>100</v>
      </c>
      <c r="AA252">
        <v>709.27</v>
      </c>
      <c r="AB252">
        <v>0</v>
      </c>
      <c r="AC252">
        <v>0</v>
      </c>
      <c r="AD252">
        <v>0</v>
      </c>
      <c r="AE252">
        <v>108.12</v>
      </c>
      <c r="AF252">
        <v>0</v>
      </c>
      <c r="AG252">
        <v>0</v>
      </c>
      <c r="AH252">
        <v>0</v>
      </c>
      <c r="AI252">
        <v>6.56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100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Y252*Source!I146</f>
        <v>119</v>
      </c>
      <c r="CY252">
        <f t="shared" si="47"/>
        <v>709.27</v>
      </c>
      <c r="CZ252">
        <f t="shared" si="48"/>
        <v>108.12</v>
      </c>
      <c r="DA252">
        <f t="shared" si="49"/>
        <v>6.56</v>
      </c>
      <c r="DB252">
        <f t="shared" si="50"/>
        <v>10812</v>
      </c>
      <c r="DC252">
        <f t="shared" si="51"/>
        <v>0</v>
      </c>
    </row>
    <row r="253" spans="1:107" x14ac:dyDescent="0.2">
      <c r="A253">
        <f>ROW(Source!A146)</f>
        <v>146</v>
      </c>
      <c r="B253">
        <v>16742901</v>
      </c>
      <c r="C253">
        <v>16745713</v>
      </c>
      <c r="D253">
        <v>15162946</v>
      </c>
      <c r="E253">
        <v>17</v>
      </c>
      <c r="F253">
        <v>1</v>
      </c>
      <c r="G253">
        <v>1</v>
      </c>
      <c r="H253">
        <v>3</v>
      </c>
      <c r="I253" t="s">
        <v>440</v>
      </c>
      <c r="J253" t="s">
        <v>6</v>
      </c>
      <c r="K253" t="s">
        <v>441</v>
      </c>
      <c r="L253">
        <v>1327</v>
      </c>
      <c r="N253">
        <v>1005</v>
      </c>
      <c r="O253" t="s">
        <v>193</v>
      </c>
      <c r="P253" t="s">
        <v>193</v>
      </c>
      <c r="Q253">
        <v>1</v>
      </c>
      <c r="W253">
        <v>0</v>
      </c>
      <c r="X253">
        <v>1109111119</v>
      </c>
      <c r="Y253">
        <v>100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6.56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6</v>
      </c>
      <c r="AT253">
        <v>100</v>
      </c>
      <c r="AU253" t="s">
        <v>6</v>
      </c>
      <c r="AV253">
        <v>0</v>
      </c>
      <c r="AW253">
        <v>2</v>
      </c>
      <c r="AX253">
        <v>16745735</v>
      </c>
      <c r="AY253">
        <v>1</v>
      </c>
      <c r="AZ253">
        <v>0</v>
      </c>
      <c r="BA253">
        <v>242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Y253*Source!I146</f>
        <v>119</v>
      </c>
      <c r="CY253">
        <f t="shared" si="47"/>
        <v>0</v>
      </c>
      <c r="CZ253">
        <f t="shared" si="48"/>
        <v>0</v>
      </c>
      <c r="DA253">
        <f t="shared" si="49"/>
        <v>6.56</v>
      </c>
      <c r="DB253">
        <f t="shared" si="50"/>
        <v>0</v>
      </c>
      <c r="DC253">
        <f t="shared" si="51"/>
        <v>0</v>
      </c>
    </row>
    <row r="254" spans="1:107" x14ac:dyDescent="0.2">
      <c r="A254">
        <f>ROW(Source!A146)</f>
        <v>146</v>
      </c>
      <c r="B254">
        <v>16742901</v>
      </c>
      <c r="C254">
        <v>16745713</v>
      </c>
      <c r="D254">
        <v>15162952</v>
      </c>
      <c r="E254">
        <v>17</v>
      </c>
      <c r="F254">
        <v>1</v>
      </c>
      <c r="G254">
        <v>1</v>
      </c>
      <c r="H254">
        <v>3</v>
      </c>
      <c r="I254" t="s">
        <v>443</v>
      </c>
      <c r="J254" t="s">
        <v>6</v>
      </c>
      <c r="K254" t="s">
        <v>444</v>
      </c>
      <c r="L254">
        <v>1348</v>
      </c>
      <c r="N254">
        <v>1009</v>
      </c>
      <c r="O254" t="s">
        <v>100</v>
      </c>
      <c r="P254" t="s">
        <v>100</v>
      </c>
      <c r="Q254">
        <v>1000</v>
      </c>
      <c r="W254">
        <v>0</v>
      </c>
      <c r="X254">
        <v>-1969728098</v>
      </c>
      <c r="Y254">
        <v>0.375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6.56</v>
      </c>
      <c r="AJ254">
        <v>1</v>
      </c>
      <c r="AK254">
        <v>1</v>
      </c>
      <c r="AL254">
        <v>1</v>
      </c>
      <c r="AN254">
        <v>0</v>
      </c>
      <c r="AO254">
        <v>0</v>
      </c>
      <c r="AP254">
        <v>0</v>
      </c>
      <c r="AQ254">
        <v>0</v>
      </c>
      <c r="AR254">
        <v>0</v>
      </c>
      <c r="AS254" t="s">
        <v>6</v>
      </c>
      <c r="AT254">
        <v>0.375</v>
      </c>
      <c r="AU254" t="s">
        <v>6</v>
      </c>
      <c r="AV254">
        <v>0</v>
      </c>
      <c r="AW254">
        <v>2</v>
      </c>
      <c r="AX254">
        <v>16745736</v>
      </c>
      <c r="AY254">
        <v>1</v>
      </c>
      <c r="AZ254">
        <v>0</v>
      </c>
      <c r="BA254">
        <v>243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Y254*Source!I146</f>
        <v>0.44624999999999998</v>
      </c>
      <c r="CY254">
        <f t="shared" si="47"/>
        <v>0</v>
      </c>
      <c r="CZ254">
        <f t="shared" si="48"/>
        <v>0</v>
      </c>
      <c r="DA254">
        <f t="shared" si="49"/>
        <v>6.56</v>
      </c>
      <c r="DB254">
        <f t="shared" si="50"/>
        <v>0</v>
      </c>
      <c r="DC254">
        <f t="shared" si="51"/>
        <v>0</v>
      </c>
    </row>
    <row r="255" spans="1:107" x14ac:dyDescent="0.2">
      <c r="A255">
        <f>ROW(Source!A146)</f>
        <v>146</v>
      </c>
      <c r="B255">
        <v>16742901</v>
      </c>
      <c r="C255">
        <v>16745713</v>
      </c>
      <c r="D255">
        <v>15202559</v>
      </c>
      <c r="E255">
        <v>1</v>
      </c>
      <c r="F255">
        <v>1</v>
      </c>
      <c r="G255">
        <v>1</v>
      </c>
      <c r="H255">
        <v>3</v>
      </c>
      <c r="I255" t="s">
        <v>436</v>
      </c>
      <c r="J255" t="s">
        <v>438</v>
      </c>
      <c r="K255" t="s">
        <v>437</v>
      </c>
      <c r="L255">
        <v>1348</v>
      </c>
      <c r="N255">
        <v>1009</v>
      </c>
      <c r="O255" t="s">
        <v>100</v>
      </c>
      <c r="P255" t="s">
        <v>100</v>
      </c>
      <c r="Q255">
        <v>1000</v>
      </c>
      <c r="W255">
        <v>0</v>
      </c>
      <c r="X255">
        <v>43784864</v>
      </c>
      <c r="Y255">
        <v>0.375</v>
      </c>
      <c r="AA255">
        <v>36786.379999999997</v>
      </c>
      <c r="AB255">
        <v>0</v>
      </c>
      <c r="AC255">
        <v>0</v>
      </c>
      <c r="AD255">
        <v>0</v>
      </c>
      <c r="AE255">
        <v>5607.68</v>
      </c>
      <c r="AF255">
        <v>0</v>
      </c>
      <c r="AG255">
        <v>0</v>
      </c>
      <c r="AH255">
        <v>0</v>
      </c>
      <c r="AI255">
        <v>6.56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6</v>
      </c>
      <c r="AT255">
        <v>0.375</v>
      </c>
      <c r="AU255" t="s">
        <v>6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6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Y255*Source!I146</f>
        <v>0.44624999999999998</v>
      </c>
      <c r="CY255">
        <f t="shared" si="47"/>
        <v>36786.379999999997</v>
      </c>
      <c r="CZ255">
        <f t="shared" si="48"/>
        <v>5607.68</v>
      </c>
      <c r="DA255">
        <f t="shared" si="49"/>
        <v>6.56</v>
      </c>
      <c r="DB255">
        <f t="shared" si="50"/>
        <v>2102.88</v>
      </c>
      <c r="DC255">
        <f t="shared" si="51"/>
        <v>0</v>
      </c>
    </row>
    <row r="256" spans="1:107" x14ac:dyDescent="0.2">
      <c r="A256">
        <f>ROW(Source!A153)</f>
        <v>153</v>
      </c>
      <c r="B256">
        <v>16742901</v>
      </c>
      <c r="C256">
        <v>16745744</v>
      </c>
      <c r="D256">
        <v>15438406</v>
      </c>
      <c r="E256">
        <v>1</v>
      </c>
      <c r="F256">
        <v>1</v>
      </c>
      <c r="G256">
        <v>1</v>
      </c>
      <c r="H256">
        <v>1</v>
      </c>
      <c r="I256" t="s">
        <v>1544</v>
      </c>
      <c r="J256" t="s">
        <v>6</v>
      </c>
      <c r="K256" t="s">
        <v>1545</v>
      </c>
      <c r="L256">
        <v>1191</v>
      </c>
      <c r="N256">
        <v>1013</v>
      </c>
      <c r="O256" t="s">
        <v>1287</v>
      </c>
      <c r="P256" t="s">
        <v>1287</v>
      </c>
      <c r="Q256">
        <v>1</v>
      </c>
      <c r="W256">
        <v>0</v>
      </c>
      <c r="X256">
        <v>1799141607</v>
      </c>
      <c r="Y256">
        <v>1.4489999999999998</v>
      </c>
      <c r="AA256">
        <v>0</v>
      </c>
      <c r="AB256">
        <v>0</v>
      </c>
      <c r="AC256">
        <v>0</v>
      </c>
      <c r="AD256">
        <v>66.98</v>
      </c>
      <c r="AE256">
        <v>0</v>
      </c>
      <c r="AF256">
        <v>0</v>
      </c>
      <c r="AG256">
        <v>0</v>
      </c>
      <c r="AH256">
        <v>10.210000000000001</v>
      </c>
      <c r="AI256">
        <v>1</v>
      </c>
      <c r="AJ256">
        <v>1</v>
      </c>
      <c r="AK256">
        <v>1</v>
      </c>
      <c r="AL256">
        <v>6.56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1.26</v>
      </c>
      <c r="AU256" t="s">
        <v>188</v>
      </c>
      <c r="AV256">
        <v>1</v>
      </c>
      <c r="AW256">
        <v>2</v>
      </c>
      <c r="AX256">
        <v>16745754</v>
      </c>
      <c r="AY256">
        <v>1</v>
      </c>
      <c r="AZ256">
        <v>0</v>
      </c>
      <c r="BA256">
        <v>244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Y256*Source!I153</f>
        <v>2.8979999999999997</v>
      </c>
      <c r="CY256">
        <f>AD256</f>
        <v>66.98</v>
      </c>
      <c r="CZ256">
        <f>AH256</f>
        <v>10.210000000000001</v>
      </c>
      <c r="DA256">
        <f>AL256</f>
        <v>6.56</v>
      </c>
      <c r="DB256">
        <f>ROUND((ROUND(AT256*CZ256,2)*1.15),2)</f>
        <v>14.79</v>
      </c>
      <c r="DC256">
        <f>ROUND((ROUND(AT256*AG256,2)*1.15),2)</f>
        <v>0</v>
      </c>
    </row>
    <row r="257" spans="1:107" x14ac:dyDescent="0.2">
      <c r="A257">
        <f>ROW(Source!A153)</f>
        <v>153</v>
      </c>
      <c r="B257">
        <v>16742901</v>
      </c>
      <c r="C257">
        <v>16745744</v>
      </c>
      <c r="D257">
        <v>15430395</v>
      </c>
      <c r="E257">
        <v>1</v>
      </c>
      <c r="F257">
        <v>1</v>
      </c>
      <c r="G257">
        <v>1</v>
      </c>
      <c r="H257">
        <v>1</v>
      </c>
      <c r="I257" t="s">
        <v>1293</v>
      </c>
      <c r="J257" t="s">
        <v>6</v>
      </c>
      <c r="K257" t="s">
        <v>1294</v>
      </c>
      <c r="L257">
        <v>1191</v>
      </c>
      <c r="N257">
        <v>1013</v>
      </c>
      <c r="O257" t="s">
        <v>1287</v>
      </c>
      <c r="P257" t="s">
        <v>1287</v>
      </c>
      <c r="Q257">
        <v>1</v>
      </c>
      <c r="W257">
        <v>0</v>
      </c>
      <c r="X257">
        <v>-1417349443</v>
      </c>
      <c r="Y257">
        <v>0.04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6.56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0.04</v>
      </c>
      <c r="AU257" t="s">
        <v>6</v>
      </c>
      <c r="AV257">
        <v>2</v>
      </c>
      <c r="AW257">
        <v>2</v>
      </c>
      <c r="AX257">
        <v>16745755</v>
      </c>
      <c r="AY257">
        <v>1</v>
      </c>
      <c r="AZ257">
        <v>2048</v>
      </c>
      <c r="BA257">
        <v>245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Y257*Source!I153</f>
        <v>0.08</v>
      </c>
      <c r="CY257">
        <f>AD257</f>
        <v>0</v>
      </c>
      <c r="CZ257">
        <f>AH257</f>
        <v>0</v>
      </c>
      <c r="DA257">
        <f>AL257</f>
        <v>1</v>
      </c>
      <c r="DB257">
        <f>ROUND(ROUND(AT257*CZ257,2),2)</f>
        <v>0</v>
      </c>
      <c r="DC257">
        <f>ROUND(ROUND(AT257*AG257,2),2)</f>
        <v>0</v>
      </c>
    </row>
    <row r="258" spans="1:107" x14ac:dyDescent="0.2">
      <c r="A258">
        <f>ROW(Source!A153)</f>
        <v>153</v>
      </c>
      <c r="B258">
        <v>16742901</v>
      </c>
      <c r="C258">
        <v>16745744</v>
      </c>
      <c r="D258">
        <v>15249073</v>
      </c>
      <c r="E258">
        <v>1</v>
      </c>
      <c r="F258">
        <v>1</v>
      </c>
      <c r="G258">
        <v>1</v>
      </c>
      <c r="H258">
        <v>2</v>
      </c>
      <c r="I258" t="s">
        <v>1299</v>
      </c>
      <c r="J258" t="s">
        <v>1300</v>
      </c>
      <c r="K258" t="s">
        <v>1301</v>
      </c>
      <c r="L258">
        <v>1368</v>
      </c>
      <c r="N258">
        <v>1011</v>
      </c>
      <c r="O258" t="s">
        <v>1298</v>
      </c>
      <c r="P258" t="s">
        <v>1298</v>
      </c>
      <c r="Q258">
        <v>1</v>
      </c>
      <c r="W258">
        <v>0</v>
      </c>
      <c r="X258">
        <v>1372534845</v>
      </c>
      <c r="Y258">
        <v>0.05</v>
      </c>
      <c r="AA258">
        <v>0</v>
      </c>
      <c r="AB258">
        <v>431.06</v>
      </c>
      <c r="AC258">
        <v>11.6</v>
      </c>
      <c r="AD258">
        <v>0</v>
      </c>
      <c r="AE258">
        <v>0</v>
      </c>
      <c r="AF258">
        <v>65.709999999999994</v>
      </c>
      <c r="AG258">
        <v>11.6</v>
      </c>
      <c r="AH258">
        <v>0</v>
      </c>
      <c r="AI258">
        <v>1</v>
      </c>
      <c r="AJ258">
        <v>6.56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0.04</v>
      </c>
      <c r="AU258" t="s">
        <v>187</v>
      </c>
      <c r="AV258">
        <v>0</v>
      </c>
      <c r="AW258">
        <v>2</v>
      </c>
      <c r="AX258">
        <v>16745756</v>
      </c>
      <c r="AY258">
        <v>1</v>
      </c>
      <c r="AZ258">
        <v>0</v>
      </c>
      <c r="BA258">
        <v>246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Y258*Source!I153</f>
        <v>0.1</v>
      </c>
      <c r="CY258">
        <f>AB258</f>
        <v>431.06</v>
      </c>
      <c r="CZ258">
        <f>AF258</f>
        <v>65.709999999999994</v>
      </c>
      <c r="DA258">
        <f>AJ258</f>
        <v>6.56</v>
      </c>
      <c r="DB258">
        <f>ROUND((ROUND(AT258*CZ258,2)*1.25),2)</f>
        <v>3.29</v>
      </c>
      <c r="DC258">
        <f>ROUND((ROUND(AT258*AG258,2)*1.25),2)</f>
        <v>0.57999999999999996</v>
      </c>
    </row>
    <row r="259" spans="1:107" x14ac:dyDescent="0.2">
      <c r="A259">
        <f>ROW(Source!A153)</f>
        <v>153</v>
      </c>
      <c r="B259">
        <v>16742901</v>
      </c>
      <c r="C259">
        <v>16745744</v>
      </c>
      <c r="D259">
        <v>15249377</v>
      </c>
      <c r="E259">
        <v>1</v>
      </c>
      <c r="F259">
        <v>1</v>
      </c>
      <c r="G259">
        <v>1</v>
      </c>
      <c r="H259">
        <v>2</v>
      </c>
      <c r="I259" t="s">
        <v>1302</v>
      </c>
      <c r="J259" t="s">
        <v>1303</v>
      </c>
      <c r="K259" t="s">
        <v>1304</v>
      </c>
      <c r="L259">
        <v>1368</v>
      </c>
      <c r="N259">
        <v>1011</v>
      </c>
      <c r="O259" t="s">
        <v>1298</v>
      </c>
      <c r="P259" t="s">
        <v>1298</v>
      </c>
      <c r="Q259">
        <v>1</v>
      </c>
      <c r="W259">
        <v>0</v>
      </c>
      <c r="X259">
        <v>-353815937</v>
      </c>
      <c r="Y259">
        <v>0.71249999999999991</v>
      </c>
      <c r="AA259">
        <v>0</v>
      </c>
      <c r="AB259">
        <v>53.14</v>
      </c>
      <c r="AC259">
        <v>0</v>
      </c>
      <c r="AD259">
        <v>0</v>
      </c>
      <c r="AE259">
        <v>0</v>
      </c>
      <c r="AF259">
        <v>8.1</v>
      </c>
      <c r="AG259">
        <v>0</v>
      </c>
      <c r="AH259">
        <v>0</v>
      </c>
      <c r="AI259">
        <v>1</v>
      </c>
      <c r="AJ259">
        <v>6.56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0.56999999999999995</v>
      </c>
      <c r="AU259" t="s">
        <v>187</v>
      </c>
      <c r="AV259">
        <v>0</v>
      </c>
      <c r="AW259">
        <v>2</v>
      </c>
      <c r="AX259">
        <v>16745757</v>
      </c>
      <c r="AY259">
        <v>1</v>
      </c>
      <c r="AZ259">
        <v>0</v>
      </c>
      <c r="BA259">
        <v>247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Y259*Source!I153</f>
        <v>1.4249999999999998</v>
      </c>
      <c r="CY259">
        <f>AB259</f>
        <v>53.14</v>
      </c>
      <c r="CZ259">
        <f>AF259</f>
        <v>8.1</v>
      </c>
      <c r="DA259">
        <f>AJ259</f>
        <v>6.56</v>
      </c>
      <c r="DB259">
        <f>ROUND((ROUND(AT259*CZ259,2)*1.25),2)</f>
        <v>5.78</v>
      </c>
      <c r="DC259">
        <f>ROUND((ROUND(AT259*AG259,2)*1.25),2)</f>
        <v>0</v>
      </c>
    </row>
    <row r="260" spans="1:107" x14ac:dyDescent="0.2">
      <c r="A260">
        <f>ROW(Source!A153)</f>
        <v>153</v>
      </c>
      <c r="B260">
        <v>16742901</v>
      </c>
      <c r="C260">
        <v>16745744</v>
      </c>
      <c r="D260">
        <v>15168763</v>
      </c>
      <c r="E260">
        <v>1</v>
      </c>
      <c r="F260">
        <v>1</v>
      </c>
      <c r="G260">
        <v>1</v>
      </c>
      <c r="H260">
        <v>3</v>
      </c>
      <c r="I260" t="s">
        <v>1305</v>
      </c>
      <c r="J260" t="s">
        <v>1306</v>
      </c>
      <c r="K260" t="s">
        <v>1307</v>
      </c>
      <c r="L260">
        <v>1348</v>
      </c>
      <c r="N260">
        <v>1009</v>
      </c>
      <c r="O260" t="s">
        <v>100</v>
      </c>
      <c r="P260" t="s">
        <v>100</v>
      </c>
      <c r="Q260">
        <v>1000</v>
      </c>
      <c r="W260">
        <v>0</v>
      </c>
      <c r="X260">
        <v>-1068056325</v>
      </c>
      <c r="Y260">
        <v>4.8999999999999998E-4</v>
      </c>
      <c r="AA260">
        <v>67974.720000000001</v>
      </c>
      <c r="AB260">
        <v>0</v>
      </c>
      <c r="AC260">
        <v>0</v>
      </c>
      <c r="AD260">
        <v>0</v>
      </c>
      <c r="AE260">
        <v>10362</v>
      </c>
      <c r="AF260">
        <v>0</v>
      </c>
      <c r="AG260">
        <v>0</v>
      </c>
      <c r="AH260">
        <v>0</v>
      </c>
      <c r="AI260">
        <v>6.56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4.8999999999999998E-4</v>
      </c>
      <c r="AU260" t="s">
        <v>6</v>
      </c>
      <c r="AV260">
        <v>0</v>
      </c>
      <c r="AW260">
        <v>2</v>
      </c>
      <c r="AX260">
        <v>16745758</v>
      </c>
      <c r="AY260">
        <v>1</v>
      </c>
      <c r="AZ260">
        <v>0</v>
      </c>
      <c r="BA260">
        <v>248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Y260*Source!I153</f>
        <v>9.7999999999999997E-4</v>
      </c>
      <c r="CY260">
        <f>AA260</f>
        <v>67974.720000000001</v>
      </c>
      <c r="CZ260">
        <f>AE260</f>
        <v>10362</v>
      </c>
      <c r="DA260">
        <f>AI260</f>
        <v>6.56</v>
      </c>
      <c r="DB260">
        <f>ROUND(ROUND(AT260*CZ260,2),2)</f>
        <v>5.08</v>
      </c>
      <c r="DC260">
        <f>ROUND(ROUND(AT260*AG260,2),2)</f>
        <v>0</v>
      </c>
    </row>
    <row r="261" spans="1:107" x14ac:dyDescent="0.2">
      <c r="A261">
        <f>ROW(Source!A153)</f>
        <v>153</v>
      </c>
      <c r="B261">
        <v>16742901</v>
      </c>
      <c r="C261">
        <v>16745744</v>
      </c>
      <c r="D261">
        <v>15169941</v>
      </c>
      <c r="E261">
        <v>1</v>
      </c>
      <c r="F261">
        <v>1</v>
      </c>
      <c r="G261">
        <v>1</v>
      </c>
      <c r="H261">
        <v>3</v>
      </c>
      <c r="I261" t="s">
        <v>1308</v>
      </c>
      <c r="J261" t="s">
        <v>1309</v>
      </c>
      <c r="K261" t="s">
        <v>1310</v>
      </c>
      <c r="L261">
        <v>1348</v>
      </c>
      <c r="N261">
        <v>1009</v>
      </c>
      <c r="O261" t="s">
        <v>100</v>
      </c>
      <c r="P261" t="s">
        <v>100</v>
      </c>
      <c r="Q261">
        <v>1000</v>
      </c>
      <c r="W261">
        <v>0</v>
      </c>
      <c r="X261">
        <v>-437906794</v>
      </c>
      <c r="Y261">
        <v>1.9E-3</v>
      </c>
      <c r="AA261">
        <v>59302.47</v>
      </c>
      <c r="AB261">
        <v>0</v>
      </c>
      <c r="AC261">
        <v>0</v>
      </c>
      <c r="AD261">
        <v>0</v>
      </c>
      <c r="AE261">
        <v>9040.01</v>
      </c>
      <c r="AF261">
        <v>0</v>
      </c>
      <c r="AG261">
        <v>0</v>
      </c>
      <c r="AH261">
        <v>0</v>
      </c>
      <c r="AI261">
        <v>6.56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1.9E-3</v>
      </c>
      <c r="AU261" t="s">
        <v>6</v>
      </c>
      <c r="AV261">
        <v>0</v>
      </c>
      <c r="AW261">
        <v>2</v>
      </c>
      <c r="AX261">
        <v>16745759</v>
      </c>
      <c r="AY261">
        <v>1</v>
      </c>
      <c r="AZ261">
        <v>0</v>
      </c>
      <c r="BA261">
        <v>249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Y261*Source!I153</f>
        <v>3.8E-3</v>
      </c>
      <c r="CY261">
        <f>AA261</f>
        <v>59302.47</v>
      </c>
      <c r="CZ261">
        <f>AE261</f>
        <v>9040.01</v>
      </c>
      <c r="DA261">
        <f>AI261</f>
        <v>6.56</v>
      </c>
      <c r="DB261">
        <f>ROUND(ROUND(AT261*CZ261,2),2)</f>
        <v>17.18</v>
      </c>
      <c r="DC261">
        <f>ROUND(ROUND(AT261*AG261,2),2)</f>
        <v>0</v>
      </c>
    </row>
    <row r="262" spans="1:107" x14ac:dyDescent="0.2">
      <c r="A262">
        <f>ROW(Source!A153)</f>
        <v>153</v>
      </c>
      <c r="B262">
        <v>16742901</v>
      </c>
      <c r="C262">
        <v>16745744</v>
      </c>
      <c r="D262">
        <v>15163377</v>
      </c>
      <c r="E262">
        <v>17</v>
      </c>
      <c r="F262">
        <v>1</v>
      </c>
      <c r="G262">
        <v>1</v>
      </c>
      <c r="H262">
        <v>3</v>
      </c>
      <c r="I262" t="s">
        <v>454</v>
      </c>
      <c r="J262" t="s">
        <v>6</v>
      </c>
      <c r="K262" t="s">
        <v>455</v>
      </c>
      <c r="L262">
        <v>1354</v>
      </c>
      <c r="N262">
        <v>1010</v>
      </c>
      <c r="O262" t="s">
        <v>73</v>
      </c>
      <c r="P262" t="s">
        <v>73</v>
      </c>
      <c r="Q262">
        <v>1</v>
      </c>
      <c r="W262">
        <v>0</v>
      </c>
      <c r="X262">
        <v>1087564240</v>
      </c>
      <c r="Y262">
        <v>1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6.56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6</v>
      </c>
      <c r="AT262">
        <v>1</v>
      </c>
      <c r="AU262" t="s">
        <v>6</v>
      </c>
      <c r="AV262">
        <v>0</v>
      </c>
      <c r="AW262">
        <v>2</v>
      </c>
      <c r="AX262">
        <v>16745760</v>
      </c>
      <c r="AY262">
        <v>1</v>
      </c>
      <c r="AZ262">
        <v>0</v>
      </c>
      <c r="BA262">
        <v>250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Y262*Source!I153</f>
        <v>2</v>
      </c>
      <c r="CY262">
        <f>AA262</f>
        <v>0</v>
      </c>
      <c r="CZ262">
        <f>AE262</f>
        <v>0</v>
      </c>
      <c r="DA262">
        <f>AI262</f>
        <v>6.56</v>
      </c>
      <c r="DB262">
        <f>ROUND(ROUND(AT262*CZ262,2),2)</f>
        <v>0</v>
      </c>
      <c r="DC262">
        <f>ROUND(ROUND(AT262*AG262,2),2)</f>
        <v>0</v>
      </c>
    </row>
    <row r="263" spans="1:107" x14ac:dyDescent="0.2">
      <c r="A263">
        <f>ROW(Source!A153)</f>
        <v>153</v>
      </c>
      <c r="B263">
        <v>16742901</v>
      </c>
      <c r="C263">
        <v>16745744</v>
      </c>
      <c r="D263">
        <v>15235255</v>
      </c>
      <c r="E263">
        <v>1</v>
      </c>
      <c r="F263">
        <v>1</v>
      </c>
      <c r="G263">
        <v>1</v>
      </c>
      <c r="H263">
        <v>3</v>
      </c>
      <c r="I263" t="s">
        <v>450</v>
      </c>
      <c r="J263" t="s">
        <v>452</v>
      </c>
      <c r="K263" t="s">
        <v>451</v>
      </c>
      <c r="L263">
        <v>1354</v>
      </c>
      <c r="N263">
        <v>1010</v>
      </c>
      <c r="O263" t="s">
        <v>73</v>
      </c>
      <c r="P263" t="s">
        <v>73</v>
      </c>
      <c r="Q263">
        <v>1</v>
      </c>
      <c r="W263">
        <v>0</v>
      </c>
      <c r="X263">
        <v>-978336568</v>
      </c>
      <c r="Y263">
        <v>1</v>
      </c>
      <c r="AA263">
        <v>44.48</v>
      </c>
      <c r="AB263">
        <v>0</v>
      </c>
      <c r="AC263">
        <v>0</v>
      </c>
      <c r="AD263">
        <v>0</v>
      </c>
      <c r="AE263">
        <v>6.78</v>
      </c>
      <c r="AF263">
        <v>0</v>
      </c>
      <c r="AG263">
        <v>0</v>
      </c>
      <c r="AH263">
        <v>0</v>
      </c>
      <c r="AI263">
        <v>6.56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6</v>
      </c>
      <c r="AT263">
        <v>1</v>
      </c>
      <c r="AU263" t="s">
        <v>6</v>
      </c>
      <c r="AV263">
        <v>0</v>
      </c>
      <c r="AW263">
        <v>1</v>
      </c>
      <c r="AX263">
        <v>-1</v>
      </c>
      <c r="AY263">
        <v>0</v>
      </c>
      <c r="AZ263">
        <v>0</v>
      </c>
      <c r="BA263" t="s">
        <v>6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Y263*Source!I153</f>
        <v>2</v>
      </c>
      <c r="CY263">
        <f>AA263</f>
        <v>44.48</v>
      </c>
      <c r="CZ263">
        <f>AE263</f>
        <v>6.78</v>
      </c>
      <c r="DA263">
        <f>AI263</f>
        <v>6.56</v>
      </c>
      <c r="DB263">
        <f>ROUND(ROUND(AT263*CZ263,2),2)</f>
        <v>6.78</v>
      </c>
      <c r="DC263">
        <f>ROUND(ROUND(AT263*AG263,2),2)</f>
        <v>0</v>
      </c>
    </row>
    <row r="264" spans="1:107" x14ac:dyDescent="0.2">
      <c r="A264">
        <f>ROW(Source!A156)</f>
        <v>156</v>
      </c>
      <c r="B264">
        <v>16742901</v>
      </c>
      <c r="C264">
        <v>16745763</v>
      </c>
      <c r="D264">
        <v>15430517</v>
      </c>
      <c r="E264">
        <v>1</v>
      </c>
      <c r="F264">
        <v>1</v>
      </c>
      <c r="G264">
        <v>1</v>
      </c>
      <c r="H264">
        <v>1</v>
      </c>
      <c r="I264" t="s">
        <v>1337</v>
      </c>
      <c r="J264" t="s">
        <v>6</v>
      </c>
      <c r="K264" t="s">
        <v>1338</v>
      </c>
      <c r="L264">
        <v>1191</v>
      </c>
      <c r="N264">
        <v>1013</v>
      </c>
      <c r="O264" t="s">
        <v>1287</v>
      </c>
      <c r="P264" t="s">
        <v>1287</v>
      </c>
      <c r="Q264">
        <v>1</v>
      </c>
      <c r="W264">
        <v>0</v>
      </c>
      <c r="X264">
        <v>735429535</v>
      </c>
      <c r="Y264">
        <v>46.747499999999995</v>
      </c>
      <c r="AA264">
        <v>0</v>
      </c>
      <c r="AB264">
        <v>0</v>
      </c>
      <c r="AC264">
        <v>0</v>
      </c>
      <c r="AD264">
        <v>51.17</v>
      </c>
      <c r="AE264">
        <v>0</v>
      </c>
      <c r="AF264">
        <v>0</v>
      </c>
      <c r="AG264">
        <v>0</v>
      </c>
      <c r="AH264">
        <v>7.8</v>
      </c>
      <c r="AI264">
        <v>1</v>
      </c>
      <c r="AJ264">
        <v>1</v>
      </c>
      <c r="AK264">
        <v>1</v>
      </c>
      <c r="AL264">
        <v>6.56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6</v>
      </c>
      <c r="AT264">
        <v>40.65</v>
      </c>
      <c r="AU264" t="s">
        <v>188</v>
      </c>
      <c r="AV264">
        <v>1</v>
      </c>
      <c r="AW264">
        <v>2</v>
      </c>
      <c r="AX264">
        <v>16745771</v>
      </c>
      <c r="AY264">
        <v>1</v>
      </c>
      <c r="AZ264">
        <v>0</v>
      </c>
      <c r="BA264">
        <v>251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Y264*Source!I156</f>
        <v>103.38677099999998</v>
      </c>
      <c r="CY264">
        <f>AD264</f>
        <v>51.17</v>
      </c>
      <c r="CZ264">
        <f>AH264</f>
        <v>7.8</v>
      </c>
      <c r="DA264">
        <f>AL264</f>
        <v>6.56</v>
      </c>
      <c r="DB264">
        <f>ROUND((ROUND(AT264*CZ264,2)*1.15),2)</f>
        <v>364.63</v>
      </c>
      <c r="DC264">
        <f>ROUND((ROUND(AT264*AG264,2)*1.15),2)</f>
        <v>0</v>
      </c>
    </row>
    <row r="265" spans="1:107" x14ac:dyDescent="0.2">
      <c r="A265">
        <f>ROW(Source!A156)</f>
        <v>156</v>
      </c>
      <c r="B265">
        <v>16742901</v>
      </c>
      <c r="C265">
        <v>16745763</v>
      </c>
      <c r="D265">
        <v>15430395</v>
      </c>
      <c r="E265">
        <v>1</v>
      </c>
      <c r="F265">
        <v>1</v>
      </c>
      <c r="G265">
        <v>1</v>
      </c>
      <c r="H265">
        <v>1</v>
      </c>
      <c r="I265" t="s">
        <v>1293</v>
      </c>
      <c r="J265" t="s">
        <v>6</v>
      </c>
      <c r="K265" t="s">
        <v>1294</v>
      </c>
      <c r="L265">
        <v>1191</v>
      </c>
      <c r="N265">
        <v>1013</v>
      </c>
      <c r="O265" t="s">
        <v>1287</v>
      </c>
      <c r="P265" t="s">
        <v>1287</v>
      </c>
      <c r="Q265">
        <v>1</v>
      </c>
      <c r="W265">
        <v>0</v>
      </c>
      <c r="X265">
        <v>-1417349443</v>
      </c>
      <c r="Y265">
        <v>1.27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6.56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1.27</v>
      </c>
      <c r="AU265" t="s">
        <v>6</v>
      </c>
      <c r="AV265">
        <v>2</v>
      </c>
      <c r="AW265">
        <v>2</v>
      </c>
      <c r="AX265">
        <v>16745772</v>
      </c>
      <c r="AY265">
        <v>1</v>
      </c>
      <c r="AZ265">
        <v>2048</v>
      </c>
      <c r="BA265">
        <v>252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Y265*Source!I156</f>
        <v>2.8087319999999996</v>
      </c>
      <c r="CY265">
        <f>AD265</f>
        <v>0</v>
      </c>
      <c r="CZ265">
        <f>AH265</f>
        <v>0</v>
      </c>
      <c r="DA265">
        <f>AL265</f>
        <v>1</v>
      </c>
      <c r="DB265">
        <f>ROUND(ROUND(AT265*CZ265,2),2)</f>
        <v>0</v>
      </c>
      <c r="DC265">
        <f>ROUND(ROUND(AT265*AG265,2),2)</f>
        <v>0</v>
      </c>
    </row>
    <row r="266" spans="1:107" x14ac:dyDescent="0.2">
      <c r="A266">
        <f>ROW(Source!A156)</f>
        <v>156</v>
      </c>
      <c r="B266">
        <v>16742901</v>
      </c>
      <c r="C266">
        <v>16745763</v>
      </c>
      <c r="D266">
        <v>15247974</v>
      </c>
      <c r="E266">
        <v>1</v>
      </c>
      <c r="F266">
        <v>1</v>
      </c>
      <c r="G266">
        <v>1</v>
      </c>
      <c r="H266">
        <v>2</v>
      </c>
      <c r="I266" t="s">
        <v>1314</v>
      </c>
      <c r="J266" t="s">
        <v>1315</v>
      </c>
      <c r="K266" t="s">
        <v>1316</v>
      </c>
      <c r="L266">
        <v>1368</v>
      </c>
      <c r="N266">
        <v>1011</v>
      </c>
      <c r="O266" t="s">
        <v>1298</v>
      </c>
      <c r="P266" t="s">
        <v>1298</v>
      </c>
      <c r="Q266">
        <v>1</v>
      </c>
      <c r="W266">
        <v>0</v>
      </c>
      <c r="X266">
        <v>1188625873</v>
      </c>
      <c r="Y266">
        <v>1.5874999999999999</v>
      </c>
      <c r="AA266">
        <v>0</v>
      </c>
      <c r="AB266">
        <v>205.07</v>
      </c>
      <c r="AC266">
        <v>13.5</v>
      </c>
      <c r="AD266">
        <v>0</v>
      </c>
      <c r="AE266">
        <v>0</v>
      </c>
      <c r="AF266">
        <v>31.26</v>
      </c>
      <c r="AG266">
        <v>13.5</v>
      </c>
      <c r="AH266">
        <v>0</v>
      </c>
      <c r="AI266">
        <v>1</v>
      </c>
      <c r="AJ266">
        <v>6.56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6</v>
      </c>
      <c r="AT266">
        <v>1.27</v>
      </c>
      <c r="AU266" t="s">
        <v>187</v>
      </c>
      <c r="AV266">
        <v>0</v>
      </c>
      <c r="AW266">
        <v>2</v>
      </c>
      <c r="AX266">
        <v>16745773</v>
      </c>
      <c r="AY266">
        <v>1</v>
      </c>
      <c r="AZ266">
        <v>0</v>
      </c>
      <c r="BA266">
        <v>253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Y266*Source!I156</f>
        <v>3.5109149999999993</v>
      </c>
      <c r="CY266">
        <f>AB266</f>
        <v>205.07</v>
      </c>
      <c r="CZ266">
        <f>AF266</f>
        <v>31.26</v>
      </c>
      <c r="DA266">
        <f>AJ266</f>
        <v>6.56</v>
      </c>
      <c r="DB266">
        <f>ROUND((ROUND(AT266*CZ266,2)*1.25),2)</f>
        <v>49.63</v>
      </c>
      <c r="DC266">
        <f>ROUND((ROUND(AT266*AG266,2)*1.25),2)</f>
        <v>21.44</v>
      </c>
    </row>
    <row r="267" spans="1:107" x14ac:dyDescent="0.2">
      <c r="A267">
        <f>ROW(Source!A156)</f>
        <v>156</v>
      </c>
      <c r="B267">
        <v>16742901</v>
      </c>
      <c r="C267">
        <v>16745763</v>
      </c>
      <c r="D267">
        <v>15248091</v>
      </c>
      <c r="E267">
        <v>1</v>
      </c>
      <c r="F267">
        <v>1</v>
      </c>
      <c r="G267">
        <v>1</v>
      </c>
      <c r="H267">
        <v>2</v>
      </c>
      <c r="I267" t="s">
        <v>1546</v>
      </c>
      <c r="J267" t="s">
        <v>1547</v>
      </c>
      <c r="K267" t="s">
        <v>1548</v>
      </c>
      <c r="L267">
        <v>1368</v>
      </c>
      <c r="N267">
        <v>1011</v>
      </c>
      <c r="O267" t="s">
        <v>1298</v>
      </c>
      <c r="P267" t="s">
        <v>1298</v>
      </c>
      <c r="Q267">
        <v>1</v>
      </c>
      <c r="W267">
        <v>0</v>
      </c>
      <c r="X267">
        <v>126902709</v>
      </c>
      <c r="Y267">
        <v>5.875</v>
      </c>
      <c r="AA267">
        <v>0</v>
      </c>
      <c r="AB267">
        <v>3.28</v>
      </c>
      <c r="AC267">
        <v>0</v>
      </c>
      <c r="AD267">
        <v>0</v>
      </c>
      <c r="AE267">
        <v>0</v>
      </c>
      <c r="AF267">
        <v>0.5</v>
      </c>
      <c r="AG267">
        <v>0</v>
      </c>
      <c r="AH267">
        <v>0</v>
      </c>
      <c r="AI267">
        <v>1</v>
      </c>
      <c r="AJ267">
        <v>6.56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4.7</v>
      </c>
      <c r="AU267" t="s">
        <v>187</v>
      </c>
      <c r="AV267">
        <v>0</v>
      </c>
      <c r="AW267">
        <v>2</v>
      </c>
      <c r="AX267">
        <v>16745774</v>
      </c>
      <c r="AY267">
        <v>1</v>
      </c>
      <c r="AZ267">
        <v>0</v>
      </c>
      <c r="BA267">
        <v>254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Y267*Source!I156</f>
        <v>12.993149999999998</v>
      </c>
      <c r="CY267">
        <f>AB267</f>
        <v>3.28</v>
      </c>
      <c r="CZ267">
        <f>AF267</f>
        <v>0.5</v>
      </c>
      <c r="DA267">
        <f>AJ267</f>
        <v>6.56</v>
      </c>
      <c r="DB267">
        <f>ROUND((ROUND(AT267*CZ267,2)*1.25),2)</f>
        <v>2.94</v>
      </c>
      <c r="DC267">
        <f>ROUND((ROUND(AT267*AG267,2)*1.25),2)</f>
        <v>0</v>
      </c>
    </row>
    <row r="268" spans="1:107" x14ac:dyDescent="0.2">
      <c r="A268">
        <f>ROW(Source!A156)</f>
        <v>156</v>
      </c>
      <c r="B268">
        <v>16742901</v>
      </c>
      <c r="C268">
        <v>16745763</v>
      </c>
      <c r="D268">
        <v>15167286</v>
      </c>
      <c r="E268">
        <v>1</v>
      </c>
      <c r="F268">
        <v>1</v>
      </c>
      <c r="G268">
        <v>1</v>
      </c>
      <c r="H268">
        <v>3</v>
      </c>
      <c r="I268" t="s">
        <v>1317</v>
      </c>
      <c r="J268" t="s">
        <v>1318</v>
      </c>
      <c r="K268" t="s">
        <v>1319</v>
      </c>
      <c r="L268">
        <v>1339</v>
      </c>
      <c r="N268">
        <v>1007</v>
      </c>
      <c r="O268" t="s">
        <v>301</v>
      </c>
      <c r="P268" t="s">
        <v>301</v>
      </c>
      <c r="Q268">
        <v>1</v>
      </c>
      <c r="W268">
        <v>0</v>
      </c>
      <c r="X268">
        <v>-1660354250</v>
      </c>
      <c r="Y268">
        <v>3.5</v>
      </c>
      <c r="AA268">
        <v>16.010000000000002</v>
      </c>
      <c r="AB268">
        <v>0</v>
      </c>
      <c r="AC268">
        <v>0</v>
      </c>
      <c r="AD268">
        <v>0</v>
      </c>
      <c r="AE268">
        <v>2.44</v>
      </c>
      <c r="AF268">
        <v>0</v>
      </c>
      <c r="AG268">
        <v>0</v>
      </c>
      <c r="AH268">
        <v>0</v>
      </c>
      <c r="AI268">
        <v>6.56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3.5</v>
      </c>
      <c r="AU268" t="s">
        <v>6</v>
      </c>
      <c r="AV268">
        <v>0</v>
      </c>
      <c r="AW268">
        <v>2</v>
      </c>
      <c r="AX268">
        <v>16745775</v>
      </c>
      <c r="AY268">
        <v>1</v>
      </c>
      <c r="AZ268">
        <v>0</v>
      </c>
      <c r="BA268">
        <v>255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Y268*Source!I156</f>
        <v>7.7405999999999988</v>
      </c>
      <c r="CY268">
        <f>AA268</f>
        <v>16.010000000000002</v>
      </c>
      <c r="CZ268">
        <f>AE268</f>
        <v>2.44</v>
      </c>
      <c r="DA268">
        <f>AI268</f>
        <v>6.56</v>
      </c>
      <c r="DB268">
        <f>ROUND(ROUND(AT268*CZ268,2),2)</f>
        <v>8.5399999999999991</v>
      </c>
      <c r="DC268">
        <f>ROUND(ROUND(AT268*AG268,2),2)</f>
        <v>0</v>
      </c>
    </row>
    <row r="269" spans="1:107" x14ac:dyDescent="0.2">
      <c r="A269">
        <f>ROW(Source!A156)</f>
        <v>156</v>
      </c>
      <c r="B269">
        <v>16742901</v>
      </c>
      <c r="C269">
        <v>16745763</v>
      </c>
      <c r="D269">
        <v>15172442</v>
      </c>
      <c r="E269">
        <v>1</v>
      </c>
      <c r="F269">
        <v>1</v>
      </c>
      <c r="G269">
        <v>1</v>
      </c>
      <c r="H269">
        <v>3</v>
      </c>
      <c r="I269" t="s">
        <v>462</v>
      </c>
      <c r="J269" t="s">
        <v>464</v>
      </c>
      <c r="K269" t="s">
        <v>463</v>
      </c>
      <c r="L269">
        <v>1339</v>
      </c>
      <c r="N269">
        <v>1007</v>
      </c>
      <c r="O269" t="s">
        <v>301</v>
      </c>
      <c r="P269" t="s">
        <v>301</v>
      </c>
      <c r="Q269">
        <v>1</v>
      </c>
      <c r="W269">
        <v>0</v>
      </c>
      <c r="X269">
        <v>1435212761</v>
      </c>
      <c r="Y269">
        <v>2.04</v>
      </c>
      <c r="AA269">
        <v>4220.8999999999996</v>
      </c>
      <c r="AB269">
        <v>0</v>
      </c>
      <c r="AC269">
        <v>0</v>
      </c>
      <c r="AD269">
        <v>0</v>
      </c>
      <c r="AE269">
        <v>643.42999999999995</v>
      </c>
      <c r="AF269">
        <v>0</v>
      </c>
      <c r="AG269">
        <v>0</v>
      </c>
      <c r="AH269">
        <v>0</v>
      </c>
      <c r="AI269">
        <v>6.56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6</v>
      </c>
      <c r="AT269">
        <v>2.04</v>
      </c>
      <c r="AU269" t="s">
        <v>6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Y269*Source!I156</f>
        <v>4.5116639999999997</v>
      </c>
      <c r="CY269">
        <f>AA269</f>
        <v>4220.8999999999996</v>
      </c>
      <c r="CZ269">
        <f>AE269</f>
        <v>643.42999999999995</v>
      </c>
      <c r="DA269">
        <f>AI269</f>
        <v>6.56</v>
      </c>
      <c r="DB269">
        <f>ROUND(ROUND(AT269*CZ269,2),2)</f>
        <v>1312.6</v>
      </c>
      <c r="DC269">
        <f>ROUND(ROUND(AT269*AG269,2),2)</f>
        <v>0</v>
      </c>
    </row>
    <row r="270" spans="1:107" x14ac:dyDescent="0.2">
      <c r="A270">
        <f>ROW(Source!A156)</f>
        <v>156</v>
      </c>
      <c r="B270">
        <v>16742901</v>
      </c>
      <c r="C270">
        <v>16745763</v>
      </c>
      <c r="D270">
        <v>15161601</v>
      </c>
      <c r="E270">
        <v>17</v>
      </c>
      <c r="F270">
        <v>1</v>
      </c>
      <c r="G270">
        <v>1</v>
      </c>
      <c r="H270">
        <v>3</v>
      </c>
      <c r="I270" t="s">
        <v>466</v>
      </c>
      <c r="J270" t="s">
        <v>6</v>
      </c>
      <c r="K270" t="s">
        <v>467</v>
      </c>
      <c r="L270">
        <v>1339</v>
      </c>
      <c r="N270">
        <v>1007</v>
      </c>
      <c r="O270" t="s">
        <v>301</v>
      </c>
      <c r="P270" t="s">
        <v>301</v>
      </c>
      <c r="Q270">
        <v>1</v>
      </c>
      <c r="W270">
        <v>0</v>
      </c>
      <c r="X270">
        <v>-355906858</v>
      </c>
      <c r="Y270">
        <v>2.04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6.56</v>
      </c>
      <c r="AJ270">
        <v>1</v>
      </c>
      <c r="AK270">
        <v>1</v>
      </c>
      <c r="AL270">
        <v>1</v>
      </c>
      <c r="AN270">
        <v>0</v>
      </c>
      <c r="AO270">
        <v>0</v>
      </c>
      <c r="AP270">
        <v>0</v>
      </c>
      <c r="AQ270">
        <v>0</v>
      </c>
      <c r="AR270">
        <v>0</v>
      </c>
      <c r="AS270" t="s">
        <v>6</v>
      </c>
      <c r="AT270">
        <v>2.04</v>
      </c>
      <c r="AU270" t="s">
        <v>6</v>
      </c>
      <c r="AV270">
        <v>0</v>
      </c>
      <c r="AW270">
        <v>2</v>
      </c>
      <c r="AX270">
        <v>16745776</v>
      </c>
      <c r="AY270">
        <v>1</v>
      </c>
      <c r="AZ270">
        <v>0</v>
      </c>
      <c r="BA270">
        <v>256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Y270*Source!I156</f>
        <v>4.5116639999999997</v>
      </c>
      <c r="CY270">
        <f>AA270</f>
        <v>0</v>
      </c>
      <c r="CZ270">
        <f>AE270</f>
        <v>0</v>
      </c>
      <c r="DA270">
        <f>AI270</f>
        <v>6.56</v>
      </c>
      <c r="DB270">
        <f>ROUND(ROUND(AT270*CZ270,2),2)</f>
        <v>0</v>
      </c>
      <c r="DC270">
        <f>ROUND(ROUND(AT270*AG270,2),2)</f>
        <v>0</v>
      </c>
    </row>
    <row r="271" spans="1:107" x14ac:dyDescent="0.2">
      <c r="A271">
        <f>ROW(Source!A159)</f>
        <v>159</v>
      </c>
      <c r="B271">
        <v>16742901</v>
      </c>
      <c r="C271">
        <v>16745780</v>
      </c>
      <c r="D271">
        <v>15430517</v>
      </c>
      <c r="E271">
        <v>1</v>
      </c>
      <c r="F271">
        <v>1</v>
      </c>
      <c r="G271">
        <v>1</v>
      </c>
      <c r="H271">
        <v>1</v>
      </c>
      <c r="I271" t="s">
        <v>1337</v>
      </c>
      <c r="J271" t="s">
        <v>6</v>
      </c>
      <c r="K271" t="s">
        <v>1338</v>
      </c>
      <c r="L271">
        <v>1191</v>
      </c>
      <c r="N271">
        <v>1013</v>
      </c>
      <c r="O271" t="s">
        <v>1287</v>
      </c>
      <c r="P271" t="s">
        <v>1287</v>
      </c>
      <c r="Q271">
        <v>1</v>
      </c>
      <c r="W271">
        <v>0</v>
      </c>
      <c r="X271">
        <v>735429535</v>
      </c>
      <c r="Y271">
        <v>3.4499999999999997</v>
      </c>
      <c r="AA271">
        <v>0</v>
      </c>
      <c r="AB271">
        <v>0</v>
      </c>
      <c r="AC271">
        <v>0</v>
      </c>
      <c r="AD271">
        <v>51.17</v>
      </c>
      <c r="AE271">
        <v>0</v>
      </c>
      <c r="AF271">
        <v>0</v>
      </c>
      <c r="AG271">
        <v>0</v>
      </c>
      <c r="AH271">
        <v>7.8</v>
      </c>
      <c r="AI271">
        <v>1</v>
      </c>
      <c r="AJ271">
        <v>1</v>
      </c>
      <c r="AK271">
        <v>1</v>
      </c>
      <c r="AL271">
        <v>6.56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6</v>
      </c>
      <c r="AT271">
        <v>0.5</v>
      </c>
      <c r="AU271" t="s">
        <v>474</v>
      </c>
      <c r="AV271">
        <v>1</v>
      </c>
      <c r="AW271">
        <v>2</v>
      </c>
      <c r="AX271">
        <v>16745787</v>
      </c>
      <c r="AY271">
        <v>1</v>
      </c>
      <c r="AZ271">
        <v>0</v>
      </c>
      <c r="BA271">
        <v>257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Y271*Source!I159</f>
        <v>7.6300199999999982</v>
      </c>
      <c r="CY271">
        <f>AD271</f>
        <v>51.17</v>
      </c>
      <c r="CZ271">
        <f>AH271</f>
        <v>7.8</v>
      </c>
      <c r="DA271">
        <f>AL271</f>
        <v>6.56</v>
      </c>
      <c r="DB271">
        <f>ROUND((ROUND(AT271*CZ271,2)*1.15*6),2)</f>
        <v>26.91</v>
      </c>
      <c r="DC271">
        <f>ROUND((ROUND(AT271*AG271,2)*1.15*6),2)</f>
        <v>0</v>
      </c>
    </row>
    <row r="272" spans="1:107" x14ac:dyDescent="0.2">
      <c r="A272">
        <f>ROW(Source!A159)</f>
        <v>159</v>
      </c>
      <c r="B272">
        <v>16742901</v>
      </c>
      <c r="C272">
        <v>16745780</v>
      </c>
      <c r="D272">
        <v>15430395</v>
      </c>
      <c r="E272">
        <v>1</v>
      </c>
      <c r="F272">
        <v>1</v>
      </c>
      <c r="G272">
        <v>1</v>
      </c>
      <c r="H272">
        <v>1</v>
      </c>
      <c r="I272" t="s">
        <v>1293</v>
      </c>
      <c r="J272" t="s">
        <v>6</v>
      </c>
      <c r="K272" t="s">
        <v>1294</v>
      </c>
      <c r="L272">
        <v>1191</v>
      </c>
      <c r="N272">
        <v>1013</v>
      </c>
      <c r="O272" t="s">
        <v>1287</v>
      </c>
      <c r="P272" t="s">
        <v>1287</v>
      </c>
      <c r="Q272">
        <v>1</v>
      </c>
      <c r="W272">
        <v>0</v>
      </c>
      <c r="X272">
        <v>-1417349443</v>
      </c>
      <c r="Y272">
        <v>0.21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6.56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0.21</v>
      </c>
      <c r="AU272" t="s">
        <v>6</v>
      </c>
      <c r="AV272">
        <v>2</v>
      </c>
      <c r="AW272">
        <v>2</v>
      </c>
      <c r="AX272">
        <v>16745788</v>
      </c>
      <c r="AY272">
        <v>1</v>
      </c>
      <c r="AZ272">
        <v>2048</v>
      </c>
      <c r="BA272">
        <v>258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Y272*Source!I159</f>
        <v>0.46443599999999996</v>
      </c>
      <c r="CY272">
        <f>AD272</f>
        <v>0</v>
      </c>
      <c r="CZ272">
        <f>AH272</f>
        <v>0</v>
      </c>
      <c r="DA272">
        <f>AL272</f>
        <v>1</v>
      </c>
      <c r="DB272">
        <f>ROUND(ROUND(AT272*CZ272,2),2)</f>
        <v>0</v>
      </c>
      <c r="DC272">
        <f>ROUND(ROUND(AT272*AG272,2),2)</f>
        <v>0</v>
      </c>
    </row>
    <row r="273" spans="1:107" x14ac:dyDescent="0.2">
      <c r="A273">
        <f>ROW(Source!A159)</f>
        <v>159</v>
      </c>
      <c r="B273">
        <v>16742901</v>
      </c>
      <c r="C273">
        <v>16745780</v>
      </c>
      <c r="D273">
        <v>15247974</v>
      </c>
      <c r="E273">
        <v>1</v>
      </c>
      <c r="F273">
        <v>1</v>
      </c>
      <c r="G273">
        <v>1</v>
      </c>
      <c r="H273">
        <v>2</v>
      </c>
      <c r="I273" t="s">
        <v>1314</v>
      </c>
      <c r="J273" t="s">
        <v>1315</v>
      </c>
      <c r="K273" t="s">
        <v>1316</v>
      </c>
      <c r="L273">
        <v>1368</v>
      </c>
      <c r="N273">
        <v>1011</v>
      </c>
      <c r="O273" t="s">
        <v>1298</v>
      </c>
      <c r="P273" t="s">
        <v>1298</v>
      </c>
      <c r="Q273">
        <v>1</v>
      </c>
      <c r="W273">
        <v>0</v>
      </c>
      <c r="X273">
        <v>1188625873</v>
      </c>
      <c r="Y273">
        <v>1.5750000000000002</v>
      </c>
      <c r="AA273">
        <v>0</v>
      </c>
      <c r="AB273">
        <v>205.07</v>
      </c>
      <c r="AC273">
        <v>13.5</v>
      </c>
      <c r="AD273">
        <v>0</v>
      </c>
      <c r="AE273">
        <v>0</v>
      </c>
      <c r="AF273">
        <v>31.26</v>
      </c>
      <c r="AG273">
        <v>13.5</v>
      </c>
      <c r="AH273">
        <v>0</v>
      </c>
      <c r="AI273">
        <v>1</v>
      </c>
      <c r="AJ273">
        <v>6.56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0.21</v>
      </c>
      <c r="AU273" t="s">
        <v>473</v>
      </c>
      <c r="AV273">
        <v>0</v>
      </c>
      <c r="AW273">
        <v>2</v>
      </c>
      <c r="AX273">
        <v>16745789</v>
      </c>
      <c r="AY273">
        <v>1</v>
      </c>
      <c r="AZ273">
        <v>0</v>
      </c>
      <c r="BA273">
        <v>259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Y273*Source!I159</f>
        <v>3.4832700000000001</v>
      </c>
      <c r="CY273">
        <f>AB273</f>
        <v>205.07</v>
      </c>
      <c r="CZ273">
        <f>AF273</f>
        <v>31.26</v>
      </c>
      <c r="DA273">
        <f>AJ273</f>
        <v>6.56</v>
      </c>
      <c r="DB273">
        <f>ROUND((ROUND(AT273*CZ273,2)*1.25*6),2)</f>
        <v>49.2</v>
      </c>
      <c r="DC273">
        <f>ROUND((ROUND(AT273*AG273,2)*1.25*6),2)</f>
        <v>21.3</v>
      </c>
    </row>
    <row r="274" spans="1:107" x14ac:dyDescent="0.2">
      <c r="A274">
        <f>ROW(Source!A159)</f>
        <v>159</v>
      </c>
      <c r="B274">
        <v>16742901</v>
      </c>
      <c r="C274">
        <v>16745780</v>
      </c>
      <c r="D274">
        <v>15248091</v>
      </c>
      <c r="E274">
        <v>1</v>
      </c>
      <c r="F274">
        <v>1</v>
      </c>
      <c r="G274">
        <v>1</v>
      </c>
      <c r="H274">
        <v>2</v>
      </c>
      <c r="I274" t="s">
        <v>1546</v>
      </c>
      <c r="J274" t="s">
        <v>1547</v>
      </c>
      <c r="K274" t="s">
        <v>1548</v>
      </c>
      <c r="L274">
        <v>1368</v>
      </c>
      <c r="N274">
        <v>1011</v>
      </c>
      <c r="O274" t="s">
        <v>1298</v>
      </c>
      <c r="P274" t="s">
        <v>1298</v>
      </c>
      <c r="Q274">
        <v>1</v>
      </c>
      <c r="W274">
        <v>0</v>
      </c>
      <c r="X274">
        <v>126902709</v>
      </c>
      <c r="Y274">
        <v>17.399999999999999</v>
      </c>
      <c r="AA274">
        <v>0</v>
      </c>
      <c r="AB274">
        <v>3.28</v>
      </c>
      <c r="AC274">
        <v>0</v>
      </c>
      <c r="AD274">
        <v>0</v>
      </c>
      <c r="AE274">
        <v>0</v>
      </c>
      <c r="AF274">
        <v>0.5</v>
      </c>
      <c r="AG274">
        <v>0</v>
      </c>
      <c r="AH274">
        <v>0</v>
      </c>
      <c r="AI274">
        <v>1</v>
      </c>
      <c r="AJ274">
        <v>6.56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6</v>
      </c>
      <c r="AT274">
        <v>2.3199999999999998</v>
      </c>
      <c r="AU274" t="s">
        <v>473</v>
      </c>
      <c r="AV274">
        <v>0</v>
      </c>
      <c r="AW274">
        <v>2</v>
      </c>
      <c r="AX274">
        <v>16745790</v>
      </c>
      <c r="AY274">
        <v>1</v>
      </c>
      <c r="AZ274">
        <v>0</v>
      </c>
      <c r="BA274">
        <v>260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Y274*Source!I159</f>
        <v>38.481839999999991</v>
      </c>
      <c r="CY274">
        <f>AB274</f>
        <v>3.28</v>
      </c>
      <c r="CZ274">
        <f>AF274</f>
        <v>0.5</v>
      </c>
      <c r="DA274">
        <f>AJ274</f>
        <v>6.56</v>
      </c>
      <c r="DB274">
        <f>ROUND((ROUND(AT274*CZ274,2)*1.25*6),2)</f>
        <v>8.6999999999999993</v>
      </c>
      <c r="DC274">
        <f>ROUND((ROUND(AT274*AG274,2)*1.25*6),2)</f>
        <v>0</v>
      </c>
    </row>
    <row r="275" spans="1:107" x14ac:dyDescent="0.2">
      <c r="A275">
        <f>ROW(Source!A159)</f>
        <v>159</v>
      </c>
      <c r="B275">
        <v>16742901</v>
      </c>
      <c r="C275">
        <v>16745780</v>
      </c>
      <c r="D275">
        <v>15172442</v>
      </c>
      <c r="E275">
        <v>1</v>
      </c>
      <c r="F275">
        <v>1</v>
      </c>
      <c r="G275">
        <v>1</v>
      </c>
      <c r="H275">
        <v>3</v>
      </c>
      <c r="I275" t="s">
        <v>462</v>
      </c>
      <c r="J275" t="s">
        <v>464</v>
      </c>
      <c r="K275" t="s">
        <v>463</v>
      </c>
      <c r="L275">
        <v>1339</v>
      </c>
      <c r="N275">
        <v>1007</v>
      </c>
      <c r="O275" t="s">
        <v>301</v>
      </c>
      <c r="P275" t="s">
        <v>301</v>
      </c>
      <c r="Q275">
        <v>1</v>
      </c>
      <c r="W275">
        <v>0</v>
      </c>
      <c r="X275">
        <v>1435212761</v>
      </c>
      <c r="Y275">
        <v>3.06</v>
      </c>
      <c r="AA275">
        <v>4220.8999999999996</v>
      </c>
      <c r="AB275">
        <v>0</v>
      </c>
      <c r="AC275">
        <v>0</v>
      </c>
      <c r="AD275">
        <v>0</v>
      </c>
      <c r="AE275">
        <v>643.42999999999995</v>
      </c>
      <c r="AF275">
        <v>0</v>
      </c>
      <c r="AG275">
        <v>0</v>
      </c>
      <c r="AH275">
        <v>0</v>
      </c>
      <c r="AI275">
        <v>6.56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1</v>
      </c>
      <c r="AQ275">
        <v>0</v>
      </c>
      <c r="AR275">
        <v>0</v>
      </c>
      <c r="AS275" t="s">
        <v>6</v>
      </c>
      <c r="AT275">
        <v>0.51</v>
      </c>
      <c r="AU275" t="s">
        <v>472</v>
      </c>
      <c r="AV275">
        <v>0</v>
      </c>
      <c r="AW275">
        <v>1</v>
      </c>
      <c r="AX275">
        <v>-1</v>
      </c>
      <c r="AY275">
        <v>0</v>
      </c>
      <c r="AZ275">
        <v>0</v>
      </c>
      <c r="BA275" t="s">
        <v>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Y275*Source!I159</f>
        <v>6.7674959999999995</v>
      </c>
      <c r="CY275">
        <f>AA275</f>
        <v>4220.8999999999996</v>
      </c>
      <c r="CZ275">
        <f>AE275</f>
        <v>643.42999999999995</v>
      </c>
      <c r="DA275">
        <f>AI275</f>
        <v>6.56</v>
      </c>
      <c r="DB275">
        <f>ROUND((ROUND(AT275*CZ275,2)*6),2)</f>
        <v>1968.9</v>
      </c>
      <c r="DC275">
        <f>ROUND((ROUND(AT275*AG275,2)*6),2)</f>
        <v>0</v>
      </c>
    </row>
    <row r="276" spans="1:107" x14ac:dyDescent="0.2">
      <c r="A276">
        <f>ROW(Source!A159)</f>
        <v>159</v>
      </c>
      <c r="B276">
        <v>16742901</v>
      </c>
      <c r="C276">
        <v>16745780</v>
      </c>
      <c r="D276">
        <v>15161601</v>
      </c>
      <c r="E276">
        <v>17</v>
      </c>
      <c r="F276">
        <v>1</v>
      </c>
      <c r="G276">
        <v>1</v>
      </c>
      <c r="H276">
        <v>3</v>
      </c>
      <c r="I276" t="s">
        <v>466</v>
      </c>
      <c r="J276" t="s">
        <v>6</v>
      </c>
      <c r="K276" t="s">
        <v>467</v>
      </c>
      <c r="L276">
        <v>1339</v>
      </c>
      <c r="N276">
        <v>1007</v>
      </c>
      <c r="O276" t="s">
        <v>301</v>
      </c>
      <c r="P276" t="s">
        <v>301</v>
      </c>
      <c r="Q276">
        <v>1</v>
      </c>
      <c r="W276">
        <v>0</v>
      </c>
      <c r="X276">
        <v>-355906858</v>
      </c>
      <c r="Y276">
        <v>3.06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6.56</v>
      </c>
      <c r="AJ276">
        <v>1</v>
      </c>
      <c r="AK276">
        <v>1</v>
      </c>
      <c r="AL276">
        <v>1</v>
      </c>
      <c r="AN276">
        <v>0</v>
      </c>
      <c r="AO276">
        <v>0</v>
      </c>
      <c r="AP276">
        <v>1</v>
      </c>
      <c r="AQ276">
        <v>0</v>
      </c>
      <c r="AR276">
        <v>0</v>
      </c>
      <c r="AS276" t="s">
        <v>6</v>
      </c>
      <c r="AT276">
        <v>0.51</v>
      </c>
      <c r="AU276" t="s">
        <v>472</v>
      </c>
      <c r="AV276">
        <v>0</v>
      </c>
      <c r="AW276">
        <v>2</v>
      </c>
      <c r="AX276">
        <v>16745791</v>
      </c>
      <c r="AY276">
        <v>1</v>
      </c>
      <c r="AZ276">
        <v>0</v>
      </c>
      <c r="BA276">
        <v>261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Y276*Source!I159</f>
        <v>6.7674959999999995</v>
      </c>
      <c r="CY276">
        <f>AA276</f>
        <v>0</v>
      </c>
      <c r="CZ276">
        <f>AE276</f>
        <v>0</v>
      </c>
      <c r="DA276">
        <f>AI276</f>
        <v>6.56</v>
      </c>
      <c r="DB276">
        <f>ROUND((ROUND(AT276*CZ276,2)*6),2)</f>
        <v>0</v>
      </c>
      <c r="DC276">
        <f>ROUND((ROUND(AT276*AG276,2)*6),2)</f>
        <v>0</v>
      </c>
    </row>
    <row r="277" spans="1:107" x14ac:dyDescent="0.2">
      <c r="A277">
        <f>ROW(Source!A162)</f>
        <v>162</v>
      </c>
      <c r="B277">
        <v>16742901</v>
      </c>
      <c r="C277">
        <v>16745794</v>
      </c>
      <c r="D277">
        <v>15430767</v>
      </c>
      <c r="E277">
        <v>1</v>
      </c>
      <c r="F277">
        <v>1</v>
      </c>
      <c r="G277">
        <v>1</v>
      </c>
      <c r="H277">
        <v>1</v>
      </c>
      <c r="I277" t="s">
        <v>1285</v>
      </c>
      <c r="J277" t="s">
        <v>6</v>
      </c>
      <c r="K277" t="s">
        <v>1286</v>
      </c>
      <c r="L277">
        <v>1191</v>
      </c>
      <c r="N277">
        <v>1013</v>
      </c>
      <c r="O277" t="s">
        <v>1287</v>
      </c>
      <c r="P277" t="s">
        <v>1287</v>
      </c>
      <c r="Q277">
        <v>1</v>
      </c>
      <c r="W277">
        <v>0</v>
      </c>
      <c r="X277">
        <v>-400197608</v>
      </c>
      <c r="Y277">
        <v>43.320499999999996</v>
      </c>
      <c r="AA277">
        <v>0</v>
      </c>
      <c r="AB277">
        <v>0</v>
      </c>
      <c r="AC277">
        <v>0</v>
      </c>
      <c r="AD277">
        <v>55.96</v>
      </c>
      <c r="AE277">
        <v>0</v>
      </c>
      <c r="AF277">
        <v>0</v>
      </c>
      <c r="AG277">
        <v>0</v>
      </c>
      <c r="AH277">
        <v>8.5299999999999994</v>
      </c>
      <c r="AI277">
        <v>1</v>
      </c>
      <c r="AJ277">
        <v>1</v>
      </c>
      <c r="AK277">
        <v>1</v>
      </c>
      <c r="AL277">
        <v>6.56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37.67</v>
      </c>
      <c r="AU277" t="s">
        <v>188</v>
      </c>
      <c r="AV277">
        <v>1</v>
      </c>
      <c r="AW277">
        <v>2</v>
      </c>
      <c r="AX277">
        <v>16745802</v>
      </c>
      <c r="AY277">
        <v>1</v>
      </c>
      <c r="AZ277">
        <v>0</v>
      </c>
      <c r="BA277">
        <v>262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Y277*Source!I162</f>
        <v>86.710312799999983</v>
      </c>
      <c r="CY277">
        <f>AD277</f>
        <v>55.96</v>
      </c>
      <c r="CZ277">
        <f>AH277</f>
        <v>8.5299999999999994</v>
      </c>
      <c r="DA277">
        <f>AL277</f>
        <v>6.56</v>
      </c>
      <c r="DB277">
        <f>ROUND((ROUND(AT277*CZ277,2)*1.15),2)</f>
        <v>369.53</v>
      </c>
      <c r="DC277">
        <f>ROUND((ROUND(AT277*AG277,2)*1.15),2)</f>
        <v>0</v>
      </c>
    </row>
    <row r="278" spans="1:107" x14ac:dyDescent="0.2">
      <c r="A278">
        <f>ROW(Source!A162)</f>
        <v>162</v>
      </c>
      <c r="B278">
        <v>16742901</v>
      </c>
      <c r="C278">
        <v>16745794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1293</v>
      </c>
      <c r="J278" t="s">
        <v>6</v>
      </c>
      <c r="K278" t="s">
        <v>1294</v>
      </c>
      <c r="L278">
        <v>1191</v>
      </c>
      <c r="N278">
        <v>1013</v>
      </c>
      <c r="O278" t="s">
        <v>1287</v>
      </c>
      <c r="P278" t="s">
        <v>1287</v>
      </c>
      <c r="Q278">
        <v>1</v>
      </c>
      <c r="W278">
        <v>0</v>
      </c>
      <c r="X278">
        <v>-1417349443</v>
      </c>
      <c r="Y278">
        <v>0.17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6.56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0.17</v>
      </c>
      <c r="AU278" t="s">
        <v>6</v>
      </c>
      <c r="AV278">
        <v>2</v>
      </c>
      <c r="AW278">
        <v>2</v>
      </c>
      <c r="AX278">
        <v>16745803</v>
      </c>
      <c r="AY278">
        <v>1</v>
      </c>
      <c r="AZ278">
        <v>2048</v>
      </c>
      <c r="BA278">
        <v>263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Y278*Source!I162</f>
        <v>0.34027200000000002</v>
      </c>
      <c r="CY278">
        <f>AD278</f>
        <v>0</v>
      </c>
      <c r="CZ278">
        <f>AH278</f>
        <v>0</v>
      </c>
      <c r="DA278">
        <f>AL278</f>
        <v>1</v>
      </c>
      <c r="DB278">
        <f>ROUND(ROUND(AT278*CZ278,2),2)</f>
        <v>0</v>
      </c>
      <c r="DC278">
        <f>ROUND(ROUND(AT278*AG278,2),2)</f>
        <v>0</v>
      </c>
    </row>
    <row r="279" spans="1:107" x14ac:dyDescent="0.2">
      <c r="A279">
        <f>ROW(Source!A162)</f>
        <v>162</v>
      </c>
      <c r="B279">
        <v>16742901</v>
      </c>
      <c r="C279">
        <v>16745794</v>
      </c>
      <c r="D279">
        <v>15247970</v>
      </c>
      <c r="E279">
        <v>1</v>
      </c>
      <c r="F279">
        <v>1</v>
      </c>
      <c r="G279">
        <v>1</v>
      </c>
      <c r="H279">
        <v>2</v>
      </c>
      <c r="I279" t="s">
        <v>1549</v>
      </c>
      <c r="J279" t="s">
        <v>1550</v>
      </c>
      <c r="K279" t="s">
        <v>1551</v>
      </c>
      <c r="L279">
        <v>1368</v>
      </c>
      <c r="N279">
        <v>1011</v>
      </c>
      <c r="O279" t="s">
        <v>1298</v>
      </c>
      <c r="P279" t="s">
        <v>1298</v>
      </c>
      <c r="Q279">
        <v>1</v>
      </c>
      <c r="W279">
        <v>0</v>
      </c>
      <c r="X279">
        <v>368031958</v>
      </c>
      <c r="Y279">
        <v>0.16250000000000001</v>
      </c>
      <c r="AA279">
        <v>0</v>
      </c>
      <c r="AB279">
        <v>181.45</v>
      </c>
      <c r="AC279">
        <v>11.6</v>
      </c>
      <c r="AD279">
        <v>0</v>
      </c>
      <c r="AE279">
        <v>0</v>
      </c>
      <c r="AF279">
        <v>27.66</v>
      </c>
      <c r="AG279">
        <v>11.6</v>
      </c>
      <c r="AH279">
        <v>0</v>
      </c>
      <c r="AI279">
        <v>1</v>
      </c>
      <c r="AJ279">
        <v>6.56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6</v>
      </c>
      <c r="AT279">
        <v>0.13</v>
      </c>
      <c r="AU279" t="s">
        <v>187</v>
      </c>
      <c r="AV279">
        <v>0</v>
      </c>
      <c r="AW279">
        <v>2</v>
      </c>
      <c r="AX279">
        <v>16745804</v>
      </c>
      <c r="AY279">
        <v>1</v>
      </c>
      <c r="AZ279">
        <v>0</v>
      </c>
      <c r="BA279">
        <v>264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Y279*Source!I162</f>
        <v>0.32525999999999999</v>
      </c>
      <c r="CY279">
        <f>AB279</f>
        <v>181.45</v>
      </c>
      <c r="CZ279">
        <f>AF279</f>
        <v>27.66</v>
      </c>
      <c r="DA279">
        <f>AJ279</f>
        <v>6.56</v>
      </c>
      <c r="DB279">
        <f>ROUND((ROUND(AT279*CZ279,2)*1.25),2)</f>
        <v>4.5</v>
      </c>
      <c r="DC279">
        <f>ROUND((ROUND(AT279*AG279,2)*1.25),2)</f>
        <v>1.89</v>
      </c>
    </row>
    <row r="280" spans="1:107" x14ac:dyDescent="0.2">
      <c r="A280">
        <f>ROW(Source!A162)</f>
        <v>162</v>
      </c>
      <c r="B280">
        <v>16742901</v>
      </c>
      <c r="C280">
        <v>16745794</v>
      </c>
      <c r="D280">
        <v>15249073</v>
      </c>
      <c r="E280">
        <v>1</v>
      </c>
      <c r="F280">
        <v>1</v>
      </c>
      <c r="G280">
        <v>1</v>
      </c>
      <c r="H280">
        <v>2</v>
      </c>
      <c r="I280" t="s">
        <v>1299</v>
      </c>
      <c r="J280" t="s">
        <v>1300</v>
      </c>
      <c r="K280" t="s">
        <v>1301</v>
      </c>
      <c r="L280">
        <v>1368</v>
      </c>
      <c r="N280">
        <v>1011</v>
      </c>
      <c r="O280" t="s">
        <v>1298</v>
      </c>
      <c r="P280" t="s">
        <v>1298</v>
      </c>
      <c r="Q280">
        <v>1</v>
      </c>
      <c r="W280">
        <v>0</v>
      </c>
      <c r="X280">
        <v>1372534845</v>
      </c>
      <c r="Y280">
        <v>0.05</v>
      </c>
      <c r="AA280">
        <v>0</v>
      </c>
      <c r="AB280">
        <v>431.06</v>
      </c>
      <c r="AC280">
        <v>11.6</v>
      </c>
      <c r="AD280">
        <v>0</v>
      </c>
      <c r="AE280">
        <v>0</v>
      </c>
      <c r="AF280">
        <v>65.709999999999994</v>
      </c>
      <c r="AG280">
        <v>11.6</v>
      </c>
      <c r="AH280">
        <v>0</v>
      </c>
      <c r="AI280">
        <v>1</v>
      </c>
      <c r="AJ280">
        <v>6.56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6</v>
      </c>
      <c r="AT280">
        <v>0.04</v>
      </c>
      <c r="AU280" t="s">
        <v>187</v>
      </c>
      <c r="AV280">
        <v>0</v>
      </c>
      <c r="AW280">
        <v>2</v>
      </c>
      <c r="AX280">
        <v>16745805</v>
      </c>
      <c r="AY280">
        <v>1</v>
      </c>
      <c r="AZ280">
        <v>0</v>
      </c>
      <c r="BA280">
        <v>265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Y280*Source!I162</f>
        <v>0.10008</v>
      </c>
      <c r="CY280">
        <f>AB280</f>
        <v>431.06</v>
      </c>
      <c r="CZ280">
        <f>AF280</f>
        <v>65.709999999999994</v>
      </c>
      <c r="DA280">
        <f>AJ280</f>
        <v>6.56</v>
      </c>
      <c r="DB280">
        <f>ROUND((ROUND(AT280*CZ280,2)*1.25),2)</f>
        <v>3.29</v>
      </c>
      <c r="DC280">
        <f>ROUND((ROUND(AT280*AG280,2)*1.25),2)</f>
        <v>0.57999999999999996</v>
      </c>
    </row>
    <row r="281" spans="1:107" x14ac:dyDescent="0.2">
      <c r="A281">
        <f>ROW(Source!A162)</f>
        <v>162</v>
      </c>
      <c r="B281">
        <v>16742901</v>
      </c>
      <c r="C281">
        <v>16745794</v>
      </c>
      <c r="D281">
        <v>15167286</v>
      </c>
      <c r="E281">
        <v>1</v>
      </c>
      <c r="F281">
        <v>1</v>
      </c>
      <c r="G281">
        <v>1</v>
      </c>
      <c r="H281">
        <v>3</v>
      </c>
      <c r="I281" t="s">
        <v>1317</v>
      </c>
      <c r="J281" t="s">
        <v>1318</v>
      </c>
      <c r="K281" t="s">
        <v>1319</v>
      </c>
      <c r="L281">
        <v>1339</v>
      </c>
      <c r="N281">
        <v>1007</v>
      </c>
      <c r="O281" t="s">
        <v>301</v>
      </c>
      <c r="P281" t="s">
        <v>301</v>
      </c>
      <c r="Q281">
        <v>1</v>
      </c>
      <c r="W281">
        <v>0</v>
      </c>
      <c r="X281">
        <v>-1660354250</v>
      </c>
      <c r="Y281">
        <v>0.17399999999999999</v>
      </c>
      <c r="AA281">
        <v>16.010000000000002</v>
      </c>
      <c r="AB281">
        <v>0</v>
      </c>
      <c r="AC281">
        <v>0</v>
      </c>
      <c r="AD281">
        <v>0</v>
      </c>
      <c r="AE281">
        <v>2.44</v>
      </c>
      <c r="AF281">
        <v>0</v>
      </c>
      <c r="AG281">
        <v>0</v>
      </c>
      <c r="AH281">
        <v>0</v>
      </c>
      <c r="AI281">
        <v>6.56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0.17399999999999999</v>
      </c>
      <c r="AU281" t="s">
        <v>6</v>
      </c>
      <c r="AV281">
        <v>0</v>
      </c>
      <c r="AW281">
        <v>2</v>
      </c>
      <c r="AX281">
        <v>16745806</v>
      </c>
      <c r="AY281">
        <v>1</v>
      </c>
      <c r="AZ281">
        <v>0</v>
      </c>
      <c r="BA281">
        <v>266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Y281*Source!I162</f>
        <v>0.34827839999999993</v>
      </c>
      <c r="CY281">
        <f>AA281</f>
        <v>16.010000000000002</v>
      </c>
      <c r="CZ281">
        <f>AE281</f>
        <v>2.44</v>
      </c>
      <c r="DA281">
        <f>AI281</f>
        <v>6.56</v>
      </c>
      <c r="DB281">
        <f>ROUND(ROUND(AT281*CZ281,2),2)</f>
        <v>0.42</v>
      </c>
      <c r="DC281">
        <f>ROUND(ROUND(AT281*AG281,2),2)</f>
        <v>0</v>
      </c>
    </row>
    <row r="282" spans="1:107" x14ac:dyDescent="0.2">
      <c r="A282">
        <f>ROW(Source!A162)</f>
        <v>162</v>
      </c>
      <c r="B282">
        <v>16742901</v>
      </c>
      <c r="C282">
        <v>16745794</v>
      </c>
      <c r="D282">
        <v>15172906</v>
      </c>
      <c r="E282">
        <v>1</v>
      </c>
      <c r="F282">
        <v>1</v>
      </c>
      <c r="G282">
        <v>1</v>
      </c>
      <c r="H282">
        <v>3</v>
      </c>
      <c r="I282" t="s">
        <v>1552</v>
      </c>
      <c r="J282" t="s">
        <v>1553</v>
      </c>
      <c r="K282" t="s">
        <v>1554</v>
      </c>
      <c r="L282">
        <v>1348</v>
      </c>
      <c r="N282">
        <v>1009</v>
      </c>
      <c r="O282" t="s">
        <v>100</v>
      </c>
      <c r="P282" t="s">
        <v>100</v>
      </c>
      <c r="Q282">
        <v>1000</v>
      </c>
      <c r="W282">
        <v>0</v>
      </c>
      <c r="X282">
        <v>-2114578287</v>
      </c>
      <c r="Y282">
        <v>0.9</v>
      </c>
      <c r="AA282">
        <v>74663.100000000006</v>
      </c>
      <c r="AB282">
        <v>0</v>
      </c>
      <c r="AC282">
        <v>0</v>
      </c>
      <c r="AD282">
        <v>0</v>
      </c>
      <c r="AE282">
        <v>11381.57</v>
      </c>
      <c r="AF282">
        <v>0</v>
      </c>
      <c r="AG282">
        <v>0</v>
      </c>
      <c r="AH282">
        <v>0</v>
      </c>
      <c r="AI282">
        <v>6.56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0.9</v>
      </c>
      <c r="AU282" t="s">
        <v>6</v>
      </c>
      <c r="AV282">
        <v>0</v>
      </c>
      <c r="AW282">
        <v>2</v>
      </c>
      <c r="AX282">
        <v>16745807</v>
      </c>
      <c r="AY282">
        <v>1</v>
      </c>
      <c r="AZ282">
        <v>0</v>
      </c>
      <c r="BA282">
        <v>267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Y282*Source!I162</f>
        <v>1.8014399999999999</v>
      </c>
      <c r="CY282">
        <f>AA282</f>
        <v>74663.100000000006</v>
      </c>
      <c r="CZ282">
        <f>AE282</f>
        <v>11381.57</v>
      </c>
      <c r="DA282">
        <f>AI282</f>
        <v>6.56</v>
      </c>
      <c r="DB282">
        <f>ROUND(ROUND(AT282*CZ282,2),2)</f>
        <v>10243.41</v>
      </c>
      <c r="DC282">
        <f>ROUND(ROUND(AT282*AG282,2),2)</f>
        <v>0</v>
      </c>
    </row>
    <row r="283" spans="1:107" x14ac:dyDescent="0.2">
      <c r="A283">
        <f>ROW(Source!A162)</f>
        <v>162</v>
      </c>
      <c r="B283">
        <v>16742901</v>
      </c>
      <c r="C283">
        <v>16745794</v>
      </c>
      <c r="D283">
        <v>15203485</v>
      </c>
      <c r="E283">
        <v>1</v>
      </c>
      <c r="F283">
        <v>1</v>
      </c>
      <c r="G283">
        <v>1</v>
      </c>
      <c r="H283">
        <v>3</v>
      </c>
      <c r="I283" t="s">
        <v>1555</v>
      </c>
      <c r="J283" t="s">
        <v>1556</v>
      </c>
      <c r="K283" t="s">
        <v>1557</v>
      </c>
      <c r="L283">
        <v>1346</v>
      </c>
      <c r="N283">
        <v>1009</v>
      </c>
      <c r="O283" t="s">
        <v>341</v>
      </c>
      <c r="P283" t="s">
        <v>341</v>
      </c>
      <c r="Q283">
        <v>1</v>
      </c>
      <c r="W283">
        <v>0</v>
      </c>
      <c r="X283">
        <v>303141801</v>
      </c>
      <c r="Y283">
        <v>30</v>
      </c>
      <c r="AA283">
        <v>100.04</v>
      </c>
      <c r="AB283">
        <v>0</v>
      </c>
      <c r="AC283">
        <v>0</v>
      </c>
      <c r="AD283">
        <v>0</v>
      </c>
      <c r="AE283">
        <v>15.25</v>
      </c>
      <c r="AF283">
        <v>0</v>
      </c>
      <c r="AG283">
        <v>0</v>
      </c>
      <c r="AH283">
        <v>0</v>
      </c>
      <c r="AI283">
        <v>6.56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30</v>
      </c>
      <c r="AU283" t="s">
        <v>6</v>
      </c>
      <c r="AV283">
        <v>0</v>
      </c>
      <c r="AW283">
        <v>2</v>
      </c>
      <c r="AX283">
        <v>16745808</v>
      </c>
      <c r="AY283">
        <v>1</v>
      </c>
      <c r="AZ283">
        <v>0</v>
      </c>
      <c r="BA283">
        <v>268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Y283*Source!I162</f>
        <v>60.047999999999995</v>
      </c>
      <c r="CY283">
        <f>AA283</f>
        <v>100.04</v>
      </c>
      <c r="CZ283">
        <f>AE283</f>
        <v>15.25</v>
      </c>
      <c r="DA283">
        <f>AI283</f>
        <v>6.56</v>
      </c>
      <c r="DB283">
        <f>ROUND(ROUND(AT283*CZ283,2),2)</f>
        <v>457.5</v>
      </c>
      <c r="DC283">
        <f>ROUND(ROUND(AT283*AG283,2),2)</f>
        <v>0</v>
      </c>
    </row>
    <row r="284" spans="1:107" x14ac:dyDescent="0.2">
      <c r="A284">
        <f>ROW(Source!A163)</f>
        <v>163</v>
      </c>
      <c r="B284">
        <v>16742901</v>
      </c>
      <c r="C284">
        <v>16745810</v>
      </c>
      <c r="D284">
        <v>15430767</v>
      </c>
      <c r="E284">
        <v>1</v>
      </c>
      <c r="F284">
        <v>1</v>
      </c>
      <c r="G284">
        <v>1</v>
      </c>
      <c r="H284">
        <v>1</v>
      </c>
      <c r="I284" t="s">
        <v>1285</v>
      </c>
      <c r="J284" t="s">
        <v>6</v>
      </c>
      <c r="K284" t="s">
        <v>1286</v>
      </c>
      <c r="L284">
        <v>1191</v>
      </c>
      <c r="N284">
        <v>1013</v>
      </c>
      <c r="O284" t="s">
        <v>1287</v>
      </c>
      <c r="P284" t="s">
        <v>1287</v>
      </c>
      <c r="Q284">
        <v>1</v>
      </c>
      <c r="W284">
        <v>0</v>
      </c>
      <c r="X284">
        <v>-400197608</v>
      </c>
      <c r="Y284">
        <v>13.914999999999999</v>
      </c>
      <c r="AA284">
        <v>0</v>
      </c>
      <c r="AB284">
        <v>0</v>
      </c>
      <c r="AC284">
        <v>0</v>
      </c>
      <c r="AD284">
        <v>55.96</v>
      </c>
      <c r="AE284">
        <v>0</v>
      </c>
      <c r="AF284">
        <v>0</v>
      </c>
      <c r="AG284">
        <v>0</v>
      </c>
      <c r="AH284">
        <v>8.5299999999999994</v>
      </c>
      <c r="AI284">
        <v>1</v>
      </c>
      <c r="AJ284">
        <v>1</v>
      </c>
      <c r="AK284">
        <v>1</v>
      </c>
      <c r="AL284">
        <v>6.56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2.42</v>
      </c>
      <c r="AU284" t="s">
        <v>487</v>
      </c>
      <c r="AV284">
        <v>1</v>
      </c>
      <c r="AW284">
        <v>2</v>
      </c>
      <c r="AX284">
        <v>16745817</v>
      </c>
      <c r="AY284">
        <v>1</v>
      </c>
      <c r="AZ284">
        <v>0</v>
      </c>
      <c r="BA284">
        <v>269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Y284*Source!I163</f>
        <v>27.852263999999995</v>
      </c>
      <c r="CY284">
        <f>AD284</f>
        <v>55.96</v>
      </c>
      <c r="CZ284">
        <f>AH284</f>
        <v>8.5299999999999994</v>
      </c>
      <c r="DA284">
        <f>AL284</f>
        <v>6.56</v>
      </c>
      <c r="DB284">
        <f>ROUND((ROUND(AT284*CZ284,2)*1.15*5),2)</f>
        <v>118.68</v>
      </c>
      <c r="DC284">
        <f>ROUND((ROUND(AT284*AG284,2)*1.15*5),2)</f>
        <v>0</v>
      </c>
    </row>
    <row r="285" spans="1:107" x14ac:dyDescent="0.2">
      <c r="A285">
        <f>ROW(Source!A163)</f>
        <v>163</v>
      </c>
      <c r="B285">
        <v>16742901</v>
      </c>
      <c r="C285">
        <v>16745810</v>
      </c>
      <c r="D285">
        <v>15430395</v>
      </c>
      <c r="E285">
        <v>1</v>
      </c>
      <c r="F285">
        <v>1</v>
      </c>
      <c r="G285">
        <v>1</v>
      </c>
      <c r="H285">
        <v>1</v>
      </c>
      <c r="I285" t="s">
        <v>1293</v>
      </c>
      <c r="J285" t="s">
        <v>6</v>
      </c>
      <c r="K285" t="s">
        <v>1294</v>
      </c>
      <c r="L285">
        <v>1191</v>
      </c>
      <c r="N285">
        <v>1013</v>
      </c>
      <c r="O285" t="s">
        <v>1287</v>
      </c>
      <c r="P285" t="s">
        <v>1287</v>
      </c>
      <c r="Q285">
        <v>1</v>
      </c>
      <c r="W285">
        <v>0</v>
      </c>
      <c r="X285">
        <v>-1417349443</v>
      </c>
      <c r="Y285">
        <v>0.03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6.56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0.03</v>
      </c>
      <c r="AU285" t="s">
        <v>6</v>
      </c>
      <c r="AV285">
        <v>2</v>
      </c>
      <c r="AW285">
        <v>2</v>
      </c>
      <c r="AX285">
        <v>16745818</v>
      </c>
      <c r="AY285">
        <v>1</v>
      </c>
      <c r="AZ285">
        <v>2048</v>
      </c>
      <c r="BA285">
        <v>270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Y285*Source!I163</f>
        <v>6.004799999999999E-2</v>
      </c>
      <c r="CY285">
        <f>AD285</f>
        <v>0</v>
      </c>
      <c r="CZ285">
        <f>AH285</f>
        <v>0</v>
      </c>
      <c r="DA285">
        <f>AL285</f>
        <v>1</v>
      </c>
      <c r="DB285">
        <f>ROUND(ROUND(AT285*CZ285,2),2)</f>
        <v>0</v>
      </c>
      <c r="DC285">
        <f>ROUND(ROUND(AT285*AG285,2),2)</f>
        <v>0</v>
      </c>
    </row>
    <row r="286" spans="1:107" x14ac:dyDescent="0.2">
      <c r="A286">
        <f>ROW(Source!A163)</f>
        <v>163</v>
      </c>
      <c r="B286">
        <v>16742901</v>
      </c>
      <c r="C286">
        <v>16745810</v>
      </c>
      <c r="D286">
        <v>15247970</v>
      </c>
      <c r="E286">
        <v>1</v>
      </c>
      <c r="F286">
        <v>1</v>
      </c>
      <c r="G286">
        <v>1</v>
      </c>
      <c r="H286">
        <v>2</v>
      </c>
      <c r="I286" t="s">
        <v>1549</v>
      </c>
      <c r="J286" t="s">
        <v>1550</v>
      </c>
      <c r="K286" t="s">
        <v>1551</v>
      </c>
      <c r="L286">
        <v>1368</v>
      </c>
      <c r="N286">
        <v>1011</v>
      </c>
      <c r="O286" t="s">
        <v>1298</v>
      </c>
      <c r="P286" t="s">
        <v>1298</v>
      </c>
      <c r="Q286">
        <v>1</v>
      </c>
      <c r="W286">
        <v>0</v>
      </c>
      <c r="X286">
        <v>368031958</v>
      </c>
      <c r="Y286">
        <v>0.125</v>
      </c>
      <c r="AA286">
        <v>0</v>
      </c>
      <c r="AB286">
        <v>181.45</v>
      </c>
      <c r="AC286">
        <v>11.6</v>
      </c>
      <c r="AD286">
        <v>0</v>
      </c>
      <c r="AE286">
        <v>0</v>
      </c>
      <c r="AF286">
        <v>27.66</v>
      </c>
      <c r="AG286">
        <v>11.6</v>
      </c>
      <c r="AH286">
        <v>0</v>
      </c>
      <c r="AI286">
        <v>1</v>
      </c>
      <c r="AJ286">
        <v>6.56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6</v>
      </c>
      <c r="AT286">
        <v>0.02</v>
      </c>
      <c r="AU286" t="s">
        <v>486</v>
      </c>
      <c r="AV286">
        <v>0</v>
      </c>
      <c r="AW286">
        <v>2</v>
      </c>
      <c r="AX286">
        <v>16745819</v>
      </c>
      <c r="AY286">
        <v>1</v>
      </c>
      <c r="AZ286">
        <v>0</v>
      </c>
      <c r="BA286">
        <v>271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Y286*Source!I163</f>
        <v>0.25019999999999998</v>
      </c>
      <c r="CY286">
        <f>AB286</f>
        <v>181.45</v>
      </c>
      <c r="CZ286">
        <f>AF286</f>
        <v>27.66</v>
      </c>
      <c r="DA286">
        <f>AJ286</f>
        <v>6.56</v>
      </c>
      <c r="DB286">
        <f>ROUND((ROUND(AT286*CZ286,2)*1.25*5),2)</f>
        <v>3.44</v>
      </c>
      <c r="DC286">
        <f>ROUND((ROUND(AT286*AG286,2)*1.25*5),2)</f>
        <v>1.44</v>
      </c>
    </row>
    <row r="287" spans="1:107" x14ac:dyDescent="0.2">
      <c r="A287">
        <f>ROW(Source!A163)</f>
        <v>163</v>
      </c>
      <c r="B287">
        <v>16742901</v>
      </c>
      <c r="C287">
        <v>16745810</v>
      </c>
      <c r="D287">
        <v>15249073</v>
      </c>
      <c r="E287">
        <v>1</v>
      </c>
      <c r="F287">
        <v>1</v>
      </c>
      <c r="G287">
        <v>1</v>
      </c>
      <c r="H287">
        <v>2</v>
      </c>
      <c r="I287" t="s">
        <v>1299</v>
      </c>
      <c r="J287" t="s">
        <v>1300</v>
      </c>
      <c r="K287" t="s">
        <v>1301</v>
      </c>
      <c r="L287">
        <v>1368</v>
      </c>
      <c r="N287">
        <v>1011</v>
      </c>
      <c r="O287" t="s">
        <v>1298</v>
      </c>
      <c r="P287" t="s">
        <v>1298</v>
      </c>
      <c r="Q287">
        <v>1</v>
      </c>
      <c r="W287">
        <v>0</v>
      </c>
      <c r="X287">
        <v>1372534845</v>
      </c>
      <c r="Y287">
        <v>6.25E-2</v>
      </c>
      <c r="AA287">
        <v>0</v>
      </c>
      <c r="AB287">
        <v>431.06</v>
      </c>
      <c r="AC287">
        <v>11.6</v>
      </c>
      <c r="AD287">
        <v>0</v>
      </c>
      <c r="AE287">
        <v>0</v>
      </c>
      <c r="AF287">
        <v>65.709999999999994</v>
      </c>
      <c r="AG287">
        <v>11.6</v>
      </c>
      <c r="AH287">
        <v>0</v>
      </c>
      <c r="AI287">
        <v>1</v>
      </c>
      <c r="AJ287">
        <v>6.56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6</v>
      </c>
      <c r="AT287">
        <v>0.01</v>
      </c>
      <c r="AU287" t="s">
        <v>486</v>
      </c>
      <c r="AV287">
        <v>0</v>
      </c>
      <c r="AW287">
        <v>2</v>
      </c>
      <c r="AX287">
        <v>16745820</v>
      </c>
      <c r="AY287">
        <v>1</v>
      </c>
      <c r="AZ287">
        <v>0</v>
      </c>
      <c r="BA287">
        <v>272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Y287*Source!I163</f>
        <v>0.12509999999999999</v>
      </c>
      <c r="CY287">
        <f>AB287</f>
        <v>431.06</v>
      </c>
      <c r="CZ287">
        <f>AF287</f>
        <v>65.709999999999994</v>
      </c>
      <c r="DA287">
        <f>AJ287</f>
        <v>6.56</v>
      </c>
      <c r="DB287">
        <f>ROUND((ROUND(AT287*CZ287,2)*1.25*5),2)</f>
        <v>4.13</v>
      </c>
      <c r="DC287">
        <f>ROUND((ROUND(AT287*AG287,2)*1.25*5),2)</f>
        <v>0.75</v>
      </c>
    </row>
    <row r="288" spans="1:107" x14ac:dyDescent="0.2">
      <c r="A288">
        <f>ROW(Source!A163)</f>
        <v>163</v>
      </c>
      <c r="B288">
        <v>16742901</v>
      </c>
      <c r="C288">
        <v>16745810</v>
      </c>
      <c r="D288">
        <v>15167286</v>
      </c>
      <c r="E288">
        <v>1</v>
      </c>
      <c r="F288">
        <v>1</v>
      </c>
      <c r="G288">
        <v>1</v>
      </c>
      <c r="H288">
        <v>3</v>
      </c>
      <c r="I288" t="s">
        <v>1317</v>
      </c>
      <c r="J288" t="s">
        <v>1318</v>
      </c>
      <c r="K288" t="s">
        <v>1319</v>
      </c>
      <c r="L288">
        <v>1339</v>
      </c>
      <c r="N288">
        <v>1007</v>
      </c>
      <c r="O288" t="s">
        <v>301</v>
      </c>
      <c r="P288" t="s">
        <v>301</v>
      </c>
      <c r="Q288">
        <v>1</v>
      </c>
      <c r="W288">
        <v>0</v>
      </c>
      <c r="X288">
        <v>-1660354250</v>
      </c>
      <c r="Y288">
        <v>0.15</v>
      </c>
      <c r="AA288">
        <v>16.010000000000002</v>
      </c>
      <c r="AB288">
        <v>0</v>
      </c>
      <c r="AC288">
        <v>0</v>
      </c>
      <c r="AD288">
        <v>0</v>
      </c>
      <c r="AE288">
        <v>2.44</v>
      </c>
      <c r="AF288">
        <v>0</v>
      </c>
      <c r="AG288">
        <v>0</v>
      </c>
      <c r="AH288">
        <v>0</v>
      </c>
      <c r="AI288">
        <v>6.56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6</v>
      </c>
      <c r="AT288">
        <v>0.03</v>
      </c>
      <c r="AU288" t="s">
        <v>485</v>
      </c>
      <c r="AV288">
        <v>0</v>
      </c>
      <c r="AW288">
        <v>2</v>
      </c>
      <c r="AX288">
        <v>16745821</v>
      </c>
      <c r="AY288">
        <v>1</v>
      </c>
      <c r="AZ288">
        <v>0</v>
      </c>
      <c r="BA288">
        <v>273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Y288*Source!I163</f>
        <v>0.30023999999999995</v>
      </c>
      <c r="CY288">
        <f>AA288</f>
        <v>16.010000000000002</v>
      </c>
      <c r="CZ288">
        <f>AE288</f>
        <v>2.44</v>
      </c>
      <c r="DA288">
        <f>AI288</f>
        <v>6.56</v>
      </c>
      <c r="DB288">
        <f>ROUND((ROUND(AT288*CZ288,2)*5),2)</f>
        <v>0.35</v>
      </c>
      <c r="DC288">
        <f>ROUND((ROUND(AT288*AG288,2)*5),2)</f>
        <v>0</v>
      </c>
    </row>
    <row r="289" spans="1:107" x14ac:dyDescent="0.2">
      <c r="A289">
        <f>ROW(Source!A163)</f>
        <v>163</v>
      </c>
      <c r="B289">
        <v>16742901</v>
      </c>
      <c r="C289">
        <v>16745810</v>
      </c>
      <c r="D289">
        <v>15172906</v>
      </c>
      <c r="E289">
        <v>1</v>
      </c>
      <c r="F289">
        <v>1</v>
      </c>
      <c r="G289">
        <v>1</v>
      </c>
      <c r="H289">
        <v>3</v>
      </c>
      <c r="I289" t="s">
        <v>1552</v>
      </c>
      <c r="J289" t="s">
        <v>1553</v>
      </c>
      <c r="K289" t="s">
        <v>1554</v>
      </c>
      <c r="L289">
        <v>1348</v>
      </c>
      <c r="N289">
        <v>1009</v>
      </c>
      <c r="O289" t="s">
        <v>100</v>
      </c>
      <c r="P289" t="s">
        <v>100</v>
      </c>
      <c r="Q289">
        <v>1000</v>
      </c>
      <c r="W289">
        <v>0</v>
      </c>
      <c r="X289">
        <v>-2114578287</v>
      </c>
      <c r="Y289">
        <v>0.89999999999999991</v>
      </c>
      <c r="AA289">
        <v>74663.100000000006</v>
      </c>
      <c r="AB289">
        <v>0</v>
      </c>
      <c r="AC289">
        <v>0</v>
      </c>
      <c r="AD289">
        <v>0</v>
      </c>
      <c r="AE289">
        <v>11381.57</v>
      </c>
      <c r="AF289">
        <v>0</v>
      </c>
      <c r="AG289">
        <v>0</v>
      </c>
      <c r="AH289">
        <v>0</v>
      </c>
      <c r="AI289">
        <v>6.56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0.18</v>
      </c>
      <c r="AU289" t="s">
        <v>485</v>
      </c>
      <c r="AV289">
        <v>0</v>
      </c>
      <c r="AW289">
        <v>2</v>
      </c>
      <c r="AX289">
        <v>16745822</v>
      </c>
      <c r="AY289">
        <v>1</v>
      </c>
      <c r="AZ289">
        <v>0</v>
      </c>
      <c r="BA289">
        <v>274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Y289*Source!I163</f>
        <v>1.8014399999999997</v>
      </c>
      <c r="CY289">
        <f>AA289</f>
        <v>74663.100000000006</v>
      </c>
      <c r="CZ289">
        <f>AE289</f>
        <v>11381.57</v>
      </c>
      <c r="DA289">
        <f>AI289</f>
        <v>6.56</v>
      </c>
      <c r="DB289">
        <f>ROUND((ROUND(AT289*CZ289,2)*5),2)</f>
        <v>10243.4</v>
      </c>
      <c r="DC289">
        <f>ROUND((ROUND(AT289*AG289,2)*5),2)</f>
        <v>0</v>
      </c>
    </row>
    <row r="290" spans="1:107" x14ac:dyDescent="0.2">
      <c r="A290">
        <f>ROW(Source!A164)</f>
        <v>164</v>
      </c>
      <c r="B290">
        <v>16742901</v>
      </c>
      <c r="C290">
        <v>16745823</v>
      </c>
      <c r="D290">
        <v>15430767</v>
      </c>
      <c r="E290">
        <v>1</v>
      </c>
      <c r="F290">
        <v>1</v>
      </c>
      <c r="G290">
        <v>1</v>
      </c>
      <c r="H290">
        <v>1</v>
      </c>
      <c r="I290" t="s">
        <v>1285</v>
      </c>
      <c r="J290" t="s">
        <v>6</v>
      </c>
      <c r="K290" t="s">
        <v>1286</v>
      </c>
      <c r="L290">
        <v>1191</v>
      </c>
      <c r="N290">
        <v>1013</v>
      </c>
      <c r="O290" t="s">
        <v>1287</v>
      </c>
      <c r="P290" t="s">
        <v>1287</v>
      </c>
      <c r="Q290">
        <v>1</v>
      </c>
      <c r="W290">
        <v>0</v>
      </c>
      <c r="X290">
        <v>-400197608</v>
      </c>
      <c r="Y290">
        <v>372.18</v>
      </c>
      <c r="AA290">
        <v>0</v>
      </c>
      <c r="AB290">
        <v>0</v>
      </c>
      <c r="AC290">
        <v>0</v>
      </c>
      <c r="AD290">
        <v>55.96</v>
      </c>
      <c r="AE290">
        <v>0</v>
      </c>
      <c r="AF290">
        <v>0</v>
      </c>
      <c r="AG290">
        <v>0</v>
      </c>
      <c r="AH290">
        <v>8.5299999999999994</v>
      </c>
      <c r="AI290">
        <v>1</v>
      </c>
      <c r="AJ290">
        <v>1</v>
      </c>
      <c r="AK290">
        <v>1</v>
      </c>
      <c r="AL290">
        <v>6.56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372.18</v>
      </c>
      <c r="AU290" t="s">
        <v>6</v>
      </c>
      <c r="AV290">
        <v>1</v>
      </c>
      <c r="AW290">
        <v>2</v>
      </c>
      <c r="AX290">
        <v>16745833</v>
      </c>
      <c r="AY290">
        <v>1</v>
      </c>
      <c r="AZ290">
        <v>0</v>
      </c>
      <c r="BA290">
        <v>275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Y290*Source!I164</f>
        <v>7.4436</v>
      </c>
      <c r="CY290">
        <f>AD290</f>
        <v>55.96</v>
      </c>
      <c r="CZ290">
        <f>AH290</f>
        <v>8.5299999999999994</v>
      </c>
      <c r="DA290">
        <f>AL290</f>
        <v>6.56</v>
      </c>
      <c r="DB290">
        <f t="shared" ref="DB290:DB298" si="52">ROUND(ROUND(AT290*CZ290,2),2)</f>
        <v>3174.7</v>
      </c>
      <c r="DC290">
        <f t="shared" ref="DC290:DC298" si="53">ROUND(ROUND(AT290*AG290,2),2)</f>
        <v>0</v>
      </c>
    </row>
    <row r="291" spans="1:107" x14ac:dyDescent="0.2">
      <c r="A291">
        <f>ROW(Source!A164)</f>
        <v>164</v>
      </c>
      <c r="B291">
        <v>16742901</v>
      </c>
      <c r="C291">
        <v>16745823</v>
      </c>
      <c r="D291">
        <v>15249402</v>
      </c>
      <c r="E291">
        <v>1</v>
      </c>
      <c r="F291">
        <v>1</v>
      </c>
      <c r="G291">
        <v>1</v>
      </c>
      <c r="H291">
        <v>2</v>
      </c>
      <c r="I291" t="s">
        <v>1341</v>
      </c>
      <c r="J291" t="s">
        <v>1342</v>
      </c>
      <c r="K291" t="s">
        <v>1343</v>
      </c>
      <c r="L291">
        <v>1368</v>
      </c>
      <c r="N291">
        <v>1011</v>
      </c>
      <c r="O291" t="s">
        <v>1298</v>
      </c>
      <c r="P291" t="s">
        <v>1298</v>
      </c>
      <c r="Q291">
        <v>1</v>
      </c>
      <c r="W291">
        <v>0</v>
      </c>
      <c r="X291">
        <v>-2111251057</v>
      </c>
      <c r="Y291">
        <v>2.5299999999999998</v>
      </c>
      <c r="AA291">
        <v>0</v>
      </c>
      <c r="AB291">
        <v>213.2</v>
      </c>
      <c r="AC291">
        <v>0</v>
      </c>
      <c r="AD291">
        <v>0</v>
      </c>
      <c r="AE291">
        <v>0</v>
      </c>
      <c r="AF291">
        <v>32.5</v>
      </c>
      <c r="AG291">
        <v>0</v>
      </c>
      <c r="AH291">
        <v>0</v>
      </c>
      <c r="AI291">
        <v>1</v>
      </c>
      <c r="AJ291">
        <v>6.56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2.5299999999999998</v>
      </c>
      <c r="AU291" t="s">
        <v>6</v>
      </c>
      <c r="AV291">
        <v>0</v>
      </c>
      <c r="AW291">
        <v>2</v>
      </c>
      <c r="AX291">
        <v>16745834</v>
      </c>
      <c r="AY291">
        <v>1</v>
      </c>
      <c r="AZ291">
        <v>0</v>
      </c>
      <c r="BA291">
        <v>276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Y291*Source!I164</f>
        <v>5.0599999999999999E-2</v>
      </c>
      <c r="CY291">
        <f>AB291</f>
        <v>213.2</v>
      </c>
      <c r="CZ291">
        <f>AF291</f>
        <v>32.5</v>
      </c>
      <c r="DA291">
        <f>AJ291</f>
        <v>6.56</v>
      </c>
      <c r="DB291">
        <f t="shared" si="52"/>
        <v>82.23</v>
      </c>
      <c r="DC291">
        <f t="shared" si="53"/>
        <v>0</v>
      </c>
    </row>
    <row r="292" spans="1:107" x14ac:dyDescent="0.2">
      <c r="A292">
        <f>ROW(Source!A164)</f>
        <v>164</v>
      </c>
      <c r="B292">
        <v>16742901</v>
      </c>
      <c r="C292">
        <v>16745823</v>
      </c>
      <c r="D292">
        <v>15249998</v>
      </c>
      <c r="E292">
        <v>1</v>
      </c>
      <c r="F292">
        <v>1</v>
      </c>
      <c r="G292">
        <v>1</v>
      </c>
      <c r="H292">
        <v>2</v>
      </c>
      <c r="I292" t="s">
        <v>1344</v>
      </c>
      <c r="J292" t="s">
        <v>1345</v>
      </c>
      <c r="K292" t="s">
        <v>1346</v>
      </c>
      <c r="L292">
        <v>1368</v>
      </c>
      <c r="N292">
        <v>1011</v>
      </c>
      <c r="O292" t="s">
        <v>1298</v>
      </c>
      <c r="P292" t="s">
        <v>1298</v>
      </c>
      <c r="Q292">
        <v>1</v>
      </c>
      <c r="W292">
        <v>0</v>
      </c>
      <c r="X292">
        <v>1518765163</v>
      </c>
      <c r="Y292">
        <v>2.5299999999999998</v>
      </c>
      <c r="AA292">
        <v>0</v>
      </c>
      <c r="AB292">
        <v>10.039999999999999</v>
      </c>
      <c r="AC292">
        <v>0</v>
      </c>
      <c r="AD292">
        <v>0</v>
      </c>
      <c r="AE292">
        <v>0</v>
      </c>
      <c r="AF292">
        <v>1.53</v>
      </c>
      <c r="AG292">
        <v>0</v>
      </c>
      <c r="AH292">
        <v>0</v>
      </c>
      <c r="AI292">
        <v>1</v>
      </c>
      <c r="AJ292">
        <v>6.56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6</v>
      </c>
      <c r="AT292">
        <v>2.5299999999999998</v>
      </c>
      <c r="AU292" t="s">
        <v>6</v>
      </c>
      <c r="AV292">
        <v>0</v>
      </c>
      <c r="AW292">
        <v>2</v>
      </c>
      <c r="AX292">
        <v>16745835</v>
      </c>
      <c r="AY292">
        <v>1</v>
      </c>
      <c r="AZ292">
        <v>0</v>
      </c>
      <c r="BA292">
        <v>277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Y292*Source!I164</f>
        <v>5.0599999999999999E-2</v>
      </c>
      <c r="CY292">
        <f>AB292</f>
        <v>10.039999999999999</v>
      </c>
      <c r="CZ292">
        <f>AF292</f>
        <v>1.53</v>
      </c>
      <c r="DA292">
        <f>AJ292</f>
        <v>6.56</v>
      </c>
      <c r="DB292">
        <f t="shared" si="52"/>
        <v>3.87</v>
      </c>
      <c r="DC292">
        <f t="shared" si="53"/>
        <v>0</v>
      </c>
    </row>
    <row r="293" spans="1:107" x14ac:dyDescent="0.2">
      <c r="A293">
        <f>ROW(Source!A164)</f>
        <v>164</v>
      </c>
      <c r="B293">
        <v>16742901</v>
      </c>
      <c r="C293">
        <v>16745823</v>
      </c>
      <c r="D293">
        <v>15167286</v>
      </c>
      <c r="E293">
        <v>1</v>
      </c>
      <c r="F293">
        <v>1</v>
      </c>
      <c r="G293">
        <v>1</v>
      </c>
      <c r="H293">
        <v>3</v>
      </c>
      <c r="I293" t="s">
        <v>1317</v>
      </c>
      <c r="J293" t="s">
        <v>1318</v>
      </c>
      <c r="K293" t="s">
        <v>1319</v>
      </c>
      <c r="L293">
        <v>1339</v>
      </c>
      <c r="N293">
        <v>1007</v>
      </c>
      <c r="O293" t="s">
        <v>301</v>
      </c>
      <c r="P293" t="s">
        <v>301</v>
      </c>
      <c r="Q293">
        <v>1</v>
      </c>
      <c r="W293">
        <v>0</v>
      </c>
      <c r="X293">
        <v>-1660354250</v>
      </c>
      <c r="Y293">
        <v>0.1</v>
      </c>
      <c r="AA293">
        <v>16.010000000000002</v>
      </c>
      <c r="AB293">
        <v>0</v>
      </c>
      <c r="AC293">
        <v>0</v>
      </c>
      <c r="AD293">
        <v>0</v>
      </c>
      <c r="AE293">
        <v>2.44</v>
      </c>
      <c r="AF293">
        <v>0</v>
      </c>
      <c r="AG293">
        <v>0</v>
      </c>
      <c r="AH293">
        <v>0</v>
      </c>
      <c r="AI293">
        <v>6.56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0.1</v>
      </c>
      <c r="AU293" t="s">
        <v>6</v>
      </c>
      <c r="AV293">
        <v>0</v>
      </c>
      <c r="AW293">
        <v>2</v>
      </c>
      <c r="AX293">
        <v>16745836</v>
      </c>
      <c r="AY293">
        <v>1</v>
      </c>
      <c r="AZ293">
        <v>0</v>
      </c>
      <c r="BA293">
        <v>278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Y293*Source!I164</f>
        <v>2E-3</v>
      </c>
      <c r="CY293">
        <f t="shared" ref="CY293:CY298" si="54">AA293</f>
        <v>16.010000000000002</v>
      </c>
      <c r="CZ293">
        <f t="shared" ref="CZ293:CZ298" si="55">AE293</f>
        <v>2.44</v>
      </c>
      <c r="DA293">
        <f t="shared" ref="DA293:DA298" si="56">AI293</f>
        <v>6.56</v>
      </c>
      <c r="DB293">
        <f t="shared" si="52"/>
        <v>0.24</v>
      </c>
      <c r="DC293">
        <f t="shared" si="53"/>
        <v>0</v>
      </c>
    </row>
    <row r="294" spans="1:107" x14ac:dyDescent="0.2">
      <c r="A294">
        <f>ROW(Source!A164)</f>
        <v>164</v>
      </c>
      <c r="B294">
        <v>16742901</v>
      </c>
      <c r="C294">
        <v>16745823</v>
      </c>
      <c r="D294">
        <v>15164566</v>
      </c>
      <c r="E294">
        <v>17</v>
      </c>
      <c r="F294">
        <v>1</v>
      </c>
      <c r="G294">
        <v>1</v>
      </c>
      <c r="H294">
        <v>3</v>
      </c>
      <c r="I294" t="s">
        <v>98</v>
      </c>
      <c r="J294" t="s">
        <v>6</v>
      </c>
      <c r="K294" t="s">
        <v>99</v>
      </c>
      <c r="L294">
        <v>1348</v>
      </c>
      <c r="N294">
        <v>1009</v>
      </c>
      <c r="O294" t="s">
        <v>100</v>
      </c>
      <c r="P294" t="s">
        <v>100</v>
      </c>
      <c r="Q294">
        <v>1000</v>
      </c>
      <c r="W294">
        <v>0</v>
      </c>
      <c r="X294">
        <v>-179832266</v>
      </c>
      <c r="Y294">
        <v>2.54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6.56</v>
      </c>
      <c r="AJ294">
        <v>1</v>
      </c>
      <c r="AK294">
        <v>1</v>
      </c>
      <c r="AL294">
        <v>1</v>
      </c>
      <c r="AN294">
        <v>0</v>
      </c>
      <c r="AO294">
        <v>0</v>
      </c>
      <c r="AP294">
        <v>0</v>
      </c>
      <c r="AQ294">
        <v>0</v>
      </c>
      <c r="AR294">
        <v>0</v>
      </c>
      <c r="AS294" t="s">
        <v>6</v>
      </c>
      <c r="AT294">
        <v>2.54</v>
      </c>
      <c r="AU294" t="s">
        <v>6</v>
      </c>
      <c r="AV294">
        <v>0</v>
      </c>
      <c r="AW294">
        <v>2</v>
      </c>
      <c r="AX294">
        <v>16745837</v>
      </c>
      <c r="AY294">
        <v>1</v>
      </c>
      <c r="AZ294">
        <v>0</v>
      </c>
      <c r="BA294">
        <v>279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Y294*Source!I164</f>
        <v>5.0800000000000005E-2</v>
      </c>
      <c r="CY294">
        <f t="shared" si="54"/>
        <v>0</v>
      </c>
      <c r="CZ294">
        <f t="shared" si="55"/>
        <v>0</v>
      </c>
      <c r="DA294">
        <f t="shared" si="56"/>
        <v>6.56</v>
      </c>
      <c r="DB294">
        <f t="shared" si="52"/>
        <v>0</v>
      </c>
      <c r="DC294">
        <f t="shared" si="53"/>
        <v>0</v>
      </c>
    </row>
    <row r="295" spans="1:107" x14ac:dyDescent="0.2">
      <c r="A295">
        <f>ROW(Source!A164)</f>
        <v>164</v>
      </c>
      <c r="B295">
        <v>16742901</v>
      </c>
      <c r="C295">
        <v>16745823</v>
      </c>
      <c r="D295">
        <v>15162656</v>
      </c>
      <c r="E295">
        <v>17</v>
      </c>
      <c r="F295">
        <v>1</v>
      </c>
      <c r="G295">
        <v>1</v>
      </c>
      <c r="H295">
        <v>3</v>
      </c>
      <c r="I295" t="s">
        <v>503</v>
      </c>
      <c r="J295" t="s">
        <v>6</v>
      </c>
      <c r="K295" t="s">
        <v>495</v>
      </c>
      <c r="L295">
        <v>1339</v>
      </c>
      <c r="N295">
        <v>1007</v>
      </c>
      <c r="O295" t="s">
        <v>301</v>
      </c>
      <c r="P295" t="s">
        <v>301</v>
      </c>
      <c r="Q295">
        <v>1</v>
      </c>
      <c r="W295">
        <v>0</v>
      </c>
      <c r="X295">
        <v>425670577</v>
      </c>
      <c r="Y295">
        <v>2.14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6.56</v>
      </c>
      <c r="AJ295">
        <v>1</v>
      </c>
      <c r="AK295">
        <v>1</v>
      </c>
      <c r="AL295">
        <v>1</v>
      </c>
      <c r="AN295">
        <v>0</v>
      </c>
      <c r="AO295">
        <v>0</v>
      </c>
      <c r="AP295">
        <v>0</v>
      </c>
      <c r="AQ295">
        <v>0</v>
      </c>
      <c r="AR295">
        <v>0</v>
      </c>
      <c r="AS295" t="s">
        <v>6</v>
      </c>
      <c r="AT295">
        <v>2.14</v>
      </c>
      <c r="AU295" t="s">
        <v>6</v>
      </c>
      <c r="AV295">
        <v>0</v>
      </c>
      <c r="AW295">
        <v>2</v>
      </c>
      <c r="AX295">
        <v>16745838</v>
      </c>
      <c r="AY295">
        <v>1</v>
      </c>
      <c r="AZ295">
        <v>0</v>
      </c>
      <c r="BA295">
        <v>280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Y295*Source!I164</f>
        <v>4.2800000000000005E-2</v>
      </c>
      <c r="CY295">
        <f t="shared" si="54"/>
        <v>0</v>
      </c>
      <c r="CZ295">
        <f t="shared" si="55"/>
        <v>0</v>
      </c>
      <c r="DA295">
        <f t="shared" si="56"/>
        <v>6.56</v>
      </c>
      <c r="DB295">
        <f t="shared" si="52"/>
        <v>0</v>
      </c>
      <c r="DC295">
        <f t="shared" si="53"/>
        <v>0</v>
      </c>
    </row>
    <row r="296" spans="1:107" x14ac:dyDescent="0.2">
      <c r="A296">
        <f>ROW(Source!A164)</f>
        <v>164</v>
      </c>
      <c r="B296">
        <v>16742901</v>
      </c>
      <c r="C296">
        <v>16745823</v>
      </c>
      <c r="D296">
        <v>15172813</v>
      </c>
      <c r="E296">
        <v>1</v>
      </c>
      <c r="F296">
        <v>1</v>
      </c>
      <c r="G296">
        <v>1</v>
      </c>
      <c r="H296">
        <v>3</v>
      </c>
      <c r="I296" t="s">
        <v>494</v>
      </c>
      <c r="J296" t="s">
        <v>496</v>
      </c>
      <c r="K296" t="s">
        <v>495</v>
      </c>
      <c r="L296">
        <v>1339</v>
      </c>
      <c r="N296">
        <v>1007</v>
      </c>
      <c r="O296" t="s">
        <v>301</v>
      </c>
      <c r="P296" t="s">
        <v>301</v>
      </c>
      <c r="Q296">
        <v>1</v>
      </c>
      <c r="W296">
        <v>0</v>
      </c>
      <c r="X296">
        <v>261522290</v>
      </c>
      <c r="Y296">
        <v>2.14</v>
      </c>
      <c r="AA296">
        <v>3752.32</v>
      </c>
      <c r="AB296">
        <v>0</v>
      </c>
      <c r="AC296">
        <v>0</v>
      </c>
      <c r="AD296">
        <v>0</v>
      </c>
      <c r="AE296">
        <v>572</v>
      </c>
      <c r="AF296">
        <v>0</v>
      </c>
      <c r="AG296">
        <v>0</v>
      </c>
      <c r="AH296">
        <v>0</v>
      </c>
      <c r="AI296">
        <v>6.56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6</v>
      </c>
      <c r="AT296">
        <v>2.14</v>
      </c>
      <c r="AU296" t="s">
        <v>6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Y296*Source!I164</f>
        <v>4.2800000000000005E-2</v>
      </c>
      <c r="CY296">
        <f t="shared" si="54"/>
        <v>3752.32</v>
      </c>
      <c r="CZ296">
        <f t="shared" si="55"/>
        <v>572</v>
      </c>
      <c r="DA296">
        <f t="shared" si="56"/>
        <v>6.56</v>
      </c>
      <c r="DB296">
        <f t="shared" si="52"/>
        <v>1224.08</v>
      </c>
      <c r="DC296">
        <f t="shared" si="53"/>
        <v>0</v>
      </c>
    </row>
    <row r="297" spans="1:107" x14ac:dyDescent="0.2">
      <c r="A297">
        <f>ROW(Source!A164)</f>
        <v>164</v>
      </c>
      <c r="B297">
        <v>16742901</v>
      </c>
      <c r="C297">
        <v>16745823</v>
      </c>
      <c r="D297">
        <v>15161703</v>
      </c>
      <c r="E297">
        <v>17</v>
      </c>
      <c r="F297">
        <v>1</v>
      </c>
      <c r="G297">
        <v>1</v>
      </c>
      <c r="H297">
        <v>3</v>
      </c>
      <c r="I297" t="s">
        <v>505</v>
      </c>
      <c r="J297" t="s">
        <v>6</v>
      </c>
      <c r="K297" t="s">
        <v>506</v>
      </c>
      <c r="L297">
        <v>1339</v>
      </c>
      <c r="N297">
        <v>1007</v>
      </c>
      <c r="O297" t="s">
        <v>301</v>
      </c>
      <c r="P297" t="s">
        <v>301</v>
      </c>
      <c r="Q297">
        <v>1</v>
      </c>
      <c r="W297">
        <v>0</v>
      </c>
      <c r="X297">
        <v>-2113302258</v>
      </c>
      <c r="Y297">
        <v>1.53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6.56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1.53</v>
      </c>
      <c r="AU297" t="s">
        <v>6</v>
      </c>
      <c r="AV297">
        <v>0</v>
      </c>
      <c r="AW297">
        <v>2</v>
      </c>
      <c r="AX297">
        <v>16745839</v>
      </c>
      <c r="AY297">
        <v>1</v>
      </c>
      <c r="AZ297">
        <v>0</v>
      </c>
      <c r="BA297">
        <v>281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Y297*Source!I164</f>
        <v>3.0600000000000002E-2</v>
      </c>
      <c r="CY297">
        <f t="shared" si="54"/>
        <v>0</v>
      </c>
      <c r="CZ297">
        <f t="shared" si="55"/>
        <v>0</v>
      </c>
      <c r="DA297">
        <f t="shared" si="56"/>
        <v>6.56</v>
      </c>
      <c r="DB297">
        <f t="shared" si="52"/>
        <v>0</v>
      </c>
      <c r="DC297">
        <f t="shared" si="53"/>
        <v>0</v>
      </c>
    </row>
    <row r="298" spans="1:107" x14ac:dyDescent="0.2">
      <c r="A298">
        <f>ROW(Source!A164)</f>
        <v>164</v>
      </c>
      <c r="B298">
        <v>16742901</v>
      </c>
      <c r="C298">
        <v>16745823</v>
      </c>
      <c r="D298">
        <v>15172837</v>
      </c>
      <c r="E298">
        <v>1</v>
      </c>
      <c r="F298">
        <v>1</v>
      </c>
      <c r="G298">
        <v>1</v>
      </c>
      <c r="H298">
        <v>3</v>
      </c>
      <c r="I298" t="s">
        <v>498</v>
      </c>
      <c r="J298" t="s">
        <v>500</v>
      </c>
      <c r="K298" t="s">
        <v>499</v>
      </c>
      <c r="L298">
        <v>1339</v>
      </c>
      <c r="N298">
        <v>1007</v>
      </c>
      <c r="O298" t="s">
        <v>301</v>
      </c>
      <c r="P298" t="s">
        <v>301</v>
      </c>
      <c r="Q298">
        <v>1</v>
      </c>
      <c r="W298">
        <v>0</v>
      </c>
      <c r="X298">
        <v>-1970722706</v>
      </c>
      <c r="Y298">
        <v>1.53</v>
      </c>
      <c r="AA298">
        <v>3596.85</v>
      </c>
      <c r="AB298">
        <v>0</v>
      </c>
      <c r="AC298">
        <v>0</v>
      </c>
      <c r="AD298">
        <v>0</v>
      </c>
      <c r="AE298">
        <v>548.29999999999995</v>
      </c>
      <c r="AF298">
        <v>0</v>
      </c>
      <c r="AG298">
        <v>0</v>
      </c>
      <c r="AH298">
        <v>0</v>
      </c>
      <c r="AI298">
        <v>6.56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6</v>
      </c>
      <c r="AT298">
        <v>1.53</v>
      </c>
      <c r="AU298" t="s">
        <v>6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6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Y298*Source!I164</f>
        <v>3.0600000000000002E-2</v>
      </c>
      <c r="CY298">
        <f t="shared" si="54"/>
        <v>3596.85</v>
      </c>
      <c r="CZ298">
        <f t="shared" si="55"/>
        <v>548.29999999999995</v>
      </c>
      <c r="DA298">
        <f t="shared" si="56"/>
        <v>6.56</v>
      </c>
      <c r="DB298">
        <f t="shared" si="52"/>
        <v>838.9</v>
      </c>
      <c r="DC298">
        <f t="shared" si="53"/>
        <v>0</v>
      </c>
    </row>
    <row r="299" spans="1:107" x14ac:dyDescent="0.2">
      <c r="A299">
        <f>ROW(Source!A170)</f>
        <v>170</v>
      </c>
      <c r="B299">
        <v>16742901</v>
      </c>
      <c r="C299">
        <v>16745845</v>
      </c>
      <c r="D299">
        <v>15430447</v>
      </c>
      <c r="E299">
        <v>1</v>
      </c>
      <c r="F299">
        <v>1</v>
      </c>
      <c r="G299">
        <v>1</v>
      </c>
      <c r="H299">
        <v>1</v>
      </c>
      <c r="I299" t="s">
        <v>1558</v>
      </c>
      <c r="J299" t="s">
        <v>6</v>
      </c>
      <c r="K299" t="s">
        <v>1559</v>
      </c>
      <c r="L299">
        <v>1191</v>
      </c>
      <c r="N299">
        <v>1013</v>
      </c>
      <c r="O299" t="s">
        <v>1287</v>
      </c>
      <c r="P299" t="s">
        <v>1287</v>
      </c>
      <c r="Q299">
        <v>1</v>
      </c>
      <c r="W299">
        <v>0</v>
      </c>
      <c r="X299">
        <v>145020957</v>
      </c>
      <c r="Y299">
        <v>92.046000000000006</v>
      </c>
      <c r="AA299">
        <v>0</v>
      </c>
      <c r="AB299">
        <v>0</v>
      </c>
      <c r="AC299">
        <v>0</v>
      </c>
      <c r="AD299">
        <v>59.5</v>
      </c>
      <c r="AE299">
        <v>0</v>
      </c>
      <c r="AF299">
        <v>0</v>
      </c>
      <c r="AG299">
        <v>0</v>
      </c>
      <c r="AH299">
        <v>9.07</v>
      </c>
      <c r="AI299">
        <v>1</v>
      </c>
      <c r="AJ299">
        <v>1</v>
      </c>
      <c r="AK299">
        <v>1</v>
      </c>
      <c r="AL299">
        <v>6.56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80.040000000000006</v>
      </c>
      <c r="AU299" t="s">
        <v>188</v>
      </c>
      <c r="AV299">
        <v>1</v>
      </c>
      <c r="AW299">
        <v>2</v>
      </c>
      <c r="AX299">
        <v>16745852</v>
      </c>
      <c r="AY299">
        <v>1</v>
      </c>
      <c r="AZ299">
        <v>0</v>
      </c>
      <c r="BA299">
        <v>282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Y299*Source!I170</f>
        <v>79.435698000000002</v>
      </c>
      <c r="CY299">
        <f>AD299</f>
        <v>59.5</v>
      </c>
      <c r="CZ299">
        <f>AH299</f>
        <v>9.07</v>
      </c>
      <c r="DA299">
        <f>AL299</f>
        <v>6.56</v>
      </c>
      <c r="DB299">
        <f>ROUND((ROUND(AT299*CZ299,2)*1.15),2)</f>
        <v>834.85</v>
      </c>
      <c r="DC299">
        <f>ROUND((ROUND(AT299*AG299,2)*1.15),2)</f>
        <v>0</v>
      </c>
    </row>
    <row r="300" spans="1:107" x14ac:dyDescent="0.2">
      <c r="A300">
        <f>ROW(Source!A170)</f>
        <v>170</v>
      </c>
      <c r="B300">
        <v>16742901</v>
      </c>
      <c r="C300">
        <v>16745845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1293</v>
      </c>
      <c r="J300" t="s">
        <v>6</v>
      </c>
      <c r="K300" t="s">
        <v>1294</v>
      </c>
      <c r="L300">
        <v>1191</v>
      </c>
      <c r="N300">
        <v>1013</v>
      </c>
      <c r="O300" t="s">
        <v>1287</v>
      </c>
      <c r="P300" t="s">
        <v>1287</v>
      </c>
      <c r="Q300">
        <v>1</v>
      </c>
      <c r="W300">
        <v>0</v>
      </c>
      <c r="X300">
        <v>-1417349443</v>
      </c>
      <c r="Y300">
        <v>2.09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6.56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2.09</v>
      </c>
      <c r="AU300" t="s">
        <v>6</v>
      </c>
      <c r="AV300">
        <v>2</v>
      </c>
      <c r="AW300">
        <v>2</v>
      </c>
      <c r="AX300">
        <v>16745853</v>
      </c>
      <c r="AY300">
        <v>1</v>
      </c>
      <c r="AZ300">
        <v>2048</v>
      </c>
      <c r="BA300">
        <v>283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Y300*Source!I170</f>
        <v>1.8036699999999999</v>
      </c>
      <c r="CY300">
        <f>AD300</f>
        <v>0</v>
      </c>
      <c r="CZ300">
        <f>AH300</f>
        <v>0</v>
      </c>
      <c r="DA300">
        <f>AL300</f>
        <v>1</v>
      </c>
      <c r="DB300">
        <f>ROUND(ROUND(AT300*CZ300,2),2)</f>
        <v>0</v>
      </c>
      <c r="DC300">
        <f>ROUND(ROUND(AT300*AG300,2),2)</f>
        <v>0</v>
      </c>
    </row>
    <row r="301" spans="1:107" x14ac:dyDescent="0.2">
      <c r="A301">
        <f>ROW(Source!A170)</f>
        <v>170</v>
      </c>
      <c r="B301">
        <v>16742901</v>
      </c>
      <c r="C301">
        <v>16745845</v>
      </c>
      <c r="D301">
        <v>15249397</v>
      </c>
      <c r="E301">
        <v>1</v>
      </c>
      <c r="F301">
        <v>1</v>
      </c>
      <c r="G301">
        <v>1</v>
      </c>
      <c r="H301">
        <v>2</v>
      </c>
      <c r="I301" t="s">
        <v>1468</v>
      </c>
      <c r="J301" t="s">
        <v>1469</v>
      </c>
      <c r="K301" t="s">
        <v>1470</v>
      </c>
      <c r="L301">
        <v>1368</v>
      </c>
      <c r="N301">
        <v>1011</v>
      </c>
      <c r="O301" t="s">
        <v>1298</v>
      </c>
      <c r="P301" t="s">
        <v>1298</v>
      </c>
      <c r="Q301">
        <v>1</v>
      </c>
      <c r="W301">
        <v>0</v>
      </c>
      <c r="X301">
        <v>-1589061407</v>
      </c>
      <c r="Y301">
        <v>2.6124999999999998</v>
      </c>
      <c r="AA301">
        <v>0</v>
      </c>
      <c r="AB301">
        <v>590.4</v>
      </c>
      <c r="AC301">
        <v>10.06</v>
      </c>
      <c r="AD301">
        <v>0</v>
      </c>
      <c r="AE301">
        <v>0</v>
      </c>
      <c r="AF301">
        <v>90</v>
      </c>
      <c r="AG301">
        <v>10.06</v>
      </c>
      <c r="AH301">
        <v>0</v>
      </c>
      <c r="AI301">
        <v>1</v>
      </c>
      <c r="AJ301">
        <v>6.56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2.09</v>
      </c>
      <c r="AU301" t="s">
        <v>187</v>
      </c>
      <c r="AV301">
        <v>0</v>
      </c>
      <c r="AW301">
        <v>2</v>
      </c>
      <c r="AX301">
        <v>16745854</v>
      </c>
      <c r="AY301">
        <v>1</v>
      </c>
      <c r="AZ301">
        <v>0</v>
      </c>
      <c r="BA301">
        <v>284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Y301*Source!I170</f>
        <v>2.2545875</v>
      </c>
      <c r="CY301">
        <f>AB301</f>
        <v>590.4</v>
      </c>
      <c r="CZ301">
        <f>AF301</f>
        <v>90</v>
      </c>
      <c r="DA301">
        <f>AJ301</f>
        <v>6.56</v>
      </c>
      <c r="DB301">
        <f>ROUND((ROUND(AT301*CZ301,2)*1.25),2)</f>
        <v>235.13</v>
      </c>
      <c r="DC301">
        <f>ROUND((ROUND(AT301*AG301,2)*1.25),2)</f>
        <v>26.29</v>
      </c>
    </row>
    <row r="302" spans="1:107" x14ac:dyDescent="0.2">
      <c r="A302">
        <f>ROW(Source!A170)</f>
        <v>170</v>
      </c>
      <c r="B302">
        <v>16742901</v>
      </c>
      <c r="C302">
        <v>16745845</v>
      </c>
      <c r="D302">
        <v>15249979</v>
      </c>
      <c r="E302">
        <v>1</v>
      </c>
      <c r="F302">
        <v>1</v>
      </c>
      <c r="G302">
        <v>1</v>
      </c>
      <c r="H302">
        <v>2</v>
      </c>
      <c r="I302" t="s">
        <v>1560</v>
      </c>
      <c r="J302" t="s">
        <v>1561</v>
      </c>
      <c r="K302" t="s">
        <v>1562</v>
      </c>
      <c r="L302">
        <v>1368</v>
      </c>
      <c r="N302">
        <v>1011</v>
      </c>
      <c r="O302" t="s">
        <v>1298</v>
      </c>
      <c r="P302" t="s">
        <v>1298</v>
      </c>
      <c r="Q302">
        <v>1</v>
      </c>
      <c r="W302">
        <v>0</v>
      </c>
      <c r="X302">
        <v>2131372584</v>
      </c>
      <c r="Y302">
        <v>40</v>
      </c>
      <c r="AA302">
        <v>0</v>
      </c>
      <c r="AB302">
        <v>9.84</v>
      </c>
      <c r="AC302">
        <v>0</v>
      </c>
      <c r="AD302">
        <v>0</v>
      </c>
      <c r="AE302">
        <v>0</v>
      </c>
      <c r="AF302">
        <v>1.5</v>
      </c>
      <c r="AG302">
        <v>0</v>
      </c>
      <c r="AH302">
        <v>0</v>
      </c>
      <c r="AI302">
        <v>1</v>
      </c>
      <c r="AJ302">
        <v>6.56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32</v>
      </c>
      <c r="AU302" t="s">
        <v>187</v>
      </c>
      <c r="AV302">
        <v>0</v>
      </c>
      <c r="AW302">
        <v>2</v>
      </c>
      <c r="AX302">
        <v>16745855</v>
      </c>
      <c r="AY302">
        <v>1</v>
      </c>
      <c r="AZ302">
        <v>0</v>
      </c>
      <c r="BA302">
        <v>285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Y302*Source!I170</f>
        <v>34.519999999999996</v>
      </c>
      <c r="CY302">
        <f>AB302</f>
        <v>9.84</v>
      </c>
      <c r="CZ302">
        <f>AF302</f>
        <v>1.5</v>
      </c>
      <c r="DA302">
        <f>AJ302</f>
        <v>6.56</v>
      </c>
      <c r="DB302">
        <f>ROUND((ROUND(AT302*CZ302,2)*1.25),2)</f>
        <v>60</v>
      </c>
      <c r="DC302">
        <f>ROUND((ROUND(AT302*AG302,2)*1.25),2)</f>
        <v>0</v>
      </c>
    </row>
    <row r="303" spans="1:107" x14ac:dyDescent="0.2">
      <c r="A303">
        <f>ROW(Source!A170)</f>
        <v>170</v>
      </c>
      <c r="B303">
        <v>16742901</v>
      </c>
      <c r="C303">
        <v>16745845</v>
      </c>
      <c r="D303">
        <v>15167286</v>
      </c>
      <c r="E303">
        <v>1</v>
      </c>
      <c r="F303">
        <v>1</v>
      </c>
      <c r="G303">
        <v>1</v>
      </c>
      <c r="H303">
        <v>3</v>
      </c>
      <c r="I303" t="s">
        <v>1317</v>
      </c>
      <c r="J303" t="s">
        <v>1318</v>
      </c>
      <c r="K303" t="s">
        <v>1319</v>
      </c>
      <c r="L303">
        <v>1339</v>
      </c>
      <c r="N303">
        <v>1007</v>
      </c>
      <c r="O303" t="s">
        <v>301</v>
      </c>
      <c r="P303" t="s">
        <v>301</v>
      </c>
      <c r="Q303">
        <v>1</v>
      </c>
      <c r="W303">
        <v>0</v>
      </c>
      <c r="X303">
        <v>-1660354250</v>
      </c>
      <c r="Y303">
        <v>2</v>
      </c>
      <c r="AA303">
        <v>16.010000000000002</v>
      </c>
      <c r="AB303">
        <v>0</v>
      </c>
      <c r="AC303">
        <v>0</v>
      </c>
      <c r="AD303">
        <v>0</v>
      </c>
      <c r="AE303">
        <v>2.44</v>
      </c>
      <c r="AF303">
        <v>0</v>
      </c>
      <c r="AG303">
        <v>0</v>
      </c>
      <c r="AH303">
        <v>0</v>
      </c>
      <c r="AI303">
        <v>6.56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2</v>
      </c>
      <c r="AU303" t="s">
        <v>6</v>
      </c>
      <c r="AV303">
        <v>0</v>
      </c>
      <c r="AW303">
        <v>2</v>
      </c>
      <c r="AX303">
        <v>16745856</v>
      </c>
      <c r="AY303">
        <v>1</v>
      </c>
      <c r="AZ303">
        <v>0</v>
      </c>
      <c r="BA303">
        <v>286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Y303*Source!I170</f>
        <v>1.726</v>
      </c>
      <c r="CY303">
        <f>AA303</f>
        <v>16.010000000000002</v>
      </c>
      <c r="CZ303">
        <f>AE303</f>
        <v>2.44</v>
      </c>
      <c r="DA303">
        <f>AI303</f>
        <v>6.56</v>
      </c>
      <c r="DB303">
        <f>ROUND(ROUND(AT303*CZ303,2),2)</f>
        <v>4.88</v>
      </c>
      <c r="DC303">
        <f>ROUND(ROUND(AT303*AG303,2),2)</f>
        <v>0</v>
      </c>
    </row>
    <row r="304" spans="1:107" x14ac:dyDescent="0.2">
      <c r="A304">
        <f>ROW(Source!A170)</f>
        <v>170</v>
      </c>
      <c r="B304">
        <v>16742901</v>
      </c>
      <c r="C304">
        <v>16745845</v>
      </c>
      <c r="D304">
        <v>15170537</v>
      </c>
      <c r="E304">
        <v>1</v>
      </c>
      <c r="F304">
        <v>1</v>
      </c>
      <c r="G304">
        <v>1</v>
      </c>
      <c r="H304">
        <v>3</v>
      </c>
      <c r="I304" t="s">
        <v>1563</v>
      </c>
      <c r="J304" t="s">
        <v>1564</v>
      </c>
      <c r="K304" t="s">
        <v>1565</v>
      </c>
      <c r="L304">
        <v>1346</v>
      </c>
      <c r="N304">
        <v>1009</v>
      </c>
      <c r="O304" t="s">
        <v>341</v>
      </c>
      <c r="P304" t="s">
        <v>341</v>
      </c>
      <c r="Q304">
        <v>1</v>
      </c>
      <c r="W304">
        <v>0</v>
      </c>
      <c r="X304">
        <v>-1110671496</v>
      </c>
      <c r="Y304">
        <v>2</v>
      </c>
      <c r="AA304">
        <v>37.46</v>
      </c>
      <c r="AB304">
        <v>0</v>
      </c>
      <c r="AC304">
        <v>0</v>
      </c>
      <c r="AD304">
        <v>0</v>
      </c>
      <c r="AE304">
        <v>5.71</v>
      </c>
      <c r="AF304">
        <v>0</v>
      </c>
      <c r="AG304">
        <v>0</v>
      </c>
      <c r="AH304">
        <v>0</v>
      </c>
      <c r="AI304">
        <v>6.56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2</v>
      </c>
      <c r="AU304" t="s">
        <v>6</v>
      </c>
      <c r="AV304">
        <v>0</v>
      </c>
      <c r="AW304">
        <v>2</v>
      </c>
      <c r="AX304">
        <v>16745857</v>
      </c>
      <c r="AY304">
        <v>1</v>
      </c>
      <c r="AZ304">
        <v>0</v>
      </c>
      <c r="BA304">
        <v>287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Y304*Source!I170</f>
        <v>1.726</v>
      </c>
      <c r="CY304">
        <f>AA304</f>
        <v>37.46</v>
      </c>
      <c r="CZ304">
        <f>AE304</f>
        <v>5.71</v>
      </c>
      <c r="DA304">
        <f>AI304</f>
        <v>6.56</v>
      </c>
      <c r="DB304">
        <f>ROUND(ROUND(AT304*CZ304,2),2)</f>
        <v>11.42</v>
      </c>
      <c r="DC304">
        <f>ROUND(ROUND(AT304*AG304,2),2)</f>
        <v>0</v>
      </c>
    </row>
    <row r="305" spans="1:107" x14ac:dyDescent="0.2">
      <c r="A305">
        <f>ROW(Source!A171)</f>
        <v>171</v>
      </c>
      <c r="B305">
        <v>16742901</v>
      </c>
      <c r="C305">
        <v>16745858</v>
      </c>
      <c r="D305">
        <v>15436014</v>
      </c>
      <c r="E305">
        <v>1</v>
      </c>
      <c r="F305">
        <v>1</v>
      </c>
      <c r="G305">
        <v>1</v>
      </c>
      <c r="H305">
        <v>1</v>
      </c>
      <c r="I305" t="s">
        <v>1388</v>
      </c>
      <c r="J305" t="s">
        <v>6</v>
      </c>
      <c r="K305" t="s">
        <v>1389</v>
      </c>
      <c r="L305">
        <v>1191</v>
      </c>
      <c r="N305">
        <v>1013</v>
      </c>
      <c r="O305" t="s">
        <v>1287</v>
      </c>
      <c r="P305" t="s">
        <v>1287</v>
      </c>
      <c r="Q305">
        <v>1</v>
      </c>
      <c r="W305">
        <v>0</v>
      </c>
      <c r="X305">
        <v>-784637506</v>
      </c>
      <c r="Y305">
        <v>356.983</v>
      </c>
      <c r="AA305">
        <v>0</v>
      </c>
      <c r="AB305">
        <v>0</v>
      </c>
      <c r="AC305">
        <v>0</v>
      </c>
      <c r="AD305">
        <v>57.33</v>
      </c>
      <c r="AE305">
        <v>0</v>
      </c>
      <c r="AF305">
        <v>0</v>
      </c>
      <c r="AG305">
        <v>0</v>
      </c>
      <c r="AH305">
        <v>8.74</v>
      </c>
      <c r="AI305">
        <v>1</v>
      </c>
      <c r="AJ305">
        <v>1</v>
      </c>
      <c r="AK305">
        <v>1</v>
      </c>
      <c r="AL305">
        <v>6.56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310.42</v>
      </c>
      <c r="AU305" t="s">
        <v>188</v>
      </c>
      <c r="AV305">
        <v>1</v>
      </c>
      <c r="AW305">
        <v>2</v>
      </c>
      <c r="AX305">
        <v>16745870</v>
      </c>
      <c r="AY305">
        <v>1</v>
      </c>
      <c r="AZ305">
        <v>0</v>
      </c>
      <c r="BA305">
        <v>288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Y305*Source!I171</f>
        <v>74.966430000000003</v>
      </c>
      <c r="CY305">
        <f>AD305</f>
        <v>57.33</v>
      </c>
      <c r="CZ305">
        <f>AH305</f>
        <v>8.74</v>
      </c>
      <c r="DA305">
        <f>AL305</f>
        <v>6.56</v>
      </c>
      <c r="DB305">
        <f>ROUND((ROUND(AT305*CZ305,2)*1.15),2)</f>
        <v>3120.03</v>
      </c>
      <c r="DC305">
        <f>ROUND((ROUND(AT305*AG305,2)*1.15),2)</f>
        <v>0</v>
      </c>
    </row>
    <row r="306" spans="1:107" x14ac:dyDescent="0.2">
      <c r="A306">
        <f>ROW(Source!A171)</f>
        <v>171</v>
      </c>
      <c r="B306">
        <v>16742901</v>
      </c>
      <c r="C306">
        <v>16745858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1293</v>
      </c>
      <c r="J306" t="s">
        <v>6</v>
      </c>
      <c r="K306" t="s">
        <v>1294</v>
      </c>
      <c r="L306">
        <v>1191</v>
      </c>
      <c r="N306">
        <v>1013</v>
      </c>
      <c r="O306" t="s">
        <v>1287</v>
      </c>
      <c r="P306" t="s">
        <v>1287</v>
      </c>
      <c r="Q306">
        <v>1</v>
      </c>
      <c r="W306">
        <v>0</v>
      </c>
      <c r="X306">
        <v>-1417349443</v>
      </c>
      <c r="Y306">
        <v>1.73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6.56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1.73</v>
      </c>
      <c r="AU306" t="s">
        <v>6</v>
      </c>
      <c r="AV306">
        <v>2</v>
      </c>
      <c r="AW306">
        <v>2</v>
      </c>
      <c r="AX306">
        <v>16745871</v>
      </c>
      <c r="AY306">
        <v>1</v>
      </c>
      <c r="AZ306">
        <v>2048</v>
      </c>
      <c r="BA306">
        <v>289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Y306*Source!I171</f>
        <v>0.36329999999999996</v>
      </c>
      <c r="CY306">
        <f>AD306</f>
        <v>0</v>
      </c>
      <c r="CZ306">
        <f>AH306</f>
        <v>0</v>
      </c>
      <c r="DA306">
        <f>AL306</f>
        <v>1</v>
      </c>
      <c r="DB306">
        <f>ROUND(ROUND(AT306*CZ306,2),2)</f>
        <v>0</v>
      </c>
      <c r="DC306">
        <f>ROUND(ROUND(AT306*AG306,2),2)</f>
        <v>0</v>
      </c>
    </row>
    <row r="307" spans="1:107" x14ac:dyDescent="0.2">
      <c r="A307">
        <f>ROW(Source!A171)</f>
        <v>171</v>
      </c>
      <c r="B307">
        <v>16742901</v>
      </c>
      <c r="C307">
        <v>16745858</v>
      </c>
      <c r="D307">
        <v>15247576</v>
      </c>
      <c r="E307">
        <v>1</v>
      </c>
      <c r="F307">
        <v>1</v>
      </c>
      <c r="G307">
        <v>1</v>
      </c>
      <c r="H307">
        <v>2</v>
      </c>
      <c r="I307" t="s">
        <v>1476</v>
      </c>
      <c r="J307" t="s">
        <v>1477</v>
      </c>
      <c r="K307" t="s">
        <v>1478</v>
      </c>
      <c r="L307">
        <v>1368</v>
      </c>
      <c r="N307">
        <v>1011</v>
      </c>
      <c r="O307" t="s">
        <v>1298</v>
      </c>
      <c r="P307" t="s">
        <v>1298</v>
      </c>
      <c r="Q307">
        <v>1</v>
      </c>
      <c r="W307">
        <v>0</v>
      </c>
      <c r="X307">
        <v>257150282</v>
      </c>
      <c r="Y307">
        <v>2.5000000000000001E-2</v>
      </c>
      <c r="AA307">
        <v>0</v>
      </c>
      <c r="AB307">
        <v>547.29999999999995</v>
      </c>
      <c r="AC307">
        <v>13.5</v>
      </c>
      <c r="AD307">
        <v>0</v>
      </c>
      <c r="AE307">
        <v>0</v>
      </c>
      <c r="AF307">
        <v>83.43</v>
      </c>
      <c r="AG307">
        <v>13.5</v>
      </c>
      <c r="AH307">
        <v>0</v>
      </c>
      <c r="AI307">
        <v>1</v>
      </c>
      <c r="AJ307">
        <v>6.56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0.02</v>
      </c>
      <c r="AU307" t="s">
        <v>187</v>
      </c>
      <c r="AV307">
        <v>0</v>
      </c>
      <c r="AW307">
        <v>2</v>
      </c>
      <c r="AX307">
        <v>16745872</v>
      </c>
      <c r="AY307">
        <v>1</v>
      </c>
      <c r="AZ307">
        <v>0</v>
      </c>
      <c r="BA307">
        <v>290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Y307*Source!I171</f>
        <v>5.2500000000000003E-3</v>
      </c>
      <c r="CY307">
        <f>AB307</f>
        <v>547.29999999999995</v>
      </c>
      <c r="CZ307">
        <f>AF307</f>
        <v>83.43</v>
      </c>
      <c r="DA307">
        <f>AJ307</f>
        <v>6.56</v>
      </c>
      <c r="DB307">
        <f>ROUND((ROUND(AT307*CZ307,2)*1.25),2)</f>
        <v>2.09</v>
      </c>
      <c r="DC307">
        <f>ROUND((ROUND(AT307*AG307,2)*1.25),2)</f>
        <v>0.34</v>
      </c>
    </row>
    <row r="308" spans="1:107" x14ac:dyDescent="0.2">
      <c r="A308">
        <f>ROW(Source!A171)</f>
        <v>171</v>
      </c>
      <c r="B308">
        <v>16742901</v>
      </c>
      <c r="C308">
        <v>16745858</v>
      </c>
      <c r="D308">
        <v>15247678</v>
      </c>
      <c r="E308">
        <v>1</v>
      </c>
      <c r="F308">
        <v>1</v>
      </c>
      <c r="G308">
        <v>1</v>
      </c>
      <c r="H308">
        <v>2</v>
      </c>
      <c r="I308" t="s">
        <v>1566</v>
      </c>
      <c r="J308" t="s">
        <v>1567</v>
      </c>
      <c r="K308" t="s">
        <v>1568</v>
      </c>
      <c r="L308">
        <v>1368</v>
      </c>
      <c r="N308">
        <v>1011</v>
      </c>
      <c r="O308" t="s">
        <v>1298</v>
      </c>
      <c r="P308" t="s">
        <v>1298</v>
      </c>
      <c r="Q308">
        <v>1</v>
      </c>
      <c r="W308">
        <v>0</v>
      </c>
      <c r="X308">
        <v>1330025190</v>
      </c>
      <c r="Y308">
        <v>1.2500000000000001E-2</v>
      </c>
      <c r="AA308">
        <v>0</v>
      </c>
      <c r="AB308">
        <v>577.35</v>
      </c>
      <c r="AC308">
        <v>11.6</v>
      </c>
      <c r="AD308">
        <v>0</v>
      </c>
      <c r="AE308">
        <v>0</v>
      </c>
      <c r="AF308">
        <v>88.01</v>
      </c>
      <c r="AG308">
        <v>11.6</v>
      </c>
      <c r="AH308">
        <v>0</v>
      </c>
      <c r="AI308">
        <v>1</v>
      </c>
      <c r="AJ308">
        <v>6.56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0.01</v>
      </c>
      <c r="AU308" t="s">
        <v>187</v>
      </c>
      <c r="AV308">
        <v>0</v>
      </c>
      <c r="AW308">
        <v>2</v>
      </c>
      <c r="AX308">
        <v>16745873</v>
      </c>
      <c r="AY308">
        <v>1</v>
      </c>
      <c r="AZ308">
        <v>0</v>
      </c>
      <c r="BA308">
        <v>291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Y308*Source!I171</f>
        <v>2.6250000000000002E-3</v>
      </c>
      <c r="CY308">
        <f>AB308</f>
        <v>577.35</v>
      </c>
      <c r="CZ308">
        <f>AF308</f>
        <v>88.01</v>
      </c>
      <c r="DA308">
        <f>AJ308</f>
        <v>6.56</v>
      </c>
      <c r="DB308">
        <f>ROUND((ROUND(AT308*CZ308,2)*1.25),2)</f>
        <v>1.1000000000000001</v>
      </c>
      <c r="DC308">
        <f>ROUND((ROUND(AT308*AG308,2)*1.25),2)</f>
        <v>0.15</v>
      </c>
    </row>
    <row r="309" spans="1:107" x14ac:dyDescent="0.2">
      <c r="A309">
        <f>ROW(Source!A171)</f>
        <v>171</v>
      </c>
      <c r="B309">
        <v>16742901</v>
      </c>
      <c r="C309">
        <v>16745858</v>
      </c>
      <c r="D309">
        <v>15248143</v>
      </c>
      <c r="E309">
        <v>1</v>
      </c>
      <c r="F309">
        <v>1</v>
      </c>
      <c r="G309">
        <v>1</v>
      </c>
      <c r="H309">
        <v>2</v>
      </c>
      <c r="I309" t="s">
        <v>1495</v>
      </c>
      <c r="J309" t="s">
        <v>1496</v>
      </c>
      <c r="K309" t="s">
        <v>1497</v>
      </c>
      <c r="L309">
        <v>1368</v>
      </c>
      <c r="N309">
        <v>1011</v>
      </c>
      <c r="O309" t="s">
        <v>1298</v>
      </c>
      <c r="P309" t="s">
        <v>1298</v>
      </c>
      <c r="Q309">
        <v>1</v>
      </c>
      <c r="W309">
        <v>0</v>
      </c>
      <c r="X309">
        <v>983187852</v>
      </c>
      <c r="Y309">
        <v>2.1124999999999998</v>
      </c>
      <c r="AA309">
        <v>0</v>
      </c>
      <c r="AB309">
        <v>81.28</v>
      </c>
      <c r="AC309">
        <v>10.06</v>
      </c>
      <c r="AD309">
        <v>0</v>
      </c>
      <c r="AE309">
        <v>0</v>
      </c>
      <c r="AF309">
        <v>12.39</v>
      </c>
      <c r="AG309">
        <v>10.06</v>
      </c>
      <c r="AH309">
        <v>0</v>
      </c>
      <c r="AI309">
        <v>1</v>
      </c>
      <c r="AJ309">
        <v>6.56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1.69</v>
      </c>
      <c r="AU309" t="s">
        <v>187</v>
      </c>
      <c r="AV309">
        <v>0</v>
      </c>
      <c r="AW309">
        <v>2</v>
      </c>
      <c r="AX309">
        <v>16745874</v>
      </c>
      <c r="AY309">
        <v>1</v>
      </c>
      <c r="AZ309">
        <v>0</v>
      </c>
      <c r="BA309">
        <v>292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Y309*Source!I171</f>
        <v>0.44362499999999994</v>
      </c>
      <c r="CY309">
        <f>AB309</f>
        <v>81.28</v>
      </c>
      <c r="CZ309">
        <f>AF309</f>
        <v>12.39</v>
      </c>
      <c r="DA309">
        <f>AJ309</f>
        <v>6.56</v>
      </c>
      <c r="DB309">
        <f>ROUND((ROUND(AT309*CZ309,2)*1.25),2)</f>
        <v>26.18</v>
      </c>
      <c r="DC309">
        <f>ROUND((ROUND(AT309*AG309,2)*1.25),2)</f>
        <v>21.25</v>
      </c>
    </row>
    <row r="310" spans="1:107" x14ac:dyDescent="0.2">
      <c r="A310">
        <f>ROW(Source!A171)</f>
        <v>171</v>
      </c>
      <c r="B310">
        <v>16742901</v>
      </c>
      <c r="C310">
        <v>16745858</v>
      </c>
      <c r="D310">
        <v>15249073</v>
      </c>
      <c r="E310">
        <v>1</v>
      </c>
      <c r="F310">
        <v>1</v>
      </c>
      <c r="G310">
        <v>1</v>
      </c>
      <c r="H310">
        <v>2</v>
      </c>
      <c r="I310" t="s">
        <v>1299</v>
      </c>
      <c r="J310" t="s">
        <v>1300</v>
      </c>
      <c r="K310" t="s">
        <v>1301</v>
      </c>
      <c r="L310">
        <v>1368</v>
      </c>
      <c r="N310">
        <v>1011</v>
      </c>
      <c r="O310" t="s">
        <v>1298</v>
      </c>
      <c r="P310" t="s">
        <v>1298</v>
      </c>
      <c r="Q310">
        <v>1</v>
      </c>
      <c r="W310">
        <v>0</v>
      </c>
      <c r="X310">
        <v>1372534845</v>
      </c>
      <c r="Y310">
        <v>1.2500000000000001E-2</v>
      </c>
      <c r="AA310">
        <v>0</v>
      </c>
      <c r="AB310">
        <v>431.06</v>
      </c>
      <c r="AC310">
        <v>11.6</v>
      </c>
      <c r="AD310">
        <v>0</v>
      </c>
      <c r="AE310">
        <v>0</v>
      </c>
      <c r="AF310">
        <v>65.709999999999994</v>
      </c>
      <c r="AG310">
        <v>11.6</v>
      </c>
      <c r="AH310">
        <v>0</v>
      </c>
      <c r="AI310">
        <v>1</v>
      </c>
      <c r="AJ310">
        <v>6.56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0.01</v>
      </c>
      <c r="AU310" t="s">
        <v>187</v>
      </c>
      <c r="AV310">
        <v>0</v>
      </c>
      <c r="AW310">
        <v>2</v>
      </c>
      <c r="AX310">
        <v>16745875</v>
      </c>
      <c r="AY310">
        <v>1</v>
      </c>
      <c r="AZ310">
        <v>0</v>
      </c>
      <c r="BA310">
        <v>293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Y310*Source!I171</f>
        <v>2.6250000000000002E-3</v>
      </c>
      <c r="CY310">
        <f>AB310</f>
        <v>431.06</v>
      </c>
      <c r="CZ310">
        <f>AF310</f>
        <v>65.709999999999994</v>
      </c>
      <c r="DA310">
        <f>AJ310</f>
        <v>6.56</v>
      </c>
      <c r="DB310">
        <f>ROUND((ROUND(AT310*CZ310,2)*1.25),2)</f>
        <v>0.83</v>
      </c>
      <c r="DC310">
        <f>ROUND((ROUND(AT310*AG310,2)*1.25),2)</f>
        <v>0.15</v>
      </c>
    </row>
    <row r="311" spans="1:107" x14ac:dyDescent="0.2">
      <c r="A311">
        <f>ROW(Source!A171)</f>
        <v>171</v>
      </c>
      <c r="B311">
        <v>16742901</v>
      </c>
      <c r="C311">
        <v>16745858</v>
      </c>
      <c r="D311">
        <v>15167286</v>
      </c>
      <c r="E311">
        <v>1</v>
      </c>
      <c r="F311">
        <v>1</v>
      </c>
      <c r="G311">
        <v>1</v>
      </c>
      <c r="H311">
        <v>3</v>
      </c>
      <c r="I311" t="s">
        <v>1317</v>
      </c>
      <c r="J311" t="s">
        <v>1318</v>
      </c>
      <c r="K311" t="s">
        <v>1319</v>
      </c>
      <c r="L311">
        <v>1339</v>
      </c>
      <c r="N311">
        <v>1007</v>
      </c>
      <c r="O311" t="s">
        <v>301</v>
      </c>
      <c r="P311" t="s">
        <v>301</v>
      </c>
      <c r="Q311">
        <v>1</v>
      </c>
      <c r="W311">
        <v>0</v>
      </c>
      <c r="X311">
        <v>-1660354250</v>
      </c>
      <c r="Y311">
        <v>0.44</v>
      </c>
      <c r="AA311">
        <v>16.010000000000002</v>
      </c>
      <c r="AB311">
        <v>0</v>
      </c>
      <c r="AC311">
        <v>0</v>
      </c>
      <c r="AD311">
        <v>0</v>
      </c>
      <c r="AE311">
        <v>2.44</v>
      </c>
      <c r="AF311">
        <v>0</v>
      </c>
      <c r="AG311">
        <v>0</v>
      </c>
      <c r="AH311">
        <v>0</v>
      </c>
      <c r="AI311">
        <v>6.56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0.44</v>
      </c>
      <c r="AU311" t="s">
        <v>6</v>
      </c>
      <c r="AV311">
        <v>0</v>
      </c>
      <c r="AW311">
        <v>2</v>
      </c>
      <c r="AX311">
        <v>16745876</v>
      </c>
      <c r="AY311">
        <v>1</v>
      </c>
      <c r="AZ311">
        <v>0</v>
      </c>
      <c r="BA311">
        <v>294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Y311*Source!I171</f>
        <v>9.2399999999999996E-2</v>
      </c>
      <c r="CY311">
        <f>AA311</f>
        <v>16.010000000000002</v>
      </c>
      <c r="CZ311">
        <f>AE311</f>
        <v>2.44</v>
      </c>
      <c r="DA311">
        <f>AI311</f>
        <v>6.56</v>
      </c>
      <c r="DB311">
        <f>ROUND(ROUND(AT311*CZ311,2),2)</f>
        <v>1.07</v>
      </c>
      <c r="DC311">
        <f>ROUND(ROUND(AT311*AG311,2),2)</f>
        <v>0</v>
      </c>
    </row>
    <row r="312" spans="1:107" x14ac:dyDescent="0.2">
      <c r="A312">
        <f>ROW(Source!A171)</f>
        <v>171</v>
      </c>
      <c r="B312">
        <v>16742901</v>
      </c>
      <c r="C312">
        <v>16745858</v>
      </c>
      <c r="D312">
        <v>15173044</v>
      </c>
      <c r="E312">
        <v>1</v>
      </c>
      <c r="F312">
        <v>1</v>
      </c>
      <c r="G312">
        <v>1</v>
      </c>
      <c r="H312">
        <v>3</v>
      </c>
      <c r="I312" t="s">
        <v>1569</v>
      </c>
      <c r="J312" t="s">
        <v>1570</v>
      </c>
      <c r="K312" t="s">
        <v>1571</v>
      </c>
      <c r="L312">
        <v>1348</v>
      </c>
      <c r="N312">
        <v>1009</v>
      </c>
      <c r="O312" t="s">
        <v>100</v>
      </c>
      <c r="P312" t="s">
        <v>100</v>
      </c>
      <c r="Q312">
        <v>1000</v>
      </c>
      <c r="W312">
        <v>0</v>
      </c>
      <c r="X312">
        <v>2108657288</v>
      </c>
      <c r="Y312">
        <v>1.2999999999999999E-2</v>
      </c>
      <c r="AA312">
        <v>42725.279999999999</v>
      </c>
      <c r="AB312">
        <v>0</v>
      </c>
      <c r="AC312">
        <v>0</v>
      </c>
      <c r="AD312">
        <v>0</v>
      </c>
      <c r="AE312">
        <v>6513</v>
      </c>
      <c r="AF312">
        <v>0</v>
      </c>
      <c r="AG312">
        <v>0</v>
      </c>
      <c r="AH312">
        <v>0</v>
      </c>
      <c r="AI312">
        <v>6.56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1.2999999999999999E-2</v>
      </c>
      <c r="AU312" t="s">
        <v>6</v>
      </c>
      <c r="AV312">
        <v>0</v>
      </c>
      <c r="AW312">
        <v>2</v>
      </c>
      <c r="AX312">
        <v>16745877</v>
      </c>
      <c r="AY312">
        <v>1</v>
      </c>
      <c r="AZ312">
        <v>0</v>
      </c>
      <c r="BA312">
        <v>295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Y312*Source!I171</f>
        <v>2.7299999999999998E-3</v>
      </c>
      <c r="CY312">
        <f>AA312</f>
        <v>42725.279999999999</v>
      </c>
      <c r="CZ312">
        <f>AE312</f>
        <v>6513</v>
      </c>
      <c r="DA312">
        <f>AI312</f>
        <v>6.56</v>
      </c>
      <c r="DB312">
        <f>ROUND(ROUND(AT312*CZ312,2),2)</f>
        <v>84.67</v>
      </c>
      <c r="DC312">
        <f>ROUND(ROUND(AT312*AG312,2),2)</f>
        <v>0</v>
      </c>
    </row>
    <row r="313" spans="1:107" x14ac:dyDescent="0.2">
      <c r="A313">
        <f>ROW(Source!A171)</f>
        <v>171</v>
      </c>
      <c r="B313">
        <v>16742901</v>
      </c>
      <c r="C313">
        <v>16745858</v>
      </c>
      <c r="D313">
        <v>15187102</v>
      </c>
      <c r="E313">
        <v>1</v>
      </c>
      <c r="F313">
        <v>1</v>
      </c>
      <c r="G313">
        <v>1</v>
      </c>
      <c r="H313">
        <v>3</v>
      </c>
      <c r="I313" t="s">
        <v>516</v>
      </c>
      <c r="J313" t="s">
        <v>518</v>
      </c>
      <c r="K313" t="s">
        <v>517</v>
      </c>
      <c r="L313">
        <v>1327</v>
      </c>
      <c r="N313">
        <v>1005</v>
      </c>
      <c r="O313" t="s">
        <v>193</v>
      </c>
      <c r="P313" t="s">
        <v>193</v>
      </c>
      <c r="Q313">
        <v>1</v>
      </c>
      <c r="W313">
        <v>1</v>
      </c>
      <c r="X313">
        <v>2046761779</v>
      </c>
      <c r="Y313">
        <v>-102</v>
      </c>
      <c r="AA313">
        <v>921.35</v>
      </c>
      <c r="AB313">
        <v>0</v>
      </c>
      <c r="AC313">
        <v>0</v>
      </c>
      <c r="AD313">
        <v>0</v>
      </c>
      <c r="AE313">
        <v>140.44999999999999</v>
      </c>
      <c r="AF313">
        <v>0</v>
      </c>
      <c r="AG313">
        <v>0</v>
      </c>
      <c r="AH313">
        <v>0</v>
      </c>
      <c r="AI313">
        <v>6.56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-102</v>
      </c>
      <c r="AU313" t="s">
        <v>6</v>
      </c>
      <c r="AV313">
        <v>0</v>
      </c>
      <c r="AW313">
        <v>2</v>
      </c>
      <c r="AX313">
        <v>16745878</v>
      </c>
      <c r="AY313">
        <v>1</v>
      </c>
      <c r="AZ313">
        <v>6144</v>
      </c>
      <c r="BA313">
        <v>296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Y313*Source!I171</f>
        <v>-21.419999999999998</v>
      </c>
      <c r="CY313">
        <f>AA313</f>
        <v>921.35</v>
      </c>
      <c r="CZ313">
        <f>AE313</f>
        <v>140.44999999999999</v>
      </c>
      <c r="DA313">
        <f>AI313</f>
        <v>6.56</v>
      </c>
      <c r="DB313">
        <f>ROUND(ROUND(AT313*CZ313,2),2)</f>
        <v>-14325.9</v>
      </c>
      <c r="DC313">
        <f>ROUND(ROUND(AT313*AG313,2),2)</f>
        <v>0</v>
      </c>
    </row>
    <row r="314" spans="1:107" x14ac:dyDescent="0.2">
      <c r="A314">
        <f>ROW(Source!A171)</f>
        <v>171</v>
      </c>
      <c r="B314">
        <v>16742901</v>
      </c>
      <c r="C314">
        <v>16745858</v>
      </c>
      <c r="D314">
        <v>15187108</v>
      </c>
      <c r="E314">
        <v>1</v>
      </c>
      <c r="F314">
        <v>1</v>
      </c>
      <c r="G314">
        <v>1</v>
      </c>
      <c r="H314">
        <v>3</v>
      </c>
      <c r="I314" t="s">
        <v>520</v>
      </c>
      <c r="J314" t="s">
        <v>522</v>
      </c>
      <c r="K314" t="s">
        <v>521</v>
      </c>
      <c r="L314">
        <v>1327</v>
      </c>
      <c r="N314">
        <v>1005</v>
      </c>
      <c r="O314" t="s">
        <v>193</v>
      </c>
      <c r="P314" t="s">
        <v>193</v>
      </c>
      <c r="Q314">
        <v>1</v>
      </c>
      <c r="W314">
        <v>0</v>
      </c>
      <c r="X314">
        <v>1255404391</v>
      </c>
      <c r="Y314">
        <v>102</v>
      </c>
      <c r="AA314">
        <v>372.41</v>
      </c>
      <c r="AB314">
        <v>0</v>
      </c>
      <c r="AC314">
        <v>0</v>
      </c>
      <c r="AD314">
        <v>0</v>
      </c>
      <c r="AE314">
        <v>56.77</v>
      </c>
      <c r="AF314">
        <v>0</v>
      </c>
      <c r="AG314">
        <v>0</v>
      </c>
      <c r="AH314">
        <v>0</v>
      </c>
      <c r="AI314">
        <v>6.56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102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Y314*Source!I171</f>
        <v>21.419999999999998</v>
      </c>
      <c r="CY314">
        <f>AA314</f>
        <v>372.41</v>
      </c>
      <c r="CZ314">
        <f>AE314</f>
        <v>56.77</v>
      </c>
      <c r="DA314">
        <f>AI314</f>
        <v>6.56</v>
      </c>
      <c r="DB314">
        <f>ROUND(ROUND(AT314*CZ314,2),2)</f>
        <v>5790.54</v>
      </c>
      <c r="DC314">
        <f>ROUND(ROUND(AT314*AG314,2),2)</f>
        <v>0</v>
      </c>
    </row>
    <row r="315" spans="1:107" x14ac:dyDescent="0.2">
      <c r="A315">
        <f>ROW(Source!A171)</f>
        <v>171</v>
      </c>
      <c r="B315">
        <v>16742901</v>
      </c>
      <c r="C315">
        <v>16745858</v>
      </c>
      <c r="D315">
        <v>15202597</v>
      </c>
      <c r="E315">
        <v>1</v>
      </c>
      <c r="F315">
        <v>1</v>
      </c>
      <c r="G315">
        <v>1</v>
      </c>
      <c r="H315">
        <v>3</v>
      </c>
      <c r="I315" t="s">
        <v>1572</v>
      </c>
      <c r="J315" t="s">
        <v>1573</v>
      </c>
      <c r="K315" t="s">
        <v>1574</v>
      </c>
      <c r="L315">
        <v>1346</v>
      </c>
      <c r="N315">
        <v>1009</v>
      </c>
      <c r="O315" t="s">
        <v>341</v>
      </c>
      <c r="P315" t="s">
        <v>341</v>
      </c>
      <c r="Q315">
        <v>1</v>
      </c>
      <c r="W315">
        <v>0</v>
      </c>
      <c r="X315">
        <v>830044740</v>
      </c>
      <c r="Y315">
        <v>1200</v>
      </c>
      <c r="AA315">
        <v>24.21</v>
      </c>
      <c r="AB315">
        <v>0</v>
      </c>
      <c r="AC315">
        <v>0</v>
      </c>
      <c r="AD315">
        <v>0</v>
      </c>
      <c r="AE315">
        <v>3.69</v>
      </c>
      <c r="AF315">
        <v>0</v>
      </c>
      <c r="AG315">
        <v>0</v>
      </c>
      <c r="AH315">
        <v>0</v>
      </c>
      <c r="AI315">
        <v>6.56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1200</v>
      </c>
      <c r="AU315" t="s">
        <v>6</v>
      </c>
      <c r="AV315">
        <v>0</v>
      </c>
      <c r="AW315">
        <v>2</v>
      </c>
      <c r="AX315">
        <v>16745880</v>
      </c>
      <c r="AY315">
        <v>1</v>
      </c>
      <c r="AZ315">
        <v>0</v>
      </c>
      <c r="BA315">
        <v>298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Y315*Source!I171</f>
        <v>252</v>
      </c>
      <c r="CY315">
        <f>AA315</f>
        <v>24.21</v>
      </c>
      <c r="CZ315">
        <f>AE315</f>
        <v>3.69</v>
      </c>
      <c r="DA315">
        <f>AI315</f>
        <v>6.56</v>
      </c>
      <c r="DB315">
        <f>ROUND(ROUND(AT315*CZ315,2),2)</f>
        <v>4428</v>
      </c>
      <c r="DC315">
        <f>ROUND(ROUND(AT315*AG315,2),2)</f>
        <v>0</v>
      </c>
    </row>
    <row r="316" spans="1:107" x14ac:dyDescent="0.2">
      <c r="A316">
        <f>ROW(Source!A174)</f>
        <v>174</v>
      </c>
      <c r="B316">
        <v>16742901</v>
      </c>
      <c r="C316">
        <v>16745884</v>
      </c>
      <c r="D316">
        <v>15435695</v>
      </c>
      <c r="E316">
        <v>1</v>
      </c>
      <c r="F316">
        <v>1</v>
      </c>
      <c r="G316">
        <v>1</v>
      </c>
      <c r="H316">
        <v>1</v>
      </c>
      <c r="I316" t="s">
        <v>1575</v>
      </c>
      <c r="J316" t="s">
        <v>6</v>
      </c>
      <c r="K316" t="s">
        <v>1576</v>
      </c>
      <c r="L316">
        <v>1191</v>
      </c>
      <c r="N316">
        <v>1013</v>
      </c>
      <c r="O316" t="s">
        <v>1287</v>
      </c>
      <c r="P316" t="s">
        <v>1287</v>
      </c>
      <c r="Q316">
        <v>1</v>
      </c>
      <c r="W316">
        <v>0</v>
      </c>
      <c r="X316">
        <v>1881689430</v>
      </c>
      <c r="Y316">
        <v>31.015499999999996</v>
      </c>
      <c r="AA316">
        <v>0</v>
      </c>
      <c r="AB316">
        <v>0</v>
      </c>
      <c r="AC316">
        <v>0</v>
      </c>
      <c r="AD316">
        <v>71.77</v>
      </c>
      <c r="AE316">
        <v>0</v>
      </c>
      <c r="AF316">
        <v>0</v>
      </c>
      <c r="AG316">
        <v>0</v>
      </c>
      <c r="AH316">
        <v>10.94</v>
      </c>
      <c r="AI316">
        <v>1</v>
      </c>
      <c r="AJ316">
        <v>1</v>
      </c>
      <c r="AK316">
        <v>1</v>
      </c>
      <c r="AL316">
        <v>6.56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6</v>
      </c>
      <c r="AT316">
        <v>26.97</v>
      </c>
      <c r="AU316" t="s">
        <v>188</v>
      </c>
      <c r="AV316">
        <v>1</v>
      </c>
      <c r="AW316">
        <v>2</v>
      </c>
      <c r="AX316">
        <v>16745897</v>
      </c>
      <c r="AY316">
        <v>1</v>
      </c>
      <c r="AZ316">
        <v>0</v>
      </c>
      <c r="BA316">
        <v>300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Y316*Source!I174</f>
        <v>6.5132549999999991</v>
      </c>
      <c r="CY316">
        <f>AD316</f>
        <v>71.77</v>
      </c>
      <c r="CZ316">
        <f>AH316</f>
        <v>10.94</v>
      </c>
      <c r="DA316">
        <f>AL316</f>
        <v>6.56</v>
      </c>
      <c r="DB316">
        <f>ROUND((ROUND(AT316*CZ316,2)*1.15),2)</f>
        <v>339.31</v>
      </c>
      <c r="DC316">
        <f>ROUND((ROUND(AT316*AG316,2)*1.15),2)</f>
        <v>0</v>
      </c>
    </row>
    <row r="317" spans="1:107" x14ac:dyDescent="0.2">
      <c r="A317">
        <f>ROW(Source!A174)</f>
        <v>174</v>
      </c>
      <c r="B317">
        <v>16742901</v>
      </c>
      <c r="C317">
        <v>16745884</v>
      </c>
      <c r="D317">
        <v>15430395</v>
      </c>
      <c r="E317">
        <v>1</v>
      </c>
      <c r="F317">
        <v>1</v>
      </c>
      <c r="G317">
        <v>1</v>
      </c>
      <c r="H317">
        <v>1</v>
      </c>
      <c r="I317" t="s">
        <v>1293</v>
      </c>
      <c r="J317" t="s">
        <v>6</v>
      </c>
      <c r="K317" t="s">
        <v>1294</v>
      </c>
      <c r="L317">
        <v>1191</v>
      </c>
      <c r="N317">
        <v>1013</v>
      </c>
      <c r="O317" t="s">
        <v>1287</v>
      </c>
      <c r="P317" t="s">
        <v>1287</v>
      </c>
      <c r="Q317">
        <v>1</v>
      </c>
      <c r="W317">
        <v>0</v>
      </c>
      <c r="X317">
        <v>-1417349443</v>
      </c>
      <c r="Y317">
        <v>0.43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6.56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0.43</v>
      </c>
      <c r="AU317" t="s">
        <v>6</v>
      </c>
      <c r="AV317">
        <v>2</v>
      </c>
      <c r="AW317">
        <v>2</v>
      </c>
      <c r="AX317">
        <v>16745898</v>
      </c>
      <c r="AY317">
        <v>1</v>
      </c>
      <c r="AZ317">
        <v>2048</v>
      </c>
      <c r="BA317">
        <v>301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Y317*Source!I174</f>
        <v>9.0299999999999991E-2</v>
      </c>
      <c r="CY317">
        <f>AD317</f>
        <v>0</v>
      </c>
      <c r="CZ317">
        <f>AH317</f>
        <v>0</v>
      </c>
      <c r="DA317">
        <f>AL317</f>
        <v>1</v>
      </c>
      <c r="DB317">
        <f>ROUND(ROUND(AT317*CZ317,2),2)</f>
        <v>0</v>
      </c>
      <c r="DC317">
        <f>ROUND(ROUND(AT317*AG317,2),2)</f>
        <v>0</v>
      </c>
    </row>
    <row r="318" spans="1:107" x14ac:dyDescent="0.2">
      <c r="A318">
        <f>ROW(Source!A174)</f>
        <v>174</v>
      </c>
      <c r="B318">
        <v>16742901</v>
      </c>
      <c r="C318">
        <v>16745884</v>
      </c>
      <c r="D318">
        <v>15247974</v>
      </c>
      <c r="E318">
        <v>1</v>
      </c>
      <c r="F318">
        <v>1</v>
      </c>
      <c r="G318">
        <v>1</v>
      </c>
      <c r="H318">
        <v>2</v>
      </c>
      <c r="I318" t="s">
        <v>1314</v>
      </c>
      <c r="J318" t="s">
        <v>1315</v>
      </c>
      <c r="K318" t="s">
        <v>1316</v>
      </c>
      <c r="L318">
        <v>1368</v>
      </c>
      <c r="N318">
        <v>1011</v>
      </c>
      <c r="O318" t="s">
        <v>1298</v>
      </c>
      <c r="P318" t="s">
        <v>1298</v>
      </c>
      <c r="Q318">
        <v>1</v>
      </c>
      <c r="W318">
        <v>0</v>
      </c>
      <c r="X318">
        <v>1188625873</v>
      </c>
      <c r="Y318">
        <v>0.22499999999999998</v>
      </c>
      <c r="AA318">
        <v>0</v>
      </c>
      <c r="AB318">
        <v>205.07</v>
      </c>
      <c r="AC318">
        <v>13.5</v>
      </c>
      <c r="AD318">
        <v>0</v>
      </c>
      <c r="AE318">
        <v>0</v>
      </c>
      <c r="AF318">
        <v>31.26</v>
      </c>
      <c r="AG318">
        <v>13.5</v>
      </c>
      <c r="AH318">
        <v>0</v>
      </c>
      <c r="AI318">
        <v>1</v>
      </c>
      <c r="AJ318">
        <v>6.56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6</v>
      </c>
      <c r="AT318">
        <v>0.18</v>
      </c>
      <c r="AU318" t="s">
        <v>187</v>
      </c>
      <c r="AV318">
        <v>0</v>
      </c>
      <c r="AW318">
        <v>2</v>
      </c>
      <c r="AX318">
        <v>16745899</v>
      </c>
      <c r="AY318">
        <v>1</v>
      </c>
      <c r="AZ318">
        <v>0</v>
      </c>
      <c r="BA318">
        <v>302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Y318*Source!I174</f>
        <v>4.7249999999999993E-2</v>
      </c>
      <c r="CY318">
        <f>AB318</f>
        <v>205.07</v>
      </c>
      <c r="CZ318">
        <f>AF318</f>
        <v>31.26</v>
      </c>
      <c r="DA318">
        <f>AJ318</f>
        <v>6.56</v>
      </c>
      <c r="DB318">
        <f>ROUND((ROUND(AT318*CZ318,2)*1.25),2)</f>
        <v>7.04</v>
      </c>
      <c r="DC318">
        <f>ROUND((ROUND(AT318*AG318,2)*1.25),2)</f>
        <v>3.04</v>
      </c>
    </row>
    <row r="319" spans="1:107" x14ac:dyDescent="0.2">
      <c r="A319">
        <f>ROW(Source!A174)</f>
        <v>174</v>
      </c>
      <c r="B319">
        <v>16742901</v>
      </c>
      <c r="C319">
        <v>16745884</v>
      </c>
      <c r="D319">
        <v>15248306</v>
      </c>
      <c r="E319">
        <v>1</v>
      </c>
      <c r="F319">
        <v>1</v>
      </c>
      <c r="G319">
        <v>1</v>
      </c>
      <c r="H319">
        <v>2</v>
      </c>
      <c r="I319" t="s">
        <v>1577</v>
      </c>
      <c r="J319" t="s">
        <v>1578</v>
      </c>
      <c r="K319" t="s">
        <v>1579</v>
      </c>
      <c r="L319">
        <v>1368</v>
      </c>
      <c r="N319">
        <v>1011</v>
      </c>
      <c r="O319" t="s">
        <v>1298</v>
      </c>
      <c r="P319" t="s">
        <v>1298</v>
      </c>
      <c r="Q319">
        <v>1</v>
      </c>
      <c r="W319">
        <v>0</v>
      </c>
      <c r="X319">
        <v>520357435</v>
      </c>
      <c r="Y319">
        <v>5.4625000000000004</v>
      </c>
      <c r="AA319">
        <v>0</v>
      </c>
      <c r="AB319">
        <v>196.8</v>
      </c>
      <c r="AC319">
        <v>0</v>
      </c>
      <c r="AD319">
        <v>0</v>
      </c>
      <c r="AE319">
        <v>0</v>
      </c>
      <c r="AF319">
        <v>30</v>
      </c>
      <c r="AG319">
        <v>0</v>
      </c>
      <c r="AH319">
        <v>0</v>
      </c>
      <c r="AI319">
        <v>1</v>
      </c>
      <c r="AJ319">
        <v>6.56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4.37</v>
      </c>
      <c r="AU319" t="s">
        <v>187</v>
      </c>
      <c r="AV319">
        <v>0</v>
      </c>
      <c r="AW319">
        <v>2</v>
      </c>
      <c r="AX319">
        <v>16745900</v>
      </c>
      <c r="AY319">
        <v>1</v>
      </c>
      <c r="AZ319">
        <v>0</v>
      </c>
      <c r="BA319">
        <v>303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Y319*Source!I174</f>
        <v>1.147125</v>
      </c>
      <c r="CY319">
        <f>AB319</f>
        <v>196.8</v>
      </c>
      <c r="CZ319">
        <f>AF319</f>
        <v>30</v>
      </c>
      <c r="DA319">
        <f>AJ319</f>
        <v>6.56</v>
      </c>
      <c r="DB319">
        <f>ROUND((ROUND(AT319*CZ319,2)*1.25),2)</f>
        <v>163.88</v>
      </c>
      <c r="DC319">
        <f>ROUND((ROUND(AT319*AG319,2)*1.25),2)</f>
        <v>0</v>
      </c>
    </row>
    <row r="320" spans="1:107" x14ac:dyDescent="0.2">
      <c r="A320">
        <f>ROW(Source!A174)</f>
        <v>174</v>
      </c>
      <c r="B320">
        <v>16742901</v>
      </c>
      <c r="C320">
        <v>16745884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1299</v>
      </c>
      <c r="J320" t="s">
        <v>1300</v>
      </c>
      <c r="K320" t="s">
        <v>1301</v>
      </c>
      <c r="L320">
        <v>1368</v>
      </c>
      <c r="N320">
        <v>1011</v>
      </c>
      <c r="O320" t="s">
        <v>1298</v>
      </c>
      <c r="P320" t="s">
        <v>1298</v>
      </c>
      <c r="Q320">
        <v>1</v>
      </c>
      <c r="W320">
        <v>0</v>
      </c>
      <c r="X320">
        <v>1372534845</v>
      </c>
      <c r="Y320">
        <v>0.3125</v>
      </c>
      <c r="AA320">
        <v>0</v>
      </c>
      <c r="AB320">
        <v>431.06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6.56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0.25</v>
      </c>
      <c r="AU320" t="s">
        <v>187</v>
      </c>
      <c r="AV320">
        <v>0</v>
      </c>
      <c r="AW320">
        <v>2</v>
      </c>
      <c r="AX320">
        <v>16745901</v>
      </c>
      <c r="AY320">
        <v>1</v>
      </c>
      <c r="AZ320">
        <v>0</v>
      </c>
      <c r="BA320">
        <v>304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Y320*Source!I174</f>
        <v>6.5625000000000003E-2</v>
      </c>
      <c r="CY320">
        <f>AB320</f>
        <v>431.06</v>
      </c>
      <c r="CZ320">
        <f>AF320</f>
        <v>65.709999999999994</v>
      </c>
      <c r="DA320">
        <f>AJ320</f>
        <v>6.56</v>
      </c>
      <c r="DB320">
        <f>ROUND((ROUND(AT320*CZ320,2)*1.25),2)</f>
        <v>20.54</v>
      </c>
      <c r="DC320">
        <f>ROUND((ROUND(AT320*AG320,2)*1.25),2)</f>
        <v>3.63</v>
      </c>
    </row>
    <row r="321" spans="1:107" x14ac:dyDescent="0.2">
      <c r="A321">
        <f>ROW(Source!A174)</f>
        <v>174</v>
      </c>
      <c r="B321">
        <v>16742901</v>
      </c>
      <c r="C321">
        <v>16745884</v>
      </c>
      <c r="D321">
        <v>15250226</v>
      </c>
      <c r="E321">
        <v>1</v>
      </c>
      <c r="F321">
        <v>1</v>
      </c>
      <c r="G321">
        <v>1</v>
      </c>
      <c r="H321">
        <v>2</v>
      </c>
      <c r="I321" t="s">
        <v>1580</v>
      </c>
      <c r="J321" t="s">
        <v>1581</v>
      </c>
      <c r="K321" t="s">
        <v>1582</v>
      </c>
      <c r="L321">
        <v>1368</v>
      </c>
      <c r="N321">
        <v>1011</v>
      </c>
      <c r="O321" t="s">
        <v>1298</v>
      </c>
      <c r="P321" t="s">
        <v>1298</v>
      </c>
      <c r="Q321">
        <v>1</v>
      </c>
      <c r="W321">
        <v>0</v>
      </c>
      <c r="X321">
        <v>-53362720</v>
      </c>
      <c r="Y321">
        <v>1.875</v>
      </c>
      <c r="AA321">
        <v>0</v>
      </c>
      <c r="AB321">
        <v>17.71</v>
      </c>
      <c r="AC321">
        <v>0</v>
      </c>
      <c r="AD321">
        <v>0</v>
      </c>
      <c r="AE321">
        <v>0</v>
      </c>
      <c r="AF321">
        <v>2.7</v>
      </c>
      <c r="AG321">
        <v>0</v>
      </c>
      <c r="AH321">
        <v>0</v>
      </c>
      <c r="AI321">
        <v>1</v>
      </c>
      <c r="AJ321">
        <v>6.56</v>
      </c>
      <c r="AK321">
        <v>1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6</v>
      </c>
      <c r="AT321">
        <v>1.5</v>
      </c>
      <c r="AU321" t="s">
        <v>187</v>
      </c>
      <c r="AV321">
        <v>0</v>
      </c>
      <c r="AW321">
        <v>2</v>
      </c>
      <c r="AX321">
        <v>16745902</v>
      </c>
      <c r="AY321">
        <v>1</v>
      </c>
      <c r="AZ321">
        <v>0</v>
      </c>
      <c r="BA321">
        <v>305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Y321*Source!I174</f>
        <v>0.39374999999999999</v>
      </c>
      <c r="CY321">
        <f>AB321</f>
        <v>17.71</v>
      </c>
      <c r="CZ321">
        <f>AF321</f>
        <v>2.7</v>
      </c>
      <c r="DA321">
        <f>AJ321</f>
        <v>6.56</v>
      </c>
      <c r="DB321">
        <f>ROUND((ROUND(AT321*CZ321,2)*1.25),2)</f>
        <v>5.0599999999999996</v>
      </c>
      <c r="DC321">
        <f>ROUND((ROUND(AT321*AG321,2)*1.25),2)</f>
        <v>0</v>
      </c>
    </row>
    <row r="322" spans="1:107" x14ac:dyDescent="0.2">
      <c r="A322">
        <f>ROW(Source!A174)</f>
        <v>174</v>
      </c>
      <c r="B322">
        <v>16742901</v>
      </c>
      <c r="C322">
        <v>16745884</v>
      </c>
      <c r="D322">
        <v>15165310</v>
      </c>
      <c r="E322">
        <v>1</v>
      </c>
      <c r="F322">
        <v>1</v>
      </c>
      <c r="G322">
        <v>1</v>
      </c>
      <c r="H322">
        <v>3</v>
      </c>
      <c r="I322" t="s">
        <v>1583</v>
      </c>
      <c r="J322" t="s">
        <v>1584</v>
      </c>
      <c r="K322" t="s">
        <v>1585</v>
      </c>
      <c r="L322">
        <v>1348</v>
      </c>
      <c r="N322">
        <v>1009</v>
      </c>
      <c r="O322" t="s">
        <v>100</v>
      </c>
      <c r="P322" t="s">
        <v>100</v>
      </c>
      <c r="Q322">
        <v>1000</v>
      </c>
      <c r="W322">
        <v>0</v>
      </c>
      <c r="X322">
        <v>-1006529954</v>
      </c>
      <c r="Y322">
        <v>8.0000000000000002E-3</v>
      </c>
      <c r="AA322">
        <v>7609.6</v>
      </c>
      <c r="AB322">
        <v>0</v>
      </c>
      <c r="AC322">
        <v>0</v>
      </c>
      <c r="AD322">
        <v>0</v>
      </c>
      <c r="AE322">
        <v>1160</v>
      </c>
      <c r="AF322">
        <v>0</v>
      </c>
      <c r="AG322">
        <v>0</v>
      </c>
      <c r="AH322">
        <v>0</v>
      </c>
      <c r="AI322">
        <v>6.56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8.0000000000000002E-3</v>
      </c>
      <c r="AU322" t="s">
        <v>6</v>
      </c>
      <c r="AV322">
        <v>0</v>
      </c>
      <c r="AW322">
        <v>2</v>
      </c>
      <c r="AX322">
        <v>16745903</v>
      </c>
      <c r="AY322">
        <v>1</v>
      </c>
      <c r="AZ322">
        <v>0</v>
      </c>
      <c r="BA322">
        <v>306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Y322*Source!I174</f>
        <v>1.6800000000000001E-3</v>
      </c>
      <c r="CY322">
        <f t="shared" ref="CY322:CY327" si="57">AA322</f>
        <v>7609.6</v>
      </c>
      <c r="CZ322">
        <f t="shared" ref="CZ322:CZ327" si="58">AE322</f>
        <v>1160</v>
      </c>
      <c r="DA322">
        <f t="shared" ref="DA322:DA327" si="59">AI322</f>
        <v>6.56</v>
      </c>
      <c r="DB322">
        <f t="shared" ref="DB322:DB327" si="60">ROUND(ROUND(AT322*CZ322,2),2)</f>
        <v>9.2799999999999994</v>
      </c>
      <c r="DC322">
        <f t="shared" ref="DC322:DC327" si="61">ROUND(ROUND(AT322*AG322,2),2)</f>
        <v>0</v>
      </c>
    </row>
    <row r="323" spans="1:107" x14ac:dyDescent="0.2">
      <c r="A323">
        <f>ROW(Source!A174)</f>
        <v>174</v>
      </c>
      <c r="B323">
        <v>16742901</v>
      </c>
      <c r="C323">
        <v>16745884</v>
      </c>
      <c r="D323">
        <v>15165346</v>
      </c>
      <c r="E323">
        <v>1</v>
      </c>
      <c r="F323">
        <v>1</v>
      </c>
      <c r="G323">
        <v>1</v>
      </c>
      <c r="H323">
        <v>3</v>
      </c>
      <c r="I323" t="s">
        <v>1586</v>
      </c>
      <c r="J323" t="s">
        <v>1587</v>
      </c>
      <c r="K323" t="s">
        <v>1588</v>
      </c>
      <c r="L323">
        <v>1348</v>
      </c>
      <c r="N323">
        <v>1009</v>
      </c>
      <c r="O323" t="s">
        <v>100</v>
      </c>
      <c r="P323" t="s">
        <v>100</v>
      </c>
      <c r="Q323">
        <v>1000</v>
      </c>
      <c r="W323">
        <v>0</v>
      </c>
      <c r="X323">
        <v>243290531</v>
      </c>
      <c r="Y323">
        <v>1.9E-2</v>
      </c>
      <c r="AA323">
        <v>10007.280000000001</v>
      </c>
      <c r="AB323">
        <v>0</v>
      </c>
      <c r="AC323">
        <v>0</v>
      </c>
      <c r="AD323">
        <v>0</v>
      </c>
      <c r="AE323">
        <v>1525.5</v>
      </c>
      <c r="AF323">
        <v>0</v>
      </c>
      <c r="AG323">
        <v>0</v>
      </c>
      <c r="AH323">
        <v>0</v>
      </c>
      <c r="AI323">
        <v>6.56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1.9E-2</v>
      </c>
      <c r="AU323" t="s">
        <v>6</v>
      </c>
      <c r="AV323">
        <v>0</v>
      </c>
      <c r="AW323">
        <v>2</v>
      </c>
      <c r="AX323">
        <v>16745904</v>
      </c>
      <c r="AY323">
        <v>1</v>
      </c>
      <c r="AZ323">
        <v>0</v>
      </c>
      <c r="BA323">
        <v>307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Y323*Source!I174</f>
        <v>3.9899999999999996E-3</v>
      </c>
      <c r="CY323">
        <f t="shared" si="57"/>
        <v>10007.280000000001</v>
      </c>
      <c r="CZ323">
        <f t="shared" si="58"/>
        <v>1525.5</v>
      </c>
      <c r="DA323">
        <f t="shared" si="59"/>
        <v>6.56</v>
      </c>
      <c r="DB323">
        <f t="shared" si="60"/>
        <v>28.98</v>
      </c>
      <c r="DC323">
        <f t="shared" si="61"/>
        <v>0</v>
      </c>
    </row>
    <row r="324" spans="1:107" x14ac:dyDescent="0.2">
      <c r="A324">
        <f>ROW(Source!A174)</f>
        <v>174</v>
      </c>
      <c r="B324">
        <v>16742901</v>
      </c>
      <c r="C324">
        <v>16745884</v>
      </c>
      <c r="D324">
        <v>15165348</v>
      </c>
      <c r="E324">
        <v>1</v>
      </c>
      <c r="F324">
        <v>1</v>
      </c>
      <c r="G324">
        <v>1</v>
      </c>
      <c r="H324">
        <v>3</v>
      </c>
      <c r="I324" t="s">
        <v>1589</v>
      </c>
      <c r="J324" t="s">
        <v>1590</v>
      </c>
      <c r="K324" t="s">
        <v>1591</v>
      </c>
      <c r="L324">
        <v>1348</v>
      </c>
      <c r="N324">
        <v>1009</v>
      </c>
      <c r="O324" t="s">
        <v>100</v>
      </c>
      <c r="P324" t="s">
        <v>100</v>
      </c>
      <c r="Q324">
        <v>1000</v>
      </c>
      <c r="W324">
        <v>0</v>
      </c>
      <c r="X324">
        <v>110322092</v>
      </c>
      <c r="Y324">
        <v>0.157</v>
      </c>
      <c r="AA324">
        <v>9073.14</v>
      </c>
      <c r="AB324">
        <v>0</v>
      </c>
      <c r="AC324">
        <v>0</v>
      </c>
      <c r="AD324">
        <v>0</v>
      </c>
      <c r="AE324">
        <v>1383.1</v>
      </c>
      <c r="AF324">
        <v>0</v>
      </c>
      <c r="AG324">
        <v>0</v>
      </c>
      <c r="AH324">
        <v>0</v>
      </c>
      <c r="AI324">
        <v>6.56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0.157</v>
      </c>
      <c r="AU324" t="s">
        <v>6</v>
      </c>
      <c r="AV324">
        <v>0</v>
      </c>
      <c r="AW324">
        <v>2</v>
      </c>
      <c r="AX324">
        <v>16745905</v>
      </c>
      <c r="AY324">
        <v>1</v>
      </c>
      <c r="AZ324">
        <v>0</v>
      </c>
      <c r="BA324">
        <v>308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Y324*Source!I174</f>
        <v>3.2969999999999999E-2</v>
      </c>
      <c r="CY324">
        <f t="shared" si="57"/>
        <v>9073.14</v>
      </c>
      <c r="CZ324">
        <f t="shared" si="58"/>
        <v>1383.1</v>
      </c>
      <c r="DA324">
        <f t="shared" si="59"/>
        <v>6.56</v>
      </c>
      <c r="DB324">
        <f t="shared" si="60"/>
        <v>217.15</v>
      </c>
      <c r="DC324">
        <f t="shared" si="61"/>
        <v>0</v>
      </c>
    </row>
    <row r="325" spans="1:107" x14ac:dyDescent="0.2">
      <c r="A325">
        <f>ROW(Source!A174)</f>
        <v>174</v>
      </c>
      <c r="B325">
        <v>16742901</v>
      </c>
      <c r="C325">
        <v>16745884</v>
      </c>
      <c r="D325">
        <v>15165532</v>
      </c>
      <c r="E325">
        <v>1</v>
      </c>
      <c r="F325">
        <v>1</v>
      </c>
      <c r="G325">
        <v>1</v>
      </c>
      <c r="H325">
        <v>3</v>
      </c>
      <c r="I325" t="s">
        <v>1592</v>
      </c>
      <c r="J325" t="s">
        <v>1593</v>
      </c>
      <c r="K325" t="s">
        <v>1594</v>
      </c>
      <c r="L325">
        <v>1348</v>
      </c>
      <c r="N325">
        <v>1009</v>
      </c>
      <c r="O325" t="s">
        <v>100</v>
      </c>
      <c r="P325" t="s">
        <v>100</v>
      </c>
      <c r="Q325">
        <v>1000</v>
      </c>
      <c r="W325">
        <v>0</v>
      </c>
      <c r="X325">
        <v>-1414849288</v>
      </c>
      <c r="Y325">
        <v>5.7000000000000002E-2</v>
      </c>
      <c r="AA325">
        <v>40303.33</v>
      </c>
      <c r="AB325">
        <v>0</v>
      </c>
      <c r="AC325">
        <v>0</v>
      </c>
      <c r="AD325">
        <v>0</v>
      </c>
      <c r="AE325">
        <v>6143.8</v>
      </c>
      <c r="AF325">
        <v>0</v>
      </c>
      <c r="AG325">
        <v>0</v>
      </c>
      <c r="AH325">
        <v>0</v>
      </c>
      <c r="AI325">
        <v>6.56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5.7000000000000002E-2</v>
      </c>
      <c r="AU325" t="s">
        <v>6</v>
      </c>
      <c r="AV325">
        <v>0</v>
      </c>
      <c r="AW325">
        <v>2</v>
      </c>
      <c r="AX325">
        <v>16745906</v>
      </c>
      <c r="AY325">
        <v>1</v>
      </c>
      <c r="AZ325">
        <v>0</v>
      </c>
      <c r="BA325">
        <v>309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Y325*Source!I174</f>
        <v>1.197E-2</v>
      </c>
      <c r="CY325">
        <f t="shared" si="57"/>
        <v>40303.33</v>
      </c>
      <c r="CZ325">
        <f t="shared" si="58"/>
        <v>6143.8</v>
      </c>
      <c r="DA325">
        <f t="shared" si="59"/>
        <v>6.56</v>
      </c>
      <c r="DB325">
        <f t="shared" si="60"/>
        <v>350.2</v>
      </c>
      <c r="DC325">
        <f t="shared" si="61"/>
        <v>0</v>
      </c>
    </row>
    <row r="326" spans="1:107" x14ac:dyDescent="0.2">
      <c r="A326">
        <f>ROW(Source!A174)</f>
        <v>174</v>
      </c>
      <c r="B326">
        <v>16742901</v>
      </c>
      <c r="C326">
        <v>16745884</v>
      </c>
      <c r="D326">
        <v>15167803</v>
      </c>
      <c r="E326">
        <v>1</v>
      </c>
      <c r="F326">
        <v>1</v>
      </c>
      <c r="G326">
        <v>1</v>
      </c>
      <c r="H326">
        <v>3</v>
      </c>
      <c r="I326" t="s">
        <v>1595</v>
      </c>
      <c r="J326" t="s">
        <v>1596</v>
      </c>
      <c r="K326" t="s">
        <v>1597</v>
      </c>
      <c r="L326">
        <v>1348</v>
      </c>
      <c r="N326">
        <v>1009</v>
      </c>
      <c r="O326" t="s">
        <v>100</v>
      </c>
      <c r="P326" t="s">
        <v>100</v>
      </c>
      <c r="Q326">
        <v>1000</v>
      </c>
      <c r="W326">
        <v>0</v>
      </c>
      <c r="X326">
        <v>-956606579</v>
      </c>
      <c r="Y326">
        <v>0.125</v>
      </c>
      <c r="AA326">
        <v>4518.53</v>
      </c>
      <c r="AB326">
        <v>0</v>
      </c>
      <c r="AC326">
        <v>0</v>
      </c>
      <c r="AD326">
        <v>0</v>
      </c>
      <c r="AE326">
        <v>688.8</v>
      </c>
      <c r="AF326">
        <v>0</v>
      </c>
      <c r="AG326">
        <v>0</v>
      </c>
      <c r="AH326">
        <v>0</v>
      </c>
      <c r="AI326">
        <v>6.56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0.125</v>
      </c>
      <c r="AU326" t="s">
        <v>6</v>
      </c>
      <c r="AV326">
        <v>0</v>
      </c>
      <c r="AW326">
        <v>2</v>
      </c>
      <c r="AX326">
        <v>16745907</v>
      </c>
      <c r="AY326">
        <v>1</v>
      </c>
      <c r="AZ326">
        <v>0</v>
      </c>
      <c r="BA326">
        <v>310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Y326*Source!I174</f>
        <v>2.6249999999999999E-2</v>
      </c>
      <c r="CY326">
        <f t="shared" si="57"/>
        <v>4518.53</v>
      </c>
      <c r="CZ326">
        <f t="shared" si="58"/>
        <v>688.8</v>
      </c>
      <c r="DA326">
        <f t="shared" si="59"/>
        <v>6.56</v>
      </c>
      <c r="DB326">
        <f t="shared" si="60"/>
        <v>86.1</v>
      </c>
      <c r="DC326">
        <f t="shared" si="61"/>
        <v>0</v>
      </c>
    </row>
    <row r="327" spans="1:107" x14ac:dyDescent="0.2">
      <c r="A327">
        <f>ROW(Source!A174)</f>
        <v>174</v>
      </c>
      <c r="B327">
        <v>16742901</v>
      </c>
      <c r="C327">
        <v>16745884</v>
      </c>
      <c r="D327">
        <v>15171018</v>
      </c>
      <c r="E327">
        <v>1</v>
      </c>
      <c r="F327">
        <v>1</v>
      </c>
      <c r="G327">
        <v>1</v>
      </c>
      <c r="H327">
        <v>3</v>
      </c>
      <c r="I327" t="s">
        <v>1431</v>
      </c>
      <c r="J327" t="s">
        <v>1432</v>
      </c>
      <c r="K327" t="s">
        <v>1433</v>
      </c>
      <c r="L327">
        <v>1346</v>
      </c>
      <c r="N327">
        <v>1009</v>
      </c>
      <c r="O327" t="s">
        <v>341</v>
      </c>
      <c r="P327" t="s">
        <v>341</v>
      </c>
      <c r="Q327">
        <v>1</v>
      </c>
      <c r="W327">
        <v>0</v>
      </c>
      <c r="X327">
        <v>813963326</v>
      </c>
      <c r="Y327">
        <v>0.5</v>
      </c>
      <c r="AA327">
        <v>11.94</v>
      </c>
      <c r="AB327">
        <v>0</v>
      </c>
      <c r="AC327">
        <v>0</v>
      </c>
      <c r="AD327">
        <v>0</v>
      </c>
      <c r="AE327">
        <v>1.82</v>
      </c>
      <c r="AF327">
        <v>0</v>
      </c>
      <c r="AG327">
        <v>0</v>
      </c>
      <c r="AH327">
        <v>0</v>
      </c>
      <c r="AI327">
        <v>6.56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0.5</v>
      </c>
      <c r="AU327" t="s">
        <v>6</v>
      </c>
      <c r="AV327">
        <v>0</v>
      </c>
      <c r="AW327">
        <v>2</v>
      </c>
      <c r="AX327">
        <v>16745908</v>
      </c>
      <c r="AY327">
        <v>1</v>
      </c>
      <c r="AZ327">
        <v>0</v>
      </c>
      <c r="BA327">
        <v>311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Y327*Source!I174</f>
        <v>0.105</v>
      </c>
      <c r="CY327">
        <f t="shared" si="57"/>
        <v>11.94</v>
      </c>
      <c r="CZ327">
        <f t="shared" si="58"/>
        <v>1.82</v>
      </c>
      <c r="DA327">
        <f t="shared" si="59"/>
        <v>6.56</v>
      </c>
      <c r="DB327">
        <f t="shared" si="60"/>
        <v>0.91</v>
      </c>
      <c r="DC327">
        <f t="shared" si="61"/>
        <v>0</v>
      </c>
    </row>
    <row r="328" spans="1:107" x14ac:dyDescent="0.2">
      <c r="A328">
        <f>ROW(Source!A175)</f>
        <v>175</v>
      </c>
      <c r="B328">
        <v>16742901</v>
      </c>
      <c r="C328">
        <v>16745909</v>
      </c>
      <c r="D328">
        <v>15432356</v>
      </c>
      <c r="E328">
        <v>1</v>
      </c>
      <c r="F328">
        <v>1</v>
      </c>
      <c r="G328">
        <v>1</v>
      </c>
      <c r="H328">
        <v>1</v>
      </c>
      <c r="I328" t="s">
        <v>1598</v>
      </c>
      <c r="J328" t="s">
        <v>6</v>
      </c>
      <c r="K328" t="s">
        <v>1599</v>
      </c>
      <c r="L328">
        <v>1191</v>
      </c>
      <c r="N328">
        <v>1013</v>
      </c>
      <c r="O328" t="s">
        <v>1287</v>
      </c>
      <c r="P328" t="s">
        <v>1287</v>
      </c>
      <c r="Q328">
        <v>1</v>
      </c>
      <c r="W328">
        <v>0</v>
      </c>
      <c r="X328">
        <v>1850719656</v>
      </c>
      <c r="Y328">
        <v>48.76</v>
      </c>
      <c r="AA328">
        <v>0</v>
      </c>
      <c r="AB328">
        <v>0</v>
      </c>
      <c r="AC328">
        <v>0</v>
      </c>
      <c r="AD328">
        <v>54.51</v>
      </c>
      <c r="AE328">
        <v>0</v>
      </c>
      <c r="AF328">
        <v>0</v>
      </c>
      <c r="AG328">
        <v>0</v>
      </c>
      <c r="AH328">
        <v>8.31</v>
      </c>
      <c r="AI328">
        <v>1</v>
      </c>
      <c r="AJ328">
        <v>1</v>
      </c>
      <c r="AK328">
        <v>1</v>
      </c>
      <c r="AL328">
        <v>6.56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42.4</v>
      </c>
      <c r="AU328" t="s">
        <v>188</v>
      </c>
      <c r="AV328">
        <v>1</v>
      </c>
      <c r="AW328">
        <v>2</v>
      </c>
      <c r="AX328">
        <v>16745919</v>
      </c>
      <c r="AY328">
        <v>1</v>
      </c>
      <c r="AZ328">
        <v>0</v>
      </c>
      <c r="BA328">
        <v>312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Y328*Source!I175</f>
        <v>48.711239999999997</v>
      </c>
      <c r="CY328">
        <f>AD328</f>
        <v>54.51</v>
      </c>
      <c r="CZ328">
        <f>AH328</f>
        <v>8.31</v>
      </c>
      <c r="DA328">
        <f>AL328</f>
        <v>6.56</v>
      </c>
      <c r="DB328">
        <f>ROUND((ROUND(AT328*CZ328,2)*1.15),2)</f>
        <v>405.19</v>
      </c>
      <c r="DC328">
        <f>ROUND((ROUND(AT328*AG328,2)*1.15),2)</f>
        <v>0</v>
      </c>
    </row>
    <row r="329" spans="1:107" x14ac:dyDescent="0.2">
      <c r="A329">
        <f>ROW(Source!A175)</f>
        <v>175</v>
      </c>
      <c r="B329">
        <v>16742901</v>
      </c>
      <c r="C329">
        <v>16745909</v>
      </c>
      <c r="D329">
        <v>15430395</v>
      </c>
      <c r="E329">
        <v>1</v>
      </c>
      <c r="F329">
        <v>1</v>
      </c>
      <c r="G329">
        <v>1</v>
      </c>
      <c r="H329">
        <v>1</v>
      </c>
      <c r="I329" t="s">
        <v>1293</v>
      </c>
      <c r="J329" t="s">
        <v>6</v>
      </c>
      <c r="K329" t="s">
        <v>1294</v>
      </c>
      <c r="L329">
        <v>1191</v>
      </c>
      <c r="N329">
        <v>1013</v>
      </c>
      <c r="O329" t="s">
        <v>1287</v>
      </c>
      <c r="P329" t="s">
        <v>1287</v>
      </c>
      <c r="Q329">
        <v>1</v>
      </c>
      <c r="W329">
        <v>0</v>
      </c>
      <c r="X329">
        <v>-1417349443</v>
      </c>
      <c r="Y329">
        <v>0.85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6.56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0.85</v>
      </c>
      <c r="AU329" t="s">
        <v>6</v>
      </c>
      <c r="AV329">
        <v>2</v>
      </c>
      <c r="AW329">
        <v>2</v>
      </c>
      <c r="AX329">
        <v>16745920</v>
      </c>
      <c r="AY329">
        <v>1</v>
      </c>
      <c r="AZ329">
        <v>2048</v>
      </c>
      <c r="BA329">
        <v>313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Y329*Source!I175</f>
        <v>0.84914999999999996</v>
      </c>
      <c r="CY329">
        <f>AD329</f>
        <v>0</v>
      </c>
      <c r="CZ329">
        <f>AH329</f>
        <v>0</v>
      </c>
      <c r="DA329">
        <f>AL329</f>
        <v>1</v>
      </c>
      <c r="DB329">
        <f>ROUND(ROUND(AT329*CZ329,2),2)</f>
        <v>0</v>
      </c>
      <c r="DC329">
        <f>ROUND(ROUND(AT329*AG329,2),2)</f>
        <v>0</v>
      </c>
    </row>
    <row r="330" spans="1:107" x14ac:dyDescent="0.2">
      <c r="A330">
        <f>ROW(Source!A175)</f>
        <v>175</v>
      </c>
      <c r="B330">
        <v>16742901</v>
      </c>
      <c r="C330">
        <v>16745909</v>
      </c>
      <c r="D330">
        <v>15247974</v>
      </c>
      <c r="E330">
        <v>1</v>
      </c>
      <c r="F330">
        <v>1</v>
      </c>
      <c r="G330">
        <v>1</v>
      </c>
      <c r="H330">
        <v>2</v>
      </c>
      <c r="I330" t="s">
        <v>1314</v>
      </c>
      <c r="J330" t="s">
        <v>1315</v>
      </c>
      <c r="K330" t="s">
        <v>1316</v>
      </c>
      <c r="L330">
        <v>1368</v>
      </c>
      <c r="N330">
        <v>1011</v>
      </c>
      <c r="O330" t="s">
        <v>1298</v>
      </c>
      <c r="P330" t="s">
        <v>1298</v>
      </c>
      <c r="Q330">
        <v>1</v>
      </c>
      <c r="W330">
        <v>0</v>
      </c>
      <c r="X330">
        <v>1188625873</v>
      </c>
      <c r="Y330">
        <v>0.4375</v>
      </c>
      <c r="AA330">
        <v>0</v>
      </c>
      <c r="AB330">
        <v>205.07</v>
      </c>
      <c r="AC330">
        <v>13.5</v>
      </c>
      <c r="AD330">
        <v>0</v>
      </c>
      <c r="AE330">
        <v>0</v>
      </c>
      <c r="AF330">
        <v>31.26</v>
      </c>
      <c r="AG330">
        <v>13.5</v>
      </c>
      <c r="AH330">
        <v>0</v>
      </c>
      <c r="AI330">
        <v>1</v>
      </c>
      <c r="AJ330">
        <v>6.56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0.35</v>
      </c>
      <c r="AU330" t="s">
        <v>187</v>
      </c>
      <c r="AV330">
        <v>0</v>
      </c>
      <c r="AW330">
        <v>2</v>
      </c>
      <c r="AX330">
        <v>16745921</v>
      </c>
      <c r="AY330">
        <v>1</v>
      </c>
      <c r="AZ330">
        <v>0</v>
      </c>
      <c r="BA330">
        <v>314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Y330*Source!I175</f>
        <v>0.43706250000000002</v>
      </c>
      <c r="CY330">
        <f>AB330</f>
        <v>205.07</v>
      </c>
      <c r="CZ330">
        <f>AF330</f>
        <v>31.26</v>
      </c>
      <c r="DA330">
        <f>AJ330</f>
        <v>6.56</v>
      </c>
      <c r="DB330">
        <f>ROUND((ROUND(AT330*CZ330,2)*1.25),2)</f>
        <v>13.68</v>
      </c>
      <c r="DC330">
        <f>ROUND((ROUND(AT330*AG330,2)*1.25),2)</f>
        <v>5.91</v>
      </c>
    </row>
    <row r="331" spans="1:107" x14ac:dyDescent="0.2">
      <c r="A331">
        <f>ROW(Source!A175)</f>
        <v>175</v>
      </c>
      <c r="B331">
        <v>16742901</v>
      </c>
      <c r="C331">
        <v>16745909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1299</v>
      </c>
      <c r="J331" t="s">
        <v>1300</v>
      </c>
      <c r="K331" t="s">
        <v>1301</v>
      </c>
      <c r="L331">
        <v>1368</v>
      </c>
      <c r="N331">
        <v>1011</v>
      </c>
      <c r="O331" t="s">
        <v>1298</v>
      </c>
      <c r="P331" t="s">
        <v>1298</v>
      </c>
      <c r="Q331">
        <v>1</v>
      </c>
      <c r="W331">
        <v>0</v>
      </c>
      <c r="X331">
        <v>1372534845</v>
      </c>
      <c r="Y331">
        <v>0.625</v>
      </c>
      <c r="AA331">
        <v>0</v>
      </c>
      <c r="AB331">
        <v>431.06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6.56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0.5</v>
      </c>
      <c r="AU331" t="s">
        <v>187</v>
      </c>
      <c r="AV331">
        <v>0</v>
      </c>
      <c r="AW331">
        <v>2</v>
      </c>
      <c r="AX331">
        <v>16745922</v>
      </c>
      <c r="AY331">
        <v>1</v>
      </c>
      <c r="AZ331">
        <v>0</v>
      </c>
      <c r="BA331">
        <v>315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Y331*Source!I175</f>
        <v>0.62437500000000001</v>
      </c>
      <c r="CY331">
        <f>AB331</f>
        <v>431.06</v>
      </c>
      <c r="CZ331">
        <f>AF331</f>
        <v>65.709999999999994</v>
      </c>
      <c r="DA331">
        <f>AJ331</f>
        <v>6.56</v>
      </c>
      <c r="DB331">
        <f>ROUND((ROUND(AT331*CZ331,2)*1.25),2)</f>
        <v>41.08</v>
      </c>
      <c r="DC331">
        <f>ROUND((ROUND(AT331*AG331,2)*1.25),2)</f>
        <v>7.25</v>
      </c>
    </row>
    <row r="332" spans="1:107" x14ac:dyDescent="0.2">
      <c r="A332">
        <f>ROW(Source!A175)</f>
        <v>175</v>
      </c>
      <c r="B332">
        <v>16742901</v>
      </c>
      <c r="C332">
        <v>16745909</v>
      </c>
      <c r="D332">
        <v>15162736</v>
      </c>
      <c r="E332">
        <v>17</v>
      </c>
      <c r="F332">
        <v>1</v>
      </c>
      <c r="G332">
        <v>1</v>
      </c>
      <c r="H332">
        <v>3</v>
      </c>
      <c r="I332" t="s">
        <v>536</v>
      </c>
      <c r="J332" t="s">
        <v>6</v>
      </c>
      <c r="K332" t="s">
        <v>537</v>
      </c>
      <c r="L332">
        <v>1327</v>
      </c>
      <c r="N332">
        <v>1005</v>
      </c>
      <c r="O332" t="s">
        <v>193</v>
      </c>
      <c r="P332" t="s">
        <v>193</v>
      </c>
      <c r="Q332">
        <v>1</v>
      </c>
      <c r="W332">
        <v>0</v>
      </c>
      <c r="X332">
        <v>-919469713</v>
      </c>
      <c r="Y332">
        <v>102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6.56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6</v>
      </c>
      <c r="AT332">
        <v>102</v>
      </c>
      <c r="AU332" t="s">
        <v>6</v>
      </c>
      <c r="AV332">
        <v>0</v>
      </c>
      <c r="AW332">
        <v>2</v>
      </c>
      <c r="AX332">
        <v>16745923</v>
      </c>
      <c r="AY332">
        <v>1</v>
      </c>
      <c r="AZ332">
        <v>0</v>
      </c>
      <c r="BA332">
        <v>316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Y332*Source!I175</f>
        <v>101.898</v>
      </c>
      <c r="CY332">
        <f>AA332</f>
        <v>0</v>
      </c>
      <c r="CZ332">
        <f>AE332</f>
        <v>0</v>
      </c>
      <c r="DA332">
        <f>AI332</f>
        <v>6.56</v>
      </c>
      <c r="DB332">
        <f>ROUND(ROUND(AT332*CZ332,2),2)</f>
        <v>0</v>
      </c>
      <c r="DC332">
        <f>ROUND(ROUND(AT332*AG332,2),2)</f>
        <v>0</v>
      </c>
    </row>
    <row r="333" spans="1:107" x14ac:dyDescent="0.2">
      <c r="A333">
        <f>ROW(Source!A175)</f>
        <v>175</v>
      </c>
      <c r="B333">
        <v>16742901</v>
      </c>
      <c r="C333">
        <v>16745909</v>
      </c>
      <c r="D333">
        <v>15167024</v>
      </c>
      <c r="E333">
        <v>1</v>
      </c>
      <c r="F333">
        <v>1</v>
      </c>
      <c r="G333">
        <v>1</v>
      </c>
      <c r="H333">
        <v>3</v>
      </c>
      <c r="I333" t="s">
        <v>532</v>
      </c>
      <c r="J333" t="s">
        <v>534</v>
      </c>
      <c r="K333" t="s">
        <v>533</v>
      </c>
      <c r="L333">
        <v>1327</v>
      </c>
      <c r="N333">
        <v>1005</v>
      </c>
      <c r="O333" t="s">
        <v>193</v>
      </c>
      <c r="P333" t="s">
        <v>193</v>
      </c>
      <c r="Q333">
        <v>1</v>
      </c>
      <c r="W333">
        <v>0</v>
      </c>
      <c r="X333">
        <v>-1742019606</v>
      </c>
      <c r="Y333">
        <v>102</v>
      </c>
      <c r="AA333">
        <v>1189.52</v>
      </c>
      <c r="AB333">
        <v>0</v>
      </c>
      <c r="AC333">
        <v>0</v>
      </c>
      <c r="AD333">
        <v>0</v>
      </c>
      <c r="AE333">
        <v>181.33</v>
      </c>
      <c r="AF333">
        <v>0</v>
      </c>
      <c r="AG333">
        <v>0</v>
      </c>
      <c r="AH333">
        <v>0</v>
      </c>
      <c r="AI333">
        <v>6.56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6</v>
      </c>
      <c r="AT333">
        <v>102</v>
      </c>
      <c r="AU333" t="s">
        <v>6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Y333*Source!I175</f>
        <v>101.898</v>
      </c>
      <c r="CY333">
        <f>AA333</f>
        <v>1189.52</v>
      </c>
      <c r="CZ333">
        <f>AE333</f>
        <v>181.33</v>
      </c>
      <c r="DA333">
        <f>AI333</f>
        <v>6.56</v>
      </c>
      <c r="DB333">
        <f>ROUND(ROUND(AT333*CZ333,2),2)</f>
        <v>18495.66</v>
      </c>
      <c r="DC333">
        <f>ROUND(ROUND(AT333*AG333,2),2)</f>
        <v>0</v>
      </c>
    </row>
    <row r="334" spans="1:107" x14ac:dyDescent="0.2">
      <c r="A334">
        <f>ROW(Source!A175)</f>
        <v>175</v>
      </c>
      <c r="B334">
        <v>16742901</v>
      </c>
      <c r="C334">
        <v>16745909</v>
      </c>
      <c r="D334">
        <v>15171018</v>
      </c>
      <c r="E334">
        <v>1</v>
      </c>
      <c r="F334">
        <v>1</v>
      </c>
      <c r="G334">
        <v>1</v>
      </c>
      <c r="H334">
        <v>3</v>
      </c>
      <c r="I334" t="s">
        <v>1431</v>
      </c>
      <c r="J334" t="s">
        <v>1432</v>
      </c>
      <c r="K334" t="s">
        <v>1433</v>
      </c>
      <c r="L334">
        <v>1346</v>
      </c>
      <c r="N334">
        <v>1009</v>
      </c>
      <c r="O334" t="s">
        <v>341</v>
      </c>
      <c r="P334" t="s">
        <v>341</v>
      </c>
      <c r="Q334">
        <v>1</v>
      </c>
      <c r="W334">
        <v>0</v>
      </c>
      <c r="X334">
        <v>813963326</v>
      </c>
      <c r="Y334">
        <v>0.5</v>
      </c>
      <c r="AA334">
        <v>11.94</v>
      </c>
      <c r="AB334">
        <v>0</v>
      </c>
      <c r="AC334">
        <v>0</v>
      </c>
      <c r="AD334">
        <v>0</v>
      </c>
      <c r="AE334">
        <v>1.82</v>
      </c>
      <c r="AF334">
        <v>0</v>
      </c>
      <c r="AG334">
        <v>0</v>
      </c>
      <c r="AH334">
        <v>0</v>
      </c>
      <c r="AI334">
        <v>6.56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0.5</v>
      </c>
      <c r="AU334" t="s">
        <v>6</v>
      </c>
      <c r="AV334">
        <v>0</v>
      </c>
      <c r="AW334">
        <v>2</v>
      </c>
      <c r="AX334">
        <v>16745924</v>
      </c>
      <c r="AY334">
        <v>1</v>
      </c>
      <c r="AZ334">
        <v>0</v>
      </c>
      <c r="BA334">
        <v>317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Y334*Source!I175</f>
        <v>0.4995</v>
      </c>
      <c r="CY334">
        <f>AA334</f>
        <v>11.94</v>
      </c>
      <c r="CZ334">
        <f>AE334</f>
        <v>1.82</v>
      </c>
      <c r="DA334">
        <f>AI334</f>
        <v>6.56</v>
      </c>
      <c r="DB334">
        <f>ROUND(ROUND(AT334*CZ334,2),2)</f>
        <v>0.91</v>
      </c>
      <c r="DC334">
        <f>ROUND(ROUND(AT334*AG334,2),2)</f>
        <v>0</v>
      </c>
    </row>
    <row r="335" spans="1:107" x14ac:dyDescent="0.2">
      <c r="A335">
        <f>ROW(Source!A175)</f>
        <v>175</v>
      </c>
      <c r="B335">
        <v>16742901</v>
      </c>
      <c r="C335">
        <v>16745909</v>
      </c>
      <c r="D335">
        <v>15202463</v>
      </c>
      <c r="E335">
        <v>1</v>
      </c>
      <c r="F335">
        <v>1</v>
      </c>
      <c r="G335">
        <v>1</v>
      </c>
      <c r="H335">
        <v>3</v>
      </c>
      <c r="I335" t="s">
        <v>539</v>
      </c>
      <c r="J335" t="s">
        <v>541</v>
      </c>
      <c r="K335" t="s">
        <v>540</v>
      </c>
      <c r="L335">
        <v>1346</v>
      </c>
      <c r="N335">
        <v>1009</v>
      </c>
      <c r="O335" t="s">
        <v>341</v>
      </c>
      <c r="P335" t="s">
        <v>341</v>
      </c>
      <c r="Q335">
        <v>1</v>
      </c>
      <c r="W335">
        <v>0</v>
      </c>
      <c r="X335">
        <v>-89726692</v>
      </c>
      <c r="Y335">
        <v>50</v>
      </c>
      <c r="AA335">
        <v>167.67</v>
      </c>
      <c r="AB335">
        <v>0</v>
      </c>
      <c r="AC335">
        <v>0</v>
      </c>
      <c r="AD335">
        <v>0</v>
      </c>
      <c r="AE335">
        <v>25.56</v>
      </c>
      <c r="AF335">
        <v>0</v>
      </c>
      <c r="AG335">
        <v>0</v>
      </c>
      <c r="AH335">
        <v>0</v>
      </c>
      <c r="AI335">
        <v>6.56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50</v>
      </c>
      <c r="AU335" t="s">
        <v>6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Y335*Source!I175</f>
        <v>49.95</v>
      </c>
      <c r="CY335">
        <f>AA335</f>
        <v>167.67</v>
      </c>
      <c r="CZ335">
        <f>AE335</f>
        <v>25.56</v>
      </c>
      <c r="DA335">
        <f>AI335</f>
        <v>6.56</v>
      </c>
      <c r="DB335">
        <f>ROUND(ROUND(AT335*CZ335,2),2)</f>
        <v>1278</v>
      </c>
      <c r="DC335">
        <f>ROUND(ROUND(AT335*AG335,2),2)</f>
        <v>0</v>
      </c>
    </row>
    <row r="336" spans="1:107" x14ac:dyDescent="0.2">
      <c r="A336">
        <f>ROW(Source!A175)</f>
        <v>175</v>
      </c>
      <c r="B336">
        <v>16742901</v>
      </c>
      <c r="C336">
        <v>16745909</v>
      </c>
      <c r="D336">
        <v>15162257</v>
      </c>
      <c r="E336">
        <v>17</v>
      </c>
      <c r="F336">
        <v>1</v>
      </c>
      <c r="G336">
        <v>1</v>
      </c>
      <c r="H336">
        <v>3</v>
      </c>
      <c r="I336" t="s">
        <v>339</v>
      </c>
      <c r="J336" t="s">
        <v>6</v>
      </c>
      <c r="K336" t="s">
        <v>340</v>
      </c>
      <c r="L336">
        <v>1346</v>
      </c>
      <c r="N336">
        <v>1009</v>
      </c>
      <c r="O336" t="s">
        <v>341</v>
      </c>
      <c r="P336" t="s">
        <v>341</v>
      </c>
      <c r="Q336">
        <v>1</v>
      </c>
      <c r="W336">
        <v>0</v>
      </c>
      <c r="X336">
        <v>290394019</v>
      </c>
      <c r="Y336">
        <v>50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6.56</v>
      </c>
      <c r="AJ336">
        <v>1</v>
      </c>
      <c r="AK336">
        <v>1</v>
      </c>
      <c r="AL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6</v>
      </c>
      <c r="AT336">
        <v>50</v>
      </c>
      <c r="AU336" t="s">
        <v>6</v>
      </c>
      <c r="AV336">
        <v>0</v>
      </c>
      <c r="AW336">
        <v>2</v>
      </c>
      <c r="AX336">
        <v>16745925</v>
      </c>
      <c r="AY336">
        <v>1</v>
      </c>
      <c r="AZ336">
        <v>0</v>
      </c>
      <c r="BA336">
        <v>318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Y336*Source!I175</f>
        <v>49.95</v>
      </c>
      <c r="CY336">
        <f>AA336</f>
        <v>0</v>
      </c>
      <c r="CZ336">
        <f>AE336</f>
        <v>0</v>
      </c>
      <c r="DA336">
        <f>AI336</f>
        <v>6.56</v>
      </c>
      <c r="DB336">
        <f>ROUND(ROUND(AT336*CZ336,2),2)</f>
        <v>0</v>
      </c>
      <c r="DC336">
        <f>ROUND(ROUND(AT336*AG336,2),2)</f>
        <v>0</v>
      </c>
    </row>
    <row r="337" spans="1:107" x14ac:dyDescent="0.2">
      <c r="A337">
        <f>ROW(Source!A180)</f>
        <v>180</v>
      </c>
      <c r="B337">
        <v>16742901</v>
      </c>
      <c r="C337">
        <v>16745930</v>
      </c>
      <c r="D337">
        <v>15430397</v>
      </c>
      <c r="E337">
        <v>1</v>
      </c>
      <c r="F337">
        <v>1</v>
      </c>
      <c r="G337">
        <v>1</v>
      </c>
      <c r="H337">
        <v>1</v>
      </c>
      <c r="I337" t="s">
        <v>1323</v>
      </c>
      <c r="J337" t="s">
        <v>6</v>
      </c>
      <c r="K337" t="s">
        <v>1324</v>
      </c>
      <c r="L337">
        <v>1191</v>
      </c>
      <c r="N337">
        <v>1013</v>
      </c>
      <c r="O337" t="s">
        <v>1287</v>
      </c>
      <c r="P337" t="s">
        <v>1287</v>
      </c>
      <c r="Q337">
        <v>1</v>
      </c>
      <c r="W337">
        <v>0</v>
      </c>
      <c r="X337">
        <v>-1081351934</v>
      </c>
      <c r="Y337">
        <v>29.451499999999996</v>
      </c>
      <c r="AA337">
        <v>0</v>
      </c>
      <c r="AB337">
        <v>0</v>
      </c>
      <c r="AC337">
        <v>0</v>
      </c>
      <c r="AD337">
        <v>61.66</v>
      </c>
      <c r="AE337">
        <v>0</v>
      </c>
      <c r="AF337">
        <v>0</v>
      </c>
      <c r="AG337">
        <v>0</v>
      </c>
      <c r="AH337">
        <v>9.4</v>
      </c>
      <c r="AI337">
        <v>1</v>
      </c>
      <c r="AJ337">
        <v>1</v>
      </c>
      <c r="AK337">
        <v>1</v>
      </c>
      <c r="AL337">
        <v>6.56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6</v>
      </c>
      <c r="AT337">
        <v>25.61</v>
      </c>
      <c r="AU337" t="s">
        <v>188</v>
      </c>
      <c r="AV337">
        <v>1</v>
      </c>
      <c r="AW337">
        <v>2</v>
      </c>
      <c r="AX337">
        <v>16745938</v>
      </c>
      <c r="AY337">
        <v>1</v>
      </c>
      <c r="AZ337">
        <v>0</v>
      </c>
      <c r="BA337">
        <v>319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Y337*Source!I180</f>
        <v>29.528073899999995</v>
      </c>
      <c r="CY337">
        <f>AD337</f>
        <v>61.66</v>
      </c>
      <c r="CZ337">
        <f>AH337</f>
        <v>9.4</v>
      </c>
      <c r="DA337">
        <f>AL337</f>
        <v>6.56</v>
      </c>
      <c r="DB337">
        <f>ROUND((ROUND(AT337*CZ337,2)*1.15),2)</f>
        <v>276.83999999999997</v>
      </c>
      <c r="DC337">
        <f>ROUND((ROUND(AT337*AG337,2)*1.15),2)</f>
        <v>0</v>
      </c>
    </row>
    <row r="338" spans="1:107" x14ac:dyDescent="0.2">
      <c r="A338">
        <f>ROW(Source!A180)</f>
        <v>180</v>
      </c>
      <c r="B338">
        <v>16742901</v>
      </c>
      <c r="C338">
        <v>16745930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1293</v>
      </c>
      <c r="J338" t="s">
        <v>6</v>
      </c>
      <c r="K338" t="s">
        <v>1294</v>
      </c>
      <c r="L338">
        <v>1191</v>
      </c>
      <c r="N338">
        <v>1013</v>
      </c>
      <c r="O338" t="s">
        <v>1287</v>
      </c>
      <c r="P338" t="s">
        <v>1287</v>
      </c>
      <c r="Q338">
        <v>1</v>
      </c>
      <c r="W338">
        <v>0</v>
      </c>
      <c r="X338">
        <v>-1417349443</v>
      </c>
      <c r="Y338">
        <v>0.1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6.56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0.1</v>
      </c>
      <c r="AU338" t="s">
        <v>6</v>
      </c>
      <c r="AV338">
        <v>2</v>
      </c>
      <c r="AW338">
        <v>2</v>
      </c>
      <c r="AX338">
        <v>16745939</v>
      </c>
      <c r="AY338">
        <v>1</v>
      </c>
      <c r="AZ338">
        <v>2048</v>
      </c>
      <c r="BA338">
        <v>320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Y338*Source!I180</f>
        <v>0.10026</v>
      </c>
      <c r="CY338">
        <f>AD338</f>
        <v>0</v>
      </c>
      <c r="CZ338">
        <f>AH338</f>
        <v>0</v>
      </c>
      <c r="DA338">
        <f>AL338</f>
        <v>1</v>
      </c>
      <c r="DB338">
        <f>ROUND(ROUND(AT338*CZ338,2),2)</f>
        <v>0</v>
      </c>
      <c r="DC338">
        <f>ROUND(ROUND(AT338*AG338,2),2)</f>
        <v>0</v>
      </c>
    </row>
    <row r="339" spans="1:107" x14ac:dyDescent="0.2">
      <c r="A339">
        <f>ROW(Source!A180)</f>
        <v>180</v>
      </c>
      <c r="B339">
        <v>16742901</v>
      </c>
      <c r="C339">
        <v>16745930</v>
      </c>
      <c r="D339">
        <v>15249073</v>
      </c>
      <c r="E339">
        <v>1</v>
      </c>
      <c r="F339">
        <v>1</v>
      </c>
      <c r="G339">
        <v>1</v>
      </c>
      <c r="H339">
        <v>2</v>
      </c>
      <c r="I339" t="s">
        <v>1299</v>
      </c>
      <c r="J339" t="s">
        <v>1300</v>
      </c>
      <c r="K339" t="s">
        <v>1301</v>
      </c>
      <c r="L339">
        <v>1368</v>
      </c>
      <c r="N339">
        <v>1011</v>
      </c>
      <c r="O339" t="s">
        <v>1298</v>
      </c>
      <c r="P339" t="s">
        <v>1298</v>
      </c>
      <c r="Q339">
        <v>1</v>
      </c>
      <c r="W339">
        <v>0</v>
      </c>
      <c r="X339">
        <v>1372534845</v>
      </c>
      <c r="Y339">
        <v>0.125</v>
      </c>
      <c r="AA339">
        <v>0</v>
      </c>
      <c r="AB339">
        <v>431.06</v>
      </c>
      <c r="AC339">
        <v>11.6</v>
      </c>
      <c r="AD339">
        <v>0</v>
      </c>
      <c r="AE339">
        <v>0</v>
      </c>
      <c r="AF339">
        <v>65.709999999999994</v>
      </c>
      <c r="AG339">
        <v>11.6</v>
      </c>
      <c r="AH339">
        <v>0</v>
      </c>
      <c r="AI339">
        <v>1</v>
      </c>
      <c r="AJ339">
        <v>6.56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0.1</v>
      </c>
      <c r="AU339" t="s">
        <v>187</v>
      </c>
      <c r="AV339">
        <v>0</v>
      </c>
      <c r="AW339">
        <v>2</v>
      </c>
      <c r="AX339">
        <v>16745940</v>
      </c>
      <c r="AY339">
        <v>1</v>
      </c>
      <c r="AZ339">
        <v>0</v>
      </c>
      <c r="BA339">
        <v>321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Y339*Source!I180</f>
        <v>0.12532499999999999</v>
      </c>
      <c r="CY339">
        <f>AB339</f>
        <v>431.06</v>
      </c>
      <c r="CZ339">
        <f>AF339</f>
        <v>65.709999999999994</v>
      </c>
      <c r="DA339">
        <f>AJ339</f>
        <v>6.56</v>
      </c>
      <c r="DB339">
        <f>ROUND((ROUND(AT339*CZ339,2)*1.25),2)</f>
        <v>8.2100000000000009</v>
      </c>
      <c r="DC339">
        <f>ROUND((ROUND(AT339*AG339,2)*1.25),2)</f>
        <v>1.45</v>
      </c>
    </row>
    <row r="340" spans="1:107" x14ac:dyDescent="0.2">
      <c r="A340">
        <f>ROW(Source!A180)</f>
        <v>180</v>
      </c>
      <c r="B340">
        <v>16742901</v>
      </c>
      <c r="C340">
        <v>16745930</v>
      </c>
      <c r="D340">
        <v>15162728</v>
      </c>
      <c r="E340">
        <v>17</v>
      </c>
      <c r="F340">
        <v>1</v>
      </c>
      <c r="G340">
        <v>1</v>
      </c>
      <c r="H340">
        <v>3</v>
      </c>
      <c r="I340" t="s">
        <v>552</v>
      </c>
      <c r="J340" t="s">
        <v>6</v>
      </c>
      <c r="K340" t="s">
        <v>553</v>
      </c>
      <c r="L340">
        <v>1327</v>
      </c>
      <c r="N340">
        <v>1005</v>
      </c>
      <c r="O340" t="s">
        <v>193</v>
      </c>
      <c r="P340" t="s">
        <v>193</v>
      </c>
      <c r="Q340">
        <v>1</v>
      </c>
      <c r="W340">
        <v>0</v>
      </c>
      <c r="X340">
        <v>-1235377378</v>
      </c>
      <c r="Y340">
        <v>102.5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6.56</v>
      </c>
      <c r="AJ340">
        <v>1</v>
      </c>
      <c r="AK340">
        <v>1</v>
      </c>
      <c r="AL340">
        <v>1</v>
      </c>
      <c r="AN340">
        <v>0</v>
      </c>
      <c r="AO340">
        <v>0</v>
      </c>
      <c r="AP340">
        <v>0</v>
      </c>
      <c r="AQ340">
        <v>0</v>
      </c>
      <c r="AR340">
        <v>0</v>
      </c>
      <c r="AS340" t="s">
        <v>6</v>
      </c>
      <c r="AT340">
        <v>102.5</v>
      </c>
      <c r="AU340" t="s">
        <v>6</v>
      </c>
      <c r="AV340">
        <v>0</v>
      </c>
      <c r="AW340">
        <v>2</v>
      </c>
      <c r="AX340">
        <v>16745941</v>
      </c>
      <c r="AY340">
        <v>1</v>
      </c>
      <c r="AZ340">
        <v>0</v>
      </c>
      <c r="BA340">
        <v>322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Y340*Source!I180</f>
        <v>102.76649999999999</v>
      </c>
      <c r="CY340">
        <f>AA340</f>
        <v>0</v>
      </c>
      <c r="CZ340">
        <f>AE340</f>
        <v>0</v>
      </c>
      <c r="DA340">
        <f>AI340</f>
        <v>6.56</v>
      </c>
      <c r="DB340">
        <f>ROUND(ROUND(AT340*CZ340,2),2)</f>
        <v>0</v>
      </c>
      <c r="DC340">
        <f>ROUND(ROUND(AT340*AG340,2),2)</f>
        <v>0</v>
      </c>
    </row>
    <row r="341" spans="1:107" x14ac:dyDescent="0.2">
      <c r="A341">
        <f>ROW(Source!A180)</f>
        <v>180</v>
      </c>
      <c r="B341">
        <v>16742901</v>
      </c>
      <c r="C341">
        <v>16745930</v>
      </c>
      <c r="D341">
        <v>15196283</v>
      </c>
      <c r="E341">
        <v>1</v>
      </c>
      <c r="F341">
        <v>1</v>
      </c>
      <c r="G341">
        <v>1</v>
      </c>
      <c r="H341">
        <v>3</v>
      </c>
      <c r="I341" t="s">
        <v>548</v>
      </c>
      <c r="J341" t="s">
        <v>550</v>
      </c>
      <c r="K341" t="s">
        <v>549</v>
      </c>
      <c r="L341">
        <v>1327</v>
      </c>
      <c r="N341">
        <v>1005</v>
      </c>
      <c r="O341" t="s">
        <v>193</v>
      </c>
      <c r="P341" t="s">
        <v>193</v>
      </c>
      <c r="Q341">
        <v>1</v>
      </c>
      <c r="W341">
        <v>0</v>
      </c>
      <c r="X341">
        <v>-1950723936</v>
      </c>
      <c r="Y341">
        <v>102.5</v>
      </c>
      <c r="AA341">
        <v>788.12</v>
      </c>
      <c r="AB341">
        <v>0</v>
      </c>
      <c r="AC341">
        <v>0</v>
      </c>
      <c r="AD341">
        <v>0</v>
      </c>
      <c r="AE341">
        <v>120.14</v>
      </c>
      <c r="AF341">
        <v>0</v>
      </c>
      <c r="AG341">
        <v>0</v>
      </c>
      <c r="AH341">
        <v>0</v>
      </c>
      <c r="AI341">
        <v>6.56</v>
      </c>
      <c r="AJ341">
        <v>1</v>
      </c>
      <c r="AK341">
        <v>1</v>
      </c>
      <c r="AL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 t="s">
        <v>6</v>
      </c>
      <c r="AT341">
        <v>102.5</v>
      </c>
      <c r="AU341" t="s">
        <v>6</v>
      </c>
      <c r="AV341">
        <v>0</v>
      </c>
      <c r="AW341">
        <v>1</v>
      </c>
      <c r="AX341">
        <v>-1</v>
      </c>
      <c r="AY341">
        <v>0</v>
      </c>
      <c r="AZ341">
        <v>0</v>
      </c>
      <c r="BA341" t="s">
        <v>6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Y341*Source!I180</f>
        <v>102.76649999999999</v>
      </c>
      <c r="CY341">
        <f>AA341</f>
        <v>788.12</v>
      </c>
      <c r="CZ341">
        <f>AE341</f>
        <v>120.14</v>
      </c>
      <c r="DA341">
        <f>AI341</f>
        <v>6.56</v>
      </c>
      <c r="DB341">
        <f>ROUND(ROUND(AT341*CZ341,2),2)</f>
        <v>12314.35</v>
      </c>
      <c r="DC341">
        <f>ROUND(ROUND(AT341*AG341,2),2)</f>
        <v>0</v>
      </c>
    </row>
    <row r="342" spans="1:107" x14ac:dyDescent="0.2">
      <c r="A342">
        <f>ROW(Source!A180)</f>
        <v>180</v>
      </c>
      <c r="B342">
        <v>16742901</v>
      </c>
      <c r="C342">
        <v>16745930</v>
      </c>
      <c r="D342">
        <v>15197694</v>
      </c>
      <c r="E342">
        <v>1</v>
      </c>
      <c r="F342">
        <v>1</v>
      </c>
      <c r="G342">
        <v>1</v>
      </c>
      <c r="H342">
        <v>3</v>
      </c>
      <c r="I342" t="s">
        <v>1600</v>
      </c>
      <c r="J342" t="s">
        <v>1601</v>
      </c>
      <c r="K342" t="s">
        <v>1602</v>
      </c>
      <c r="L342">
        <v>1330</v>
      </c>
      <c r="N342">
        <v>1005</v>
      </c>
      <c r="O342" t="s">
        <v>1603</v>
      </c>
      <c r="P342" t="s">
        <v>1603</v>
      </c>
      <c r="Q342">
        <v>10</v>
      </c>
      <c r="W342">
        <v>0</v>
      </c>
      <c r="X342">
        <v>1442250580</v>
      </c>
      <c r="Y342">
        <v>10.5</v>
      </c>
      <c r="AA342">
        <v>228.94</v>
      </c>
      <c r="AB342">
        <v>0</v>
      </c>
      <c r="AC342">
        <v>0</v>
      </c>
      <c r="AD342">
        <v>0</v>
      </c>
      <c r="AE342">
        <v>34.9</v>
      </c>
      <c r="AF342">
        <v>0</v>
      </c>
      <c r="AG342">
        <v>0</v>
      </c>
      <c r="AH342">
        <v>0</v>
      </c>
      <c r="AI342">
        <v>6.56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10.5</v>
      </c>
      <c r="AU342" t="s">
        <v>6</v>
      </c>
      <c r="AV342">
        <v>0</v>
      </c>
      <c r="AW342">
        <v>2</v>
      </c>
      <c r="AX342">
        <v>16745942</v>
      </c>
      <c r="AY342">
        <v>1</v>
      </c>
      <c r="AZ342">
        <v>0</v>
      </c>
      <c r="BA342">
        <v>323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Y342*Source!I180</f>
        <v>10.527299999999999</v>
      </c>
      <c r="CY342">
        <f>AA342</f>
        <v>228.94</v>
      </c>
      <c r="CZ342">
        <f>AE342</f>
        <v>34.9</v>
      </c>
      <c r="DA342">
        <f>AI342</f>
        <v>6.56</v>
      </c>
      <c r="DB342">
        <f>ROUND(ROUND(AT342*CZ342,2),2)</f>
        <v>366.45</v>
      </c>
      <c r="DC342">
        <f>ROUND(ROUND(AT342*AG342,2),2)</f>
        <v>0</v>
      </c>
    </row>
    <row r="343" spans="1:107" x14ac:dyDescent="0.2">
      <c r="A343">
        <f>ROW(Source!A183)</f>
        <v>183</v>
      </c>
      <c r="B343">
        <v>16742901</v>
      </c>
      <c r="C343">
        <v>16745945</v>
      </c>
      <c r="D343">
        <v>15447742</v>
      </c>
      <c r="E343">
        <v>1</v>
      </c>
      <c r="F343">
        <v>1</v>
      </c>
      <c r="G343">
        <v>1</v>
      </c>
      <c r="H343">
        <v>1</v>
      </c>
      <c r="I343" t="s">
        <v>1604</v>
      </c>
      <c r="J343" t="s">
        <v>6</v>
      </c>
      <c r="K343" t="s">
        <v>1605</v>
      </c>
      <c r="L343">
        <v>1191</v>
      </c>
      <c r="N343">
        <v>1013</v>
      </c>
      <c r="O343" t="s">
        <v>1287</v>
      </c>
      <c r="P343" t="s">
        <v>1287</v>
      </c>
      <c r="Q343">
        <v>1</v>
      </c>
      <c r="W343">
        <v>0</v>
      </c>
      <c r="X343">
        <v>-2143564933</v>
      </c>
      <c r="Y343">
        <v>10.361499999999999</v>
      </c>
      <c r="AA343">
        <v>0</v>
      </c>
      <c r="AB343">
        <v>0</v>
      </c>
      <c r="AC343">
        <v>0</v>
      </c>
      <c r="AD343">
        <v>64.03</v>
      </c>
      <c r="AE343">
        <v>0</v>
      </c>
      <c r="AF343">
        <v>0</v>
      </c>
      <c r="AG343">
        <v>0</v>
      </c>
      <c r="AH343">
        <v>9.76</v>
      </c>
      <c r="AI343">
        <v>1</v>
      </c>
      <c r="AJ343">
        <v>1</v>
      </c>
      <c r="AK343">
        <v>1</v>
      </c>
      <c r="AL343">
        <v>6.56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6</v>
      </c>
      <c r="AT343">
        <v>9.01</v>
      </c>
      <c r="AU343" t="s">
        <v>188</v>
      </c>
      <c r="AV343">
        <v>1</v>
      </c>
      <c r="AW343">
        <v>2</v>
      </c>
      <c r="AX343">
        <v>16745953</v>
      </c>
      <c r="AY343">
        <v>1</v>
      </c>
      <c r="AZ343">
        <v>0</v>
      </c>
      <c r="BA343">
        <v>324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Y343*Source!I183</f>
        <v>12.4296554</v>
      </c>
      <c r="CY343">
        <f>AD343</f>
        <v>64.03</v>
      </c>
      <c r="CZ343">
        <f>AH343</f>
        <v>9.76</v>
      </c>
      <c r="DA343">
        <f>AL343</f>
        <v>6.56</v>
      </c>
      <c r="DB343">
        <f>ROUND((ROUND(AT343*CZ343,2)*1.15),2)</f>
        <v>101.13</v>
      </c>
      <c r="DC343">
        <f>ROUND((ROUND(AT343*AG343,2)*1.15),2)</f>
        <v>0</v>
      </c>
    </row>
    <row r="344" spans="1:107" x14ac:dyDescent="0.2">
      <c r="A344">
        <f>ROW(Source!A183)</f>
        <v>183</v>
      </c>
      <c r="B344">
        <v>16742901</v>
      </c>
      <c r="C344">
        <v>16745945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1293</v>
      </c>
      <c r="J344" t="s">
        <v>6</v>
      </c>
      <c r="K344" t="s">
        <v>1294</v>
      </c>
      <c r="L344">
        <v>1191</v>
      </c>
      <c r="N344">
        <v>1013</v>
      </c>
      <c r="O344" t="s">
        <v>1287</v>
      </c>
      <c r="P344" t="s">
        <v>1287</v>
      </c>
      <c r="Q344">
        <v>1</v>
      </c>
      <c r="W344">
        <v>0</v>
      </c>
      <c r="X344">
        <v>-1417349443</v>
      </c>
      <c r="Y344">
        <v>0.04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6.56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0.04</v>
      </c>
      <c r="AU344" t="s">
        <v>6</v>
      </c>
      <c r="AV344">
        <v>2</v>
      </c>
      <c r="AW344">
        <v>2</v>
      </c>
      <c r="AX344">
        <v>16745954</v>
      </c>
      <c r="AY344">
        <v>1</v>
      </c>
      <c r="AZ344">
        <v>2048</v>
      </c>
      <c r="BA344">
        <v>325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Y344*Source!I183</f>
        <v>4.7983999999999999E-2</v>
      </c>
      <c r="CY344">
        <f>AD344</f>
        <v>0</v>
      </c>
      <c r="CZ344">
        <f>AH344</f>
        <v>0</v>
      </c>
      <c r="DA344">
        <f>AL344</f>
        <v>1</v>
      </c>
      <c r="DB344">
        <f>ROUND(ROUND(AT344*CZ344,2),2)</f>
        <v>0</v>
      </c>
      <c r="DC344">
        <f>ROUND(ROUND(AT344*AG344,2),2)</f>
        <v>0</v>
      </c>
    </row>
    <row r="345" spans="1:107" x14ac:dyDescent="0.2">
      <c r="A345">
        <f>ROW(Source!A183)</f>
        <v>183</v>
      </c>
      <c r="B345">
        <v>16742901</v>
      </c>
      <c r="C345">
        <v>16745945</v>
      </c>
      <c r="D345">
        <v>15247974</v>
      </c>
      <c r="E345">
        <v>1</v>
      </c>
      <c r="F345">
        <v>1</v>
      </c>
      <c r="G345">
        <v>1</v>
      </c>
      <c r="H345">
        <v>2</v>
      </c>
      <c r="I345" t="s">
        <v>1314</v>
      </c>
      <c r="J345" t="s">
        <v>1315</v>
      </c>
      <c r="K345" t="s">
        <v>1316</v>
      </c>
      <c r="L345">
        <v>1368</v>
      </c>
      <c r="N345">
        <v>1011</v>
      </c>
      <c r="O345" t="s">
        <v>1298</v>
      </c>
      <c r="P345" t="s">
        <v>1298</v>
      </c>
      <c r="Q345">
        <v>1</v>
      </c>
      <c r="W345">
        <v>0</v>
      </c>
      <c r="X345">
        <v>1188625873</v>
      </c>
      <c r="Y345">
        <v>6.2500000000000003E-3</v>
      </c>
      <c r="AA345">
        <v>0</v>
      </c>
      <c r="AB345">
        <v>205.07</v>
      </c>
      <c r="AC345">
        <v>13.5</v>
      </c>
      <c r="AD345">
        <v>0</v>
      </c>
      <c r="AE345">
        <v>0</v>
      </c>
      <c r="AF345">
        <v>31.26</v>
      </c>
      <c r="AG345">
        <v>13.5</v>
      </c>
      <c r="AH345">
        <v>0</v>
      </c>
      <c r="AI345">
        <v>1</v>
      </c>
      <c r="AJ345">
        <v>6.56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5.0000000000000001E-3</v>
      </c>
      <c r="AU345" t="s">
        <v>187</v>
      </c>
      <c r="AV345">
        <v>0</v>
      </c>
      <c r="AW345">
        <v>2</v>
      </c>
      <c r="AX345">
        <v>16745955</v>
      </c>
      <c r="AY345">
        <v>1</v>
      </c>
      <c r="AZ345">
        <v>0</v>
      </c>
      <c r="BA345">
        <v>326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Y345*Source!I183</f>
        <v>7.4975000000000007E-3</v>
      </c>
      <c r="CY345">
        <f>AB345</f>
        <v>205.07</v>
      </c>
      <c r="CZ345">
        <f>AF345</f>
        <v>31.26</v>
      </c>
      <c r="DA345">
        <f>AJ345</f>
        <v>6.56</v>
      </c>
      <c r="DB345">
        <f>ROUND((ROUND(AT345*CZ345,2)*1.25),2)</f>
        <v>0.2</v>
      </c>
      <c r="DC345">
        <f>ROUND((ROUND(AT345*AG345,2)*1.25),2)</f>
        <v>0.09</v>
      </c>
    </row>
    <row r="346" spans="1:107" x14ac:dyDescent="0.2">
      <c r="A346">
        <f>ROW(Source!A183)</f>
        <v>183</v>
      </c>
      <c r="B346">
        <v>16742901</v>
      </c>
      <c r="C346">
        <v>16745945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1299</v>
      </c>
      <c r="J346" t="s">
        <v>1300</v>
      </c>
      <c r="K346" t="s">
        <v>1301</v>
      </c>
      <c r="L346">
        <v>1368</v>
      </c>
      <c r="N346">
        <v>1011</v>
      </c>
      <c r="O346" t="s">
        <v>1298</v>
      </c>
      <c r="P346" t="s">
        <v>1298</v>
      </c>
      <c r="Q346">
        <v>1</v>
      </c>
      <c r="W346">
        <v>0</v>
      </c>
      <c r="X346">
        <v>1372534845</v>
      </c>
      <c r="Y346">
        <v>3.7499999999999999E-2</v>
      </c>
      <c r="AA346">
        <v>0</v>
      </c>
      <c r="AB346">
        <v>431.06</v>
      </c>
      <c r="AC346">
        <v>11.6</v>
      </c>
      <c r="AD346">
        <v>0</v>
      </c>
      <c r="AE346">
        <v>0</v>
      </c>
      <c r="AF346">
        <v>65.709999999999994</v>
      </c>
      <c r="AG346">
        <v>11.6</v>
      </c>
      <c r="AH346">
        <v>0</v>
      </c>
      <c r="AI346">
        <v>1</v>
      </c>
      <c r="AJ346">
        <v>6.56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0.03</v>
      </c>
      <c r="AU346" t="s">
        <v>187</v>
      </c>
      <c r="AV346">
        <v>0</v>
      </c>
      <c r="AW346">
        <v>2</v>
      </c>
      <c r="AX346">
        <v>16745956</v>
      </c>
      <c r="AY346">
        <v>1</v>
      </c>
      <c r="AZ346">
        <v>0</v>
      </c>
      <c r="BA346">
        <v>327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Y346*Source!I183</f>
        <v>4.4984999999999997E-2</v>
      </c>
      <c r="CY346">
        <f>AB346</f>
        <v>431.06</v>
      </c>
      <c r="CZ346">
        <f>AF346</f>
        <v>65.709999999999994</v>
      </c>
      <c r="DA346">
        <f>AJ346</f>
        <v>6.56</v>
      </c>
      <c r="DB346">
        <f>ROUND((ROUND(AT346*CZ346,2)*1.25),2)</f>
        <v>2.46</v>
      </c>
      <c r="DC346">
        <f>ROUND((ROUND(AT346*AG346,2)*1.25),2)</f>
        <v>0.44</v>
      </c>
    </row>
    <row r="347" spans="1:107" x14ac:dyDescent="0.2">
      <c r="A347">
        <f>ROW(Source!A183)</f>
        <v>183</v>
      </c>
      <c r="B347">
        <v>16742901</v>
      </c>
      <c r="C347">
        <v>16745945</v>
      </c>
      <c r="D347">
        <v>15162756</v>
      </c>
      <c r="E347">
        <v>17</v>
      </c>
      <c r="F347">
        <v>1</v>
      </c>
      <c r="G347">
        <v>1</v>
      </c>
      <c r="H347">
        <v>3</v>
      </c>
      <c r="I347" t="s">
        <v>563</v>
      </c>
      <c r="J347" t="s">
        <v>6</v>
      </c>
      <c r="K347" t="s">
        <v>564</v>
      </c>
      <c r="L347">
        <v>1301</v>
      </c>
      <c r="N347">
        <v>1003</v>
      </c>
      <c r="O347" t="s">
        <v>220</v>
      </c>
      <c r="P347" t="s">
        <v>220</v>
      </c>
      <c r="Q347">
        <v>1</v>
      </c>
      <c r="W347">
        <v>0</v>
      </c>
      <c r="X347">
        <v>-2049262376</v>
      </c>
      <c r="Y347">
        <v>101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6.56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6</v>
      </c>
      <c r="AT347">
        <v>101</v>
      </c>
      <c r="AU347" t="s">
        <v>6</v>
      </c>
      <c r="AV347">
        <v>0</v>
      </c>
      <c r="AW347">
        <v>2</v>
      </c>
      <c r="AX347">
        <v>16745957</v>
      </c>
      <c r="AY347">
        <v>1</v>
      </c>
      <c r="AZ347">
        <v>0</v>
      </c>
      <c r="BA347">
        <v>328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Y347*Source!I183</f>
        <v>121.1596</v>
      </c>
      <c r="CY347">
        <f>AA347</f>
        <v>0</v>
      </c>
      <c r="CZ347">
        <f>AE347</f>
        <v>0</v>
      </c>
      <c r="DA347">
        <f>AI347</f>
        <v>6.56</v>
      </c>
      <c r="DB347">
        <f>ROUND(ROUND(AT347*CZ347,2),2)</f>
        <v>0</v>
      </c>
      <c r="DC347">
        <f>ROUND(ROUND(AT347*AG347,2),2)</f>
        <v>0</v>
      </c>
    </row>
    <row r="348" spans="1:107" x14ac:dyDescent="0.2">
      <c r="A348">
        <f>ROW(Source!A183)</f>
        <v>183</v>
      </c>
      <c r="B348">
        <v>16742901</v>
      </c>
      <c r="C348">
        <v>16745945</v>
      </c>
      <c r="D348">
        <v>15197683</v>
      </c>
      <c r="E348">
        <v>1</v>
      </c>
      <c r="F348">
        <v>1</v>
      </c>
      <c r="G348">
        <v>1</v>
      </c>
      <c r="H348">
        <v>3</v>
      </c>
      <c r="I348" t="s">
        <v>559</v>
      </c>
      <c r="J348" t="s">
        <v>561</v>
      </c>
      <c r="K348" t="s">
        <v>560</v>
      </c>
      <c r="L348">
        <v>1301</v>
      </c>
      <c r="N348">
        <v>1003</v>
      </c>
      <c r="O348" t="s">
        <v>220</v>
      </c>
      <c r="P348" t="s">
        <v>220</v>
      </c>
      <c r="Q348">
        <v>1</v>
      </c>
      <c r="W348">
        <v>0</v>
      </c>
      <c r="X348">
        <v>1244447769</v>
      </c>
      <c r="Y348">
        <v>101</v>
      </c>
      <c r="AA348">
        <v>134.47999999999999</v>
      </c>
      <c r="AB348">
        <v>0</v>
      </c>
      <c r="AC348">
        <v>0</v>
      </c>
      <c r="AD348">
        <v>0</v>
      </c>
      <c r="AE348">
        <v>20.5</v>
      </c>
      <c r="AF348">
        <v>0</v>
      </c>
      <c r="AG348">
        <v>0</v>
      </c>
      <c r="AH348">
        <v>0</v>
      </c>
      <c r="AI348">
        <v>6.56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101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Y348*Source!I183</f>
        <v>121.1596</v>
      </c>
      <c r="CY348">
        <f>AA348</f>
        <v>134.47999999999999</v>
      </c>
      <c r="CZ348">
        <f>AE348</f>
        <v>20.5</v>
      </c>
      <c r="DA348">
        <f>AI348</f>
        <v>6.56</v>
      </c>
      <c r="DB348">
        <f>ROUND(ROUND(AT348*CZ348,2),2)</f>
        <v>2070.5</v>
      </c>
      <c r="DC348">
        <f>ROUND(ROUND(AT348*AG348,2),2)</f>
        <v>0</v>
      </c>
    </row>
    <row r="349" spans="1:107" x14ac:dyDescent="0.2">
      <c r="A349">
        <f>ROW(Source!A183)</f>
        <v>183</v>
      </c>
      <c r="B349">
        <v>16742901</v>
      </c>
      <c r="C349">
        <v>16745945</v>
      </c>
      <c r="D349">
        <v>15204415</v>
      </c>
      <c r="E349">
        <v>1</v>
      </c>
      <c r="F349">
        <v>1</v>
      </c>
      <c r="G349">
        <v>1</v>
      </c>
      <c r="H349">
        <v>3</v>
      </c>
      <c r="I349" t="s">
        <v>1606</v>
      </c>
      <c r="J349" t="s">
        <v>1607</v>
      </c>
      <c r="K349" t="s">
        <v>1608</v>
      </c>
      <c r="L349">
        <v>1346</v>
      </c>
      <c r="N349">
        <v>1009</v>
      </c>
      <c r="O349" t="s">
        <v>341</v>
      </c>
      <c r="P349" t="s">
        <v>341</v>
      </c>
      <c r="Q349">
        <v>1</v>
      </c>
      <c r="W349">
        <v>0</v>
      </c>
      <c r="X349">
        <v>-593408865</v>
      </c>
      <c r="Y349">
        <v>5.15</v>
      </c>
      <c r="AA349">
        <v>54.84</v>
      </c>
      <c r="AB349">
        <v>0</v>
      </c>
      <c r="AC349">
        <v>0</v>
      </c>
      <c r="AD349">
        <v>0</v>
      </c>
      <c r="AE349">
        <v>8.36</v>
      </c>
      <c r="AF349">
        <v>0</v>
      </c>
      <c r="AG349">
        <v>0</v>
      </c>
      <c r="AH349">
        <v>0</v>
      </c>
      <c r="AI349">
        <v>6.56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5.15</v>
      </c>
      <c r="AU349" t="s">
        <v>6</v>
      </c>
      <c r="AV349">
        <v>0</v>
      </c>
      <c r="AW349">
        <v>2</v>
      </c>
      <c r="AX349">
        <v>16745958</v>
      </c>
      <c r="AY349">
        <v>1</v>
      </c>
      <c r="AZ349">
        <v>0</v>
      </c>
      <c r="BA349">
        <v>329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Y349*Source!I183</f>
        <v>6.1779400000000004</v>
      </c>
      <c r="CY349">
        <f>AA349</f>
        <v>54.84</v>
      </c>
      <c r="CZ349">
        <f>AE349</f>
        <v>8.36</v>
      </c>
      <c r="DA349">
        <f>AI349</f>
        <v>6.56</v>
      </c>
      <c r="DB349">
        <f>ROUND(ROUND(AT349*CZ349,2),2)</f>
        <v>43.05</v>
      </c>
      <c r="DC349">
        <f>ROUND(ROUND(AT349*AG349,2),2)</f>
        <v>0</v>
      </c>
    </row>
    <row r="350" spans="1:107" x14ac:dyDescent="0.2">
      <c r="A350">
        <f>ROW(Source!A186)</f>
        <v>186</v>
      </c>
      <c r="B350">
        <v>16742901</v>
      </c>
      <c r="C350">
        <v>16745961</v>
      </c>
      <c r="D350">
        <v>15435721</v>
      </c>
      <c r="E350">
        <v>1</v>
      </c>
      <c r="F350">
        <v>1</v>
      </c>
      <c r="G350">
        <v>1</v>
      </c>
      <c r="H350">
        <v>1</v>
      </c>
      <c r="I350" t="s">
        <v>1609</v>
      </c>
      <c r="J350" t="s">
        <v>6</v>
      </c>
      <c r="K350" t="s">
        <v>1610</v>
      </c>
      <c r="L350">
        <v>1191</v>
      </c>
      <c r="N350">
        <v>1013</v>
      </c>
      <c r="O350" t="s">
        <v>1287</v>
      </c>
      <c r="P350" t="s">
        <v>1287</v>
      </c>
      <c r="Q350">
        <v>1</v>
      </c>
      <c r="W350">
        <v>0</v>
      </c>
      <c r="X350">
        <v>1983201532</v>
      </c>
      <c r="Y350">
        <v>27.392999999999997</v>
      </c>
      <c r="AA350">
        <v>0</v>
      </c>
      <c r="AB350">
        <v>0</v>
      </c>
      <c r="AC350">
        <v>0</v>
      </c>
      <c r="AD350">
        <v>62.39</v>
      </c>
      <c r="AE350">
        <v>0</v>
      </c>
      <c r="AF350">
        <v>0</v>
      </c>
      <c r="AG350">
        <v>0</v>
      </c>
      <c r="AH350">
        <v>9.51</v>
      </c>
      <c r="AI350">
        <v>1</v>
      </c>
      <c r="AJ350">
        <v>1</v>
      </c>
      <c r="AK350">
        <v>1</v>
      </c>
      <c r="AL350">
        <v>6.56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6</v>
      </c>
      <c r="AT350">
        <v>23.82</v>
      </c>
      <c r="AU350" t="s">
        <v>188</v>
      </c>
      <c r="AV350">
        <v>1</v>
      </c>
      <c r="AW350">
        <v>2</v>
      </c>
      <c r="AX350">
        <v>16745968</v>
      </c>
      <c r="AY350">
        <v>1</v>
      </c>
      <c r="AZ350">
        <v>0</v>
      </c>
      <c r="BA350">
        <v>330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Y350*Source!I186</f>
        <v>19.394243999999997</v>
      </c>
      <c r="CY350">
        <f>AD350</f>
        <v>62.39</v>
      </c>
      <c r="CZ350">
        <f>AH350</f>
        <v>9.51</v>
      </c>
      <c r="DA350">
        <f>AL350</f>
        <v>6.56</v>
      </c>
      <c r="DB350">
        <f>ROUND((ROUND(AT350*CZ350,2)*1.15),2)</f>
        <v>260.51</v>
      </c>
      <c r="DC350">
        <f>ROUND((ROUND(AT350*AG350,2)*1.15),2)</f>
        <v>0</v>
      </c>
    </row>
    <row r="351" spans="1:107" x14ac:dyDescent="0.2">
      <c r="A351">
        <f>ROW(Source!A186)</f>
        <v>186</v>
      </c>
      <c r="B351">
        <v>16742901</v>
      </c>
      <c r="C351">
        <v>16745961</v>
      </c>
      <c r="D351">
        <v>15430395</v>
      </c>
      <c r="E351">
        <v>1</v>
      </c>
      <c r="F351">
        <v>1</v>
      </c>
      <c r="G351">
        <v>1</v>
      </c>
      <c r="H351">
        <v>1</v>
      </c>
      <c r="I351" t="s">
        <v>1293</v>
      </c>
      <c r="J351" t="s">
        <v>6</v>
      </c>
      <c r="K351" t="s">
        <v>1294</v>
      </c>
      <c r="L351">
        <v>1191</v>
      </c>
      <c r="N351">
        <v>1013</v>
      </c>
      <c r="O351" t="s">
        <v>1287</v>
      </c>
      <c r="P351" t="s">
        <v>1287</v>
      </c>
      <c r="Q351">
        <v>1</v>
      </c>
      <c r="W351">
        <v>0</v>
      </c>
      <c r="X351">
        <v>-1417349443</v>
      </c>
      <c r="Y351">
        <v>0.11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6.56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0.11</v>
      </c>
      <c r="AU351" t="s">
        <v>6</v>
      </c>
      <c r="AV351">
        <v>2</v>
      </c>
      <c r="AW351">
        <v>2</v>
      </c>
      <c r="AX351">
        <v>16745969</v>
      </c>
      <c r="AY351">
        <v>1</v>
      </c>
      <c r="AZ351">
        <v>2048</v>
      </c>
      <c r="BA351">
        <v>331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Y351*Source!I186</f>
        <v>7.7879999999999991E-2</v>
      </c>
      <c r="CY351">
        <f>AD351</f>
        <v>0</v>
      </c>
      <c r="CZ351">
        <f>AH351</f>
        <v>0</v>
      </c>
      <c r="DA351">
        <f>AL351</f>
        <v>1</v>
      </c>
      <c r="DB351">
        <f>ROUND(ROUND(AT351*CZ351,2),2)</f>
        <v>0</v>
      </c>
      <c r="DC351">
        <f>ROUND(ROUND(AT351*AG351,2),2)</f>
        <v>0</v>
      </c>
    </row>
    <row r="352" spans="1:107" x14ac:dyDescent="0.2">
      <c r="A352">
        <f>ROW(Source!A186)</f>
        <v>186</v>
      </c>
      <c r="B352">
        <v>16742901</v>
      </c>
      <c r="C352">
        <v>16745961</v>
      </c>
      <c r="D352">
        <v>15247974</v>
      </c>
      <c r="E352">
        <v>1</v>
      </c>
      <c r="F352">
        <v>1</v>
      </c>
      <c r="G352">
        <v>1</v>
      </c>
      <c r="H352">
        <v>2</v>
      </c>
      <c r="I352" t="s">
        <v>1314</v>
      </c>
      <c r="J352" t="s">
        <v>1315</v>
      </c>
      <c r="K352" t="s">
        <v>1316</v>
      </c>
      <c r="L352">
        <v>1368</v>
      </c>
      <c r="N352">
        <v>1011</v>
      </c>
      <c r="O352" t="s">
        <v>1298</v>
      </c>
      <c r="P352" t="s">
        <v>1298</v>
      </c>
      <c r="Q352">
        <v>1</v>
      </c>
      <c r="W352">
        <v>0</v>
      </c>
      <c r="X352">
        <v>1188625873</v>
      </c>
      <c r="Y352">
        <v>6.25E-2</v>
      </c>
      <c r="AA352">
        <v>0</v>
      </c>
      <c r="AB352">
        <v>205.07</v>
      </c>
      <c r="AC352">
        <v>13.5</v>
      </c>
      <c r="AD352">
        <v>0</v>
      </c>
      <c r="AE352">
        <v>0</v>
      </c>
      <c r="AF352">
        <v>31.26</v>
      </c>
      <c r="AG352">
        <v>13.5</v>
      </c>
      <c r="AH352">
        <v>0</v>
      </c>
      <c r="AI352">
        <v>1</v>
      </c>
      <c r="AJ352">
        <v>6.56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6</v>
      </c>
      <c r="AT352">
        <v>0.05</v>
      </c>
      <c r="AU352" t="s">
        <v>187</v>
      </c>
      <c r="AV352">
        <v>0</v>
      </c>
      <c r="AW352">
        <v>2</v>
      </c>
      <c r="AX352">
        <v>16745970</v>
      </c>
      <c r="AY352">
        <v>1</v>
      </c>
      <c r="AZ352">
        <v>0</v>
      </c>
      <c r="BA352">
        <v>332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Y352*Source!I186</f>
        <v>4.4249999999999998E-2</v>
      </c>
      <c r="CY352">
        <f>AB352</f>
        <v>205.07</v>
      </c>
      <c r="CZ352">
        <f>AF352</f>
        <v>31.26</v>
      </c>
      <c r="DA352">
        <f>AJ352</f>
        <v>6.56</v>
      </c>
      <c r="DB352">
        <f>ROUND((ROUND(AT352*CZ352,2)*1.25),2)</f>
        <v>1.95</v>
      </c>
      <c r="DC352">
        <f>ROUND((ROUND(AT352*AG352,2)*1.25),2)</f>
        <v>0.85</v>
      </c>
    </row>
    <row r="353" spans="1:107" x14ac:dyDescent="0.2">
      <c r="A353">
        <f>ROW(Source!A186)</f>
        <v>186</v>
      </c>
      <c r="B353">
        <v>16742901</v>
      </c>
      <c r="C353">
        <v>16745961</v>
      </c>
      <c r="D353">
        <v>15249073</v>
      </c>
      <c r="E353">
        <v>1</v>
      </c>
      <c r="F353">
        <v>1</v>
      </c>
      <c r="G353">
        <v>1</v>
      </c>
      <c r="H353">
        <v>2</v>
      </c>
      <c r="I353" t="s">
        <v>1299</v>
      </c>
      <c r="J353" t="s">
        <v>1300</v>
      </c>
      <c r="K353" t="s">
        <v>1301</v>
      </c>
      <c r="L353">
        <v>1368</v>
      </c>
      <c r="N353">
        <v>1011</v>
      </c>
      <c r="O353" t="s">
        <v>1298</v>
      </c>
      <c r="P353" t="s">
        <v>1298</v>
      </c>
      <c r="Q353">
        <v>1</v>
      </c>
      <c r="W353">
        <v>0</v>
      </c>
      <c r="X353">
        <v>1372534845</v>
      </c>
      <c r="Y353">
        <v>7.4999999999999997E-2</v>
      </c>
      <c r="AA353">
        <v>0</v>
      </c>
      <c r="AB353">
        <v>431.06</v>
      </c>
      <c r="AC353">
        <v>11.6</v>
      </c>
      <c r="AD353">
        <v>0</v>
      </c>
      <c r="AE353">
        <v>0</v>
      </c>
      <c r="AF353">
        <v>65.709999999999994</v>
      </c>
      <c r="AG353">
        <v>11.6</v>
      </c>
      <c r="AH353">
        <v>0</v>
      </c>
      <c r="AI353">
        <v>1</v>
      </c>
      <c r="AJ353">
        <v>6.56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0.06</v>
      </c>
      <c r="AU353" t="s">
        <v>187</v>
      </c>
      <c r="AV353">
        <v>0</v>
      </c>
      <c r="AW353">
        <v>2</v>
      </c>
      <c r="AX353">
        <v>16745971</v>
      </c>
      <c r="AY353">
        <v>1</v>
      </c>
      <c r="AZ353">
        <v>0</v>
      </c>
      <c r="BA353">
        <v>333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Y353*Source!I186</f>
        <v>5.3099999999999994E-2</v>
      </c>
      <c r="CY353">
        <f>AB353</f>
        <v>431.06</v>
      </c>
      <c r="CZ353">
        <f>AF353</f>
        <v>65.709999999999994</v>
      </c>
      <c r="DA353">
        <f>AJ353</f>
        <v>6.56</v>
      </c>
      <c r="DB353">
        <f>ROUND((ROUND(AT353*CZ353,2)*1.25),2)</f>
        <v>4.93</v>
      </c>
      <c r="DC353">
        <f>ROUND((ROUND(AT353*AG353,2)*1.25),2)</f>
        <v>0.88</v>
      </c>
    </row>
    <row r="354" spans="1:107" x14ac:dyDescent="0.2">
      <c r="A354">
        <f>ROW(Source!A186)</f>
        <v>186</v>
      </c>
      <c r="B354">
        <v>16742901</v>
      </c>
      <c r="C354">
        <v>16745961</v>
      </c>
      <c r="D354">
        <v>15162753</v>
      </c>
      <c r="E354">
        <v>17</v>
      </c>
      <c r="F354">
        <v>1</v>
      </c>
      <c r="G354">
        <v>1</v>
      </c>
      <c r="H354">
        <v>3</v>
      </c>
      <c r="I354" t="s">
        <v>574</v>
      </c>
      <c r="J354" t="s">
        <v>6</v>
      </c>
      <c r="K354" t="s">
        <v>575</v>
      </c>
      <c r="L354">
        <v>1301</v>
      </c>
      <c r="N354">
        <v>1003</v>
      </c>
      <c r="O354" t="s">
        <v>220</v>
      </c>
      <c r="P354" t="s">
        <v>220</v>
      </c>
      <c r="Q354">
        <v>1</v>
      </c>
      <c r="W354">
        <v>0</v>
      </c>
      <c r="X354">
        <v>1949164399</v>
      </c>
      <c r="Y354">
        <v>101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6.56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</v>
      </c>
      <c r="AT354">
        <v>101</v>
      </c>
      <c r="AU354" t="s">
        <v>6</v>
      </c>
      <c r="AV354">
        <v>0</v>
      </c>
      <c r="AW354">
        <v>2</v>
      </c>
      <c r="AX354">
        <v>16745973</v>
      </c>
      <c r="AY354">
        <v>1</v>
      </c>
      <c r="AZ354">
        <v>0</v>
      </c>
      <c r="BA354">
        <v>335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Y354*Source!I186</f>
        <v>71.507999999999996</v>
      </c>
      <c r="CY354">
        <f>AA354</f>
        <v>0</v>
      </c>
      <c r="CZ354">
        <f>AE354</f>
        <v>0</v>
      </c>
      <c r="DA354">
        <f>AI354</f>
        <v>6.56</v>
      </c>
      <c r="DB354">
        <f>ROUND(ROUND(AT354*CZ354,2),2)</f>
        <v>0</v>
      </c>
      <c r="DC354">
        <f>ROUND(ROUND(AT354*AG354,2),2)</f>
        <v>0</v>
      </c>
    </row>
    <row r="355" spans="1:107" x14ac:dyDescent="0.2">
      <c r="A355">
        <f>ROW(Source!A186)</f>
        <v>186</v>
      </c>
      <c r="B355">
        <v>16742901</v>
      </c>
      <c r="C355">
        <v>16745961</v>
      </c>
      <c r="D355">
        <v>15187109</v>
      </c>
      <c r="E355">
        <v>1</v>
      </c>
      <c r="F355">
        <v>1</v>
      </c>
      <c r="G355">
        <v>1</v>
      </c>
      <c r="H355">
        <v>3</v>
      </c>
      <c r="I355" t="s">
        <v>570</v>
      </c>
      <c r="J355" t="s">
        <v>572</v>
      </c>
      <c r="K355" t="s">
        <v>571</v>
      </c>
      <c r="L355">
        <v>1301</v>
      </c>
      <c r="N355">
        <v>1003</v>
      </c>
      <c r="O355" t="s">
        <v>220</v>
      </c>
      <c r="P355" t="s">
        <v>220</v>
      </c>
      <c r="Q355">
        <v>1</v>
      </c>
      <c r="W355">
        <v>0</v>
      </c>
      <c r="X355">
        <v>831643793</v>
      </c>
      <c r="Y355">
        <v>101</v>
      </c>
      <c r="AA355">
        <v>155.66999999999999</v>
      </c>
      <c r="AB355">
        <v>0</v>
      </c>
      <c r="AC355">
        <v>0</v>
      </c>
      <c r="AD355">
        <v>0</v>
      </c>
      <c r="AE355">
        <v>23.73</v>
      </c>
      <c r="AF355">
        <v>0</v>
      </c>
      <c r="AG355">
        <v>0</v>
      </c>
      <c r="AH355">
        <v>0</v>
      </c>
      <c r="AI355">
        <v>6.56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101</v>
      </c>
      <c r="AU355" t="s">
        <v>6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6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Y355*Source!I186</f>
        <v>71.507999999999996</v>
      </c>
      <c r="CY355">
        <f>AA355</f>
        <v>155.66999999999999</v>
      </c>
      <c r="CZ355">
        <f>AE355</f>
        <v>23.73</v>
      </c>
      <c r="DA355">
        <f>AI355</f>
        <v>6.56</v>
      </c>
      <c r="DB355">
        <f>ROUND(ROUND(AT355*CZ355,2),2)</f>
        <v>2396.73</v>
      </c>
      <c r="DC355">
        <f>ROUND(ROUND(AT355*AG355,2),2)</f>
        <v>0</v>
      </c>
    </row>
    <row r="356" spans="1:107" x14ac:dyDescent="0.2">
      <c r="A356">
        <f>ROW(Source!A189)</f>
        <v>189</v>
      </c>
      <c r="B356">
        <v>16742901</v>
      </c>
      <c r="C356">
        <v>16745976</v>
      </c>
      <c r="D356">
        <v>15436014</v>
      </c>
      <c r="E356">
        <v>1</v>
      </c>
      <c r="F356">
        <v>1</v>
      </c>
      <c r="G356">
        <v>1</v>
      </c>
      <c r="H356">
        <v>1</v>
      </c>
      <c r="I356" t="s">
        <v>1388</v>
      </c>
      <c r="J356" t="s">
        <v>6</v>
      </c>
      <c r="K356" t="s">
        <v>1389</v>
      </c>
      <c r="L356">
        <v>1191</v>
      </c>
      <c r="N356">
        <v>1013</v>
      </c>
      <c r="O356" t="s">
        <v>1287</v>
      </c>
      <c r="P356" t="s">
        <v>1287</v>
      </c>
      <c r="Q356">
        <v>1</v>
      </c>
      <c r="W356">
        <v>0</v>
      </c>
      <c r="X356">
        <v>-784637506</v>
      </c>
      <c r="Y356">
        <v>19.135999999999999</v>
      </c>
      <c r="AA356">
        <v>0</v>
      </c>
      <c r="AB356">
        <v>0</v>
      </c>
      <c r="AC356">
        <v>0</v>
      </c>
      <c r="AD356">
        <v>57.33</v>
      </c>
      <c r="AE356">
        <v>0</v>
      </c>
      <c r="AF356">
        <v>0</v>
      </c>
      <c r="AG356">
        <v>0</v>
      </c>
      <c r="AH356">
        <v>8.74</v>
      </c>
      <c r="AI356">
        <v>1</v>
      </c>
      <c r="AJ356">
        <v>1</v>
      </c>
      <c r="AK356">
        <v>1</v>
      </c>
      <c r="AL356">
        <v>6.56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6</v>
      </c>
      <c r="AT356">
        <v>16.64</v>
      </c>
      <c r="AU356" t="s">
        <v>188</v>
      </c>
      <c r="AV356">
        <v>1</v>
      </c>
      <c r="AW356">
        <v>2</v>
      </c>
      <c r="AX356">
        <v>16745982</v>
      </c>
      <c r="AY356">
        <v>1</v>
      </c>
      <c r="AZ356">
        <v>0</v>
      </c>
      <c r="BA356">
        <v>336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Y356*Source!I189</f>
        <v>1.7222399999999998</v>
      </c>
      <c r="CY356">
        <f>AD356</f>
        <v>57.33</v>
      </c>
      <c r="CZ356">
        <f>AH356</f>
        <v>8.74</v>
      </c>
      <c r="DA356">
        <f>AL356</f>
        <v>6.56</v>
      </c>
      <c r="DB356">
        <f>ROUND((ROUND(AT356*CZ356,2)*1.15),2)</f>
        <v>167.24</v>
      </c>
      <c r="DC356">
        <f>ROUND((ROUND(AT356*AG356,2)*1.15),2)</f>
        <v>0</v>
      </c>
    </row>
    <row r="357" spans="1:107" x14ac:dyDescent="0.2">
      <c r="A357">
        <f>ROW(Source!A189)</f>
        <v>189</v>
      </c>
      <c r="B357">
        <v>16742901</v>
      </c>
      <c r="C357">
        <v>16745976</v>
      </c>
      <c r="D357">
        <v>15169972</v>
      </c>
      <c r="E357">
        <v>1</v>
      </c>
      <c r="F357">
        <v>1</v>
      </c>
      <c r="G357">
        <v>1</v>
      </c>
      <c r="H357">
        <v>3</v>
      </c>
      <c r="I357" t="s">
        <v>1611</v>
      </c>
      <c r="J357" t="s">
        <v>1612</v>
      </c>
      <c r="K357" t="s">
        <v>1613</v>
      </c>
      <c r="L357">
        <v>1355</v>
      </c>
      <c r="N357">
        <v>1010</v>
      </c>
      <c r="O357" t="s">
        <v>843</v>
      </c>
      <c r="P357" t="s">
        <v>843</v>
      </c>
      <c r="Q357">
        <v>100</v>
      </c>
      <c r="W357">
        <v>0</v>
      </c>
      <c r="X357">
        <v>-725528132</v>
      </c>
      <c r="Y357">
        <v>6.7</v>
      </c>
      <c r="AA357">
        <v>78.72</v>
      </c>
      <c r="AB357">
        <v>0</v>
      </c>
      <c r="AC357">
        <v>0</v>
      </c>
      <c r="AD357">
        <v>0</v>
      </c>
      <c r="AE357">
        <v>12</v>
      </c>
      <c r="AF357">
        <v>0</v>
      </c>
      <c r="AG357">
        <v>0</v>
      </c>
      <c r="AH357">
        <v>0</v>
      </c>
      <c r="AI357">
        <v>6.56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6.7</v>
      </c>
      <c r="AU357" t="s">
        <v>6</v>
      </c>
      <c r="AV357">
        <v>0</v>
      </c>
      <c r="AW357">
        <v>2</v>
      </c>
      <c r="AX357">
        <v>16745983</v>
      </c>
      <c r="AY357">
        <v>1</v>
      </c>
      <c r="AZ357">
        <v>0</v>
      </c>
      <c r="BA357">
        <v>337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Y357*Source!I189</f>
        <v>0.60299999999999998</v>
      </c>
      <c r="CY357">
        <f>AA357</f>
        <v>78.72</v>
      </c>
      <c r="CZ357">
        <f>AE357</f>
        <v>12</v>
      </c>
      <c r="DA357">
        <f>AI357</f>
        <v>6.56</v>
      </c>
      <c r="DB357">
        <f>ROUND(ROUND(AT357*CZ357,2),2)</f>
        <v>80.400000000000006</v>
      </c>
      <c r="DC357">
        <f>ROUND(ROUND(AT357*AG357,2),2)</f>
        <v>0</v>
      </c>
    </row>
    <row r="358" spans="1:107" x14ac:dyDescent="0.2">
      <c r="A358">
        <f>ROW(Source!A189)</f>
        <v>189</v>
      </c>
      <c r="B358">
        <v>16742901</v>
      </c>
      <c r="C358">
        <v>16745976</v>
      </c>
      <c r="D358">
        <v>15162775</v>
      </c>
      <c r="E358">
        <v>17</v>
      </c>
      <c r="F358">
        <v>1</v>
      </c>
      <c r="G358">
        <v>1</v>
      </c>
      <c r="H358">
        <v>3</v>
      </c>
      <c r="I358" t="s">
        <v>589</v>
      </c>
      <c r="J358" t="s">
        <v>6</v>
      </c>
      <c r="K358" t="s">
        <v>590</v>
      </c>
      <c r="L358">
        <v>1301</v>
      </c>
      <c r="N358">
        <v>1003</v>
      </c>
      <c r="O358" t="s">
        <v>220</v>
      </c>
      <c r="P358" t="s">
        <v>220</v>
      </c>
      <c r="Q358">
        <v>1</v>
      </c>
      <c r="W358">
        <v>0</v>
      </c>
      <c r="X358">
        <v>2101938969</v>
      </c>
      <c r="Y358">
        <v>105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6.56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6</v>
      </c>
      <c r="AT358">
        <v>105</v>
      </c>
      <c r="AU358" t="s">
        <v>6</v>
      </c>
      <c r="AV358">
        <v>0</v>
      </c>
      <c r="AW358">
        <v>2</v>
      </c>
      <c r="AX358">
        <v>16745984</v>
      </c>
      <c r="AY358">
        <v>1</v>
      </c>
      <c r="AZ358">
        <v>0</v>
      </c>
      <c r="BA358">
        <v>338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Y358*Source!I189</f>
        <v>9.4499999999999993</v>
      </c>
      <c r="CY358">
        <f>AA358</f>
        <v>0</v>
      </c>
      <c r="CZ358">
        <f>AE358</f>
        <v>0</v>
      </c>
      <c r="DA358">
        <f>AI358</f>
        <v>6.56</v>
      </c>
      <c r="DB358">
        <f>ROUND(ROUND(AT358*CZ358,2),2)</f>
        <v>0</v>
      </c>
      <c r="DC358">
        <f>ROUND(ROUND(AT358*AG358,2),2)</f>
        <v>0</v>
      </c>
    </row>
    <row r="359" spans="1:107" x14ac:dyDescent="0.2">
      <c r="A359">
        <f>ROW(Source!A189)</f>
        <v>189</v>
      </c>
      <c r="B359">
        <v>16742901</v>
      </c>
      <c r="C359">
        <v>16745976</v>
      </c>
      <c r="D359">
        <v>15192878</v>
      </c>
      <c r="E359">
        <v>1</v>
      </c>
      <c r="F359">
        <v>1</v>
      </c>
      <c r="G359">
        <v>1</v>
      </c>
      <c r="H359">
        <v>3</v>
      </c>
      <c r="I359" t="s">
        <v>581</v>
      </c>
      <c r="J359" t="s">
        <v>583</v>
      </c>
      <c r="K359" t="s">
        <v>582</v>
      </c>
      <c r="L359">
        <v>1354</v>
      </c>
      <c r="N359">
        <v>1010</v>
      </c>
      <c r="O359" t="s">
        <v>73</v>
      </c>
      <c r="P359" t="s">
        <v>73</v>
      </c>
      <c r="Q359">
        <v>1</v>
      </c>
      <c r="W359">
        <v>0</v>
      </c>
      <c r="X359">
        <v>-1858633972</v>
      </c>
      <c r="Y359">
        <v>22.222221999999999</v>
      </c>
      <c r="AA359">
        <v>98.86</v>
      </c>
      <c r="AB359">
        <v>0</v>
      </c>
      <c r="AC359">
        <v>0</v>
      </c>
      <c r="AD359">
        <v>0</v>
      </c>
      <c r="AE359">
        <v>15.07</v>
      </c>
      <c r="AF359">
        <v>0</v>
      </c>
      <c r="AG359">
        <v>0</v>
      </c>
      <c r="AH359">
        <v>0</v>
      </c>
      <c r="AI359">
        <v>6.56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6</v>
      </c>
      <c r="AT359">
        <v>22.222221999999999</v>
      </c>
      <c r="AU359" t="s">
        <v>6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Y359*Source!I189</f>
        <v>1.9999999799999999</v>
      </c>
      <c r="CY359">
        <f>AA359</f>
        <v>98.86</v>
      </c>
      <c r="CZ359">
        <f>AE359</f>
        <v>15.07</v>
      </c>
      <c r="DA359">
        <f>AI359</f>
        <v>6.56</v>
      </c>
      <c r="DB359">
        <f>ROUND(ROUND(AT359*CZ359,2),2)</f>
        <v>334.89</v>
      </c>
      <c r="DC359">
        <f>ROUND(ROUND(AT359*AG359,2),2)</f>
        <v>0</v>
      </c>
    </row>
    <row r="360" spans="1:107" x14ac:dyDescent="0.2">
      <c r="A360">
        <f>ROW(Source!A189)</f>
        <v>189</v>
      </c>
      <c r="B360">
        <v>16742901</v>
      </c>
      <c r="C360">
        <v>16745976</v>
      </c>
      <c r="D360">
        <v>15192879</v>
      </c>
      <c r="E360">
        <v>1</v>
      </c>
      <c r="F360">
        <v>1</v>
      </c>
      <c r="G360">
        <v>1</v>
      </c>
      <c r="H360">
        <v>3</v>
      </c>
      <c r="I360" t="s">
        <v>585</v>
      </c>
      <c r="J360" t="s">
        <v>587</v>
      </c>
      <c r="K360" t="s">
        <v>586</v>
      </c>
      <c r="L360">
        <v>1354</v>
      </c>
      <c r="N360">
        <v>1010</v>
      </c>
      <c r="O360" t="s">
        <v>73</v>
      </c>
      <c r="P360" t="s">
        <v>73</v>
      </c>
      <c r="Q360">
        <v>1</v>
      </c>
      <c r="W360">
        <v>0</v>
      </c>
      <c r="X360">
        <v>-94522557</v>
      </c>
      <c r="Y360">
        <v>44.444443999999997</v>
      </c>
      <c r="AA360">
        <v>205.2</v>
      </c>
      <c r="AB360">
        <v>0</v>
      </c>
      <c r="AC360">
        <v>0</v>
      </c>
      <c r="AD360">
        <v>0</v>
      </c>
      <c r="AE360">
        <v>31.28</v>
      </c>
      <c r="AF360">
        <v>0</v>
      </c>
      <c r="AG360">
        <v>0</v>
      </c>
      <c r="AH360">
        <v>0</v>
      </c>
      <c r="AI360">
        <v>6.56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44.444443999999997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Y360*Source!I189</f>
        <v>3.9999999599999998</v>
      </c>
      <c r="CY360">
        <f>AA360</f>
        <v>205.2</v>
      </c>
      <c r="CZ360">
        <f>AE360</f>
        <v>31.28</v>
      </c>
      <c r="DA360">
        <f>AI360</f>
        <v>6.56</v>
      </c>
      <c r="DB360">
        <f>ROUND(ROUND(AT360*CZ360,2),2)</f>
        <v>1390.22</v>
      </c>
      <c r="DC360">
        <f>ROUND(ROUND(AT360*AG360,2),2)</f>
        <v>0</v>
      </c>
    </row>
    <row r="361" spans="1:107" x14ac:dyDescent="0.2">
      <c r="A361">
        <f>ROW(Source!A193)</f>
        <v>193</v>
      </c>
      <c r="B361">
        <v>16742901</v>
      </c>
      <c r="C361">
        <v>16745988</v>
      </c>
      <c r="D361">
        <v>15430397</v>
      </c>
      <c r="E361">
        <v>1</v>
      </c>
      <c r="F361">
        <v>1</v>
      </c>
      <c r="G361">
        <v>1</v>
      </c>
      <c r="H361">
        <v>1</v>
      </c>
      <c r="I361" t="s">
        <v>1323</v>
      </c>
      <c r="J361" t="s">
        <v>6</v>
      </c>
      <c r="K361" t="s">
        <v>1324</v>
      </c>
      <c r="L361">
        <v>1191</v>
      </c>
      <c r="N361">
        <v>1013</v>
      </c>
      <c r="O361" t="s">
        <v>1287</v>
      </c>
      <c r="P361" t="s">
        <v>1287</v>
      </c>
      <c r="Q361">
        <v>1</v>
      </c>
      <c r="W361">
        <v>0</v>
      </c>
      <c r="X361">
        <v>-1081351934</v>
      </c>
      <c r="Y361">
        <v>117.82899999999998</v>
      </c>
      <c r="AA361">
        <v>0</v>
      </c>
      <c r="AB361">
        <v>0</v>
      </c>
      <c r="AC361">
        <v>0</v>
      </c>
      <c r="AD361">
        <v>61.66</v>
      </c>
      <c r="AE361">
        <v>0</v>
      </c>
      <c r="AF361">
        <v>0</v>
      </c>
      <c r="AG361">
        <v>0</v>
      </c>
      <c r="AH361">
        <v>9.4</v>
      </c>
      <c r="AI361">
        <v>1</v>
      </c>
      <c r="AJ361">
        <v>1</v>
      </c>
      <c r="AK361">
        <v>1</v>
      </c>
      <c r="AL361">
        <v>6.56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6</v>
      </c>
      <c r="AT361">
        <v>102.46</v>
      </c>
      <c r="AU361" t="s">
        <v>188</v>
      </c>
      <c r="AV361">
        <v>1</v>
      </c>
      <c r="AW361">
        <v>2</v>
      </c>
      <c r="AX361">
        <v>16745994</v>
      </c>
      <c r="AY361">
        <v>1</v>
      </c>
      <c r="AZ361">
        <v>0</v>
      </c>
      <c r="BA361">
        <v>339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Y361*Source!I193</f>
        <v>263.77199939999997</v>
      </c>
      <c r="CY361">
        <f>AD361</f>
        <v>61.66</v>
      </c>
      <c r="CZ361">
        <f>AH361</f>
        <v>9.4</v>
      </c>
      <c r="DA361">
        <f>AL361</f>
        <v>6.56</v>
      </c>
      <c r="DB361">
        <f>ROUND((ROUND(AT361*CZ361,2)*1.15),2)</f>
        <v>1107.5899999999999</v>
      </c>
      <c r="DC361">
        <f>ROUND((ROUND(AT361*AG361,2)*1.15),2)</f>
        <v>0</v>
      </c>
    </row>
    <row r="362" spans="1:107" x14ac:dyDescent="0.2">
      <c r="A362">
        <f>ROW(Source!A193)</f>
        <v>193</v>
      </c>
      <c r="B362">
        <v>16742901</v>
      </c>
      <c r="C362">
        <v>16745988</v>
      </c>
      <c r="D362">
        <v>15430395</v>
      </c>
      <c r="E362">
        <v>1</v>
      </c>
      <c r="F362">
        <v>1</v>
      </c>
      <c r="G362">
        <v>1</v>
      </c>
      <c r="H362">
        <v>1</v>
      </c>
      <c r="I362" t="s">
        <v>1293</v>
      </c>
      <c r="J362" t="s">
        <v>6</v>
      </c>
      <c r="K362" t="s">
        <v>1294</v>
      </c>
      <c r="L362">
        <v>1191</v>
      </c>
      <c r="N362">
        <v>1013</v>
      </c>
      <c r="O362" t="s">
        <v>1287</v>
      </c>
      <c r="P362" t="s">
        <v>1287</v>
      </c>
      <c r="Q362">
        <v>1</v>
      </c>
      <c r="W362">
        <v>0</v>
      </c>
      <c r="X362">
        <v>-1417349443</v>
      </c>
      <c r="Y362">
        <v>5.34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6.56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5.34</v>
      </c>
      <c r="AU362" t="s">
        <v>6</v>
      </c>
      <c r="AV362">
        <v>2</v>
      </c>
      <c r="AW362">
        <v>2</v>
      </c>
      <c r="AX362">
        <v>16745995</v>
      </c>
      <c r="AY362">
        <v>1</v>
      </c>
      <c r="AZ362">
        <v>2048</v>
      </c>
      <c r="BA362">
        <v>340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Y362*Source!I193</f>
        <v>11.954123999999998</v>
      </c>
      <c r="CY362">
        <f>AD362</f>
        <v>0</v>
      </c>
      <c r="CZ362">
        <f>AH362</f>
        <v>0</v>
      </c>
      <c r="DA362">
        <f>AL362</f>
        <v>1</v>
      </c>
      <c r="DB362">
        <f>ROUND(ROUND(AT362*CZ362,2),2)</f>
        <v>0</v>
      </c>
      <c r="DC362">
        <f>ROUND(ROUND(AT362*AG362,2),2)</f>
        <v>0</v>
      </c>
    </row>
    <row r="363" spans="1:107" x14ac:dyDescent="0.2">
      <c r="A363">
        <f>ROW(Source!A193)</f>
        <v>193</v>
      </c>
      <c r="B363">
        <v>16742901</v>
      </c>
      <c r="C363">
        <v>16745988</v>
      </c>
      <c r="D363">
        <v>15247974</v>
      </c>
      <c r="E363">
        <v>1</v>
      </c>
      <c r="F363">
        <v>1</v>
      </c>
      <c r="G363">
        <v>1</v>
      </c>
      <c r="H363">
        <v>2</v>
      </c>
      <c r="I363" t="s">
        <v>1314</v>
      </c>
      <c r="J363" t="s">
        <v>1315</v>
      </c>
      <c r="K363" t="s">
        <v>1316</v>
      </c>
      <c r="L363">
        <v>1368</v>
      </c>
      <c r="N363">
        <v>1011</v>
      </c>
      <c r="O363" t="s">
        <v>1298</v>
      </c>
      <c r="P363" t="s">
        <v>1298</v>
      </c>
      <c r="Q363">
        <v>1</v>
      </c>
      <c r="W363">
        <v>0</v>
      </c>
      <c r="X363">
        <v>1188625873</v>
      </c>
      <c r="Y363">
        <v>0.95</v>
      </c>
      <c r="AA363">
        <v>0</v>
      </c>
      <c r="AB363">
        <v>205.07</v>
      </c>
      <c r="AC363">
        <v>13.5</v>
      </c>
      <c r="AD363">
        <v>0</v>
      </c>
      <c r="AE363">
        <v>0</v>
      </c>
      <c r="AF363">
        <v>31.26</v>
      </c>
      <c r="AG363">
        <v>13.5</v>
      </c>
      <c r="AH363">
        <v>0</v>
      </c>
      <c r="AI363">
        <v>1</v>
      </c>
      <c r="AJ363">
        <v>6.56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0.76</v>
      </c>
      <c r="AU363" t="s">
        <v>187</v>
      </c>
      <c r="AV363">
        <v>0</v>
      </c>
      <c r="AW363">
        <v>2</v>
      </c>
      <c r="AX363">
        <v>16745996</v>
      </c>
      <c r="AY363">
        <v>1</v>
      </c>
      <c r="AZ363">
        <v>0</v>
      </c>
      <c r="BA363">
        <v>341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Y363*Source!I193</f>
        <v>2.1266699999999998</v>
      </c>
      <c r="CY363">
        <f>AB363</f>
        <v>205.07</v>
      </c>
      <c r="CZ363">
        <f>AF363</f>
        <v>31.26</v>
      </c>
      <c r="DA363">
        <f>AJ363</f>
        <v>6.56</v>
      </c>
      <c r="DB363">
        <f>ROUND((ROUND(AT363*CZ363,2)*1.25),2)</f>
        <v>29.7</v>
      </c>
      <c r="DC363">
        <f>ROUND((ROUND(AT363*AG363,2)*1.25),2)</f>
        <v>12.83</v>
      </c>
    </row>
    <row r="364" spans="1:107" x14ac:dyDescent="0.2">
      <c r="A364">
        <f>ROW(Source!A193)</f>
        <v>193</v>
      </c>
      <c r="B364">
        <v>16742901</v>
      </c>
      <c r="C364">
        <v>16745988</v>
      </c>
      <c r="D364">
        <v>15249073</v>
      </c>
      <c r="E364">
        <v>1</v>
      </c>
      <c r="F364">
        <v>1</v>
      </c>
      <c r="G364">
        <v>1</v>
      </c>
      <c r="H364">
        <v>2</v>
      </c>
      <c r="I364" t="s">
        <v>1299</v>
      </c>
      <c r="J364" t="s">
        <v>1300</v>
      </c>
      <c r="K364" t="s">
        <v>1301</v>
      </c>
      <c r="L364">
        <v>1368</v>
      </c>
      <c r="N364">
        <v>1011</v>
      </c>
      <c r="O364" t="s">
        <v>1298</v>
      </c>
      <c r="P364" t="s">
        <v>1298</v>
      </c>
      <c r="Q364">
        <v>1</v>
      </c>
      <c r="W364">
        <v>0</v>
      </c>
      <c r="X364">
        <v>1372534845</v>
      </c>
      <c r="Y364">
        <v>5.7249999999999996</v>
      </c>
      <c r="AA364">
        <v>0</v>
      </c>
      <c r="AB364">
        <v>431.06</v>
      </c>
      <c r="AC364">
        <v>11.6</v>
      </c>
      <c r="AD364">
        <v>0</v>
      </c>
      <c r="AE364">
        <v>0</v>
      </c>
      <c r="AF364">
        <v>65.709999999999994</v>
      </c>
      <c r="AG364">
        <v>11.6</v>
      </c>
      <c r="AH364">
        <v>0</v>
      </c>
      <c r="AI364">
        <v>1</v>
      </c>
      <c r="AJ364">
        <v>6.56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6</v>
      </c>
      <c r="AT364">
        <v>4.58</v>
      </c>
      <c r="AU364" t="s">
        <v>187</v>
      </c>
      <c r="AV364">
        <v>0</v>
      </c>
      <c r="AW364">
        <v>2</v>
      </c>
      <c r="AX364">
        <v>16745997</v>
      </c>
      <c r="AY364">
        <v>1</v>
      </c>
      <c r="AZ364">
        <v>0</v>
      </c>
      <c r="BA364">
        <v>342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Y364*Source!I193</f>
        <v>12.815985</v>
      </c>
      <c r="CY364">
        <f>AB364</f>
        <v>431.06</v>
      </c>
      <c r="CZ364">
        <f>AF364</f>
        <v>65.709999999999994</v>
      </c>
      <c r="DA364">
        <f>AJ364</f>
        <v>6.56</v>
      </c>
      <c r="DB364">
        <f>ROUND((ROUND(AT364*CZ364,2)*1.25),2)</f>
        <v>376.19</v>
      </c>
      <c r="DC364">
        <f>ROUND((ROUND(AT364*AG364,2)*1.25),2)</f>
        <v>66.41</v>
      </c>
    </row>
    <row r="365" spans="1:107" x14ac:dyDescent="0.2">
      <c r="A365">
        <f>ROW(Source!A193)</f>
        <v>193</v>
      </c>
      <c r="B365">
        <v>16742901</v>
      </c>
      <c r="C365">
        <v>16745988</v>
      </c>
      <c r="D365">
        <v>15167143</v>
      </c>
      <c r="E365">
        <v>1</v>
      </c>
      <c r="F365">
        <v>1</v>
      </c>
      <c r="G365">
        <v>1</v>
      </c>
      <c r="H365">
        <v>3</v>
      </c>
      <c r="I365" t="s">
        <v>1614</v>
      </c>
      <c r="J365" t="s">
        <v>1615</v>
      </c>
      <c r="K365" t="s">
        <v>1616</v>
      </c>
      <c r="L365">
        <v>1327</v>
      </c>
      <c r="N365">
        <v>1005</v>
      </c>
      <c r="O365" t="s">
        <v>193</v>
      </c>
      <c r="P365" t="s">
        <v>193</v>
      </c>
      <c r="Q365">
        <v>1</v>
      </c>
      <c r="W365">
        <v>0</v>
      </c>
      <c r="X365">
        <v>1385600515</v>
      </c>
      <c r="Y365">
        <v>103</v>
      </c>
      <c r="AA365">
        <v>339.81</v>
      </c>
      <c r="AB365">
        <v>0</v>
      </c>
      <c r="AC365">
        <v>0</v>
      </c>
      <c r="AD365">
        <v>0</v>
      </c>
      <c r="AE365">
        <v>51.8</v>
      </c>
      <c r="AF365">
        <v>0</v>
      </c>
      <c r="AG365">
        <v>0</v>
      </c>
      <c r="AH365">
        <v>0</v>
      </c>
      <c r="AI365">
        <v>6.56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103</v>
      </c>
      <c r="AU365" t="s">
        <v>6</v>
      </c>
      <c r="AV365">
        <v>0</v>
      </c>
      <c r="AW365">
        <v>2</v>
      </c>
      <c r="AX365">
        <v>16745998</v>
      </c>
      <c r="AY365">
        <v>1</v>
      </c>
      <c r="AZ365">
        <v>0</v>
      </c>
      <c r="BA365">
        <v>343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Y365*Source!I193</f>
        <v>230.57579999999999</v>
      </c>
      <c r="CY365">
        <f>AA365</f>
        <v>339.81</v>
      </c>
      <c r="CZ365">
        <f>AE365</f>
        <v>51.8</v>
      </c>
      <c r="DA365">
        <f>AI365</f>
        <v>6.56</v>
      </c>
      <c r="DB365">
        <f>ROUND(ROUND(AT365*CZ365,2),2)</f>
        <v>5335.4</v>
      </c>
      <c r="DC365">
        <f>ROUND(ROUND(AT365*AG365,2),2)</f>
        <v>0</v>
      </c>
    </row>
    <row r="366" spans="1:107" x14ac:dyDescent="0.2">
      <c r="A366">
        <f>ROW(Source!A194)</f>
        <v>194</v>
      </c>
      <c r="B366">
        <v>16742901</v>
      </c>
      <c r="C366">
        <v>16746000</v>
      </c>
      <c r="D366">
        <v>15430397</v>
      </c>
      <c r="E366">
        <v>1</v>
      </c>
      <c r="F366">
        <v>1</v>
      </c>
      <c r="G366">
        <v>1</v>
      </c>
      <c r="H366">
        <v>1</v>
      </c>
      <c r="I366" t="s">
        <v>1323</v>
      </c>
      <c r="J366" t="s">
        <v>6</v>
      </c>
      <c r="K366" t="s">
        <v>1324</v>
      </c>
      <c r="L366">
        <v>1191</v>
      </c>
      <c r="N366">
        <v>1013</v>
      </c>
      <c r="O366" t="s">
        <v>1287</v>
      </c>
      <c r="P366" t="s">
        <v>1287</v>
      </c>
      <c r="Q366">
        <v>1</v>
      </c>
      <c r="W366">
        <v>0</v>
      </c>
      <c r="X366">
        <v>-1081351934</v>
      </c>
      <c r="Y366">
        <v>124.61399999999999</v>
      </c>
      <c r="AA366">
        <v>0</v>
      </c>
      <c r="AB366">
        <v>0</v>
      </c>
      <c r="AC366">
        <v>0</v>
      </c>
      <c r="AD366">
        <v>61.66</v>
      </c>
      <c r="AE366">
        <v>0</v>
      </c>
      <c r="AF366">
        <v>0</v>
      </c>
      <c r="AG366">
        <v>0</v>
      </c>
      <c r="AH366">
        <v>9.4</v>
      </c>
      <c r="AI366">
        <v>1</v>
      </c>
      <c r="AJ366">
        <v>1</v>
      </c>
      <c r="AK366">
        <v>1</v>
      </c>
      <c r="AL366">
        <v>6.56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108.36</v>
      </c>
      <c r="AU366" t="s">
        <v>188</v>
      </c>
      <c r="AV366">
        <v>1</v>
      </c>
      <c r="AW366">
        <v>2</v>
      </c>
      <c r="AX366">
        <v>16746012</v>
      </c>
      <c r="AY366">
        <v>1</v>
      </c>
      <c r="AZ366">
        <v>0</v>
      </c>
      <c r="BA366">
        <v>344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Y366*Source!I194</f>
        <v>26.168939999999996</v>
      </c>
      <c r="CY366">
        <f>AD366</f>
        <v>61.66</v>
      </c>
      <c r="CZ366">
        <f>AH366</f>
        <v>9.4</v>
      </c>
      <c r="DA366">
        <f>AL366</f>
        <v>6.56</v>
      </c>
      <c r="DB366">
        <f>ROUND((ROUND(AT366*CZ366,2)*1.15),2)</f>
        <v>1171.3699999999999</v>
      </c>
      <c r="DC366">
        <f>ROUND((ROUND(AT366*AG366,2)*1.15),2)</f>
        <v>0</v>
      </c>
    </row>
    <row r="367" spans="1:107" x14ac:dyDescent="0.2">
      <c r="A367">
        <f>ROW(Source!A194)</f>
        <v>194</v>
      </c>
      <c r="B367">
        <v>16742901</v>
      </c>
      <c r="C367">
        <v>16746000</v>
      </c>
      <c r="D367">
        <v>15430395</v>
      </c>
      <c r="E367">
        <v>1</v>
      </c>
      <c r="F367">
        <v>1</v>
      </c>
      <c r="G367">
        <v>1</v>
      </c>
      <c r="H367">
        <v>1</v>
      </c>
      <c r="I367" t="s">
        <v>1293</v>
      </c>
      <c r="J367" t="s">
        <v>6</v>
      </c>
      <c r="K367" t="s">
        <v>1294</v>
      </c>
      <c r="L367">
        <v>1191</v>
      </c>
      <c r="N367">
        <v>1013</v>
      </c>
      <c r="O367" t="s">
        <v>1287</v>
      </c>
      <c r="P367" t="s">
        <v>1287</v>
      </c>
      <c r="Q367">
        <v>1</v>
      </c>
      <c r="W367">
        <v>0</v>
      </c>
      <c r="X367">
        <v>-1417349443</v>
      </c>
      <c r="Y367">
        <v>0.39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6.56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0.39</v>
      </c>
      <c r="AU367" t="s">
        <v>6</v>
      </c>
      <c r="AV367">
        <v>2</v>
      </c>
      <c r="AW367">
        <v>2</v>
      </c>
      <c r="AX367">
        <v>16746013</v>
      </c>
      <c r="AY367">
        <v>1</v>
      </c>
      <c r="AZ367">
        <v>2048</v>
      </c>
      <c r="BA367">
        <v>345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Y367*Source!I194</f>
        <v>8.1900000000000001E-2</v>
      </c>
      <c r="CY367">
        <f>AD367</f>
        <v>0</v>
      </c>
      <c r="CZ367">
        <f>AH367</f>
        <v>0</v>
      </c>
      <c r="DA367">
        <f>AL367</f>
        <v>1</v>
      </c>
      <c r="DB367">
        <f>ROUND(ROUND(AT367*CZ367,2),2)</f>
        <v>0</v>
      </c>
      <c r="DC367">
        <f>ROUND(ROUND(AT367*AG367,2),2)</f>
        <v>0</v>
      </c>
    </row>
    <row r="368" spans="1:107" x14ac:dyDescent="0.2">
      <c r="A368">
        <f>ROW(Source!A194)</f>
        <v>194</v>
      </c>
      <c r="B368">
        <v>16742901</v>
      </c>
      <c r="C368">
        <v>16746000</v>
      </c>
      <c r="D368">
        <v>15247680</v>
      </c>
      <c r="E368">
        <v>1</v>
      </c>
      <c r="F368">
        <v>1</v>
      </c>
      <c r="G368">
        <v>1</v>
      </c>
      <c r="H368">
        <v>2</v>
      </c>
      <c r="I368" t="s">
        <v>1295</v>
      </c>
      <c r="J368" t="s">
        <v>1296</v>
      </c>
      <c r="K368" t="s">
        <v>1297</v>
      </c>
      <c r="L368">
        <v>1368</v>
      </c>
      <c r="N368">
        <v>1011</v>
      </c>
      <c r="O368" t="s">
        <v>1298</v>
      </c>
      <c r="P368" t="s">
        <v>1298</v>
      </c>
      <c r="Q368">
        <v>1</v>
      </c>
      <c r="W368">
        <v>0</v>
      </c>
      <c r="X368">
        <v>-1718674368</v>
      </c>
      <c r="Y368">
        <v>0.3125</v>
      </c>
      <c r="AA368">
        <v>0</v>
      </c>
      <c r="AB368">
        <v>734.65</v>
      </c>
      <c r="AC368">
        <v>13.5</v>
      </c>
      <c r="AD368">
        <v>0</v>
      </c>
      <c r="AE368">
        <v>0</v>
      </c>
      <c r="AF368">
        <v>111.99</v>
      </c>
      <c r="AG368">
        <v>13.5</v>
      </c>
      <c r="AH368">
        <v>0</v>
      </c>
      <c r="AI368">
        <v>1</v>
      </c>
      <c r="AJ368">
        <v>6.56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6</v>
      </c>
      <c r="AT368">
        <v>0.25</v>
      </c>
      <c r="AU368" t="s">
        <v>187</v>
      </c>
      <c r="AV368">
        <v>0</v>
      </c>
      <c r="AW368">
        <v>2</v>
      </c>
      <c r="AX368">
        <v>16746014</v>
      </c>
      <c r="AY368">
        <v>1</v>
      </c>
      <c r="AZ368">
        <v>0</v>
      </c>
      <c r="BA368">
        <v>346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Y368*Source!I194</f>
        <v>6.5625000000000003E-2</v>
      </c>
      <c r="CY368">
        <f>AB368</f>
        <v>734.65</v>
      </c>
      <c r="CZ368">
        <f>AF368</f>
        <v>111.99</v>
      </c>
      <c r="DA368">
        <f>AJ368</f>
        <v>6.56</v>
      </c>
      <c r="DB368">
        <f>ROUND((ROUND(AT368*CZ368,2)*1.25),2)</f>
        <v>35</v>
      </c>
      <c r="DC368">
        <f>ROUND((ROUND(AT368*AG368,2)*1.25),2)</f>
        <v>4.2300000000000004</v>
      </c>
    </row>
    <row r="369" spans="1:107" x14ac:dyDescent="0.2">
      <c r="A369">
        <f>ROW(Source!A194)</f>
        <v>194</v>
      </c>
      <c r="B369">
        <v>16742901</v>
      </c>
      <c r="C369">
        <v>16746000</v>
      </c>
      <c r="D369">
        <v>15247880</v>
      </c>
      <c r="E369">
        <v>1</v>
      </c>
      <c r="F369">
        <v>1</v>
      </c>
      <c r="G369">
        <v>1</v>
      </c>
      <c r="H369">
        <v>2</v>
      </c>
      <c r="I369" t="s">
        <v>1347</v>
      </c>
      <c r="J369" t="s">
        <v>1348</v>
      </c>
      <c r="K369" t="s">
        <v>1349</v>
      </c>
      <c r="L369">
        <v>1368</v>
      </c>
      <c r="N369">
        <v>1011</v>
      </c>
      <c r="O369" t="s">
        <v>1298</v>
      </c>
      <c r="P369" t="s">
        <v>1298</v>
      </c>
      <c r="Q369">
        <v>1</v>
      </c>
      <c r="W369">
        <v>0</v>
      </c>
      <c r="X369">
        <v>1544661785</v>
      </c>
      <c r="Y369">
        <v>20.25</v>
      </c>
      <c r="AA369">
        <v>0</v>
      </c>
      <c r="AB369">
        <v>45.26</v>
      </c>
      <c r="AC369">
        <v>0</v>
      </c>
      <c r="AD369">
        <v>0</v>
      </c>
      <c r="AE369">
        <v>0</v>
      </c>
      <c r="AF369">
        <v>6.9</v>
      </c>
      <c r="AG369">
        <v>0</v>
      </c>
      <c r="AH369">
        <v>0</v>
      </c>
      <c r="AI369">
        <v>1</v>
      </c>
      <c r="AJ369">
        <v>6.56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6</v>
      </c>
      <c r="AT369">
        <v>16.2</v>
      </c>
      <c r="AU369" t="s">
        <v>187</v>
      </c>
      <c r="AV369">
        <v>0</v>
      </c>
      <c r="AW369">
        <v>2</v>
      </c>
      <c r="AX369">
        <v>16746015</v>
      </c>
      <c r="AY369">
        <v>1</v>
      </c>
      <c r="AZ369">
        <v>0</v>
      </c>
      <c r="BA369">
        <v>347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Y369*Source!I194</f>
        <v>4.2524999999999995</v>
      </c>
      <c r="CY369">
        <f>AB369</f>
        <v>45.26</v>
      </c>
      <c r="CZ369">
        <f>AF369</f>
        <v>6.9</v>
      </c>
      <c r="DA369">
        <f>AJ369</f>
        <v>6.56</v>
      </c>
      <c r="DB369">
        <f>ROUND((ROUND(AT369*CZ369,2)*1.25),2)</f>
        <v>139.72999999999999</v>
      </c>
      <c r="DC369">
        <f>ROUND((ROUND(AT369*AG369,2)*1.25),2)</f>
        <v>0</v>
      </c>
    </row>
    <row r="370" spans="1:107" x14ac:dyDescent="0.2">
      <c r="A370">
        <f>ROW(Source!A194)</f>
        <v>194</v>
      </c>
      <c r="B370">
        <v>16742901</v>
      </c>
      <c r="C370">
        <v>16746000</v>
      </c>
      <c r="D370">
        <v>15249073</v>
      </c>
      <c r="E370">
        <v>1</v>
      </c>
      <c r="F370">
        <v>1</v>
      </c>
      <c r="G370">
        <v>1</v>
      </c>
      <c r="H370">
        <v>2</v>
      </c>
      <c r="I370" t="s">
        <v>1299</v>
      </c>
      <c r="J370" t="s">
        <v>1300</v>
      </c>
      <c r="K370" t="s">
        <v>1301</v>
      </c>
      <c r="L370">
        <v>1368</v>
      </c>
      <c r="N370">
        <v>1011</v>
      </c>
      <c r="O370" t="s">
        <v>1298</v>
      </c>
      <c r="P370" t="s">
        <v>1298</v>
      </c>
      <c r="Q370">
        <v>1</v>
      </c>
      <c r="W370">
        <v>0</v>
      </c>
      <c r="X370">
        <v>1372534845</v>
      </c>
      <c r="Y370">
        <v>0.17500000000000002</v>
      </c>
      <c r="AA370">
        <v>0</v>
      </c>
      <c r="AB370">
        <v>431.06</v>
      </c>
      <c r="AC370">
        <v>11.6</v>
      </c>
      <c r="AD370">
        <v>0</v>
      </c>
      <c r="AE370">
        <v>0</v>
      </c>
      <c r="AF370">
        <v>65.709999999999994</v>
      </c>
      <c r="AG370">
        <v>11.6</v>
      </c>
      <c r="AH370">
        <v>0</v>
      </c>
      <c r="AI370">
        <v>1</v>
      </c>
      <c r="AJ370">
        <v>6.56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</v>
      </c>
      <c r="AT370">
        <v>0.14000000000000001</v>
      </c>
      <c r="AU370" t="s">
        <v>187</v>
      </c>
      <c r="AV370">
        <v>0</v>
      </c>
      <c r="AW370">
        <v>2</v>
      </c>
      <c r="AX370">
        <v>16746016</v>
      </c>
      <c r="AY370">
        <v>1</v>
      </c>
      <c r="AZ370">
        <v>0</v>
      </c>
      <c r="BA370">
        <v>348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Y370*Source!I194</f>
        <v>3.6750000000000005E-2</v>
      </c>
      <c r="CY370">
        <f>AB370</f>
        <v>431.06</v>
      </c>
      <c r="CZ370">
        <f>AF370</f>
        <v>65.709999999999994</v>
      </c>
      <c r="DA370">
        <f>AJ370</f>
        <v>6.56</v>
      </c>
      <c r="DB370">
        <f>ROUND((ROUND(AT370*CZ370,2)*1.25),2)</f>
        <v>11.5</v>
      </c>
      <c r="DC370">
        <f>ROUND((ROUND(AT370*AG370,2)*1.25),2)</f>
        <v>2.0299999999999998</v>
      </c>
    </row>
    <row r="371" spans="1:107" x14ac:dyDescent="0.2">
      <c r="A371">
        <f>ROW(Source!A194)</f>
        <v>194</v>
      </c>
      <c r="B371">
        <v>16742901</v>
      </c>
      <c r="C371">
        <v>16746000</v>
      </c>
      <c r="D371">
        <v>15192822</v>
      </c>
      <c r="E371">
        <v>1</v>
      </c>
      <c r="F371">
        <v>1</v>
      </c>
      <c r="G371">
        <v>1</v>
      </c>
      <c r="H371">
        <v>3</v>
      </c>
      <c r="I371" t="s">
        <v>1617</v>
      </c>
      <c r="J371" t="s">
        <v>1618</v>
      </c>
      <c r="K371" t="s">
        <v>1619</v>
      </c>
      <c r="L371">
        <v>1301</v>
      </c>
      <c r="N371">
        <v>1003</v>
      </c>
      <c r="O371" t="s">
        <v>220</v>
      </c>
      <c r="P371" t="s">
        <v>220</v>
      </c>
      <c r="Q371">
        <v>1</v>
      </c>
      <c r="W371">
        <v>0</v>
      </c>
      <c r="X371">
        <v>-1256792299</v>
      </c>
      <c r="Y371">
        <v>100</v>
      </c>
      <c r="AA371">
        <v>134.28</v>
      </c>
      <c r="AB371">
        <v>0</v>
      </c>
      <c r="AC371">
        <v>0</v>
      </c>
      <c r="AD371">
        <v>0</v>
      </c>
      <c r="AE371">
        <v>20.47</v>
      </c>
      <c r="AF371">
        <v>0</v>
      </c>
      <c r="AG371">
        <v>0</v>
      </c>
      <c r="AH371">
        <v>0</v>
      </c>
      <c r="AI371">
        <v>6.56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100</v>
      </c>
      <c r="AU371" t="s">
        <v>6</v>
      </c>
      <c r="AV371">
        <v>0</v>
      </c>
      <c r="AW371">
        <v>2</v>
      </c>
      <c r="AX371">
        <v>16746017</v>
      </c>
      <c r="AY371">
        <v>1</v>
      </c>
      <c r="AZ371">
        <v>0</v>
      </c>
      <c r="BA371">
        <v>349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Y371*Source!I194</f>
        <v>21</v>
      </c>
      <c r="CY371">
        <f>AA371</f>
        <v>134.28</v>
      </c>
      <c r="CZ371">
        <f>AE371</f>
        <v>20.47</v>
      </c>
      <c r="DA371">
        <f>AI371</f>
        <v>6.56</v>
      </c>
      <c r="DB371">
        <f>ROUND(ROUND(AT371*CZ371,2),2)</f>
        <v>2047</v>
      </c>
      <c r="DC371">
        <f>ROUND(ROUND(AT371*AG371,2),2)</f>
        <v>0</v>
      </c>
    </row>
    <row r="372" spans="1:107" x14ac:dyDescent="0.2">
      <c r="A372">
        <f>ROW(Source!A194)</f>
        <v>194</v>
      </c>
      <c r="B372">
        <v>16742901</v>
      </c>
      <c r="C372">
        <v>16746000</v>
      </c>
      <c r="D372">
        <v>15192828</v>
      </c>
      <c r="E372">
        <v>1</v>
      </c>
      <c r="F372">
        <v>1</v>
      </c>
      <c r="G372">
        <v>1</v>
      </c>
      <c r="H372">
        <v>3</v>
      </c>
      <c r="I372" t="s">
        <v>1620</v>
      </c>
      <c r="J372" t="s">
        <v>1621</v>
      </c>
      <c r="K372" t="s">
        <v>1622</v>
      </c>
      <c r="L372">
        <v>1355</v>
      </c>
      <c r="N372">
        <v>1010</v>
      </c>
      <c r="O372" t="s">
        <v>843</v>
      </c>
      <c r="P372" t="s">
        <v>843</v>
      </c>
      <c r="Q372">
        <v>100</v>
      </c>
      <c r="W372">
        <v>0</v>
      </c>
      <c r="X372">
        <v>-845701651</v>
      </c>
      <c r="Y372">
        <v>0.7</v>
      </c>
      <c r="AA372">
        <v>2400.96</v>
      </c>
      <c r="AB372">
        <v>0</v>
      </c>
      <c r="AC372">
        <v>0</v>
      </c>
      <c r="AD372">
        <v>0</v>
      </c>
      <c r="AE372">
        <v>366</v>
      </c>
      <c r="AF372">
        <v>0</v>
      </c>
      <c r="AG372">
        <v>0</v>
      </c>
      <c r="AH372">
        <v>0</v>
      </c>
      <c r="AI372">
        <v>6.56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0.7</v>
      </c>
      <c r="AU372" t="s">
        <v>6</v>
      </c>
      <c r="AV372">
        <v>0</v>
      </c>
      <c r="AW372">
        <v>2</v>
      </c>
      <c r="AX372">
        <v>16746018</v>
      </c>
      <c r="AY372">
        <v>1</v>
      </c>
      <c r="AZ372">
        <v>0</v>
      </c>
      <c r="BA372">
        <v>350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Y372*Source!I194</f>
        <v>0.14699999999999999</v>
      </c>
      <c r="CY372">
        <f>AA372</f>
        <v>2400.96</v>
      </c>
      <c r="CZ372">
        <f>AE372</f>
        <v>366</v>
      </c>
      <c r="DA372">
        <f>AI372</f>
        <v>6.56</v>
      </c>
      <c r="DB372">
        <f>ROUND(ROUND(AT372*CZ372,2),2)</f>
        <v>256.2</v>
      </c>
      <c r="DC372">
        <f>ROUND(ROUND(AT372*AG372,2),2)</f>
        <v>0</v>
      </c>
    </row>
    <row r="373" spans="1:107" x14ac:dyDescent="0.2">
      <c r="A373">
        <f>ROW(Source!A194)</f>
        <v>194</v>
      </c>
      <c r="B373">
        <v>16742901</v>
      </c>
      <c r="C373">
        <v>16746000</v>
      </c>
      <c r="D373">
        <v>15192835</v>
      </c>
      <c r="E373">
        <v>1</v>
      </c>
      <c r="F373">
        <v>1</v>
      </c>
      <c r="G373">
        <v>1</v>
      </c>
      <c r="H373">
        <v>3</v>
      </c>
      <c r="I373" t="s">
        <v>600</v>
      </c>
      <c r="J373" t="s">
        <v>602</v>
      </c>
      <c r="K373" t="s">
        <v>601</v>
      </c>
      <c r="L373">
        <v>1301</v>
      </c>
      <c r="N373">
        <v>1003</v>
      </c>
      <c r="O373" t="s">
        <v>220</v>
      </c>
      <c r="P373" t="s">
        <v>220</v>
      </c>
      <c r="Q373">
        <v>1</v>
      </c>
      <c r="W373">
        <v>0</v>
      </c>
      <c r="X373">
        <v>956506138</v>
      </c>
      <c r="Y373">
        <v>57.077626000000002</v>
      </c>
      <c r="AA373">
        <v>41.2</v>
      </c>
      <c r="AB373">
        <v>0</v>
      </c>
      <c r="AC373">
        <v>0</v>
      </c>
      <c r="AD373">
        <v>0</v>
      </c>
      <c r="AE373">
        <v>6.28</v>
      </c>
      <c r="AF373">
        <v>0</v>
      </c>
      <c r="AG373">
        <v>0</v>
      </c>
      <c r="AH373">
        <v>0</v>
      </c>
      <c r="AI373">
        <v>6.56</v>
      </c>
      <c r="AJ373">
        <v>1</v>
      </c>
      <c r="AK373">
        <v>1</v>
      </c>
      <c r="AL373">
        <v>1</v>
      </c>
      <c r="AN373">
        <v>1</v>
      </c>
      <c r="AO373">
        <v>0</v>
      </c>
      <c r="AP373">
        <v>0</v>
      </c>
      <c r="AQ373">
        <v>0</v>
      </c>
      <c r="AR373">
        <v>0</v>
      </c>
      <c r="AS373" t="s">
        <v>6</v>
      </c>
      <c r="AT373">
        <v>57.077626000000002</v>
      </c>
      <c r="AU373" t="s">
        <v>6</v>
      </c>
      <c r="AV373">
        <v>0</v>
      </c>
      <c r="AW373">
        <v>2</v>
      </c>
      <c r="AX373">
        <v>16746019</v>
      </c>
      <c r="AY373">
        <v>1</v>
      </c>
      <c r="AZ373">
        <v>6144</v>
      </c>
      <c r="BA373">
        <v>351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Y373*Source!I194</f>
        <v>11.98630146</v>
      </c>
      <c r="CY373">
        <f>AA373</f>
        <v>41.2</v>
      </c>
      <c r="CZ373">
        <f>AE373</f>
        <v>6.28</v>
      </c>
      <c r="DA373">
        <f>AI373</f>
        <v>6.56</v>
      </c>
      <c r="DB373">
        <f>ROUND(ROUND(AT373*CZ373,2),2)</f>
        <v>358.45</v>
      </c>
      <c r="DC373">
        <f>ROUND(ROUND(AT373*AG373,2),2)</f>
        <v>0</v>
      </c>
    </row>
    <row r="374" spans="1:107" x14ac:dyDescent="0.2">
      <c r="A374">
        <f>ROW(Source!A194)</f>
        <v>194</v>
      </c>
      <c r="B374">
        <v>16742901</v>
      </c>
      <c r="C374">
        <v>16746000</v>
      </c>
      <c r="D374">
        <v>15192865</v>
      </c>
      <c r="E374">
        <v>1</v>
      </c>
      <c r="F374">
        <v>1</v>
      </c>
      <c r="G374">
        <v>1</v>
      </c>
      <c r="H374">
        <v>3</v>
      </c>
      <c r="I374" t="s">
        <v>608</v>
      </c>
      <c r="J374" t="s">
        <v>610</v>
      </c>
      <c r="K374" t="s">
        <v>609</v>
      </c>
      <c r="L374">
        <v>1328</v>
      </c>
      <c r="N374">
        <v>1005</v>
      </c>
      <c r="O374" t="s">
        <v>20</v>
      </c>
      <c r="P374" t="s">
        <v>20</v>
      </c>
      <c r="Q374">
        <v>100</v>
      </c>
      <c r="W374">
        <v>0</v>
      </c>
      <c r="X374">
        <v>-359833592</v>
      </c>
      <c r="Y374">
        <v>1</v>
      </c>
      <c r="AA374">
        <v>111146.08</v>
      </c>
      <c r="AB374">
        <v>0</v>
      </c>
      <c r="AC374">
        <v>0</v>
      </c>
      <c r="AD374">
        <v>0</v>
      </c>
      <c r="AE374">
        <v>16943</v>
      </c>
      <c r="AF374">
        <v>0</v>
      </c>
      <c r="AG374">
        <v>0</v>
      </c>
      <c r="AH374">
        <v>0</v>
      </c>
      <c r="AI374">
        <v>6.56</v>
      </c>
      <c r="AJ374">
        <v>1</v>
      </c>
      <c r="AK374">
        <v>1</v>
      </c>
      <c r="AL374">
        <v>1</v>
      </c>
      <c r="AN374">
        <v>0</v>
      </c>
      <c r="AO374">
        <v>0</v>
      </c>
      <c r="AP374">
        <v>0</v>
      </c>
      <c r="AQ374">
        <v>0</v>
      </c>
      <c r="AR374">
        <v>0</v>
      </c>
      <c r="AS374" t="s">
        <v>6</v>
      </c>
      <c r="AT374">
        <v>1</v>
      </c>
      <c r="AU374" t="s">
        <v>6</v>
      </c>
      <c r="AV374">
        <v>0</v>
      </c>
      <c r="AW374">
        <v>1</v>
      </c>
      <c r="AX374">
        <v>-1</v>
      </c>
      <c r="AY374">
        <v>0</v>
      </c>
      <c r="AZ374">
        <v>0</v>
      </c>
      <c r="BA374" t="s">
        <v>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Y374*Source!I194</f>
        <v>0.21</v>
      </c>
      <c r="CY374">
        <f>AA374</f>
        <v>111146.08</v>
      </c>
      <c r="CZ374">
        <f>AE374</f>
        <v>16943</v>
      </c>
      <c r="DA374">
        <f>AI374</f>
        <v>6.56</v>
      </c>
      <c r="DB374">
        <f>ROUND(ROUND(AT374*CZ374,2),2)</f>
        <v>16943</v>
      </c>
      <c r="DC374">
        <f>ROUND(ROUND(AT374*AG374,2),2)</f>
        <v>0</v>
      </c>
    </row>
    <row r="375" spans="1:107" x14ac:dyDescent="0.2">
      <c r="A375">
        <f>ROW(Source!A194)</f>
        <v>194</v>
      </c>
      <c r="B375">
        <v>16742901</v>
      </c>
      <c r="C375">
        <v>16746000</v>
      </c>
      <c r="D375">
        <v>15192866</v>
      </c>
      <c r="E375">
        <v>1</v>
      </c>
      <c r="F375">
        <v>1</v>
      </c>
      <c r="G375">
        <v>1</v>
      </c>
      <c r="H375">
        <v>3</v>
      </c>
      <c r="I375" t="s">
        <v>604</v>
      </c>
      <c r="J375" t="s">
        <v>606</v>
      </c>
      <c r="K375" t="s">
        <v>605</v>
      </c>
      <c r="L375">
        <v>1301</v>
      </c>
      <c r="N375">
        <v>1003</v>
      </c>
      <c r="O375" t="s">
        <v>220</v>
      </c>
      <c r="P375" t="s">
        <v>220</v>
      </c>
      <c r="Q375">
        <v>1</v>
      </c>
      <c r="W375">
        <v>1</v>
      </c>
      <c r="X375">
        <v>1265826934</v>
      </c>
      <c r="Y375">
        <v>-1050</v>
      </c>
      <c r="AA375">
        <v>162.1</v>
      </c>
      <c r="AB375">
        <v>0</v>
      </c>
      <c r="AC375">
        <v>0</v>
      </c>
      <c r="AD375">
        <v>0</v>
      </c>
      <c r="AE375">
        <v>24.71</v>
      </c>
      <c r="AF375">
        <v>0</v>
      </c>
      <c r="AG375">
        <v>0</v>
      </c>
      <c r="AH375">
        <v>0</v>
      </c>
      <c r="AI375">
        <v>6.56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-1050</v>
      </c>
      <c r="AU375" t="s">
        <v>6</v>
      </c>
      <c r="AV375">
        <v>0</v>
      </c>
      <c r="AW375">
        <v>2</v>
      </c>
      <c r="AX375">
        <v>16746020</v>
      </c>
      <c r="AY375">
        <v>1</v>
      </c>
      <c r="AZ375">
        <v>6144</v>
      </c>
      <c r="BA375">
        <v>352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Y375*Source!I194</f>
        <v>-220.5</v>
      </c>
      <c r="CY375">
        <f>AA375</f>
        <v>162.1</v>
      </c>
      <c r="CZ375">
        <f>AE375</f>
        <v>24.71</v>
      </c>
      <c r="DA375">
        <f>AI375</f>
        <v>6.56</v>
      </c>
      <c r="DB375">
        <f>ROUND(ROUND(AT375*CZ375,2),2)</f>
        <v>-25945.5</v>
      </c>
      <c r="DC375">
        <f>ROUND(ROUND(AT375*AG375,2),2)</f>
        <v>0</v>
      </c>
    </row>
    <row r="376" spans="1:107" x14ac:dyDescent="0.2">
      <c r="A376">
        <f>ROW(Source!A198)</f>
        <v>198</v>
      </c>
      <c r="B376">
        <v>16742901</v>
      </c>
      <c r="C376">
        <v>16753460</v>
      </c>
      <c r="D376">
        <v>15432258</v>
      </c>
      <c r="E376">
        <v>1</v>
      </c>
      <c r="F376">
        <v>1</v>
      </c>
      <c r="G376">
        <v>1</v>
      </c>
      <c r="H376">
        <v>1</v>
      </c>
      <c r="I376" t="s">
        <v>1474</v>
      </c>
      <c r="J376" t="s">
        <v>6</v>
      </c>
      <c r="K376" t="s">
        <v>1475</v>
      </c>
      <c r="L376">
        <v>1191</v>
      </c>
      <c r="N376">
        <v>1013</v>
      </c>
      <c r="O376" t="s">
        <v>1287</v>
      </c>
      <c r="P376" t="s">
        <v>1287</v>
      </c>
      <c r="Q376">
        <v>1</v>
      </c>
      <c r="W376">
        <v>0</v>
      </c>
      <c r="X376">
        <v>-608433632</v>
      </c>
      <c r="Y376">
        <v>48.311499999999995</v>
      </c>
      <c r="AA376">
        <v>0</v>
      </c>
      <c r="AB376">
        <v>0</v>
      </c>
      <c r="AC376">
        <v>0</v>
      </c>
      <c r="AD376">
        <v>55.5</v>
      </c>
      <c r="AE376">
        <v>0</v>
      </c>
      <c r="AF376">
        <v>0</v>
      </c>
      <c r="AG376">
        <v>0</v>
      </c>
      <c r="AH376">
        <v>8.4600000000000009</v>
      </c>
      <c r="AI376">
        <v>1</v>
      </c>
      <c r="AJ376">
        <v>1</v>
      </c>
      <c r="AK376">
        <v>1</v>
      </c>
      <c r="AL376">
        <v>6.56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6</v>
      </c>
      <c r="AT376">
        <v>42.01</v>
      </c>
      <c r="AU376" t="s">
        <v>188</v>
      </c>
      <c r="AV376">
        <v>1</v>
      </c>
      <c r="AW376">
        <v>2</v>
      </c>
      <c r="AX376">
        <v>16753461</v>
      </c>
      <c r="AY376">
        <v>1</v>
      </c>
      <c r="AZ376">
        <v>0</v>
      </c>
      <c r="BA376">
        <v>353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Y376*Source!I198</f>
        <v>76.57372749999999</v>
      </c>
      <c r="CY376">
        <f>AD376</f>
        <v>55.5</v>
      </c>
      <c r="CZ376">
        <f>AH376</f>
        <v>8.4600000000000009</v>
      </c>
      <c r="DA376">
        <f>AL376</f>
        <v>6.56</v>
      </c>
      <c r="DB376">
        <f>ROUND((ROUND(AT376*CZ376,2)*1.15),2)</f>
        <v>408.71</v>
      </c>
      <c r="DC376">
        <f>ROUND((ROUND(AT376*AG376,2)*1.15),2)</f>
        <v>0</v>
      </c>
    </row>
    <row r="377" spans="1:107" x14ac:dyDescent="0.2">
      <c r="A377">
        <f>ROW(Source!A198)</f>
        <v>198</v>
      </c>
      <c r="B377">
        <v>16742901</v>
      </c>
      <c r="C377">
        <v>16753460</v>
      </c>
      <c r="D377">
        <v>15430395</v>
      </c>
      <c r="E377">
        <v>1</v>
      </c>
      <c r="F377">
        <v>1</v>
      </c>
      <c r="G377">
        <v>1</v>
      </c>
      <c r="H377">
        <v>1</v>
      </c>
      <c r="I377" t="s">
        <v>1293</v>
      </c>
      <c r="J377" t="s">
        <v>6</v>
      </c>
      <c r="K377" t="s">
        <v>1294</v>
      </c>
      <c r="L377">
        <v>1191</v>
      </c>
      <c r="N377">
        <v>1013</v>
      </c>
      <c r="O377" t="s">
        <v>1287</v>
      </c>
      <c r="P377" t="s">
        <v>1287</v>
      </c>
      <c r="Q377">
        <v>1</v>
      </c>
      <c r="W377">
        <v>0</v>
      </c>
      <c r="X377">
        <v>-1417349443</v>
      </c>
      <c r="Y377">
        <v>0.99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6.56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0.99</v>
      </c>
      <c r="AU377" t="s">
        <v>6</v>
      </c>
      <c r="AV377">
        <v>2</v>
      </c>
      <c r="AW377">
        <v>2</v>
      </c>
      <c r="AX377">
        <v>16753462</v>
      </c>
      <c r="AY377">
        <v>1</v>
      </c>
      <c r="AZ377">
        <v>0</v>
      </c>
      <c r="BA377">
        <v>354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Y377*Source!I198</f>
        <v>1.56915</v>
      </c>
      <c r="CY377">
        <f>AD377</f>
        <v>0</v>
      </c>
      <c r="CZ377">
        <f>AH377</f>
        <v>0</v>
      </c>
      <c r="DA377">
        <f>AL377</f>
        <v>1</v>
      </c>
      <c r="DB377">
        <f t="shared" ref="DB377:DB396" si="62">ROUND(ROUND(AT377*CZ377,2),2)</f>
        <v>0</v>
      </c>
      <c r="DC377">
        <f t="shared" ref="DC377:DC396" si="63">ROUND(ROUND(AT377*AG377,2),2)</f>
        <v>0</v>
      </c>
    </row>
    <row r="378" spans="1:107" x14ac:dyDescent="0.2">
      <c r="A378">
        <f>ROW(Source!A198)</f>
        <v>198</v>
      </c>
      <c r="B378">
        <v>16742901</v>
      </c>
      <c r="C378">
        <v>16753460</v>
      </c>
      <c r="D378">
        <v>15247905</v>
      </c>
      <c r="E378">
        <v>1</v>
      </c>
      <c r="F378">
        <v>1</v>
      </c>
      <c r="G378">
        <v>1</v>
      </c>
      <c r="H378">
        <v>2</v>
      </c>
      <c r="I378" t="s">
        <v>1492</v>
      </c>
      <c r="J378" t="s">
        <v>1493</v>
      </c>
      <c r="K378" t="s">
        <v>1494</v>
      </c>
      <c r="L378">
        <v>1368</v>
      </c>
      <c r="N378">
        <v>1011</v>
      </c>
      <c r="O378" t="s">
        <v>1298</v>
      </c>
      <c r="P378" t="s">
        <v>1298</v>
      </c>
      <c r="Q378">
        <v>1</v>
      </c>
      <c r="W378">
        <v>0</v>
      </c>
      <c r="X378">
        <v>1225731627</v>
      </c>
      <c r="Y378">
        <v>0.02</v>
      </c>
      <c r="AA378">
        <v>0</v>
      </c>
      <c r="AB378">
        <v>590.33000000000004</v>
      </c>
      <c r="AC378">
        <v>10.06</v>
      </c>
      <c r="AD378">
        <v>0</v>
      </c>
      <c r="AE378">
        <v>0</v>
      </c>
      <c r="AF378">
        <v>89.99</v>
      </c>
      <c r="AG378">
        <v>10.06</v>
      </c>
      <c r="AH378">
        <v>0</v>
      </c>
      <c r="AI378">
        <v>1</v>
      </c>
      <c r="AJ378">
        <v>6.56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0.02</v>
      </c>
      <c r="AU378" t="s">
        <v>6</v>
      </c>
      <c r="AV378">
        <v>0</v>
      </c>
      <c r="AW378">
        <v>2</v>
      </c>
      <c r="AX378">
        <v>16753463</v>
      </c>
      <c r="AY378">
        <v>1</v>
      </c>
      <c r="AZ378">
        <v>0</v>
      </c>
      <c r="BA378">
        <v>355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Y378*Source!I198</f>
        <v>3.1699999999999999E-2</v>
      </c>
      <c r="CY378">
        <f>AB378</f>
        <v>590.33000000000004</v>
      </c>
      <c r="CZ378">
        <f>AF378</f>
        <v>89.99</v>
      </c>
      <c r="DA378">
        <f>AJ378</f>
        <v>6.56</v>
      </c>
      <c r="DB378">
        <f t="shared" si="62"/>
        <v>1.8</v>
      </c>
      <c r="DC378">
        <f t="shared" si="63"/>
        <v>0.2</v>
      </c>
    </row>
    <row r="379" spans="1:107" x14ac:dyDescent="0.2">
      <c r="A379">
        <f>ROW(Source!A198)</f>
        <v>198</v>
      </c>
      <c r="B379">
        <v>16742901</v>
      </c>
      <c r="C379">
        <v>16753460</v>
      </c>
      <c r="D379">
        <v>15247974</v>
      </c>
      <c r="E379">
        <v>1</v>
      </c>
      <c r="F379">
        <v>1</v>
      </c>
      <c r="G379">
        <v>1</v>
      </c>
      <c r="H379">
        <v>2</v>
      </c>
      <c r="I379" t="s">
        <v>1314</v>
      </c>
      <c r="J379" t="s">
        <v>1315</v>
      </c>
      <c r="K379" t="s">
        <v>1316</v>
      </c>
      <c r="L379">
        <v>1368</v>
      </c>
      <c r="N379">
        <v>1011</v>
      </c>
      <c r="O379" t="s">
        <v>1298</v>
      </c>
      <c r="P379" t="s">
        <v>1298</v>
      </c>
      <c r="Q379">
        <v>1</v>
      </c>
      <c r="W379">
        <v>0</v>
      </c>
      <c r="X379">
        <v>1188625873</v>
      </c>
      <c r="Y379">
        <v>0.22</v>
      </c>
      <c r="AA379">
        <v>0</v>
      </c>
      <c r="AB379">
        <v>205.07</v>
      </c>
      <c r="AC379">
        <v>13.5</v>
      </c>
      <c r="AD379">
        <v>0</v>
      </c>
      <c r="AE379">
        <v>0</v>
      </c>
      <c r="AF379">
        <v>31.26</v>
      </c>
      <c r="AG379">
        <v>13.5</v>
      </c>
      <c r="AH379">
        <v>0</v>
      </c>
      <c r="AI379">
        <v>1</v>
      </c>
      <c r="AJ379">
        <v>6.56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0.22</v>
      </c>
      <c r="AU379" t="s">
        <v>6</v>
      </c>
      <c r="AV379">
        <v>0</v>
      </c>
      <c r="AW379">
        <v>2</v>
      </c>
      <c r="AX379">
        <v>16753464</v>
      </c>
      <c r="AY379">
        <v>1</v>
      </c>
      <c r="AZ379">
        <v>0</v>
      </c>
      <c r="BA379">
        <v>356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Y379*Source!I198</f>
        <v>0.34870000000000001</v>
      </c>
      <c r="CY379">
        <f>AB379</f>
        <v>205.07</v>
      </c>
      <c r="CZ379">
        <f>AF379</f>
        <v>31.26</v>
      </c>
      <c r="DA379">
        <f>AJ379</f>
        <v>6.56</v>
      </c>
      <c r="DB379">
        <f t="shared" si="62"/>
        <v>6.88</v>
      </c>
      <c r="DC379">
        <f t="shared" si="63"/>
        <v>2.97</v>
      </c>
    </row>
    <row r="380" spans="1:107" x14ac:dyDescent="0.2">
      <c r="A380">
        <f>ROW(Source!A198)</f>
        <v>198</v>
      </c>
      <c r="B380">
        <v>16742901</v>
      </c>
      <c r="C380">
        <v>16753460</v>
      </c>
      <c r="D380">
        <v>15248143</v>
      </c>
      <c r="E380">
        <v>1</v>
      </c>
      <c r="F380">
        <v>1</v>
      </c>
      <c r="G380">
        <v>1</v>
      </c>
      <c r="H380">
        <v>2</v>
      </c>
      <c r="I380" t="s">
        <v>1495</v>
      </c>
      <c r="J380" t="s">
        <v>1496</v>
      </c>
      <c r="K380" t="s">
        <v>1497</v>
      </c>
      <c r="L380">
        <v>1368</v>
      </c>
      <c r="N380">
        <v>1011</v>
      </c>
      <c r="O380" t="s">
        <v>1298</v>
      </c>
      <c r="P380" t="s">
        <v>1298</v>
      </c>
      <c r="Q380">
        <v>1</v>
      </c>
      <c r="W380">
        <v>0</v>
      </c>
      <c r="X380">
        <v>983187852</v>
      </c>
      <c r="Y380">
        <v>0.75</v>
      </c>
      <c r="AA380">
        <v>0</v>
      </c>
      <c r="AB380">
        <v>81.28</v>
      </c>
      <c r="AC380">
        <v>10.06</v>
      </c>
      <c r="AD380">
        <v>0</v>
      </c>
      <c r="AE380">
        <v>0</v>
      </c>
      <c r="AF380">
        <v>12.39</v>
      </c>
      <c r="AG380">
        <v>10.06</v>
      </c>
      <c r="AH380">
        <v>0</v>
      </c>
      <c r="AI380">
        <v>1</v>
      </c>
      <c r="AJ380">
        <v>6.56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0.75</v>
      </c>
      <c r="AU380" t="s">
        <v>6</v>
      </c>
      <c r="AV380">
        <v>0</v>
      </c>
      <c r="AW380">
        <v>2</v>
      </c>
      <c r="AX380">
        <v>16753465</v>
      </c>
      <c r="AY380">
        <v>1</v>
      </c>
      <c r="AZ380">
        <v>0</v>
      </c>
      <c r="BA380">
        <v>357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Y380*Source!I198</f>
        <v>1.18875</v>
      </c>
      <c r="CY380">
        <f>AB380</f>
        <v>81.28</v>
      </c>
      <c r="CZ380">
        <f>AF380</f>
        <v>12.39</v>
      </c>
      <c r="DA380">
        <f>AJ380</f>
        <v>6.56</v>
      </c>
      <c r="DB380">
        <f t="shared" si="62"/>
        <v>9.2899999999999991</v>
      </c>
      <c r="DC380">
        <f t="shared" si="63"/>
        <v>7.55</v>
      </c>
    </row>
    <row r="381" spans="1:107" x14ac:dyDescent="0.2">
      <c r="A381">
        <f>ROW(Source!A198)</f>
        <v>198</v>
      </c>
      <c r="B381">
        <v>16742901</v>
      </c>
      <c r="C381">
        <v>16753460</v>
      </c>
      <c r="D381">
        <v>15167286</v>
      </c>
      <c r="E381">
        <v>1</v>
      </c>
      <c r="F381">
        <v>1</v>
      </c>
      <c r="G381">
        <v>1</v>
      </c>
      <c r="H381">
        <v>3</v>
      </c>
      <c r="I381" t="s">
        <v>1317</v>
      </c>
      <c r="J381" t="s">
        <v>1318</v>
      </c>
      <c r="K381" t="s">
        <v>1319</v>
      </c>
      <c r="L381">
        <v>1339</v>
      </c>
      <c r="N381">
        <v>1007</v>
      </c>
      <c r="O381" t="s">
        <v>301</v>
      </c>
      <c r="P381" t="s">
        <v>301</v>
      </c>
      <c r="Q381">
        <v>1</v>
      </c>
      <c r="W381">
        <v>0</v>
      </c>
      <c r="X381">
        <v>-1660354250</v>
      </c>
      <c r="Y381">
        <v>0.54300000000000004</v>
      </c>
      <c r="AA381">
        <v>16.010000000000002</v>
      </c>
      <c r="AB381">
        <v>0</v>
      </c>
      <c r="AC381">
        <v>0</v>
      </c>
      <c r="AD381">
        <v>0</v>
      </c>
      <c r="AE381">
        <v>2.44</v>
      </c>
      <c r="AF381">
        <v>0</v>
      </c>
      <c r="AG381">
        <v>0</v>
      </c>
      <c r="AH381">
        <v>0</v>
      </c>
      <c r="AI381">
        <v>6.56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0.54300000000000004</v>
      </c>
      <c r="AU381" t="s">
        <v>6</v>
      </c>
      <c r="AV381">
        <v>0</v>
      </c>
      <c r="AW381">
        <v>2</v>
      </c>
      <c r="AX381">
        <v>16753466</v>
      </c>
      <c r="AY381">
        <v>1</v>
      </c>
      <c r="AZ381">
        <v>0</v>
      </c>
      <c r="BA381">
        <v>358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Y381*Source!I198</f>
        <v>0.86065500000000006</v>
      </c>
      <c r="CY381">
        <f>AA381</f>
        <v>16.010000000000002</v>
      </c>
      <c r="CZ381">
        <f>AE381</f>
        <v>2.44</v>
      </c>
      <c r="DA381">
        <f>AI381</f>
        <v>6.56</v>
      </c>
      <c r="DB381">
        <f t="shared" si="62"/>
        <v>1.32</v>
      </c>
      <c r="DC381">
        <f t="shared" si="63"/>
        <v>0</v>
      </c>
    </row>
    <row r="382" spans="1:107" x14ac:dyDescent="0.2">
      <c r="A382">
        <f>ROW(Source!A198)</f>
        <v>198</v>
      </c>
      <c r="B382">
        <v>16742901</v>
      </c>
      <c r="C382">
        <v>16753460</v>
      </c>
      <c r="D382">
        <v>15173005</v>
      </c>
      <c r="E382">
        <v>1</v>
      </c>
      <c r="F382">
        <v>1</v>
      </c>
      <c r="G382">
        <v>1</v>
      </c>
      <c r="H382">
        <v>3</v>
      </c>
      <c r="I382" t="s">
        <v>618</v>
      </c>
      <c r="J382" t="s">
        <v>620</v>
      </c>
      <c r="K382" t="s">
        <v>619</v>
      </c>
      <c r="L382">
        <v>1348</v>
      </c>
      <c r="N382">
        <v>1009</v>
      </c>
      <c r="O382" t="s">
        <v>100</v>
      </c>
      <c r="P382" t="s">
        <v>100</v>
      </c>
      <c r="Q382">
        <v>1000</v>
      </c>
      <c r="W382">
        <v>0</v>
      </c>
      <c r="X382">
        <v>-759560707</v>
      </c>
      <c r="Y382">
        <v>0.90700000000000003</v>
      </c>
      <c r="AA382">
        <v>15498.07</v>
      </c>
      <c r="AB382">
        <v>0</v>
      </c>
      <c r="AC382">
        <v>0</v>
      </c>
      <c r="AD382">
        <v>0</v>
      </c>
      <c r="AE382">
        <v>2362.5100000000002</v>
      </c>
      <c r="AF382">
        <v>0</v>
      </c>
      <c r="AG382">
        <v>0</v>
      </c>
      <c r="AH382">
        <v>0</v>
      </c>
      <c r="AI382">
        <v>6.56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0.90700000000000003</v>
      </c>
      <c r="AU382" t="s">
        <v>6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Y382*Source!I198</f>
        <v>1.437595</v>
      </c>
      <c r="CY382">
        <f>AA382</f>
        <v>15498.07</v>
      </c>
      <c r="CZ382">
        <f>AE382</f>
        <v>2362.5100000000002</v>
      </c>
      <c r="DA382">
        <f>AI382</f>
        <v>6.56</v>
      </c>
      <c r="DB382">
        <f t="shared" si="62"/>
        <v>2142.8000000000002</v>
      </c>
      <c r="DC382">
        <f t="shared" si="63"/>
        <v>0</v>
      </c>
    </row>
    <row r="383" spans="1:107" x14ac:dyDescent="0.2">
      <c r="A383">
        <f>ROW(Source!A198)</f>
        <v>198</v>
      </c>
      <c r="B383">
        <v>16742901</v>
      </c>
      <c r="C383">
        <v>16753460</v>
      </c>
      <c r="D383">
        <v>15163028</v>
      </c>
      <c r="E383">
        <v>17</v>
      </c>
      <c r="F383">
        <v>1</v>
      </c>
      <c r="G383">
        <v>1</v>
      </c>
      <c r="H383">
        <v>3</v>
      </c>
      <c r="I383" t="s">
        <v>372</v>
      </c>
      <c r="J383" t="s">
        <v>6</v>
      </c>
      <c r="K383" t="s">
        <v>373</v>
      </c>
      <c r="L383">
        <v>1348</v>
      </c>
      <c r="N383">
        <v>1009</v>
      </c>
      <c r="O383" t="s">
        <v>100</v>
      </c>
      <c r="P383" t="s">
        <v>100</v>
      </c>
      <c r="Q383">
        <v>1000</v>
      </c>
      <c r="W383">
        <v>0</v>
      </c>
      <c r="X383">
        <v>1880203204</v>
      </c>
      <c r="Y383">
        <v>0.90700000000000003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6.56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6</v>
      </c>
      <c r="AT383">
        <v>0.90700000000000003</v>
      </c>
      <c r="AU383" t="s">
        <v>6</v>
      </c>
      <c r="AV383">
        <v>0</v>
      </c>
      <c r="AW383">
        <v>2</v>
      </c>
      <c r="AX383">
        <v>16753467</v>
      </c>
      <c r="AY383">
        <v>1</v>
      </c>
      <c r="AZ383">
        <v>0</v>
      </c>
      <c r="BA383">
        <v>359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Y383*Source!I198</f>
        <v>1.437595</v>
      </c>
      <c r="CY383">
        <f>AA383</f>
        <v>0</v>
      </c>
      <c r="CZ383">
        <f>AE383</f>
        <v>0</v>
      </c>
      <c r="DA383">
        <f>AI383</f>
        <v>6.56</v>
      </c>
      <c r="DB383">
        <f t="shared" si="62"/>
        <v>0</v>
      </c>
      <c r="DC383">
        <f t="shared" si="63"/>
        <v>0</v>
      </c>
    </row>
    <row r="384" spans="1:107" x14ac:dyDescent="0.2">
      <c r="A384">
        <f>ROW(Source!A201)</f>
        <v>201</v>
      </c>
      <c r="B384">
        <v>16742901</v>
      </c>
      <c r="C384">
        <v>16746038</v>
      </c>
      <c r="D384">
        <v>15435099</v>
      </c>
      <c r="E384">
        <v>1</v>
      </c>
      <c r="F384">
        <v>1</v>
      </c>
      <c r="G384">
        <v>1</v>
      </c>
      <c r="H384">
        <v>1</v>
      </c>
      <c r="I384" t="s">
        <v>1463</v>
      </c>
      <c r="J384" t="s">
        <v>6</v>
      </c>
      <c r="K384" t="s">
        <v>1464</v>
      </c>
      <c r="L384">
        <v>1191</v>
      </c>
      <c r="N384">
        <v>1013</v>
      </c>
      <c r="O384" t="s">
        <v>1287</v>
      </c>
      <c r="P384" t="s">
        <v>1287</v>
      </c>
      <c r="Q384">
        <v>1</v>
      </c>
      <c r="W384">
        <v>0</v>
      </c>
      <c r="X384">
        <v>1010519658</v>
      </c>
      <c r="Y384">
        <v>36.25</v>
      </c>
      <c r="AA384">
        <v>0</v>
      </c>
      <c r="AB384">
        <v>0</v>
      </c>
      <c r="AC384">
        <v>0</v>
      </c>
      <c r="AD384">
        <v>56.68</v>
      </c>
      <c r="AE384">
        <v>0</v>
      </c>
      <c r="AF384">
        <v>0</v>
      </c>
      <c r="AG384">
        <v>0</v>
      </c>
      <c r="AH384">
        <v>8.64</v>
      </c>
      <c r="AI384">
        <v>1</v>
      </c>
      <c r="AJ384">
        <v>1</v>
      </c>
      <c r="AK384">
        <v>1</v>
      </c>
      <c r="AL384">
        <v>6.56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6</v>
      </c>
      <c r="AT384">
        <v>36.25</v>
      </c>
      <c r="AU384" t="s">
        <v>6</v>
      </c>
      <c r="AV384">
        <v>1</v>
      </c>
      <c r="AW384">
        <v>2</v>
      </c>
      <c r="AX384">
        <v>16746052</v>
      </c>
      <c r="AY384">
        <v>1</v>
      </c>
      <c r="AZ384">
        <v>0</v>
      </c>
      <c r="BA384">
        <v>361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Y384*Source!I201</f>
        <v>57.456249999999997</v>
      </c>
      <c r="CY384">
        <f>AD384</f>
        <v>56.68</v>
      </c>
      <c r="CZ384">
        <f>AH384</f>
        <v>8.64</v>
      </c>
      <c r="DA384">
        <f>AL384</f>
        <v>6.56</v>
      </c>
      <c r="DB384">
        <f t="shared" si="62"/>
        <v>313.2</v>
      </c>
      <c r="DC384">
        <f t="shared" si="63"/>
        <v>0</v>
      </c>
    </row>
    <row r="385" spans="1:107" x14ac:dyDescent="0.2">
      <c r="A385">
        <f>ROW(Source!A201)</f>
        <v>201</v>
      </c>
      <c r="B385">
        <v>16742901</v>
      </c>
      <c r="C385">
        <v>16746038</v>
      </c>
      <c r="D385">
        <v>15430395</v>
      </c>
      <c r="E385">
        <v>1</v>
      </c>
      <c r="F385">
        <v>1</v>
      </c>
      <c r="G385">
        <v>1</v>
      </c>
      <c r="H385">
        <v>1</v>
      </c>
      <c r="I385" t="s">
        <v>1293</v>
      </c>
      <c r="J385" t="s">
        <v>6</v>
      </c>
      <c r="K385" t="s">
        <v>1294</v>
      </c>
      <c r="L385">
        <v>1191</v>
      </c>
      <c r="N385">
        <v>1013</v>
      </c>
      <c r="O385" t="s">
        <v>1287</v>
      </c>
      <c r="P385" t="s">
        <v>1287</v>
      </c>
      <c r="Q385">
        <v>1</v>
      </c>
      <c r="W385">
        <v>0</v>
      </c>
      <c r="X385">
        <v>-1417349443</v>
      </c>
      <c r="Y385">
        <v>0.16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6.56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6</v>
      </c>
      <c r="AT385">
        <v>0.16</v>
      </c>
      <c r="AU385" t="s">
        <v>6</v>
      </c>
      <c r="AV385">
        <v>2</v>
      </c>
      <c r="AW385">
        <v>2</v>
      </c>
      <c r="AX385">
        <v>16746053</v>
      </c>
      <c r="AY385">
        <v>1</v>
      </c>
      <c r="AZ385">
        <v>0</v>
      </c>
      <c r="BA385">
        <v>362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Y385*Source!I201</f>
        <v>0.25359999999999999</v>
      </c>
      <c r="CY385">
        <f>AD385</f>
        <v>0</v>
      </c>
      <c r="CZ385">
        <f>AH385</f>
        <v>0</v>
      </c>
      <c r="DA385">
        <f>AL385</f>
        <v>1</v>
      </c>
      <c r="DB385">
        <f t="shared" si="62"/>
        <v>0</v>
      </c>
      <c r="DC385">
        <f t="shared" si="63"/>
        <v>0</v>
      </c>
    </row>
    <row r="386" spans="1:107" x14ac:dyDescent="0.2">
      <c r="A386">
        <f>ROW(Source!A201)</f>
        <v>201</v>
      </c>
      <c r="B386">
        <v>16742901</v>
      </c>
      <c r="C386">
        <v>16746038</v>
      </c>
      <c r="D386">
        <v>15247974</v>
      </c>
      <c r="E386">
        <v>1</v>
      </c>
      <c r="F386">
        <v>1</v>
      </c>
      <c r="G386">
        <v>1</v>
      </c>
      <c r="H386">
        <v>2</v>
      </c>
      <c r="I386" t="s">
        <v>1314</v>
      </c>
      <c r="J386" t="s">
        <v>1315</v>
      </c>
      <c r="K386" t="s">
        <v>1316</v>
      </c>
      <c r="L386">
        <v>1368</v>
      </c>
      <c r="N386">
        <v>1011</v>
      </c>
      <c r="O386" t="s">
        <v>1298</v>
      </c>
      <c r="P386" t="s">
        <v>1298</v>
      </c>
      <c r="Q386">
        <v>1</v>
      </c>
      <c r="W386">
        <v>0</v>
      </c>
      <c r="X386">
        <v>1188625873</v>
      </c>
      <c r="Y386">
        <v>0.1</v>
      </c>
      <c r="AA386">
        <v>0</v>
      </c>
      <c r="AB386">
        <v>205.07</v>
      </c>
      <c r="AC386">
        <v>13.5</v>
      </c>
      <c r="AD386">
        <v>0</v>
      </c>
      <c r="AE386">
        <v>0</v>
      </c>
      <c r="AF386">
        <v>31.26</v>
      </c>
      <c r="AG386">
        <v>13.5</v>
      </c>
      <c r="AH386">
        <v>0</v>
      </c>
      <c r="AI386">
        <v>1</v>
      </c>
      <c r="AJ386">
        <v>6.56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0.1</v>
      </c>
      <c r="AU386" t="s">
        <v>6</v>
      </c>
      <c r="AV386">
        <v>0</v>
      </c>
      <c r="AW386">
        <v>2</v>
      </c>
      <c r="AX386">
        <v>16746054</v>
      </c>
      <c r="AY386">
        <v>1</v>
      </c>
      <c r="AZ386">
        <v>0</v>
      </c>
      <c r="BA386">
        <v>363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Y386*Source!I201</f>
        <v>0.1585</v>
      </c>
      <c r="CY386">
        <f>AB386</f>
        <v>205.07</v>
      </c>
      <c r="CZ386">
        <f>AF386</f>
        <v>31.26</v>
      </c>
      <c r="DA386">
        <f>AJ386</f>
        <v>6.56</v>
      </c>
      <c r="DB386">
        <f t="shared" si="62"/>
        <v>3.13</v>
      </c>
      <c r="DC386">
        <f t="shared" si="63"/>
        <v>1.35</v>
      </c>
    </row>
    <row r="387" spans="1:107" x14ac:dyDescent="0.2">
      <c r="A387">
        <f>ROW(Source!A201)</f>
        <v>201</v>
      </c>
      <c r="B387">
        <v>16742901</v>
      </c>
      <c r="C387">
        <v>16746038</v>
      </c>
      <c r="D387">
        <v>15249073</v>
      </c>
      <c r="E387">
        <v>1</v>
      </c>
      <c r="F387">
        <v>1</v>
      </c>
      <c r="G387">
        <v>1</v>
      </c>
      <c r="H387">
        <v>2</v>
      </c>
      <c r="I387" t="s">
        <v>1299</v>
      </c>
      <c r="J387" t="s">
        <v>1300</v>
      </c>
      <c r="K387" t="s">
        <v>1301</v>
      </c>
      <c r="L387">
        <v>1368</v>
      </c>
      <c r="N387">
        <v>1011</v>
      </c>
      <c r="O387" t="s">
        <v>1298</v>
      </c>
      <c r="P387" t="s">
        <v>1298</v>
      </c>
      <c r="Q387">
        <v>1</v>
      </c>
      <c r="W387">
        <v>0</v>
      </c>
      <c r="X387">
        <v>1372534845</v>
      </c>
      <c r="Y387">
        <v>0.06</v>
      </c>
      <c r="AA387">
        <v>0</v>
      </c>
      <c r="AB387">
        <v>431.06</v>
      </c>
      <c r="AC387">
        <v>11.6</v>
      </c>
      <c r="AD387">
        <v>0</v>
      </c>
      <c r="AE387">
        <v>0</v>
      </c>
      <c r="AF387">
        <v>65.709999999999994</v>
      </c>
      <c r="AG387">
        <v>11.6</v>
      </c>
      <c r="AH387">
        <v>0</v>
      </c>
      <c r="AI387">
        <v>1</v>
      </c>
      <c r="AJ387">
        <v>6.56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0.06</v>
      </c>
      <c r="AU387" t="s">
        <v>6</v>
      </c>
      <c r="AV387">
        <v>0</v>
      </c>
      <c r="AW387">
        <v>2</v>
      </c>
      <c r="AX387">
        <v>16746055</v>
      </c>
      <c r="AY387">
        <v>1</v>
      </c>
      <c r="AZ387">
        <v>0</v>
      </c>
      <c r="BA387">
        <v>364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Y387*Source!I201</f>
        <v>9.509999999999999E-2</v>
      </c>
      <c r="CY387">
        <f>AB387</f>
        <v>431.06</v>
      </c>
      <c r="CZ387">
        <f>AF387</f>
        <v>65.709999999999994</v>
      </c>
      <c r="DA387">
        <f>AJ387</f>
        <v>6.56</v>
      </c>
      <c r="DB387">
        <f t="shared" si="62"/>
        <v>3.94</v>
      </c>
      <c r="DC387">
        <f t="shared" si="63"/>
        <v>0.7</v>
      </c>
    </row>
    <row r="388" spans="1:107" x14ac:dyDescent="0.2">
      <c r="A388">
        <f>ROW(Source!A201)</f>
        <v>201</v>
      </c>
      <c r="B388">
        <v>16742901</v>
      </c>
      <c r="C388">
        <v>16746038</v>
      </c>
      <c r="D388">
        <v>15167286</v>
      </c>
      <c r="E388">
        <v>1</v>
      </c>
      <c r="F388">
        <v>1</v>
      </c>
      <c r="G388">
        <v>1</v>
      </c>
      <c r="H388">
        <v>3</v>
      </c>
      <c r="I388" t="s">
        <v>1317</v>
      </c>
      <c r="J388" t="s">
        <v>1318</v>
      </c>
      <c r="K388" t="s">
        <v>1319</v>
      </c>
      <c r="L388">
        <v>1339</v>
      </c>
      <c r="N388">
        <v>1007</v>
      </c>
      <c r="O388" t="s">
        <v>301</v>
      </c>
      <c r="P388" t="s">
        <v>301</v>
      </c>
      <c r="Q388">
        <v>1</v>
      </c>
      <c r="W388">
        <v>0</v>
      </c>
      <c r="X388">
        <v>-1660354250</v>
      </c>
      <c r="Y388">
        <v>0.24</v>
      </c>
      <c r="AA388">
        <v>16.010000000000002</v>
      </c>
      <c r="AB388">
        <v>0</v>
      </c>
      <c r="AC388">
        <v>0</v>
      </c>
      <c r="AD388">
        <v>0</v>
      </c>
      <c r="AE388">
        <v>2.44</v>
      </c>
      <c r="AF388">
        <v>0</v>
      </c>
      <c r="AG388">
        <v>0</v>
      </c>
      <c r="AH388">
        <v>0</v>
      </c>
      <c r="AI388">
        <v>6.56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0.24</v>
      </c>
      <c r="AU388" t="s">
        <v>6</v>
      </c>
      <c r="AV388">
        <v>0</v>
      </c>
      <c r="AW388">
        <v>2</v>
      </c>
      <c r="AX388">
        <v>16746056</v>
      </c>
      <c r="AY388">
        <v>1</v>
      </c>
      <c r="AZ388">
        <v>0</v>
      </c>
      <c r="BA388">
        <v>365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Y388*Source!I201</f>
        <v>0.38039999999999996</v>
      </c>
      <c r="CY388">
        <f t="shared" ref="CY388:CY396" si="64">AA388</f>
        <v>16.010000000000002</v>
      </c>
      <c r="CZ388">
        <f t="shared" ref="CZ388:CZ396" si="65">AE388</f>
        <v>2.44</v>
      </c>
      <c r="DA388">
        <f t="shared" ref="DA388:DA396" si="66">AI388</f>
        <v>6.56</v>
      </c>
      <c r="DB388">
        <f t="shared" si="62"/>
        <v>0.59</v>
      </c>
      <c r="DC388">
        <f t="shared" si="63"/>
        <v>0</v>
      </c>
    </row>
    <row r="389" spans="1:107" x14ac:dyDescent="0.2">
      <c r="A389">
        <f>ROW(Source!A201)</f>
        <v>201</v>
      </c>
      <c r="B389">
        <v>16742901</v>
      </c>
      <c r="C389">
        <v>16746038</v>
      </c>
      <c r="D389">
        <v>15167766</v>
      </c>
      <c r="E389">
        <v>1</v>
      </c>
      <c r="F389">
        <v>1</v>
      </c>
      <c r="G389">
        <v>1</v>
      </c>
      <c r="H389">
        <v>3</v>
      </c>
      <c r="I389" t="s">
        <v>1507</v>
      </c>
      <c r="J389" t="s">
        <v>1508</v>
      </c>
      <c r="K389" t="s">
        <v>1509</v>
      </c>
      <c r="L389">
        <v>1354</v>
      </c>
      <c r="N389">
        <v>1010</v>
      </c>
      <c r="O389" t="s">
        <v>73</v>
      </c>
      <c r="P389" t="s">
        <v>73</v>
      </c>
      <c r="Q389">
        <v>1</v>
      </c>
      <c r="W389">
        <v>0</v>
      </c>
      <c r="X389">
        <v>-1046673864</v>
      </c>
      <c r="Y389">
        <v>3.2</v>
      </c>
      <c r="AA389">
        <v>29.52</v>
      </c>
      <c r="AB389">
        <v>0</v>
      </c>
      <c r="AC389">
        <v>0</v>
      </c>
      <c r="AD389">
        <v>0</v>
      </c>
      <c r="AE389">
        <v>4.5</v>
      </c>
      <c r="AF389">
        <v>0</v>
      </c>
      <c r="AG389">
        <v>0</v>
      </c>
      <c r="AH389">
        <v>0</v>
      </c>
      <c r="AI389">
        <v>6.56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3.2</v>
      </c>
      <c r="AU389" t="s">
        <v>6</v>
      </c>
      <c r="AV389">
        <v>0</v>
      </c>
      <c r="AW389">
        <v>2</v>
      </c>
      <c r="AX389">
        <v>16746057</v>
      </c>
      <c r="AY389">
        <v>1</v>
      </c>
      <c r="AZ389">
        <v>0</v>
      </c>
      <c r="BA389">
        <v>366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Y389*Source!I201</f>
        <v>5.0720000000000001</v>
      </c>
      <c r="CY389">
        <f t="shared" si="64"/>
        <v>29.52</v>
      </c>
      <c r="CZ389">
        <f t="shared" si="65"/>
        <v>4.5</v>
      </c>
      <c r="DA389">
        <f t="shared" si="66"/>
        <v>6.56</v>
      </c>
      <c r="DB389">
        <f t="shared" si="62"/>
        <v>14.4</v>
      </c>
      <c r="DC389">
        <f t="shared" si="63"/>
        <v>0</v>
      </c>
    </row>
    <row r="390" spans="1:107" x14ac:dyDescent="0.2">
      <c r="A390">
        <f>ROW(Source!A201)</f>
        <v>201</v>
      </c>
      <c r="B390">
        <v>16742901</v>
      </c>
      <c r="C390">
        <v>16746038</v>
      </c>
      <c r="D390">
        <v>15168015</v>
      </c>
      <c r="E390">
        <v>1</v>
      </c>
      <c r="F390">
        <v>1</v>
      </c>
      <c r="G390">
        <v>1</v>
      </c>
      <c r="H390">
        <v>3</v>
      </c>
      <c r="I390" t="s">
        <v>1510</v>
      </c>
      <c r="J390" t="s">
        <v>1511</v>
      </c>
      <c r="K390" t="s">
        <v>1512</v>
      </c>
      <c r="L390">
        <v>1348</v>
      </c>
      <c r="N390">
        <v>1009</v>
      </c>
      <c r="O390" t="s">
        <v>100</v>
      </c>
      <c r="P390" t="s">
        <v>100</v>
      </c>
      <c r="Q390">
        <v>1000</v>
      </c>
      <c r="W390">
        <v>0</v>
      </c>
      <c r="X390">
        <v>-526970962</v>
      </c>
      <c r="Y390">
        <v>1.2E-2</v>
      </c>
      <c r="AA390">
        <v>3847.24</v>
      </c>
      <c r="AB390">
        <v>0</v>
      </c>
      <c r="AC390">
        <v>0</v>
      </c>
      <c r="AD390">
        <v>0</v>
      </c>
      <c r="AE390">
        <v>586.47</v>
      </c>
      <c r="AF390">
        <v>0</v>
      </c>
      <c r="AG390">
        <v>0</v>
      </c>
      <c r="AH390">
        <v>0</v>
      </c>
      <c r="AI390">
        <v>6.56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1.2E-2</v>
      </c>
      <c r="AU390" t="s">
        <v>6</v>
      </c>
      <c r="AV390">
        <v>0</v>
      </c>
      <c r="AW390">
        <v>2</v>
      </c>
      <c r="AX390">
        <v>16746058</v>
      </c>
      <c r="AY390">
        <v>1</v>
      </c>
      <c r="AZ390">
        <v>0</v>
      </c>
      <c r="BA390">
        <v>367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Y390*Source!I201</f>
        <v>1.9019999999999999E-2</v>
      </c>
      <c r="CY390">
        <f t="shared" si="64"/>
        <v>3847.24</v>
      </c>
      <c r="CZ390">
        <f t="shared" si="65"/>
        <v>586.47</v>
      </c>
      <c r="DA390">
        <f t="shared" si="66"/>
        <v>6.56</v>
      </c>
      <c r="DB390">
        <f t="shared" si="62"/>
        <v>7.04</v>
      </c>
      <c r="DC390">
        <f t="shared" si="63"/>
        <v>0</v>
      </c>
    </row>
    <row r="391" spans="1:107" x14ac:dyDescent="0.2">
      <c r="A391">
        <f>ROW(Source!A201)</f>
        <v>201</v>
      </c>
      <c r="B391">
        <v>16742901</v>
      </c>
      <c r="C391">
        <v>16746038</v>
      </c>
      <c r="D391">
        <v>15170682</v>
      </c>
      <c r="E391">
        <v>1</v>
      </c>
      <c r="F391">
        <v>1</v>
      </c>
      <c r="G391">
        <v>1</v>
      </c>
      <c r="H391">
        <v>3</v>
      </c>
      <c r="I391" t="s">
        <v>1428</v>
      </c>
      <c r="J391" t="s">
        <v>1429</v>
      </c>
      <c r="K391" t="s">
        <v>1430</v>
      </c>
      <c r="L391">
        <v>1327</v>
      </c>
      <c r="N391">
        <v>1005</v>
      </c>
      <c r="O391" t="s">
        <v>193</v>
      </c>
      <c r="P391" t="s">
        <v>193</v>
      </c>
      <c r="Q391">
        <v>1</v>
      </c>
      <c r="W391">
        <v>0</v>
      </c>
      <c r="X391">
        <v>-1987926685</v>
      </c>
      <c r="Y391">
        <v>1.6</v>
      </c>
      <c r="AA391">
        <v>474.42</v>
      </c>
      <c r="AB391">
        <v>0</v>
      </c>
      <c r="AC391">
        <v>0</v>
      </c>
      <c r="AD391">
        <v>0</v>
      </c>
      <c r="AE391">
        <v>72.319999999999993</v>
      </c>
      <c r="AF391">
        <v>0</v>
      </c>
      <c r="AG391">
        <v>0</v>
      </c>
      <c r="AH391">
        <v>0</v>
      </c>
      <c r="AI391">
        <v>6.56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1.6</v>
      </c>
      <c r="AU391" t="s">
        <v>6</v>
      </c>
      <c r="AV391">
        <v>0</v>
      </c>
      <c r="AW391">
        <v>2</v>
      </c>
      <c r="AX391">
        <v>16746059</v>
      </c>
      <c r="AY391">
        <v>1</v>
      </c>
      <c r="AZ391">
        <v>0</v>
      </c>
      <c r="BA391">
        <v>368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Y391*Source!I201</f>
        <v>2.536</v>
      </c>
      <c r="CY391">
        <f t="shared" si="64"/>
        <v>474.42</v>
      </c>
      <c r="CZ391">
        <f t="shared" si="65"/>
        <v>72.319999999999993</v>
      </c>
      <c r="DA391">
        <f t="shared" si="66"/>
        <v>6.56</v>
      </c>
      <c r="DB391">
        <f t="shared" si="62"/>
        <v>115.71</v>
      </c>
      <c r="DC391">
        <f t="shared" si="63"/>
        <v>0</v>
      </c>
    </row>
    <row r="392" spans="1:107" x14ac:dyDescent="0.2">
      <c r="A392">
        <f>ROW(Source!A201)</f>
        <v>201</v>
      </c>
      <c r="B392">
        <v>16742901</v>
      </c>
      <c r="C392">
        <v>16746038</v>
      </c>
      <c r="D392">
        <v>15171907</v>
      </c>
      <c r="E392">
        <v>1</v>
      </c>
      <c r="F392">
        <v>1</v>
      </c>
      <c r="G392">
        <v>1</v>
      </c>
      <c r="H392">
        <v>3</v>
      </c>
      <c r="I392" t="s">
        <v>1513</v>
      </c>
      <c r="J392" t="s">
        <v>1514</v>
      </c>
      <c r="K392" t="s">
        <v>1515</v>
      </c>
      <c r="L392">
        <v>1339</v>
      </c>
      <c r="N392">
        <v>1007</v>
      </c>
      <c r="O392" t="s">
        <v>301</v>
      </c>
      <c r="P392" t="s">
        <v>301</v>
      </c>
      <c r="Q392">
        <v>1</v>
      </c>
      <c r="W392">
        <v>0</v>
      </c>
      <c r="X392">
        <v>1795918813</v>
      </c>
      <c r="Y392">
        <v>4.4000000000000003E-3</v>
      </c>
      <c r="AA392">
        <v>489.24</v>
      </c>
      <c r="AB392">
        <v>0</v>
      </c>
      <c r="AC392">
        <v>0</v>
      </c>
      <c r="AD392">
        <v>0</v>
      </c>
      <c r="AE392">
        <v>74.58</v>
      </c>
      <c r="AF392">
        <v>0</v>
      </c>
      <c r="AG392">
        <v>0</v>
      </c>
      <c r="AH392">
        <v>0</v>
      </c>
      <c r="AI392">
        <v>6.56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4.4000000000000003E-3</v>
      </c>
      <c r="AU392" t="s">
        <v>6</v>
      </c>
      <c r="AV392">
        <v>0</v>
      </c>
      <c r="AW392">
        <v>2</v>
      </c>
      <c r="AX392">
        <v>16746060</v>
      </c>
      <c r="AY392">
        <v>1</v>
      </c>
      <c r="AZ392">
        <v>0</v>
      </c>
      <c r="BA392">
        <v>369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Y392*Source!I201</f>
        <v>6.9740000000000002E-3</v>
      </c>
      <c r="CY392">
        <f t="shared" si="64"/>
        <v>489.24</v>
      </c>
      <c r="CZ392">
        <f t="shared" si="65"/>
        <v>74.58</v>
      </c>
      <c r="DA392">
        <f t="shared" si="66"/>
        <v>6.56</v>
      </c>
      <c r="DB392">
        <f t="shared" si="62"/>
        <v>0.33</v>
      </c>
      <c r="DC392">
        <f t="shared" si="63"/>
        <v>0</v>
      </c>
    </row>
    <row r="393" spans="1:107" x14ac:dyDescent="0.2">
      <c r="A393">
        <f>ROW(Source!A201)</f>
        <v>201</v>
      </c>
      <c r="B393">
        <v>16742901</v>
      </c>
      <c r="C393">
        <v>16746038</v>
      </c>
      <c r="D393">
        <v>15202490</v>
      </c>
      <c r="E393">
        <v>1</v>
      </c>
      <c r="F393">
        <v>1</v>
      </c>
      <c r="G393">
        <v>1</v>
      </c>
      <c r="H393">
        <v>3</v>
      </c>
      <c r="I393" t="s">
        <v>1516</v>
      </c>
      <c r="J393" t="s">
        <v>1517</v>
      </c>
      <c r="K393" t="s">
        <v>1518</v>
      </c>
      <c r="L393">
        <v>1346</v>
      </c>
      <c r="N393">
        <v>1009</v>
      </c>
      <c r="O393" t="s">
        <v>341</v>
      </c>
      <c r="P393" t="s">
        <v>341</v>
      </c>
      <c r="Q393">
        <v>1</v>
      </c>
      <c r="W393">
        <v>0</v>
      </c>
      <c r="X393">
        <v>-1684093315</v>
      </c>
      <c r="Y393">
        <v>2.4300000000000002</v>
      </c>
      <c r="AA393">
        <v>53.07</v>
      </c>
      <c r="AB393">
        <v>0</v>
      </c>
      <c r="AC393">
        <v>0</v>
      </c>
      <c r="AD393">
        <v>0</v>
      </c>
      <c r="AE393">
        <v>8.09</v>
      </c>
      <c r="AF393">
        <v>0</v>
      </c>
      <c r="AG393">
        <v>0</v>
      </c>
      <c r="AH393">
        <v>0</v>
      </c>
      <c r="AI393">
        <v>6.56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2.4300000000000002</v>
      </c>
      <c r="AU393" t="s">
        <v>6</v>
      </c>
      <c r="AV393">
        <v>0</v>
      </c>
      <c r="AW393">
        <v>2</v>
      </c>
      <c r="AX393">
        <v>16746061</v>
      </c>
      <c r="AY393">
        <v>1</v>
      </c>
      <c r="AZ393">
        <v>0</v>
      </c>
      <c r="BA393">
        <v>370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Y393*Source!I201</f>
        <v>3.85155</v>
      </c>
      <c r="CY393">
        <f t="shared" si="64"/>
        <v>53.07</v>
      </c>
      <c r="CZ393">
        <f t="shared" si="65"/>
        <v>8.09</v>
      </c>
      <c r="DA393">
        <f t="shared" si="66"/>
        <v>6.56</v>
      </c>
      <c r="DB393">
        <f t="shared" si="62"/>
        <v>19.66</v>
      </c>
      <c r="DC393">
        <f t="shared" si="63"/>
        <v>0</v>
      </c>
    </row>
    <row r="394" spans="1:107" x14ac:dyDescent="0.2">
      <c r="A394">
        <f>ROW(Source!A201)</f>
        <v>201</v>
      </c>
      <c r="B394">
        <v>16742901</v>
      </c>
      <c r="C394">
        <v>16746038</v>
      </c>
      <c r="D394">
        <v>15163054</v>
      </c>
      <c r="E394">
        <v>17</v>
      </c>
      <c r="F394">
        <v>1</v>
      </c>
      <c r="G394">
        <v>1</v>
      </c>
      <c r="H394">
        <v>3</v>
      </c>
      <c r="I394" t="s">
        <v>240</v>
      </c>
      <c r="J394" t="s">
        <v>6</v>
      </c>
      <c r="K394" t="s">
        <v>241</v>
      </c>
      <c r="L394">
        <v>1348</v>
      </c>
      <c r="N394">
        <v>1009</v>
      </c>
      <c r="O394" t="s">
        <v>100</v>
      </c>
      <c r="P394" t="s">
        <v>100</v>
      </c>
      <c r="Q394">
        <v>1000</v>
      </c>
      <c r="W394">
        <v>0</v>
      </c>
      <c r="X394">
        <v>1891904026</v>
      </c>
      <c r="Y394">
        <v>6.7000000000000004E-2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6.56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6</v>
      </c>
      <c r="AT394">
        <v>6.7000000000000004E-2</v>
      </c>
      <c r="AU394" t="s">
        <v>6</v>
      </c>
      <c r="AV394">
        <v>0</v>
      </c>
      <c r="AW394">
        <v>2</v>
      </c>
      <c r="AX394">
        <v>16746062</v>
      </c>
      <c r="AY394">
        <v>1</v>
      </c>
      <c r="AZ394">
        <v>0</v>
      </c>
      <c r="BA394">
        <v>371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Y394*Source!I201</f>
        <v>0.106195</v>
      </c>
      <c r="CY394">
        <f t="shared" si="64"/>
        <v>0</v>
      </c>
      <c r="CZ394">
        <f t="shared" si="65"/>
        <v>0</v>
      </c>
      <c r="DA394">
        <f t="shared" si="66"/>
        <v>6.56</v>
      </c>
      <c r="DB394">
        <f t="shared" si="62"/>
        <v>0</v>
      </c>
      <c r="DC394">
        <f t="shared" si="63"/>
        <v>0</v>
      </c>
    </row>
    <row r="395" spans="1:107" x14ac:dyDescent="0.2">
      <c r="A395">
        <f>ROW(Source!A201)</f>
        <v>201</v>
      </c>
      <c r="B395">
        <v>16742901</v>
      </c>
      <c r="C395">
        <v>16746038</v>
      </c>
      <c r="D395">
        <v>15203263</v>
      </c>
      <c r="E395">
        <v>1</v>
      </c>
      <c r="F395">
        <v>1</v>
      </c>
      <c r="G395">
        <v>1</v>
      </c>
      <c r="H395">
        <v>3</v>
      </c>
      <c r="I395" t="s">
        <v>385</v>
      </c>
      <c r="J395" t="s">
        <v>387</v>
      </c>
      <c r="K395" t="s">
        <v>386</v>
      </c>
      <c r="L395">
        <v>1348</v>
      </c>
      <c r="N395">
        <v>1009</v>
      </c>
      <c r="O395" t="s">
        <v>100</v>
      </c>
      <c r="P395" t="s">
        <v>100</v>
      </c>
      <c r="Q395">
        <v>1000</v>
      </c>
      <c r="W395">
        <v>0</v>
      </c>
      <c r="X395">
        <v>1146787971</v>
      </c>
      <c r="Y395">
        <v>6.7000000000000004E-2</v>
      </c>
      <c r="AA395">
        <v>55792.800000000003</v>
      </c>
      <c r="AB395">
        <v>0</v>
      </c>
      <c r="AC395">
        <v>0</v>
      </c>
      <c r="AD395">
        <v>0</v>
      </c>
      <c r="AE395">
        <v>8505</v>
      </c>
      <c r="AF395">
        <v>0</v>
      </c>
      <c r="AG395">
        <v>0</v>
      </c>
      <c r="AH395">
        <v>0</v>
      </c>
      <c r="AI395">
        <v>6.56</v>
      </c>
      <c r="AJ395">
        <v>1</v>
      </c>
      <c r="AK395">
        <v>1</v>
      </c>
      <c r="AL395">
        <v>1</v>
      </c>
      <c r="AN395">
        <v>0</v>
      </c>
      <c r="AO395">
        <v>0</v>
      </c>
      <c r="AP395">
        <v>0</v>
      </c>
      <c r="AQ395">
        <v>0</v>
      </c>
      <c r="AR395">
        <v>0</v>
      </c>
      <c r="AS395" t="s">
        <v>6</v>
      </c>
      <c r="AT395">
        <v>6.7000000000000004E-2</v>
      </c>
      <c r="AU395" t="s">
        <v>6</v>
      </c>
      <c r="AV395">
        <v>0</v>
      </c>
      <c r="AW395">
        <v>1</v>
      </c>
      <c r="AX395">
        <v>-1</v>
      </c>
      <c r="AY395">
        <v>0</v>
      </c>
      <c r="AZ395">
        <v>0</v>
      </c>
      <c r="BA395" t="s">
        <v>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Y395*Source!I201</f>
        <v>0.106195</v>
      </c>
      <c r="CY395">
        <f t="shared" si="64"/>
        <v>55792.800000000003</v>
      </c>
      <c r="CZ395">
        <f t="shared" si="65"/>
        <v>8505</v>
      </c>
      <c r="DA395">
        <f t="shared" si="66"/>
        <v>6.56</v>
      </c>
      <c r="DB395">
        <f t="shared" si="62"/>
        <v>569.84</v>
      </c>
      <c r="DC395">
        <f t="shared" si="63"/>
        <v>0</v>
      </c>
    </row>
    <row r="396" spans="1:107" x14ac:dyDescent="0.2">
      <c r="A396">
        <f>ROW(Source!A201)</f>
        <v>201</v>
      </c>
      <c r="B396">
        <v>16742901</v>
      </c>
      <c r="C396">
        <v>16746038</v>
      </c>
      <c r="D396">
        <v>15204729</v>
      </c>
      <c r="E396">
        <v>1</v>
      </c>
      <c r="F396">
        <v>1</v>
      </c>
      <c r="G396">
        <v>1</v>
      </c>
      <c r="H396">
        <v>3</v>
      </c>
      <c r="I396" t="s">
        <v>1434</v>
      </c>
      <c r="J396" t="s">
        <v>1435</v>
      </c>
      <c r="K396" t="s">
        <v>1436</v>
      </c>
      <c r="L396">
        <v>1348</v>
      </c>
      <c r="N396">
        <v>1009</v>
      </c>
      <c r="O396" t="s">
        <v>100</v>
      </c>
      <c r="P396" t="s">
        <v>100</v>
      </c>
      <c r="Q396">
        <v>1000</v>
      </c>
      <c r="W396">
        <v>0</v>
      </c>
      <c r="X396">
        <v>-2084827333</v>
      </c>
      <c r="Y396">
        <v>6.8000000000000005E-2</v>
      </c>
      <c r="AA396">
        <v>28168.639999999999</v>
      </c>
      <c r="AB396">
        <v>0</v>
      </c>
      <c r="AC396">
        <v>0</v>
      </c>
      <c r="AD396">
        <v>0</v>
      </c>
      <c r="AE396">
        <v>4294</v>
      </c>
      <c r="AF396">
        <v>0</v>
      </c>
      <c r="AG396">
        <v>0</v>
      </c>
      <c r="AH396">
        <v>0</v>
      </c>
      <c r="AI396">
        <v>6.56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6.8000000000000005E-2</v>
      </c>
      <c r="AU396" t="s">
        <v>6</v>
      </c>
      <c r="AV396">
        <v>0</v>
      </c>
      <c r="AW396">
        <v>2</v>
      </c>
      <c r="AX396">
        <v>16746063</v>
      </c>
      <c r="AY396">
        <v>1</v>
      </c>
      <c r="AZ396">
        <v>0</v>
      </c>
      <c r="BA396">
        <v>372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Y396*Source!I201</f>
        <v>0.10778</v>
      </c>
      <c r="CY396">
        <f t="shared" si="64"/>
        <v>28168.639999999999</v>
      </c>
      <c r="CZ396">
        <f t="shared" si="65"/>
        <v>4294</v>
      </c>
      <c r="DA396">
        <f t="shared" si="66"/>
        <v>6.56</v>
      </c>
      <c r="DB396">
        <f t="shared" si="62"/>
        <v>291.99</v>
      </c>
      <c r="DC396">
        <f t="shared" si="63"/>
        <v>0</v>
      </c>
    </row>
    <row r="397" spans="1:107" x14ac:dyDescent="0.2">
      <c r="A397">
        <f>ROW(Source!A204)</f>
        <v>204</v>
      </c>
      <c r="B397">
        <v>16742901</v>
      </c>
      <c r="C397">
        <v>16746067</v>
      </c>
      <c r="D397">
        <v>15430497</v>
      </c>
      <c r="E397">
        <v>1</v>
      </c>
      <c r="F397">
        <v>1</v>
      </c>
      <c r="G397">
        <v>1</v>
      </c>
      <c r="H397">
        <v>1</v>
      </c>
      <c r="I397" t="s">
        <v>1519</v>
      </c>
      <c r="J397" t="s">
        <v>6</v>
      </c>
      <c r="K397" t="s">
        <v>1520</v>
      </c>
      <c r="L397">
        <v>1191</v>
      </c>
      <c r="N397">
        <v>1013</v>
      </c>
      <c r="O397" t="s">
        <v>1287</v>
      </c>
      <c r="P397" t="s">
        <v>1287</v>
      </c>
      <c r="Q397">
        <v>1</v>
      </c>
      <c r="W397">
        <v>0</v>
      </c>
      <c r="X397">
        <v>-719309759</v>
      </c>
      <c r="Y397">
        <v>33.097000000000001</v>
      </c>
      <c r="AA397">
        <v>0</v>
      </c>
      <c r="AB397">
        <v>0</v>
      </c>
      <c r="AC397">
        <v>0</v>
      </c>
      <c r="AD397">
        <v>58.12</v>
      </c>
      <c r="AE397">
        <v>0</v>
      </c>
      <c r="AF397">
        <v>0</v>
      </c>
      <c r="AG397">
        <v>0</v>
      </c>
      <c r="AH397">
        <v>8.86</v>
      </c>
      <c r="AI397">
        <v>1</v>
      </c>
      <c r="AJ397">
        <v>1</v>
      </c>
      <c r="AK397">
        <v>1</v>
      </c>
      <c r="AL397">
        <v>6.56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28.78</v>
      </c>
      <c r="AU397" t="s">
        <v>188</v>
      </c>
      <c r="AV397">
        <v>1</v>
      </c>
      <c r="AW397">
        <v>2</v>
      </c>
      <c r="AX397">
        <v>16746073</v>
      </c>
      <c r="AY397">
        <v>1</v>
      </c>
      <c r="AZ397">
        <v>0</v>
      </c>
      <c r="BA397">
        <v>373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Y397*Source!I204</f>
        <v>13.238800000000001</v>
      </c>
      <c r="CY397">
        <f>AD397</f>
        <v>58.12</v>
      </c>
      <c r="CZ397">
        <f>AH397</f>
        <v>8.86</v>
      </c>
      <c r="DA397">
        <f>AL397</f>
        <v>6.56</v>
      </c>
      <c r="DB397">
        <f>ROUND((ROUND(AT397*CZ397,2)*1.15),2)</f>
        <v>293.24</v>
      </c>
      <c r="DC397">
        <f>ROUND((ROUND(AT397*AG397,2)*1.15),2)</f>
        <v>0</v>
      </c>
    </row>
    <row r="398" spans="1:107" x14ac:dyDescent="0.2">
      <c r="A398">
        <f>ROW(Source!A204)</f>
        <v>204</v>
      </c>
      <c r="B398">
        <v>16742901</v>
      </c>
      <c r="C398">
        <v>16746067</v>
      </c>
      <c r="D398">
        <v>15430395</v>
      </c>
      <c r="E398">
        <v>1</v>
      </c>
      <c r="F398">
        <v>1</v>
      </c>
      <c r="G398">
        <v>1</v>
      </c>
      <c r="H398">
        <v>1</v>
      </c>
      <c r="I398" t="s">
        <v>1293</v>
      </c>
      <c r="J398" t="s">
        <v>6</v>
      </c>
      <c r="K398" t="s">
        <v>1294</v>
      </c>
      <c r="L398">
        <v>1191</v>
      </c>
      <c r="N398">
        <v>1013</v>
      </c>
      <c r="O398" t="s">
        <v>1287</v>
      </c>
      <c r="P398" t="s">
        <v>1287</v>
      </c>
      <c r="Q398">
        <v>1</v>
      </c>
      <c r="W398">
        <v>0</v>
      </c>
      <c r="X398">
        <v>-1417349443</v>
      </c>
      <c r="Y398">
        <v>1.17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6.56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1.17</v>
      </c>
      <c r="AU398" t="s">
        <v>6</v>
      </c>
      <c r="AV398">
        <v>2</v>
      </c>
      <c r="AW398">
        <v>2</v>
      </c>
      <c r="AX398">
        <v>16746074</v>
      </c>
      <c r="AY398">
        <v>1</v>
      </c>
      <c r="AZ398">
        <v>2048</v>
      </c>
      <c r="BA398">
        <v>374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Y398*Source!I204</f>
        <v>0.46799999999999997</v>
      </c>
      <c r="CY398">
        <f>AD398</f>
        <v>0</v>
      </c>
      <c r="CZ398">
        <f>AH398</f>
        <v>0</v>
      </c>
      <c r="DA398">
        <f>AL398</f>
        <v>1</v>
      </c>
      <c r="DB398">
        <f>ROUND(ROUND(AT398*CZ398,2),2)</f>
        <v>0</v>
      </c>
      <c r="DC398">
        <f>ROUND(ROUND(AT398*AG398,2),2)</f>
        <v>0</v>
      </c>
    </row>
    <row r="399" spans="1:107" x14ac:dyDescent="0.2">
      <c r="A399">
        <f>ROW(Source!A204)</f>
        <v>204</v>
      </c>
      <c r="B399">
        <v>16742901</v>
      </c>
      <c r="C399">
        <v>16746067</v>
      </c>
      <c r="D399">
        <v>15247680</v>
      </c>
      <c r="E399">
        <v>1</v>
      </c>
      <c r="F399">
        <v>1</v>
      </c>
      <c r="G399">
        <v>1</v>
      </c>
      <c r="H399">
        <v>2</v>
      </c>
      <c r="I399" t="s">
        <v>1295</v>
      </c>
      <c r="J399" t="s">
        <v>1296</v>
      </c>
      <c r="K399" t="s">
        <v>1297</v>
      </c>
      <c r="L399">
        <v>1368</v>
      </c>
      <c r="N399">
        <v>1011</v>
      </c>
      <c r="O399" t="s">
        <v>1298</v>
      </c>
      <c r="P399" t="s">
        <v>1298</v>
      </c>
      <c r="Q399">
        <v>1</v>
      </c>
      <c r="W399">
        <v>0</v>
      </c>
      <c r="X399">
        <v>-1718674368</v>
      </c>
      <c r="Y399">
        <v>0.58749999999999991</v>
      </c>
      <c r="AA399">
        <v>0</v>
      </c>
      <c r="AB399">
        <v>734.65</v>
      </c>
      <c r="AC399">
        <v>13.5</v>
      </c>
      <c r="AD399">
        <v>0</v>
      </c>
      <c r="AE399">
        <v>0</v>
      </c>
      <c r="AF399">
        <v>111.99</v>
      </c>
      <c r="AG399">
        <v>13.5</v>
      </c>
      <c r="AH399">
        <v>0</v>
      </c>
      <c r="AI399">
        <v>1</v>
      </c>
      <c r="AJ399">
        <v>6.56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0.47</v>
      </c>
      <c r="AU399" t="s">
        <v>187</v>
      </c>
      <c r="AV399">
        <v>0</v>
      </c>
      <c r="AW399">
        <v>2</v>
      </c>
      <c r="AX399">
        <v>16746075</v>
      </c>
      <c r="AY399">
        <v>1</v>
      </c>
      <c r="AZ399">
        <v>0</v>
      </c>
      <c r="BA399">
        <v>375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Y399*Source!I204</f>
        <v>0.23499999999999999</v>
      </c>
      <c r="CY399">
        <f>AB399</f>
        <v>734.65</v>
      </c>
      <c r="CZ399">
        <f>AF399</f>
        <v>111.99</v>
      </c>
      <c r="DA399">
        <f>AJ399</f>
        <v>6.56</v>
      </c>
      <c r="DB399">
        <f>ROUND((ROUND(AT399*CZ399,2)*1.25),2)</f>
        <v>65.8</v>
      </c>
      <c r="DC399">
        <f>ROUND((ROUND(AT399*AG399,2)*1.25),2)</f>
        <v>7.94</v>
      </c>
    </row>
    <row r="400" spans="1:107" x14ac:dyDescent="0.2">
      <c r="A400">
        <f>ROW(Source!A204)</f>
        <v>204</v>
      </c>
      <c r="B400">
        <v>16742901</v>
      </c>
      <c r="C400">
        <v>16746067</v>
      </c>
      <c r="D400">
        <v>15249073</v>
      </c>
      <c r="E400">
        <v>1</v>
      </c>
      <c r="F400">
        <v>1</v>
      </c>
      <c r="G400">
        <v>1</v>
      </c>
      <c r="H400">
        <v>2</v>
      </c>
      <c r="I400" t="s">
        <v>1299</v>
      </c>
      <c r="J400" t="s">
        <v>1300</v>
      </c>
      <c r="K400" t="s">
        <v>1301</v>
      </c>
      <c r="L400">
        <v>1368</v>
      </c>
      <c r="N400">
        <v>1011</v>
      </c>
      <c r="O400" t="s">
        <v>1298</v>
      </c>
      <c r="P400" t="s">
        <v>1298</v>
      </c>
      <c r="Q400">
        <v>1</v>
      </c>
      <c r="W400">
        <v>0</v>
      </c>
      <c r="X400">
        <v>1372534845</v>
      </c>
      <c r="Y400">
        <v>0.875</v>
      </c>
      <c r="AA400">
        <v>0</v>
      </c>
      <c r="AB400">
        <v>431.06</v>
      </c>
      <c r="AC400">
        <v>11.6</v>
      </c>
      <c r="AD400">
        <v>0</v>
      </c>
      <c r="AE400">
        <v>0</v>
      </c>
      <c r="AF400">
        <v>65.709999999999994</v>
      </c>
      <c r="AG400">
        <v>11.6</v>
      </c>
      <c r="AH400">
        <v>0</v>
      </c>
      <c r="AI400">
        <v>1</v>
      </c>
      <c r="AJ400">
        <v>6.56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0.7</v>
      </c>
      <c r="AU400" t="s">
        <v>187</v>
      </c>
      <c r="AV400">
        <v>0</v>
      </c>
      <c r="AW400">
        <v>2</v>
      </c>
      <c r="AX400">
        <v>16746076</v>
      </c>
      <c r="AY400">
        <v>1</v>
      </c>
      <c r="AZ400">
        <v>0</v>
      </c>
      <c r="BA400">
        <v>376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Y400*Source!I204</f>
        <v>0.35000000000000003</v>
      </c>
      <c r="CY400">
        <f>AB400</f>
        <v>431.06</v>
      </c>
      <c r="CZ400">
        <f>AF400</f>
        <v>65.709999999999994</v>
      </c>
      <c r="DA400">
        <f>AJ400</f>
        <v>6.56</v>
      </c>
      <c r="DB400">
        <f>ROUND((ROUND(AT400*CZ400,2)*1.25),2)</f>
        <v>57.5</v>
      </c>
      <c r="DC400">
        <f>ROUND((ROUND(AT400*AG400,2)*1.25),2)</f>
        <v>10.15</v>
      </c>
    </row>
    <row r="401" spans="1:107" x14ac:dyDescent="0.2">
      <c r="A401">
        <f>ROW(Source!A204)</f>
        <v>204</v>
      </c>
      <c r="B401">
        <v>16742901</v>
      </c>
      <c r="C401">
        <v>16746067</v>
      </c>
      <c r="D401">
        <v>15170039</v>
      </c>
      <c r="E401">
        <v>1</v>
      </c>
      <c r="F401">
        <v>1</v>
      </c>
      <c r="G401">
        <v>1</v>
      </c>
      <c r="H401">
        <v>3</v>
      </c>
      <c r="I401" t="s">
        <v>1365</v>
      </c>
      <c r="J401" t="s">
        <v>1366</v>
      </c>
      <c r="K401" t="s">
        <v>1367</v>
      </c>
      <c r="L401">
        <v>1348</v>
      </c>
      <c r="N401">
        <v>1009</v>
      </c>
      <c r="O401" t="s">
        <v>100</v>
      </c>
      <c r="P401" t="s">
        <v>100</v>
      </c>
      <c r="Q401">
        <v>1000</v>
      </c>
      <c r="W401">
        <v>0</v>
      </c>
      <c r="X401">
        <v>1174701286</v>
      </c>
      <c r="Y401">
        <v>7.62E-3</v>
      </c>
      <c r="AA401">
        <v>78575.679999999993</v>
      </c>
      <c r="AB401">
        <v>0</v>
      </c>
      <c r="AC401">
        <v>0</v>
      </c>
      <c r="AD401">
        <v>0</v>
      </c>
      <c r="AE401">
        <v>11978</v>
      </c>
      <c r="AF401">
        <v>0</v>
      </c>
      <c r="AG401">
        <v>0</v>
      </c>
      <c r="AH401">
        <v>0</v>
      </c>
      <c r="AI401">
        <v>6.56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7.62E-3</v>
      </c>
      <c r="AU401" t="s">
        <v>6</v>
      </c>
      <c r="AV401">
        <v>0</v>
      </c>
      <c r="AW401">
        <v>2</v>
      </c>
      <c r="AX401">
        <v>16746077</v>
      </c>
      <c r="AY401">
        <v>1</v>
      </c>
      <c r="AZ401">
        <v>0</v>
      </c>
      <c r="BA401">
        <v>377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Y401*Source!I204</f>
        <v>3.0480000000000004E-3</v>
      </c>
      <c r="CY401">
        <f>AA401</f>
        <v>78575.679999999993</v>
      </c>
      <c r="CZ401">
        <f>AE401</f>
        <v>11978</v>
      </c>
      <c r="DA401">
        <f>AI401</f>
        <v>6.56</v>
      </c>
      <c r="DB401">
        <f>ROUND(ROUND(AT401*CZ401,2),2)</f>
        <v>91.27</v>
      </c>
      <c r="DC401">
        <f>ROUND(ROUND(AT401*AG401,2),2)</f>
        <v>0</v>
      </c>
    </row>
    <row r="402" spans="1:107" x14ac:dyDescent="0.2">
      <c r="A402">
        <f>ROW(Source!A205)</f>
        <v>205</v>
      </c>
      <c r="B402">
        <v>16742901</v>
      </c>
      <c r="C402">
        <v>16746078</v>
      </c>
      <c r="D402">
        <v>15435099</v>
      </c>
      <c r="E402">
        <v>1</v>
      </c>
      <c r="F402">
        <v>1</v>
      </c>
      <c r="G402">
        <v>1</v>
      </c>
      <c r="H402">
        <v>1</v>
      </c>
      <c r="I402" t="s">
        <v>1463</v>
      </c>
      <c r="J402" t="s">
        <v>6</v>
      </c>
      <c r="K402" t="s">
        <v>1464</v>
      </c>
      <c r="L402">
        <v>1191</v>
      </c>
      <c r="N402">
        <v>1013</v>
      </c>
      <c r="O402" t="s">
        <v>1287</v>
      </c>
      <c r="P402" t="s">
        <v>1287</v>
      </c>
      <c r="Q402">
        <v>1</v>
      </c>
      <c r="W402">
        <v>0</v>
      </c>
      <c r="X402">
        <v>1010519658</v>
      </c>
      <c r="Y402">
        <v>92.839500000000001</v>
      </c>
      <c r="AA402">
        <v>0</v>
      </c>
      <c r="AB402">
        <v>0</v>
      </c>
      <c r="AC402">
        <v>0</v>
      </c>
      <c r="AD402">
        <v>56.68</v>
      </c>
      <c r="AE402">
        <v>0</v>
      </c>
      <c r="AF402">
        <v>0</v>
      </c>
      <c r="AG402">
        <v>0</v>
      </c>
      <c r="AH402">
        <v>8.64</v>
      </c>
      <c r="AI402">
        <v>1</v>
      </c>
      <c r="AJ402">
        <v>1</v>
      </c>
      <c r="AK402">
        <v>1</v>
      </c>
      <c r="AL402">
        <v>6.56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80.73</v>
      </c>
      <c r="AU402" t="s">
        <v>188</v>
      </c>
      <c r="AV402">
        <v>1</v>
      </c>
      <c r="AW402">
        <v>2</v>
      </c>
      <c r="AX402">
        <v>16746086</v>
      </c>
      <c r="AY402">
        <v>1</v>
      </c>
      <c r="AZ402">
        <v>0</v>
      </c>
      <c r="BA402">
        <v>378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Y402*Source!I205</f>
        <v>18.567900000000002</v>
      </c>
      <c r="CY402">
        <f>AD402</f>
        <v>56.68</v>
      </c>
      <c r="CZ402">
        <f>AH402</f>
        <v>8.64</v>
      </c>
      <c r="DA402">
        <f>AL402</f>
        <v>6.56</v>
      </c>
      <c r="DB402">
        <f>ROUND((ROUND(AT402*CZ402,2)*1.15),2)</f>
        <v>802.14</v>
      </c>
      <c r="DC402">
        <f>ROUND((ROUND(AT402*AG402,2)*1.15),2)</f>
        <v>0</v>
      </c>
    </row>
    <row r="403" spans="1:107" x14ac:dyDescent="0.2">
      <c r="A403">
        <f>ROW(Source!A205)</f>
        <v>205</v>
      </c>
      <c r="B403">
        <v>16742901</v>
      </c>
      <c r="C403">
        <v>16746078</v>
      </c>
      <c r="D403">
        <v>15430395</v>
      </c>
      <c r="E403">
        <v>1</v>
      </c>
      <c r="F403">
        <v>1</v>
      </c>
      <c r="G403">
        <v>1</v>
      </c>
      <c r="H403">
        <v>1</v>
      </c>
      <c r="I403" t="s">
        <v>1293</v>
      </c>
      <c r="J403" t="s">
        <v>6</v>
      </c>
      <c r="K403" t="s">
        <v>1294</v>
      </c>
      <c r="L403">
        <v>1191</v>
      </c>
      <c r="N403">
        <v>1013</v>
      </c>
      <c r="O403" t="s">
        <v>1287</v>
      </c>
      <c r="P403" t="s">
        <v>1287</v>
      </c>
      <c r="Q403">
        <v>1</v>
      </c>
      <c r="W403">
        <v>0</v>
      </c>
      <c r="X403">
        <v>-1417349443</v>
      </c>
      <c r="Y403">
        <v>0.01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6.56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0.01</v>
      </c>
      <c r="AU403" t="s">
        <v>6</v>
      </c>
      <c r="AV403">
        <v>2</v>
      </c>
      <c r="AW403">
        <v>2</v>
      </c>
      <c r="AX403">
        <v>16746087</v>
      </c>
      <c r="AY403">
        <v>1</v>
      </c>
      <c r="AZ403">
        <v>2048</v>
      </c>
      <c r="BA403">
        <v>379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Y403*Source!I205</f>
        <v>2E-3</v>
      </c>
      <c r="CY403">
        <f>AD403</f>
        <v>0</v>
      </c>
      <c r="CZ403">
        <f>AH403</f>
        <v>0</v>
      </c>
      <c r="DA403">
        <f>AL403</f>
        <v>1</v>
      </c>
      <c r="DB403">
        <f>ROUND(ROUND(AT403*CZ403,2),2)</f>
        <v>0</v>
      </c>
      <c r="DC403">
        <f>ROUND(ROUND(AT403*AG403,2),2)</f>
        <v>0</v>
      </c>
    </row>
    <row r="404" spans="1:107" x14ac:dyDescent="0.2">
      <c r="A404">
        <f>ROW(Source!A205)</f>
        <v>205</v>
      </c>
      <c r="B404">
        <v>16742901</v>
      </c>
      <c r="C404">
        <v>16746078</v>
      </c>
      <c r="D404">
        <v>15249073</v>
      </c>
      <c r="E404">
        <v>1</v>
      </c>
      <c r="F404">
        <v>1</v>
      </c>
      <c r="G404">
        <v>1</v>
      </c>
      <c r="H404">
        <v>2</v>
      </c>
      <c r="I404" t="s">
        <v>1299</v>
      </c>
      <c r="J404" t="s">
        <v>1300</v>
      </c>
      <c r="K404" t="s">
        <v>1301</v>
      </c>
      <c r="L404">
        <v>1368</v>
      </c>
      <c r="N404">
        <v>1011</v>
      </c>
      <c r="O404" t="s">
        <v>1298</v>
      </c>
      <c r="P404" t="s">
        <v>1298</v>
      </c>
      <c r="Q404">
        <v>1</v>
      </c>
      <c r="W404">
        <v>0</v>
      </c>
      <c r="X404">
        <v>1372534845</v>
      </c>
      <c r="Y404">
        <v>1.2500000000000001E-2</v>
      </c>
      <c r="AA404">
        <v>0</v>
      </c>
      <c r="AB404">
        <v>431.06</v>
      </c>
      <c r="AC404">
        <v>11.6</v>
      </c>
      <c r="AD404">
        <v>0</v>
      </c>
      <c r="AE404">
        <v>0</v>
      </c>
      <c r="AF404">
        <v>65.709999999999994</v>
      </c>
      <c r="AG404">
        <v>11.6</v>
      </c>
      <c r="AH404">
        <v>0</v>
      </c>
      <c r="AI404">
        <v>1</v>
      </c>
      <c r="AJ404">
        <v>6.56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0.01</v>
      </c>
      <c r="AU404" t="s">
        <v>187</v>
      </c>
      <c r="AV404">
        <v>0</v>
      </c>
      <c r="AW404">
        <v>2</v>
      </c>
      <c r="AX404">
        <v>16746088</v>
      </c>
      <c r="AY404">
        <v>1</v>
      </c>
      <c r="AZ404">
        <v>0</v>
      </c>
      <c r="BA404">
        <v>380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Y404*Source!I205</f>
        <v>2.5000000000000005E-3</v>
      </c>
      <c r="CY404">
        <f>AB404</f>
        <v>431.06</v>
      </c>
      <c r="CZ404">
        <f>AF404</f>
        <v>65.709999999999994</v>
      </c>
      <c r="DA404">
        <f>AJ404</f>
        <v>6.56</v>
      </c>
      <c r="DB404">
        <f>ROUND((ROUND(AT404*CZ404,2)*1.25),2)</f>
        <v>0.83</v>
      </c>
      <c r="DC404">
        <f>ROUND((ROUND(AT404*AG404,2)*1.25),2)</f>
        <v>0.15</v>
      </c>
    </row>
    <row r="405" spans="1:107" x14ac:dyDescent="0.2">
      <c r="A405">
        <f>ROW(Source!A205)</f>
        <v>205</v>
      </c>
      <c r="B405">
        <v>16742901</v>
      </c>
      <c r="C405">
        <v>16746078</v>
      </c>
      <c r="D405">
        <v>15171018</v>
      </c>
      <c r="E405">
        <v>1</v>
      </c>
      <c r="F405">
        <v>1</v>
      </c>
      <c r="G405">
        <v>1</v>
      </c>
      <c r="H405">
        <v>3</v>
      </c>
      <c r="I405" t="s">
        <v>1431</v>
      </c>
      <c r="J405" t="s">
        <v>1432</v>
      </c>
      <c r="K405" t="s">
        <v>1433</v>
      </c>
      <c r="L405">
        <v>1346</v>
      </c>
      <c r="N405">
        <v>1009</v>
      </c>
      <c r="O405" t="s">
        <v>341</v>
      </c>
      <c r="P405" t="s">
        <v>341</v>
      </c>
      <c r="Q405">
        <v>1</v>
      </c>
      <c r="W405">
        <v>0</v>
      </c>
      <c r="X405">
        <v>813963326</v>
      </c>
      <c r="Y405">
        <v>0.1</v>
      </c>
      <c r="AA405">
        <v>11.94</v>
      </c>
      <c r="AB405">
        <v>0</v>
      </c>
      <c r="AC405">
        <v>0</v>
      </c>
      <c r="AD405">
        <v>0</v>
      </c>
      <c r="AE405">
        <v>1.82</v>
      </c>
      <c r="AF405">
        <v>0</v>
      </c>
      <c r="AG405">
        <v>0</v>
      </c>
      <c r="AH405">
        <v>0</v>
      </c>
      <c r="AI405">
        <v>6.56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0.1</v>
      </c>
      <c r="AU405" t="s">
        <v>6</v>
      </c>
      <c r="AV405">
        <v>0</v>
      </c>
      <c r="AW405">
        <v>2</v>
      </c>
      <c r="AX405">
        <v>16746089</v>
      </c>
      <c r="AY405">
        <v>1</v>
      </c>
      <c r="AZ405">
        <v>0</v>
      </c>
      <c r="BA405">
        <v>381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Y405*Source!I205</f>
        <v>2.0000000000000004E-2</v>
      </c>
      <c r="CY405">
        <f>AA405</f>
        <v>11.94</v>
      </c>
      <c r="CZ405">
        <f>AE405</f>
        <v>1.82</v>
      </c>
      <c r="DA405">
        <f>AI405</f>
        <v>6.56</v>
      </c>
      <c r="DB405">
        <f>ROUND(ROUND(AT405*CZ405,2),2)</f>
        <v>0.18</v>
      </c>
      <c r="DC405">
        <f>ROUND(ROUND(AT405*AG405,2),2)</f>
        <v>0</v>
      </c>
    </row>
    <row r="406" spans="1:107" x14ac:dyDescent="0.2">
      <c r="A406">
        <f>ROW(Source!A205)</f>
        <v>205</v>
      </c>
      <c r="B406">
        <v>16742901</v>
      </c>
      <c r="C406">
        <v>16746078</v>
      </c>
      <c r="D406">
        <v>15163068</v>
      </c>
      <c r="E406">
        <v>17</v>
      </c>
      <c r="F406">
        <v>1</v>
      </c>
      <c r="G406">
        <v>1</v>
      </c>
      <c r="H406">
        <v>3</v>
      </c>
      <c r="I406" t="s">
        <v>640</v>
      </c>
      <c r="J406" t="s">
        <v>6</v>
      </c>
      <c r="K406" t="s">
        <v>641</v>
      </c>
      <c r="L406">
        <v>1348</v>
      </c>
      <c r="N406">
        <v>1009</v>
      </c>
      <c r="O406" t="s">
        <v>100</v>
      </c>
      <c r="P406" t="s">
        <v>100</v>
      </c>
      <c r="Q406">
        <v>1000</v>
      </c>
      <c r="W406">
        <v>0</v>
      </c>
      <c r="X406">
        <v>50625944</v>
      </c>
      <c r="Y406">
        <v>1.3599999999999999E-2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6.56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6</v>
      </c>
      <c r="AT406">
        <v>1.3599999999999999E-2</v>
      </c>
      <c r="AU406" t="s">
        <v>6</v>
      </c>
      <c r="AV406">
        <v>0</v>
      </c>
      <c r="AW406">
        <v>2</v>
      </c>
      <c r="AX406">
        <v>16746090</v>
      </c>
      <c r="AY406">
        <v>1</v>
      </c>
      <c r="AZ406">
        <v>0</v>
      </c>
      <c r="BA406">
        <v>382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Y406*Source!I205</f>
        <v>2.7200000000000002E-3</v>
      </c>
      <c r="CY406">
        <f>AA406</f>
        <v>0</v>
      </c>
      <c r="CZ406">
        <f>AE406</f>
        <v>0</v>
      </c>
      <c r="DA406">
        <f>AI406</f>
        <v>6.56</v>
      </c>
      <c r="DB406">
        <f>ROUND(ROUND(AT406*CZ406,2),2)</f>
        <v>0</v>
      </c>
      <c r="DC406">
        <f>ROUND(ROUND(AT406*AG406,2),2)</f>
        <v>0</v>
      </c>
    </row>
    <row r="407" spans="1:107" x14ac:dyDescent="0.2">
      <c r="A407">
        <f>ROW(Source!A205)</f>
        <v>205</v>
      </c>
      <c r="B407">
        <v>16742901</v>
      </c>
      <c r="C407">
        <v>16746078</v>
      </c>
      <c r="D407">
        <v>15203725</v>
      </c>
      <c r="E407">
        <v>1</v>
      </c>
      <c r="F407">
        <v>1</v>
      </c>
      <c r="G407">
        <v>1</v>
      </c>
      <c r="H407">
        <v>3</v>
      </c>
      <c r="I407" t="s">
        <v>636</v>
      </c>
      <c r="J407" t="s">
        <v>638</v>
      </c>
      <c r="K407" t="s">
        <v>637</v>
      </c>
      <c r="L407">
        <v>1348</v>
      </c>
      <c r="N407">
        <v>1009</v>
      </c>
      <c r="O407" t="s">
        <v>100</v>
      </c>
      <c r="P407" t="s">
        <v>100</v>
      </c>
      <c r="Q407">
        <v>1000</v>
      </c>
      <c r="W407">
        <v>0</v>
      </c>
      <c r="X407">
        <v>-777870615</v>
      </c>
      <c r="Y407">
        <v>1.3599999999999999E-2</v>
      </c>
      <c r="AA407">
        <v>278853.73</v>
      </c>
      <c r="AB407">
        <v>0</v>
      </c>
      <c r="AC407">
        <v>0</v>
      </c>
      <c r="AD407">
        <v>0</v>
      </c>
      <c r="AE407">
        <v>42508.19</v>
      </c>
      <c r="AF407">
        <v>0</v>
      </c>
      <c r="AG407">
        <v>0</v>
      </c>
      <c r="AH407">
        <v>0</v>
      </c>
      <c r="AI407">
        <v>6.56</v>
      </c>
      <c r="AJ407">
        <v>1</v>
      </c>
      <c r="AK407">
        <v>1</v>
      </c>
      <c r="AL407">
        <v>1</v>
      </c>
      <c r="AN407">
        <v>0</v>
      </c>
      <c r="AO407">
        <v>0</v>
      </c>
      <c r="AP407">
        <v>0</v>
      </c>
      <c r="AQ407">
        <v>0</v>
      </c>
      <c r="AR407">
        <v>0</v>
      </c>
      <c r="AS407" t="s">
        <v>6</v>
      </c>
      <c r="AT407">
        <v>1.3599999999999999E-2</v>
      </c>
      <c r="AU407" t="s">
        <v>6</v>
      </c>
      <c r="AV407">
        <v>0</v>
      </c>
      <c r="AW407">
        <v>1</v>
      </c>
      <c r="AX407">
        <v>-1</v>
      </c>
      <c r="AY407">
        <v>0</v>
      </c>
      <c r="AZ407">
        <v>0</v>
      </c>
      <c r="BA407" t="s">
        <v>6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Y407*Source!I205</f>
        <v>2.7200000000000002E-3</v>
      </c>
      <c r="CY407">
        <f>AA407</f>
        <v>278853.73</v>
      </c>
      <c r="CZ407">
        <f>AE407</f>
        <v>42508.19</v>
      </c>
      <c r="DA407">
        <f>AI407</f>
        <v>6.56</v>
      </c>
      <c r="DB407">
        <f>ROUND(ROUND(AT407*CZ407,2),2)</f>
        <v>578.11</v>
      </c>
      <c r="DC407">
        <f>ROUND(ROUND(AT407*AG407,2),2)</f>
        <v>0</v>
      </c>
    </row>
    <row r="408" spans="1:107" x14ac:dyDescent="0.2">
      <c r="A408">
        <f>ROW(Source!A205)</f>
        <v>205</v>
      </c>
      <c r="B408">
        <v>16742901</v>
      </c>
      <c r="C408">
        <v>16746078</v>
      </c>
      <c r="D408">
        <v>15204468</v>
      </c>
      <c r="E408">
        <v>1</v>
      </c>
      <c r="F408">
        <v>1</v>
      </c>
      <c r="G408">
        <v>1</v>
      </c>
      <c r="H408">
        <v>3</v>
      </c>
      <c r="I408" t="s">
        <v>1623</v>
      </c>
      <c r="J408" t="s">
        <v>1624</v>
      </c>
      <c r="K408" t="s">
        <v>1625</v>
      </c>
      <c r="L408">
        <v>1348</v>
      </c>
      <c r="N408">
        <v>1009</v>
      </c>
      <c r="O408" t="s">
        <v>100</v>
      </c>
      <c r="P408" t="s">
        <v>100</v>
      </c>
      <c r="Q408">
        <v>1000</v>
      </c>
      <c r="W408">
        <v>0</v>
      </c>
      <c r="X408">
        <v>-909021926</v>
      </c>
      <c r="Y408">
        <v>7.0000000000000001E-3</v>
      </c>
      <c r="AA408">
        <v>111192</v>
      </c>
      <c r="AB408">
        <v>0</v>
      </c>
      <c r="AC408">
        <v>0</v>
      </c>
      <c r="AD408">
        <v>0</v>
      </c>
      <c r="AE408">
        <v>16950</v>
      </c>
      <c r="AF408">
        <v>0</v>
      </c>
      <c r="AG408">
        <v>0</v>
      </c>
      <c r="AH408">
        <v>0</v>
      </c>
      <c r="AI408">
        <v>6.56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7.0000000000000001E-3</v>
      </c>
      <c r="AU408" t="s">
        <v>6</v>
      </c>
      <c r="AV408">
        <v>0</v>
      </c>
      <c r="AW408">
        <v>2</v>
      </c>
      <c r="AX408">
        <v>16746091</v>
      </c>
      <c r="AY408">
        <v>1</v>
      </c>
      <c r="AZ408">
        <v>0</v>
      </c>
      <c r="BA408">
        <v>383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Y408*Source!I205</f>
        <v>1.4000000000000002E-3</v>
      </c>
      <c r="CY408">
        <f>AA408</f>
        <v>111192</v>
      </c>
      <c r="CZ408">
        <f>AE408</f>
        <v>16950</v>
      </c>
      <c r="DA408">
        <f>AI408</f>
        <v>6.56</v>
      </c>
      <c r="DB408">
        <f>ROUND(ROUND(AT408*CZ408,2),2)</f>
        <v>118.65</v>
      </c>
      <c r="DC408">
        <f>ROUND(ROUND(AT408*AG408,2),2)</f>
        <v>0</v>
      </c>
    </row>
    <row r="409" spans="1:107" x14ac:dyDescent="0.2">
      <c r="A409">
        <f>ROW(Source!A208)</f>
        <v>208</v>
      </c>
      <c r="B409">
        <v>16742901</v>
      </c>
      <c r="C409">
        <v>16746094</v>
      </c>
      <c r="D409">
        <v>15435099</v>
      </c>
      <c r="E409">
        <v>1</v>
      </c>
      <c r="F409">
        <v>1</v>
      </c>
      <c r="G409">
        <v>1</v>
      </c>
      <c r="H409">
        <v>1</v>
      </c>
      <c r="I409" t="s">
        <v>1463</v>
      </c>
      <c r="J409" t="s">
        <v>6</v>
      </c>
      <c r="K409" t="s">
        <v>1464</v>
      </c>
      <c r="L409">
        <v>1191</v>
      </c>
      <c r="N409">
        <v>1013</v>
      </c>
      <c r="O409" t="s">
        <v>1287</v>
      </c>
      <c r="P409" t="s">
        <v>1287</v>
      </c>
      <c r="Q409">
        <v>1</v>
      </c>
      <c r="W409">
        <v>0</v>
      </c>
      <c r="X409">
        <v>1010519658</v>
      </c>
      <c r="Y409">
        <v>58.86849999999999</v>
      </c>
      <c r="AA409">
        <v>0</v>
      </c>
      <c r="AB409">
        <v>0</v>
      </c>
      <c r="AC409">
        <v>0</v>
      </c>
      <c r="AD409">
        <v>56.68</v>
      </c>
      <c r="AE409">
        <v>0</v>
      </c>
      <c r="AF409">
        <v>0</v>
      </c>
      <c r="AG409">
        <v>0</v>
      </c>
      <c r="AH409">
        <v>8.64</v>
      </c>
      <c r="AI409">
        <v>1</v>
      </c>
      <c r="AJ409">
        <v>1</v>
      </c>
      <c r="AK409">
        <v>1</v>
      </c>
      <c r="AL409">
        <v>6.56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51.19</v>
      </c>
      <c r="AU409" t="s">
        <v>188</v>
      </c>
      <c r="AV409">
        <v>1</v>
      </c>
      <c r="AW409">
        <v>2</v>
      </c>
      <c r="AX409">
        <v>16746106</v>
      </c>
      <c r="AY409">
        <v>1</v>
      </c>
      <c r="AZ409">
        <v>0</v>
      </c>
      <c r="BA409">
        <v>384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Y409*Source!I208</f>
        <v>4.7094799999999992</v>
      </c>
      <c r="CY409">
        <f>AD409</f>
        <v>56.68</v>
      </c>
      <c r="CZ409">
        <f>AH409</f>
        <v>8.64</v>
      </c>
      <c r="DA409">
        <f>AL409</f>
        <v>6.56</v>
      </c>
      <c r="DB409">
        <f>ROUND((ROUND(AT409*CZ409,2)*1.15),2)</f>
        <v>508.62</v>
      </c>
      <c r="DC409">
        <f>ROUND((ROUND(AT409*AG409,2)*1.15),2)</f>
        <v>0</v>
      </c>
    </row>
    <row r="410" spans="1:107" x14ac:dyDescent="0.2">
      <c r="A410">
        <f>ROW(Source!A208)</f>
        <v>208</v>
      </c>
      <c r="B410">
        <v>16742901</v>
      </c>
      <c r="C410">
        <v>16746094</v>
      </c>
      <c r="D410">
        <v>15430395</v>
      </c>
      <c r="E410">
        <v>1</v>
      </c>
      <c r="F410">
        <v>1</v>
      </c>
      <c r="G410">
        <v>1</v>
      </c>
      <c r="H410">
        <v>1</v>
      </c>
      <c r="I410" t="s">
        <v>1293</v>
      </c>
      <c r="J410" t="s">
        <v>6</v>
      </c>
      <c r="K410" t="s">
        <v>1294</v>
      </c>
      <c r="L410">
        <v>1191</v>
      </c>
      <c r="N410">
        <v>1013</v>
      </c>
      <c r="O410" t="s">
        <v>1287</v>
      </c>
      <c r="P410" t="s">
        <v>1287</v>
      </c>
      <c r="Q410">
        <v>1</v>
      </c>
      <c r="W410">
        <v>0</v>
      </c>
      <c r="X410">
        <v>-1417349443</v>
      </c>
      <c r="Y410">
        <v>0.16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6.56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0.16</v>
      </c>
      <c r="AU410" t="s">
        <v>6</v>
      </c>
      <c r="AV410">
        <v>2</v>
      </c>
      <c r="AW410">
        <v>2</v>
      </c>
      <c r="AX410">
        <v>16746107</v>
      </c>
      <c r="AY410">
        <v>1</v>
      </c>
      <c r="AZ410">
        <v>2048</v>
      </c>
      <c r="BA410">
        <v>385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Y410*Source!I208</f>
        <v>1.2800000000000001E-2</v>
      </c>
      <c r="CY410">
        <f>AD410</f>
        <v>0</v>
      </c>
      <c r="CZ410">
        <f>AH410</f>
        <v>0</v>
      </c>
      <c r="DA410">
        <f>AL410</f>
        <v>1</v>
      </c>
      <c r="DB410">
        <f>ROUND(ROUND(AT410*CZ410,2),2)</f>
        <v>0</v>
      </c>
      <c r="DC410">
        <f>ROUND(ROUND(AT410*AG410,2),2)</f>
        <v>0</v>
      </c>
    </row>
    <row r="411" spans="1:107" x14ac:dyDescent="0.2">
      <c r="A411">
        <f>ROW(Source!A208)</f>
        <v>208</v>
      </c>
      <c r="B411">
        <v>16742901</v>
      </c>
      <c r="C411">
        <v>16746094</v>
      </c>
      <c r="D411">
        <v>15247974</v>
      </c>
      <c r="E411">
        <v>1</v>
      </c>
      <c r="F411">
        <v>1</v>
      </c>
      <c r="G411">
        <v>1</v>
      </c>
      <c r="H411">
        <v>2</v>
      </c>
      <c r="I411" t="s">
        <v>1314</v>
      </c>
      <c r="J411" t="s">
        <v>1315</v>
      </c>
      <c r="K411" t="s">
        <v>1316</v>
      </c>
      <c r="L411">
        <v>1368</v>
      </c>
      <c r="N411">
        <v>1011</v>
      </c>
      <c r="O411" t="s">
        <v>1298</v>
      </c>
      <c r="P411" t="s">
        <v>1298</v>
      </c>
      <c r="Q411">
        <v>1</v>
      </c>
      <c r="W411">
        <v>0</v>
      </c>
      <c r="X411">
        <v>1188625873</v>
      </c>
      <c r="Y411">
        <v>0.125</v>
      </c>
      <c r="AA411">
        <v>0</v>
      </c>
      <c r="AB411">
        <v>205.07</v>
      </c>
      <c r="AC411">
        <v>13.5</v>
      </c>
      <c r="AD411">
        <v>0</v>
      </c>
      <c r="AE411">
        <v>0</v>
      </c>
      <c r="AF411">
        <v>31.26</v>
      </c>
      <c r="AG411">
        <v>13.5</v>
      </c>
      <c r="AH411">
        <v>0</v>
      </c>
      <c r="AI411">
        <v>1</v>
      </c>
      <c r="AJ411">
        <v>6.56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0.1</v>
      </c>
      <c r="AU411" t="s">
        <v>187</v>
      </c>
      <c r="AV411">
        <v>0</v>
      </c>
      <c r="AW411">
        <v>2</v>
      </c>
      <c r="AX411">
        <v>16746108</v>
      </c>
      <c r="AY411">
        <v>1</v>
      </c>
      <c r="AZ411">
        <v>0</v>
      </c>
      <c r="BA411">
        <v>386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Y411*Source!I208</f>
        <v>0.01</v>
      </c>
      <c r="CY411">
        <f>AB411</f>
        <v>205.07</v>
      </c>
      <c r="CZ411">
        <f>AF411</f>
        <v>31.26</v>
      </c>
      <c r="DA411">
        <f>AJ411</f>
        <v>6.56</v>
      </c>
      <c r="DB411">
        <f>ROUND((ROUND(AT411*CZ411,2)*1.25),2)</f>
        <v>3.91</v>
      </c>
      <c r="DC411">
        <f>ROUND((ROUND(AT411*AG411,2)*1.25),2)</f>
        <v>1.69</v>
      </c>
    </row>
    <row r="412" spans="1:107" x14ac:dyDescent="0.2">
      <c r="A412">
        <f>ROW(Source!A208)</f>
        <v>208</v>
      </c>
      <c r="B412">
        <v>16742901</v>
      </c>
      <c r="C412">
        <v>16746094</v>
      </c>
      <c r="D412">
        <v>15249073</v>
      </c>
      <c r="E412">
        <v>1</v>
      </c>
      <c r="F412">
        <v>1</v>
      </c>
      <c r="G412">
        <v>1</v>
      </c>
      <c r="H412">
        <v>2</v>
      </c>
      <c r="I412" t="s">
        <v>1299</v>
      </c>
      <c r="J412" t="s">
        <v>1300</v>
      </c>
      <c r="K412" t="s">
        <v>1301</v>
      </c>
      <c r="L412">
        <v>1368</v>
      </c>
      <c r="N412">
        <v>1011</v>
      </c>
      <c r="O412" t="s">
        <v>1298</v>
      </c>
      <c r="P412" t="s">
        <v>1298</v>
      </c>
      <c r="Q412">
        <v>1</v>
      </c>
      <c r="W412">
        <v>0</v>
      </c>
      <c r="X412">
        <v>1372534845</v>
      </c>
      <c r="Y412">
        <v>7.4999999999999997E-2</v>
      </c>
      <c r="AA412">
        <v>0</v>
      </c>
      <c r="AB412">
        <v>431.06</v>
      </c>
      <c r="AC412">
        <v>11.6</v>
      </c>
      <c r="AD412">
        <v>0</v>
      </c>
      <c r="AE412">
        <v>0</v>
      </c>
      <c r="AF412">
        <v>65.709999999999994</v>
      </c>
      <c r="AG412">
        <v>11.6</v>
      </c>
      <c r="AH412">
        <v>0</v>
      </c>
      <c r="AI412">
        <v>1</v>
      </c>
      <c r="AJ412">
        <v>6.56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0.06</v>
      </c>
      <c r="AU412" t="s">
        <v>187</v>
      </c>
      <c r="AV412">
        <v>0</v>
      </c>
      <c r="AW412">
        <v>2</v>
      </c>
      <c r="AX412">
        <v>16746109</v>
      </c>
      <c r="AY412">
        <v>1</v>
      </c>
      <c r="AZ412">
        <v>0</v>
      </c>
      <c r="BA412">
        <v>387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Y412*Source!I208</f>
        <v>6.0000000000000001E-3</v>
      </c>
      <c r="CY412">
        <f>AB412</f>
        <v>431.06</v>
      </c>
      <c r="CZ412">
        <f>AF412</f>
        <v>65.709999999999994</v>
      </c>
      <c r="DA412">
        <f>AJ412</f>
        <v>6.56</v>
      </c>
      <c r="DB412">
        <f>ROUND((ROUND(AT412*CZ412,2)*1.25),2)</f>
        <v>4.93</v>
      </c>
      <c r="DC412">
        <f>ROUND((ROUND(AT412*AG412,2)*1.25),2)</f>
        <v>0.88</v>
      </c>
    </row>
    <row r="413" spans="1:107" x14ac:dyDescent="0.2">
      <c r="A413">
        <f>ROW(Source!A208)</f>
        <v>208</v>
      </c>
      <c r="B413">
        <v>16742901</v>
      </c>
      <c r="C413">
        <v>16746094</v>
      </c>
      <c r="D413">
        <v>15170682</v>
      </c>
      <c r="E413">
        <v>1</v>
      </c>
      <c r="F413">
        <v>1</v>
      </c>
      <c r="G413">
        <v>1</v>
      </c>
      <c r="H413">
        <v>3</v>
      </c>
      <c r="I413" t="s">
        <v>1428</v>
      </c>
      <c r="J413" t="s">
        <v>1429</v>
      </c>
      <c r="K413" t="s">
        <v>1430</v>
      </c>
      <c r="L413">
        <v>1327</v>
      </c>
      <c r="N413">
        <v>1005</v>
      </c>
      <c r="O413" t="s">
        <v>193</v>
      </c>
      <c r="P413" t="s">
        <v>193</v>
      </c>
      <c r="Q413">
        <v>1</v>
      </c>
      <c r="W413">
        <v>0</v>
      </c>
      <c r="X413">
        <v>-1987926685</v>
      </c>
      <c r="Y413">
        <v>1.1000000000000001</v>
      </c>
      <c r="AA413">
        <v>474.42</v>
      </c>
      <c r="AB413">
        <v>0</v>
      </c>
      <c r="AC413">
        <v>0</v>
      </c>
      <c r="AD413">
        <v>0</v>
      </c>
      <c r="AE413">
        <v>72.319999999999993</v>
      </c>
      <c r="AF413">
        <v>0</v>
      </c>
      <c r="AG413">
        <v>0</v>
      </c>
      <c r="AH413">
        <v>0</v>
      </c>
      <c r="AI413">
        <v>6.56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1.1000000000000001</v>
      </c>
      <c r="AU413" t="s">
        <v>6</v>
      </c>
      <c r="AV413">
        <v>0</v>
      </c>
      <c r="AW413">
        <v>2</v>
      </c>
      <c r="AX413">
        <v>16746110</v>
      </c>
      <c r="AY413">
        <v>1</v>
      </c>
      <c r="AZ413">
        <v>0</v>
      </c>
      <c r="BA413">
        <v>388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Y413*Source!I208</f>
        <v>8.8000000000000009E-2</v>
      </c>
      <c r="CY413">
        <f t="shared" ref="CY413:CY419" si="67">AA413</f>
        <v>474.42</v>
      </c>
      <c r="CZ413">
        <f t="shared" ref="CZ413:CZ419" si="68">AE413</f>
        <v>72.319999999999993</v>
      </c>
      <c r="DA413">
        <f t="shared" ref="DA413:DA419" si="69">AI413</f>
        <v>6.56</v>
      </c>
      <c r="DB413">
        <f t="shared" ref="DB413:DB419" si="70">ROUND(ROUND(AT413*CZ413,2),2)</f>
        <v>79.55</v>
      </c>
      <c r="DC413">
        <f t="shared" ref="DC413:DC419" si="71">ROUND(ROUND(AT413*AG413,2),2)</f>
        <v>0</v>
      </c>
    </row>
    <row r="414" spans="1:107" x14ac:dyDescent="0.2">
      <c r="A414">
        <f>ROW(Source!A208)</f>
        <v>208</v>
      </c>
      <c r="B414">
        <v>16742901</v>
      </c>
      <c r="C414">
        <v>16746094</v>
      </c>
      <c r="D414">
        <v>15171018</v>
      </c>
      <c r="E414">
        <v>1</v>
      </c>
      <c r="F414">
        <v>1</v>
      </c>
      <c r="G414">
        <v>1</v>
      </c>
      <c r="H414">
        <v>3</v>
      </c>
      <c r="I414" t="s">
        <v>1431</v>
      </c>
      <c r="J414" t="s">
        <v>1432</v>
      </c>
      <c r="K414" t="s">
        <v>1433</v>
      </c>
      <c r="L414">
        <v>1346</v>
      </c>
      <c r="N414">
        <v>1009</v>
      </c>
      <c r="O414" t="s">
        <v>341</v>
      </c>
      <c r="P414" t="s">
        <v>341</v>
      </c>
      <c r="Q414">
        <v>1</v>
      </c>
      <c r="W414">
        <v>0</v>
      </c>
      <c r="X414">
        <v>813963326</v>
      </c>
      <c r="Y414">
        <v>0.18</v>
      </c>
      <c r="AA414">
        <v>11.94</v>
      </c>
      <c r="AB414">
        <v>0</v>
      </c>
      <c r="AC414">
        <v>0</v>
      </c>
      <c r="AD414">
        <v>0</v>
      </c>
      <c r="AE414">
        <v>1.82</v>
      </c>
      <c r="AF414">
        <v>0</v>
      </c>
      <c r="AG414">
        <v>0</v>
      </c>
      <c r="AH414">
        <v>0</v>
      </c>
      <c r="AI414">
        <v>6.56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6</v>
      </c>
      <c r="AT414">
        <v>0.18</v>
      </c>
      <c r="AU414" t="s">
        <v>6</v>
      </c>
      <c r="AV414">
        <v>0</v>
      </c>
      <c r="AW414">
        <v>2</v>
      </c>
      <c r="AX414">
        <v>16746111</v>
      </c>
      <c r="AY414">
        <v>1</v>
      </c>
      <c r="AZ414">
        <v>0</v>
      </c>
      <c r="BA414">
        <v>389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Y414*Source!I208</f>
        <v>1.44E-2</v>
      </c>
      <c r="CY414">
        <f t="shared" si="67"/>
        <v>11.94</v>
      </c>
      <c r="CZ414">
        <f t="shared" si="68"/>
        <v>1.82</v>
      </c>
      <c r="DA414">
        <f t="shared" si="69"/>
        <v>6.56</v>
      </c>
      <c r="DB414">
        <f t="shared" si="70"/>
        <v>0.33</v>
      </c>
      <c r="DC414">
        <f t="shared" si="71"/>
        <v>0</v>
      </c>
    </row>
    <row r="415" spans="1:107" x14ac:dyDescent="0.2">
      <c r="A415">
        <f>ROW(Source!A208)</f>
        <v>208</v>
      </c>
      <c r="B415">
        <v>16742901</v>
      </c>
      <c r="C415">
        <v>16746094</v>
      </c>
      <c r="D415">
        <v>15171907</v>
      </c>
      <c r="E415">
        <v>1</v>
      </c>
      <c r="F415">
        <v>1</v>
      </c>
      <c r="G415">
        <v>1</v>
      </c>
      <c r="H415">
        <v>3</v>
      </c>
      <c r="I415" t="s">
        <v>1513</v>
      </c>
      <c r="J415" t="s">
        <v>1514</v>
      </c>
      <c r="K415" t="s">
        <v>1515</v>
      </c>
      <c r="L415">
        <v>1339</v>
      </c>
      <c r="N415">
        <v>1007</v>
      </c>
      <c r="O415" t="s">
        <v>301</v>
      </c>
      <c r="P415" t="s">
        <v>301</v>
      </c>
      <c r="Q415">
        <v>1</v>
      </c>
      <c r="W415">
        <v>0</v>
      </c>
      <c r="X415">
        <v>1795918813</v>
      </c>
      <c r="Y415">
        <v>2.3999999999999998E-3</v>
      </c>
      <c r="AA415">
        <v>489.24</v>
      </c>
      <c r="AB415">
        <v>0</v>
      </c>
      <c r="AC415">
        <v>0</v>
      </c>
      <c r="AD415">
        <v>0</v>
      </c>
      <c r="AE415">
        <v>74.58</v>
      </c>
      <c r="AF415">
        <v>0</v>
      </c>
      <c r="AG415">
        <v>0</v>
      </c>
      <c r="AH415">
        <v>0</v>
      </c>
      <c r="AI415">
        <v>6.56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2.3999999999999998E-3</v>
      </c>
      <c r="AU415" t="s">
        <v>6</v>
      </c>
      <c r="AV415">
        <v>0</v>
      </c>
      <c r="AW415">
        <v>2</v>
      </c>
      <c r="AX415">
        <v>16746112</v>
      </c>
      <c r="AY415">
        <v>1</v>
      </c>
      <c r="AZ415">
        <v>0</v>
      </c>
      <c r="BA415">
        <v>390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Y415*Source!I208</f>
        <v>1.9199999999999998E-4</v>
      </c>
      <c r="CY415">
        <f t="shared" si="67"/>
        <v>489.24</v>
      </c>
      <c r="CZ415">
        <f t="shared" si="68"/>
        <v>74.58</v>
      </c>
      <c r="DA415">
        <f t="shared" si="69"/>
        <v>6.56</v>
      </c>
      <c r="DB415">
        <f t="shared" si="70"/>
        <v>0.18</v>
      </c>
      <c r="DC415">
        <f t="shared" si="71"/>
        <v>0</v>
      </c>
    </row>
    <row r="416" spans="1:107" x14ac:dyDescent="0.2">
      <c r="A416">
        <f>ROW(Source!A208)</f>
        <v>208</v>
      </c>
      <c r="B416">
        <v>16742901</v>
      </c>
      <c r="C416">
        <v>16746094</v>
      </c>
      <c r="D416">
        <v>15163068</v>
      </c>
      <c r="E416">
        <v>17</v>
      </c>
      <c r="F416">
        <v>1</v>
      </c>
      <c r="G416">
        <v>1</v>
      </c>
      <c r="H416">
        <v>3</v>
      </c>
      <c r="I416" t="s">
        <v>640</v>
      </c>
      <c r="J416" t="s">
        <v>6</v>
      </c>
      <c r="K416" t="s">
        <v>648</v>
      </c>
      <c r="L416">
        <v>1348</v>
      </c>
      <c r="N416">
        <v>1009</v>
      </c>
      <c r="O416" t="s">
        <v>100</v>
      </c>
      <c r="P416" t="s">
        <v>100</v>
      </c>
      <c r="Q416">
        <v>1000</v>
      </c>
      <c r="W416">
        <v>0</v>
      </c>
      <c r="X416">
        <v>84301199</v>
      </c>
      <c r="Y416">
        <v>2.1100000000000001E-2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6.56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2.1100000000000001E-2</v>
      </c>
      <c r="AU416" t="s">
        <v>6</v>
      </c>
      <c r="AV416">
        <v>0</v>
      </c>
      <c r="AW416">
        <v>2</v>
      </c>
      <c r="AX416">
        <v>16746113</v>
      </c>
      <c r="AY416">
        <v>1</v>
      </c>
      <c r="AZ416">
        <v>0</v>
      </c>
      <c r="BA416">
        <v>391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Y416*Source!I208</f>
        <v>1.688E-3</v>
      </c>
      <c r="CY416">
        <f t="shared" si="67"/>
        <v>0</v>
      </c>
      <c r="CZ416">
        <f t="shared" si="68"/>
        <v>0</v>
      </c>
      <c r="DA416">
        <f t="shared" si="69"/>
        <v>6.56</v>
      </c>
      <c r="DB416">
        <f t="shared" si="70"/>
        <v>0</v>
      </c>
      <c r="DC416">
        <f t="shared" si="71"/>
        <v>0</v>
      </c>
    </row>
    <row r="417" spans="1:107" x14ac:dyDescent="0.2">
      <c r="A417">
        <f>ROW(Source!A208)</f>
        <v>208</v>
      </c>
      <c r="B417">
        <v>16742901</v>
      </c>
      <c r="C417">
        <v>16746094</v>
      </c>
      <c r="D417">
        <v>15203725</v>
      </c>
      <c r="E417">
        <v>1</v>
      </c>
      <c r="F417">
        <v>1</v>
      </c>
      <c r="G417">
        <v>1</v>
      </c>
      <c r="H417">
        <v>3</v>
      </c>
      <c r="I417" t="s">
        <v>636</v>
      </c>
      <c r="J417" t="s">
        <v>638</v>
      </c>
      <c r="K417" t="s">
        <v>637</v>
      </c>
      <c r="L417">
        <v>1348</v>
      </c>
      <c r="N417">
        <v>1009</v>
      </c>
      <c r="O417" t="s">
        <v>100</v>
      </c>
      <c r="P417" t="s">
        <v>100</v>
      </c>
      <c r="Q417">
        <v>1000</v>
      </c>
      <c r="W417">
        <v>0</v>
      </c>
      <c r="X417">
        <v>-777870615</v>
      </c>
      <c r="Y417">
        <v>2.1100000000000001E-2</v>
      </c>
      <c r="AA417">
        <v>278853.73</v>
      </c>
      <c r="AB417">
        <v>0</v>
      </c>
      <c r="AC417">
        <v>0</v>
      </c>
      <c r="AD417">
        <v>0</v>
      </c>
      <c r="AE417">
        <v>42508.19</v>
      </c>
      <c r="AF417">
        <v>0</v>
      </c>
      <c r="AG417">
        <v>0</v>
      </c>
      <c r="AH417">
        <v>0</v>
      </c>
      <c r="AI417">
        <v>6.56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6</v>
      </c>
      <c r="AT417">
        <v>2.1100000000000001E-2</v>
      </c>
      <c r="AU417" t="s">
        <v>6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6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Y417*Source!I208</f>
        <v>1.688E-3</v>
      </c>
      <c r="CY417">
        <f t="shared" si="67"/>
        <v>278853.73</v>
      </c>
      <c r="CZ417">
        <f t="shared" si="68"/>
        <v>42508.19</v>
      </c>
      <c r="DA417">
        <f t="shared" si="69"/>
        <v>6.56</v>
      </c>
      <c r="DB417">
        <f t="shared" si="70"/>
        <v>896.92</v>
      </c>
      <c r="DC417">
        <f t="shared" si="71"/>
        <v>0</v>
      </c>
    </row>
    <row r="418" spans="1:107" x14ac:dyDescent="0.2">
      <c r="A418">
        <f>ROW(Source!A208)</f>
        <v>208</v>
      </c>
      <c r="B418">
        <v>16742901</v>
      </c>
      <c r="C418">
        <v>16746094</v>
      </c>
      <c r="D418">
        <v>15204468</v>
      </c>
      <c r="E418">
        <v>1</v>
      </c>
      <c r="F418">
        <v>1</v>
      </c>
      <c r="G418">
        <v>1</v>
      </c>
      <c r="H418">
        <v>3</v>
      </c>
      <c r="I418" t="s">
        <v>1623</v>
      </c>
      <c r="J418" t="s">
        <v>1624</v>
      </c>
      <c r="K418" t="s">
        <v>1625</v>
      </c>
      <c r="L418">
        <v>1348</v>
      </c>
      <c r="N418">
        <v>1009</v>
      </c>
      <c r="O418" t="s">
        <v>100</v>
      </c>
      <c r="P418" t="s">
        <v>100</v>
      </c>
      <c r="Q418">
        <v>1000</v>
      </c>
      <c r="W418">
        <v>0</v>
      </c>
      <c r="X418">
        <v>-909021926</v>
      </c>
      <c r="Y418">
        <v>5.7000000000000002E-3</v>
      </c>
      <c r="AA418">
        <v>111192</v>
      </c>
      <c r="AB418">
        <v>0</v>
      </c>
      <c r="AC418">
        <v>0</v>
      </c>
      <c r="AD418">
        <v>0</v>
      </c>
      <c r="AE418">
        <v>16950</v>
      </c>
      <c r="AF418">
        <v>0</v>
      </c>
      <c r="AG418">
        <v>0</v>
      </c>
      <c r="AH418">
        <v>0</v>
      </c>
      <c r="AI418">
        <v>6.56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5.7000000000000002E-3</v>
      </c>
      <c r="AU418" t="s">
        <v>6</v>
      </c>
      <c r="AV418">
        <v>0</v>
      </c>
      <c r="AW418">
        <v>2</v>
      </c>
      <c r="AX418">
        <v>16746114</v>
      </c>
      <c r="AY418">
        <v>1</v>
      </c>
      <c r="AZ418">
        <v>0</v>
      </c>
      <c r="BA418">
        <v>392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Y418*Source!I208</f>
        <v>4.5600000000000003E-4</v>
      </c>
      <c r="CY418">
        <f t="shared" si="67"/>
        <v>111192</v>
      </c>
      <c r="CZ418">
        <f t="shared" si="68"/>
        <v>16950</v>
      </c>
      <c r="DA418">
        <f t="shared" si="69"/>
        <v>6.56</v>
      </c>
      <c r="DB418">
        <f t="shared" si="70"/>
        <v>96.62</v>
      </c>
      <c r="DC418">
        <f t="shared" si="71"/>
        <v>0</v>
      </c>
    </row>
    <row r="419" spans="1:107" x14ac:dyDescent="0.2">
      <c r="A419">
        <f>ROW(Source!A208)</f>
        <v>208</v>
      </c>
      <c r="B419">
        <v>16742901</v>
      </c>
      <c r="C419">
        <v>16746094</v>
      </c>
      <c r="D419">
        <v>15204729</v>
      </c>
      <c r="E419">
        <v>1</v>
      </c>
      <c r="F419">
        <v>1</v>
      </c>
      <c r="G419">
        <v>1</v>
      </c>
      <c r="H419">
        <v>3</v>
      </c>
      <c r="I419" t="s">
        <v>1434</v>
      </c>
      <c r="J419" t="s">
        <v>1435</v>
      </c>
      <c r="K419" t="s">
        <v>1436</v>
      </c>
      <c r="L419">
        <v>1348</v>
      </c>
      <c r="N419">
        <v>1009</v>
      </c>
      <c r="O419" t="s">
        <v>100</v>
      </c>
      <c r="P419" t="s">
        <v>100</v>
      </c>
      <c r="Q419">
        <v>1000</v>
      </c>
      <c r="W419">
        <v>0</v>
      </c>
      <c r="X419">
        <v>-2084827333</v>
      </c>
      <c r="Y419">
        <v>4.0899999999999999E-2</v>
      </c>
      <c r="AA419">
        <v>28168.639999999999</v>
      </c>
      <c r="AB419">
        <v>0</v>
      </c>
      <c r="AC419">
        <v>0</v>
      </c>
      <c r="AD419">
        <v>0</v>
      </c>
      <c r="AE419">
        <v>4294</v>
      </c>
      <c r="AF419">
        <v>0</v>
      </c>
      <c r="AG419">
        <v>0</v>
      </c>
      <c r="AH419">
        <v>0</v>
      </c>
      <c r="AI419">
        <v>6.56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4.0899999999999999E-2</v>
      </c>
      <c r="AU419" t="s">
        <v>6</v>
      </c>
      <c r="AV419">
        <v>0</v>
      </c>
      <c r="AW419">
        <v>2</v>
      </c>
      <c r="AX419">
        <v>16746115</v>
      </c>
      <c r="AY419">
        <v>1</v>
      </c>
      <c r="AZ419">
        <v>0</v>
      </c>
      <c r="BA419">
        <v>393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Y419*Source!I208</f>
        <v>3.2720000000000002E-3</v>
      </c>
      <c r="CY419">
        <f t="shared" si="67"/>
        <v>28168.639999999999</v>
      </c>
      <c r="CZ419">
        <f t="shared" si="68"/>
        <v>4294</v>
      </c>
      <c r="DA419">
        <f t="shared" si="69"/>
        <v>6.56</v>
      </c>
      <c r="DB419">
        <f t="shared" si="70"/>
        <v>175.62</v>
      </c>
      <c r="DC419">
        <f t="shared" si="71"/>
        <v>0</v>
      </c>
    </row>
    <row r="420" spans="1:107" x14ac:dyDescent="0.2">
      <c r="A420">
        <f>ROW(Source!A211)</f>
        <v>211</v>
      </c>
      <c r="B420">
        <v>16742901</v>
      </c>
      <c r="C420">
        <v>16748865</v>
      </c>
      <c r="D420">
        <v>15430767</v>
      </c>
      <c r="E420">
        <v>1</v>
      </c>
      <c r="F420">
        <v>1</v>
      </c>
      <c r="G420">
        <v>1</v>
      </c>
      <c r="H420">
        <v>1</v>
      </c>
      <c r="I420" t="s">
        <v>1285</v>
      </c>
      <c r="J420" t="s">
        <v>6</v>
      </c>
      <c r="K420" t="s">
        <v>1286</v>
      </c>
      <c r="L420">
        <v>1191</v>
      </c>
      <c r="N420">
        <v>1013</v>
      </c>
      <c r="O420" t="s">
        <v>1287</v>
      </c>
      <c r="P420" t="s">
        <v>1287</v>
      </c>
      <c r="Q420">
        <v>1</v>
      </c>
      <c r="W420">
        <v>0</v>
      </c>
      <c r="X420">
        <v>-400197608</v>
      </c>
      <c r="Y420">
        <v>58.408499999999997</v>
      </c>
      <c r="AA420">
        <v>0</v>
      </c>
      <c r="AB420">
        <v>0</v>
      </c>
      <c r="AC420">
        <v>0</v>
      </c>
      <c r="AD420">
        <v>55.96</v>
      </c>
      <c r="AE420">
        <v>0</v>
      </c>
      <c r="AF420">
        <v>0</v>
      </c>
      <c r="AG420">
        <v>0</v>
      </c>
      <c r="AH420">
        <v>8.5299999999999994</v>
      </c>
      <c r="AI420">
        <v>1</v>
      </c>
      <c r="AJ420">
        <v>1</v>
      </c>
      <c r="AK420">
        <v>1</v>
      </c>
      <c r="AL420">
        <v>6.56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</v>
      </c>
      <c r="AT420">
        <v>50.79</v>
      </c>
      <c r="AU420" t="s">
        <v>188</v>
      </c>
      <c r="AV420">
        <v>1</v>
      </c>
      <c r="AW420">
        <v>2</v>
      </c>
      <c r="AX420">
        <v>16748866</v>
      </c>
      <c r="AY420">
        <v>1</v>
      </c>
      <c r="AZ420">
        <v>0</v>
      </c>
      <c r="BA420">
        <v>394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Y420*Source!I211</f>
        <v>23.363399999999999</v>
      </c>
      <c r="CY420">
        <f>AD420</f>
        <v>55.96</v>
      </c>
      <c r="CZ420">
        <f>AH420</f>
        <v>8.5299999999999994</v>
      </c>
      <c r="DA420">
        <f>AL420</f>
        <v>6.56</v>
      </c>
      <c r="DB420">
        <f>ROUND((ROUND(AT420*CZ420,2)*1.15),2)</f>
        <v>498.23</v>
      </c>
      <c r="DC420">
        <f>ROUND((ROUND(AT420*AG420,2)*1.15),2)</f>
        <v>0</v>
      </c>
    </row>
    <row r="421" spans="1:107" x14ac:dyDescent="0.2">
      <c r="A421">
        <f>ROW(Source!A211)</f>
        <v>211</v>
      </c>
      <c r="B421">
        <v>16742901</v>
      </c>
      <c r="C421">
        <v>16748865</v>
      </c>
      <c r="D421">
        <v>15430395</v>
      </c>
      <c r="E421">
        <v>1</v>
      </c>
      <c r="F421">
        <v>1</v>
      </c>
      <c r="G421">
        <v>1</v>
      </c>
      <c r="H421">
        <v>1</v>
      </c>
      <c r="I421" t="s">
        <v>1293</v>
      </c>
      <c r="J421" t="s">
        <v>6</v>
      </c>
      <c r="K421" t="s">
        <v>1294</v>
      </c>
      <c r="L421">
        <v>1191</v>
      </c>
      <c r="N421">
        <v>1013</v>
      </c>
      <c r="O421" t="s">
        <v>1287</v>
      </c>
      <c r="P421" t="s">
        <v>1287</v>
      </c>
      <c r="Q421">
        <v>1</v>
      </c>
      <c r="W421">
        <v>0</v>
      </c>
      <c r="X421">
        <v>-1417349443</v>
      </c>
      <c r="Y421">
        <v>0.31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6.56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0.31</v>
      </c>
      <c r="AU421" t="s">
        <v>6</v>
      </c>
      <c r="AV421">
        <v>2</v>
      </c>
      <c r="AW421">
        <v>2</v>
      </c>
      <c r="AX421">
        <v>16748867</v>
      </c>
      <c r="AY421">
        <v>1</v>
      </c>
      <c r="AZ421">
        <v>2048</v>
      </c>
      <c r="BA421">
        <v>395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Y421*Source!I211</f>
        <v>0.124</v>
      </c>
      <c r="CY421">
        <f>AD421</f>
        <v>0</v>
      </c>
      <c r="CZ421">
        <f>AH421</f>
        <v>0</v>
      </c>
      <c r="DA421">
        <f>AL421</f>
        <v>1</v>
      </c>
      <c r="DB421">
        <f>ROUND(ROUND(AT421*CZ421,2),2)</f>
        <v>0</v>
      </c>
      <c r="DC421">
        <f>ROUND(ROUND(AT421*AG421,2),2)</f>
        <v>0</v>
      </c>
    </row>
    <row r="422" spans="1:107" x14ac:dyDescent="0.2">
      <c r="A422">
        <f>ROW(Source!A211)</f>
        <v>211</v>
      </c>
      <c r="B422">
        <v>16742901</v>
      </c>
      <c r="C422">
        <v>16748865</v>
      </c>
      <c r="D422">
        <v>15247680</v>
      </c>
      <c r="E422">
        <v>1</v>
      </c>
      <c r="F422">
        <v>1</v>
      </c>
      <c r="G422">
        <v>1</v>
      </c>
      <c r="H422">
        <v>2</v>
      </c>
      <c r="I422" t="s">
        <v>1295</v>
      </c>
      <c r="J422" t="s">
        <v>1296</v>
      </c>
      <c r="K422" t="s">
        <v>1297</v>
      </c>
      <c r="L422">
        <v>1368</v>
      </c>
      <c r="N422">
        <v>1011</v>
      </c>
      <c r="O422" t="s">
        <v>1298</v>
      </c>
      <c r="P422" t="s">
        <v>1298</v>
      </c>
      <c r="Q422">
        <v>1</v>
      </c>
      <c r="W422">
        <v>0</v>
      </c>
      <c r="X422">
        <v>-1718674368</v>
      </c>
      <c r="Y422">
        <v>0.15</v>
      </c>
      <c r="AA422">
        <v>0</v>
      </c>
      <c r="AB422">
        <v>734.65</v>
      </c>
      <c r="AC422">
        <v>13.5</v>
      </c>
      <c r="AD422">
        <v>0</v>
      </c>
      <c r="AE422">
        <v>0</v>
      </c>
      <c r="AF422">
        <v>111.99</v>
      </c>
      <c r="AG422">
        <v>13.5</v>
      </c>
      <c r="AH422">
        <v>0</v>
      </c>
      <c r="AI422">
        <v>1</v>
      </c>
      <c r="AJ422">
        <v>6.56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0.12</v>
      </c>
      <c r="AU422" t="s">
        <v>187</v>
      </c>
      <c r="AV422">
        <v>0</v>
      </c>
      <c r="AW422">
        <v>2</v>
      </c>
      <c r="AX422">
        <v>16748868</v>
      </c>
      <c r="AY422">
        <v>1</v>
      </c>
      <c r="AZ422">
        <v>0</v>
      </c>
      <c r="BA422">
        <v>396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Y422*Source!I211</f>
        <v>0.06</v>
      </c>
      <c r="CY422">
        <f>AB422</f>
        <v>734.65</v>
      </c>
      <c r="CZ422">
        <f>AF422</f>
        <v>111.99</v>
      </c>
      <c r="DA422">
        <f>AJ422</f>
        <v>6.56</v>
      </c>
      <c r="DB422">
        <f>ROUND((ROUND(AT422*CZ422,2)*1.25),2)</f>
        <v>16.8</v>
      </c>
      <c r="DC422">
        <f>ROUND((ROUND(AT422*AG422,2)*1.25),2)</f>
        <v>2.0299999999999998</v>
      </c>
    </row>
    <row r="423" spans="1:107" x14ac:dyDescent="0.2">
      <c r="A423">
        <f>ROW(Source!A211)</f>
        <v>211</v>
      </c>
      <c r="B423">
        <v>16742901</v>
      </c>
      <c r="C423">
        <v>16748865</v>
      </c>
      <c r="D423">
        <v>15247880</v>
      </c>
      <c r="E423">
        <v>1</v>
      </c>
      <c r="F423">
        <v>1</v>
      </c>
      <c r="G423">
        <v>1</v>
      </c>
      <c r="H423">
        <v>2</v>
      </c>
      <c r="I423" t="s">
        <v>1347</v>
      </c>
      <c r="J423" t="s">
        <v>1348</v>
      </c>
      <c r="K423" t="s">
        <v>1349</v>
      </c>
      <c r="L423">
        <v>1368</v>
      </c>
      <c r="N423">
        <v>1011</v>
      </c>
      <c r="O423" t="s">
        <v>1298</v>
      </c>
      <c r="P423" t="s">
        <v>1298</v>
      </c>
      <c r="Q423">
        <v>1</v>
      </c>
      <c r="W423">
        <v>0</v>
      </c>
      <c r="X423">
        <v>1544661785</v>
      </c>
      <c r="Y423">
        <v>13.1625</v>
      </c>
      <c r="AA423">
        <v>0</v>
      </c>
      <c r="AB423">
        <v>45.26</v>
      </c>
      <c r="AC423">
        <v>0</v>
      </c>
      <c r="AD423">
        <v>0</v>
      </c>
      <c r="AE423">
        <v>0</v>
      </c>
      <c r="AF423">
        <v>6.9</v>
      </c>
      <c r="AG423">
        <v>0</v>
      </c>
      <c r="AH423">
        <v>0</v>
      </c>
      <c r="AI423">
        <v>1</v>
      </c>
      <c r="AJ423">
        <v>6.56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10.53</v>
      </c>
      <c r="AU423" t="s">
        <v>187</v>
      </c>
      <c r="AV423">
        <v>0</v>
      </c>
      <c r="AW423">
        <v>2</v>
      </c>
      <c r="AX423">
        <v>16748869</v>
      </c>
      <c r="AY423">
        <v>1</v>
      </c>
      <c r="AZ423">
        <v>0</v>
      </c>
      <c r="BA423">
        <v>397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Y423*Source!I211</f>
        <v>5.2650000000000006</v>
      </c>
      <c r="CY423">
        <f>AB423</f>
        <v>45.26</v>
      </c>
      <c r="CZ423">
        <f>AF423</f>
        <v>6.9</v>
      </c>
      <c r="DA423">
        <f>AJ423</f>
        <v>6.56</v>
      </c>
      <c r="DB423">
        <f>ROUND((ROUND(AT423*CZ423,2)*1.25),2)</f>
        <v>90.83</v>
      </c>
      <c r="DC423">
        <f>ROUND((ROUND(AT423*AG423,2)*1.25),2)</f>
        <v>0</v>
      </c>
    </row>
    <row r="424" spans="1:107" x14ac:dyDescent="0.2">
      <c r="A424">
        <f>ROW(Source!A211)</f>
        <v>211</v>
      </c>
      <c r="B424">
        <v>16742901</v>
      </c>
      <c r="C424">
        <v>16748865</v>
      </c>
      <c r="D424">
        <v>15249073</v>
      </c>
      <c r="E424">
        <v>1</v>
      </c>
      <c r="F424">
        <v>1</v>
      </c>
      <c r="G424">
        <v>1</v>
      </c>
      <c r="H424">
        <v>2</v>
      </c>
      <c r="I424" t="s">
        <v>1299</v>
      </c>
      <c r="J424" t="s">
        <v>1300</v>
      </c>
      <c r="K424" t="s">
        <v>1301</v>
      </c>
      <c r="L424">
        <v>1368</v>
      </c>
      <c r="N424">
        <v>1011</v>
      </c>
      <c r="O424" t="s">
        <v>1298</v>
      </c>
      <c r="P424" t="s">
        <v>1298</v>
      </c>
      <c r="Q424">
        <v>1</v>
      </c>
      <c r="W424">
        <v>0</v>
      </c>
      <c r="X424">
        <v>1372534845</v>
      </c>
      <c r="Y424">
        <v>0.23749999999999999</v>
      </c>
      <c r="AA424">
        <v>0</v>
      </c>
      <c r="AB424">
        <v>431.06</v>
      </c>
      <c r="AC424">
        <v>11.6</v>
      </c>
      <c r="AD424">
        <v>0</v>
      </c>
      <c r="AE424">
        <v>0</v>
      </c>
      <c r="AF424">
        <v>65.709999999999994</v>
      </c>
      <c r="AG424">
        <v>11.6</v>
      </c>
      <c r="AH424">
        <v>0</v>
      </c>
      <c r="AI424">
        <v>1</v>
      </c>
      <c r="AJ424">
        <v>6.56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0.19</v>
      </c>
      <c r="AU424" t="s">
        <v>187</v>
      </c>
      <c r="AV424">
        <v>0</v>
      </c>
      <c r="AW424">
        <v>2</v>
      </c>
      <c r="AX424">
        <v>16748870</v>
      </c>
      <c r="AY424">
        <v>1</v>
      </c>
      <c r="AZ424">
        <v>0</v>
      </c>
      <c r="BA424">
        <v>398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Y424*Source!I211</f>
        <v>9.5000000000000001E-2</v>
      </c>
      <c r="CY424">
        <f>AB424</f>
        <v>431.06</v>
      </c>
      <c r="CZ424">
        <f>AF424</f>
        <v>65.709999999999994</v>
      </c>
      <c r="DA424">
        <f>AJ424</f>
        <v>6.56</v>
      </c>
      <c r="DB424">
        <f>ROUND((ROUND(AT424*CZ424,2)*1.25),2)</f>
        <v>15.6</v>
      </c>
      <c r="DC424">
        <f>ROUND((ROUND(AT424*AG424,2)*1.25),2)</f>
        <v>2.75</v>
      </c>
    </row>
    <row r="425" spans="1:107" x14ac:dyDescent="0.2">
      <c r="A425">
        <f>ROW(Source!A211)</f>
        <v>211</v>
      </c>
      <c r="B425">
        <v>16742901</v>
      </c>
      <c r="C425">
        <v>16748865</v>
      </c>
      <c r="D425">
        <v>15249308</v>
      </c>
      <c r="E425">
        <v>1</v>
      </c>
      <c r="F425">
        <v>1</v>
      </c>
      <c r="G425">
        <v>1</v>
      </c>
      <c r="H425">
        <v>2</v>
      </c>
      <c r="I425" t="s">
        <v>1350</v>
      </c>
      <c r="J425" t="s">
        <v>1351</v>
      </c>
      <c r="K425" t="s">
        <v>1352</v>
      </c>
      <c r="L425">
        <v>1368</v>
      </c>
      <c r="N425">
        <v>1011</v>
      </c>
      <c r="O425" t="s">
        <v>1298</v>
      </c>
      <c r="P425" t="s">
        <v>1298</v>
      </c>
      <c r="Q425">
        <v>1</v>
      </c>
      <c r="W425">
        <v>0</v>
      </c>
      <c r="X425">
        <v>792402865</v>
      </c>
      <c r="Y425">
        <v>2.3250000000000002</v>
      </c>
      <c r="AA425">
        <v>0</v>
      </c>
      <c r="AB425">
        <v>7.87</v>
      </c>
      <c r="AC425">
        <v>0</v>
      </c>
      <c r="AD425">
        <v>0</v>
      </c>
      <c r="AE425">
        <v>0</v>
      </c>
      <c r="AF425">
        <v>1.2</v>
      </c>
      <c r="AG425">
        <v>0</v>
      </c>
      <c r="AH425">
        <v>0</v>
      </c>
      <c r="AI425">
        <v>1</v>
      </c>
      <c r="AJ425">
        <v>6.56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1.86</v>
      </c>
      <c r="AU425" t="s">
        <v>187</v>
      </c>
      <c r="AV425">
        <v>0</v>
      </c>
      <c r="AW425">
        <v>2</v>
      </c>
      <c r="AX425">
        <v>16748871</v>
      </c>
      <c r="AY425">
        <v>1</v>
      </c>
      <c r="AZ425">
        <v>0</v>
      </c>
      <c r="BA425">
        <v>399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Y425*Source!I211</f>
        <v>0.93000000000000016</v>
      </c>
      <c r="CY425">
        <f>AB425</f>
        <v>7.87</v>
      </c>
      <c r="CZ425">
        <f>AF425</f>
        <v>1.2</v>
      </c>
      <c r="DA425">
        <f>AJ425</f>
        <v>6.56</v>
      </c>
      <c r="DB425">
        <f>ROUND((ROUND(AT425*CZ425,2)*1.25),2)</f>
        <v>2.79</v>
      </c>
      <c r="DC425">
        <f>ROUND((ROUND(AT425*AG425,2)*1.25),2)</f>
        <v>0</v>
      </c>
    </row>
    <row r="426" spans="1:107" x14ac:dyDescent="0.2">
      <c r="A426">
        <f>ROW(Source!A211)</f>
        <v>211</v>
      </c>
      <c r="B426">
        <v>16742901</v>
      </c>
      <c r="C426">
        <v>16748865</v>
      </c>
      <c r="D426">
        <v>15249355</v>
      </c>
      <c r="E426">
        <v>1</v>
      </c>
      <c r="F426">
        <v>1</v>
      </c>
      <c r="G426">
        <v>1</v>
      </c>
      <c r="H426">
        <v>2</v>
      </c>
      <c r="I426" t="s">
        <v>1353</v>
      </c>
      <c r="J426" t="s">
        <v>1354</v>
      </c>
      <c r="K426" t="s">
        <v>1355</v>
      </c>
      <c r="L426">
        <v>1368</v>
      </c>
      <c r="N426">
        <v>1011</v>
      </c>
      <c r="O426" t="s">
        <v>1298</v>
      </c>
      <c r="P426" t="s">
        <v>1298</v>
      </c>
      <c r="Q426">
        <v>1</v>
      </c>
      <c r="W426">
        <v>0</v>
      </c>
      <c r="X426">
        <v>1323835807</v>
      </c>
      <c r="Y426">
        <v>2.5374999999999996</v>
      </c>
      <c r="AA426">
        <v>0</v>
      </c>
      <c r="AB426">
        <v>80.75</v>
      </c>
      <c r="AC426">
        <v>0</v>
      </c>
      <c r="AD426">
        <v>0</v>
      </c>
      <c r="AE426">
        <v>0</v>
      </c>
      <c r="AF426">
        <v>12.31</v>
      </c>
      <c r="AG426">
        <v>0</v>
      </c>
      <c r="AH426">
        <v>0</v>
      </c>
      <c r="AI426">
        <v>1</v>
      </c>
      <c r="AJ426">
        <v>6.56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2.0299999999999998</v>
      </c>
      <c r="AU426" t="s">
        <v>187</v>
      </c>
      <c r="AV426">
        <v>0</v>
      </c>
      <c r="AW426">
        <v>2</v>
      </c>
      <c r="AX426">
        <v>16748872</v>
      </c>
      <c r="AY426">
        <v>1</v>
      </c>
      <c r="AZ426">
        <v>0</v>
      </c>
      <c r="BA426">
        <v>400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Y426*Source!I211</f>
        <v>1.0149999999999999</v>
      </c>
      <c r="CY426">
        <f>AB426</f>
        <v>80.75</v>
      </c>
      <c r="CZ426">
        <f>AF426</f>
        <v>12.31</v>
      </c>
      <c r="DA426">
        <f>AJ426</f>
        <v>6.56</v>
      </c>
      <c r="DB426">
        <f>ROUND((ROUND(AT426*CZ426,2)*1.25),2)</f>
        <v>31.24</v>
      </c>
      <c r="DC426">
        <f>ROUND((ROUND(AT426*AG426,2)*1.25),2)</f>
        <v>0</v>
      </c>
    </row>
    <row r="427" spans="1:107" x14ac:dyDescent="0.2">
      <c r="A427">
        <f>ROW(Source!A211)</f>
        <v>211</v>
      </c>
      <c r="B427">
        <v>16742901</v>
      </c>
      <c r="C427">
        <v>16748865</v>
      </c>
      <c r="D427">
        <v>15165653</v>
      </c>
      <c r="E427">
        <v>1</v>
      </c>
      <c r="F427">
        <v>1</v>
      </c>
      <c r="G427">
        <v>1</v>
      </c>
      <c r="H427">
        <v>3</v>
      </c>
      <c r="I427" t="s">
        <v>1356</v>
      </c>
      <c r="J427" t="s">
        <v>1357</v>
      </c>
      <c r="K427" t="s">
        <v>1358</v>
      </c>
      <c r="L427">
        <v>1339</v>
      </c>
      <c r="N427">
        <v>1007</v>
      </c>
      <c r="O427" t="s">
        <v>301</v>
      </c>
      <c r="P427" t="s">
        <v>301</v>
      </c>
      <c r="Q427">
        <v>1</v>
      </c>
      <c r="W427">
        <v>0</v>
      </c>
      <c r="X427">
        <v>1262771840</v>
      </c>
      <c r="Y427">
        <v>1.5</v>
      </c>
      <c r="AA427">
        <v>40.799999999999997</v>
      </c>
      <c r="AB427">
        <v>0</v>
      </c>
      <c r="AC427">
        <v>0</v>
      </c>
      <c r="AD427">
        <v>0</v>
      </c>
      <c r="AE427">
        <v>6.22</v>
      </c>
      <c r="AF427">
        <v>0</v>
      </c>
      <c r="AG427">
        <v>0</v>
      </c>
      <c r="AH427">
        <v>0</v>
      </c>
      <c r="AI427">
        <v>6.56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1.5</v>
      </c>
      <c r="AU427" t="s">
        <v>6</v>
      </c>
      <c r="AV427">
        <v>0</v>
      </c>
      <c r="AW427">
        <v>2</v>
      </c>
      <c r="AX427">
        <v>16748873</v>
      </c>
      <c r="AY427">
        <v>1</v>
      </c>
      <c r="AZ427">
        <v>0</v>
      </c>
      <c r="BA427">
        <v>401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Y427*Source!I211</f>
        <v>0.60000000000000009</v>
      </c>
      <c r="CY427">
        <f t="shared" ref="CY427:CY439" si="72">AA427</f>
        <v>40.799999999999997</v>
      </c>
      <c r="CZ427">
        <f t="shared" ref="CZ427:CZ439" si="73">AE427</f>
        <v>6.22</v>
      </c>
      <c r="DA427">
        <f t="shared" ref="DA427:DA439" si="74">AI427</f>
        <v>6.56</v>
      </c>
      <c r="DB427">
        <f t="shared" ref="DB427:DB448" si="75">ROUND(ROUND(AT427*CZ427,2),2)</f>
        <v>9.33</v>
      </c>
      <c r="DC427">
        <f t="shared" ref="DC427:DC448" si="76">ROUND(ROUND(AT427*AG427,2),2)</f>
        <v>0</v>
      </c>
    </row>
    <row r="428" spans="1:107" x14ac:dyDescent="0.2">
      <c r="A428">
        <f>ROW(Source!A211)</f>
        <v>211</v>
      </c>
      <c r="B428">
        <v>16742901</v>
      </c>
      <c r="C428">
        <v>16748865</v>
      </c>
      <c r="D428">
        <v>15165660</v>
      </c>
      <c r="E428">
        <v>1</v>
      </c>
      <c r="F428">
        <v>1</v>
      </c>
      <c r="G428">
        <v>1</v>
      </c>
      <c r="H428">
        <v>3</v>
      </c>
      <c r="I428" t="s">
        <v>1359</v>
      </c>
      <c r="J428" t="s">
        <v>1360</v>
      </c>
      <c r="K428" t="s">
        <v>1361</v>
      </c>
      <c r="L428">
        <v>1346</v>
      </c>
      <c r="N428">
        <v>1009</v>
      </c>
      <c r="O428" t="s">
        <v>341</v>
      </c>
      <c r="P428" t="s">
        <v>341</v>
      </c>
      <c r="Q428">
        <v>1</v>
      </c>
      <c r="W428">
        <v>0</v>
      </c>
      <c r="X428">
        <v>1721895514</v>
      </c>
      <c r="Y428">
        <v>0.45</v>
      </c>
      <c r="AA428">
        <v>39.950000000000003</v>
      </c>
      <c r="AB428">
        <v>0</v>
      </c>
      <c r="AC428">
        <v>0</v>
      </c>
      <c r="AD428">
        <v>0</v>
      </c>
      <c r="AE428">
        <v>6.09</v>
      </c>
      <c r="AF428">
        <v>0</v>
      </c>
      <c r="AG428">
        <v>0</v>
      </c>
      <c r="AH428">
        <v>0</v>
      </c>
      <c r="AI428">
        <v>6.56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0.45</v>
      </c>
      <c r="AU428" t="s">
        <v>6</v>
      </c>
      <c r="AV428">
        <v>0</v>
      </c>
      <c r="AW428">
        <v>2</v>
      </c>
      <c r="AX428">
        <v>16748874</v>
      </c>
      <c r="AY428">
        <v>1</v>
      </c>
      <c r="AZ428">
        <v>0</v>
      </c>
      <c r="BA428">
        <v>402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Y428*Source!I211</f>
        <v>0.18000000000000002</v>
      </c>
      <c r="CY428">
        <f t="shared" si="72"/>
        <v>39.950000000000003</v>
      </c>
      <c r="CZ428">
        <f t="shared" si="73"/>
        <v>6.09</v>
      </c>
      <c r="DA428">
        <f t="shared" si="74"/>
        <v>6.56</v>
      </c>
      <c r="DB428">
        <f t="shared" si="75"/>
        <v>2.74</v>
      </c>
      <c r="DC428">
        <f t="shared" si="76"/>
        <v>0</v>
      </c>
    </row>
    <row r="429" spans="1:107" x14ac:dyDescent="0.2">
      <c r="A429">
        <f>ROW(Source!A211)</f>
        <v>211</v>
      </c>
      <c r="B429">
        <v>16742901</v>
      </c>
      <c r="C429">
        <v>16748865</v>
      </c>
      <c r="D429">
        <v>15168753</v>
      </c>
      <c r="E429">
        <v>1</v>
      </c>
      <c r="F429">
        <v>1</v>
      </c>
      <c r="G429">
        <v>1</v>
      </c>
      <c r="H429">
        <v>3</v>
      </c>
      <c r="I429" t="s">
        <v>1362</v>
      </c>
      <c r="J429" t="s">
        <v>1363</v>
      </c>
      <c r="K429" t="s">
        <v>1364</v>
      </c>
      <c r="L429">
        <v>1348</v>
      </c>
      <c r="N429">
        <v>1009</v>
      </c>
      <c r="O429" t="s">
        <v>100</v>
      </c>
      <c r="P429" t="s">
        <v>100</v>
      </c>
      <c r="Q429">
        <v>1000</v>
      </c>
      <c r="W429">
        <v>0</v>
      </c>
      <c r="X429">
        <v>1225357214</v>
      </c>
      <c r="Y429">
        <v>1.4E-3</v>
      </c>
      <c r="AA429">
        <v>70513.440000000002</v>
      </c>
      <c r="AB429">
        <v>0</v>
      </c>
      <c r="AC429">
        <v>0</v>
      </c>
      <c r="AD429">
        <v>0</v>
      </c>
      <c r="AE429">
        <v>10749</v>
      </c>
      <c r="AF429">
        <v>0</v>
      </c>
      <c r="AG429">
        <v>0</v>
      </c>
      <c r="AH429">
        <v>0</v>
      </c>
      <c r="AI429">
        <v>6.56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1.4E-3</v>
      </c>
      <c r="AU429" t="s">
        <v>6</v>
      </c>
      <c r="AV429">
        <v>0</v>
      </c>
      <c r="AW429">
        <v>2</v>
      </c>
      <c r="AX429">
        <v>16748875</v>
      </c>
      <c r="AY429">
        <v>1</v>
      </c>
      <c r="AZ429">
        <v>0</v>
      </c>
      <c r="BA429">
        <v>403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Y429*Source!I211</f>
        <v>5.6000000000000006E-4</v>
      </c>
      <c r="CY429">
        <f t="shared" si="72"/>
        <v>70513.440000000002</v>
      </c>
      <c r="CZ429">
        <f t="shared" si="73"/>
        <v>10749</v>
      </c>
      <c r="DA429">
        <f t="shared" si="74"/>
        <v>6.56</v>
      </c>
      <c r="DB429">
        <f t="shared" si="75"/>
        <v>15.05</v>
      </c>
      <c r="DC429">
        <f t="shared" si="76"/>
        <v>0</v>
      </c>
    </row>
    <row r="430" spans="1:107" x14ac:dyDescent="0.2">
      <c r="A430">
        <f>ROW(Source!A211)</f>
        <v>211</v>
      </c>
      <c r="B430">
        <v>16742901</v>
      </c>
      <c r="C430">
        <v>16748865</v>
      </c>
      <c r="D430">
        <v>15169941</v>
      </c>
      <c r="E430">
        <v>1</v>
      </c>
      <c r="F430">
        <v>1</v>
      </c>
      <c r="G430">
        <v>1</v>
      </c>
      <c r="H430">
        <v>3</v>
      </c>
      <c r="I430" t="s">
        <v>1308</v>
      </c>
      <c r="J430" t="s">
        <v>1309</v>
      </c>
      <c r="K430" t="s">
        <v>1310</v>
      </c>
      <c r="L430">
        <v>1348</v>
      </c>
      <c r="N430">
        <v>1009</v>
      </c>
      <c r="O430" t="s">
        <v>100</v>
      </c>
      <c r="P430" t="s">
        <v>100</v>
      </c>
      <c r="Q430">
        <v>1000</v>
      </c>
      <c r="W430">
        <v>0</v>
      </c>
      <c r="X430">
        <v>-437906794</v>
      </c>
      <c r="Y430">
        <v>3.3E-3</v>
      </c>
      <c r="AA430">
        <v>59302.47</v>
      </c>
      <c r="AB430">
        <v>0</v>
      </c>
      <c r="AC430">
        <v>0</v>
      </c>
      <c r="AD430">
        <v>0</v>
      </c>
      <c r="AE430">
        <v>9040.01</v>
      </c>
      <c r="AF430">
        <v>0</v>
      </c>
      <c r="AG430">
        <v>0</v>
      </c>
      <c r="AH430">
        <v>0</v>
      </c>
      <c r="AI430">
        <v>6.56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3.3E-3</v>
      </c>
      <c r="AU430" t="s">
        <v>6</v>
      </c>
      <c r="AV430">
        <v>0</v>
      </c>
      <c r="AW430">
        <v>2</v>
      </c>
      <c r="AX430">
        <v>16748876</v>
      </c>
      <c r="AY430">
        <v>1</v>
      </c>
      <c r="AZ430">
        <v>0</v>
      </c>
      <c r="BA430">
        <v>404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Y430*Source!I211</f>
        <v>1.32E-3</v>
      </c>
      <c r="CY430">
        <f t="shared" si="72"/>
        <v>59302.47</v>
      </c>
      <c r="CZ430">
        <f t="shared" si="73"/>
        <v>9040.01</v>
      </c>
      <c r="DA430">
        <f t="shared" si="74"/>
        <v>6.56</v>
      </c>
      <c r="DB430">
        <f t="shared" si="75"/>
        <v>29.83</v>
      </c>
      <c r="DC430">
        <f t="shared" si="76"/>
        <v>0</v>
      </c>
    </row>
    <row r="431" spans="1:107" x14ac:dyDescent="0.2">
      <c r="A431">
        <f>ROW(Source!A211)</f>
        <v>211</v>
      </c>
      <c r="B431">
        <v>16742901</v>
      </c>
      <c r="C431">
        <v>16748865</v>
      </c>
      <c r="D431">
        <v>15170039</v>
      </c>
      <c r="E431">
        <v>1</v>
      </c>
      <c r="F431">
        <v>1</v>
      </c>
      <c r="G431">
        <v>1</v>
      </c>
      <c r="H431">
        <v>3</v>
      </c>
      <c r="I431" t="s">
        <v>1365</v>
      </c>
      <c r="J431" t="s">
        <v>1366</v>
      </c>
      <c r="K431" t="s">
        <v>1367</v>
      </c>
      <c r="L431">
        <v>1348</v>
      </c>
      <c r="N431">
        <v>1009</v>
      </c>
      <c r="O431" t="s">
        <v>100</v>
      </c>
      <c r="P431" t="s">
        <v>100</v>
      </c>
      <c r="Q431">
        <v>1000</v>
      </c>
      <c r="W431">
        <v>0</v>
      </c>
      <c r="X431">
        <v>1174701286</v>
      </c>
      <c r="Y431">
        <v>1.0000000000000001E-5</v>
      </c>
      <c r="AA431">
        <v>78575.679999999993</v>
      </c>
      <c r="AB431">
        <v>0</v>
      </c>
      <c r="AC431">
        <v>0</v>
      </c>
      <c r="AD431">
        <v>0</v>
      </c>
      <c r="AE431">
        <v>11978</v>
      </c>
      <c r="AF431">
        <v>0</v>
      </c>
      <c r="AG431">
        <v>0</v>
      </c>
      <c r="AH431">
        <v>0</v>
      </c>
      <c r="AI431">
        <v>6.56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1.0000000000000001E-5</v>
      </c>
      <c r="AU431" t="s">
        <v>6</v>
      </c>
      <c r="AV431">
        <v>0</v>
      </c>
      <c r="AW431">
        <v>2</v>
      </c>
      <c r="AX431">
        <v>16748877</v>
      </c>
      <c r="AY431">
        <v>1</v>
      </c>
      <c r="AZ431">
        <v>0</v>
      </c>
      <c r="BA431">
        <v>405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Y431*Source!I211</f>
        <v>4.0000000000000007E-6</v>
      </c>
      <c r="CY431">
        <f t="shared" si="72"/>
        <v>78575.679999999993</v>
      </c>
      <c r="CZ431">
        <f t="shared" si="73"/>
        <v>11978</v>
      </c>
      <c r="DA431">
        <f t="shared" si="74"/>
        <v>6.56</v>
      </c>
      <c r="DB431">
        <f t="shared" si="75"/>
        <v>0.12</v>
      </c>
      <c r="DC431">
        <f t="shared" si="76"/>
        <v>0</v>
      </c>
    </row>
    <row r="432" spans="1:107" x14ac:dyDescent="0.2">
      <c r="A432">
        <f>ROW(Source!A211)</f>
        <v>211</v>
      </c>
      <c r="B432">
        <v>16742901</v>
      </c>
      <c r="C432">
        <v>16748865</v>
      </c>
      <c r="D432">
        <v>15171021</v>
      </c>
      <c r="E432">
        <v>1</v>
      </c>
      <c r="F432">
        <v>1</v>
      </c>
      <c r="G432">
        <v>1</v>
      </c>
      <c r="H432">
        <v>3</v>
      </c>
      <c r="I432" t="s">
        <v>1368</v>
      </c>
      <c r="J432" t="s">
        <v>1369</v>
      </c>
      <c r="K432" t="s">
        <v>1370</v>
      </c>
      <c r="L432">
        <v>1348</v>
      </c>
      <c r="N432">
        <v>1009</v>
      </c>
      <c r="O432" t="s">
        <v>100</v>
      </c>
      <c r="P432" t="s">
        <v>100</v>
      </c>
      <c r="Q432">
        <v>1000</v>
      </c>
      <c r="W432">
        <v>0</v>
      </c>
      <c r="X432">
        <v>-2116243625</v>
      </c>
      <c r="Y432">
        <v>1E-4</v>
      </c>
      <c r="AA432">
        <v>248624</v>
      </c>
      <c r="AB432">
        <v>0</v>
      </c>
      <c r="AC432">
        <v>0</v>
      </c>
      <c r="AD432">
        <v>0</v>
      </c>
      <c r="AE432">
        <v>37900</v>
      </c>
      <c r="AF432">
        <v>0</v>
      </c>
      <c r="AG432">
        <v>0</v>
      </c>
      <c r="AH432">
        <v>0</v>
      </c>
      <c r="AI432">
        <v>6.56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1E-4</v>
      </c>
      <c r="AU432" t="s">
        <v>6</v>
      </c>
      <c r="AV432">
        <v>0</v>
      </c>
      <c r="AW432">
        <v>2</v>
      </c>
      <c r="AX432">
        <v>16748878</v>
      </c>
      <c r="AY432">
        <v>1</v>
      </c>
      <c r="AZ432">
        <v>0</v>
      </c>
      <c r="BA432">
        <v>406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Y432*Source!I211</f>
        <v>4.0000000000000003E-5</v>
      </c>
      <c r="CY432">
        <f t="shared" si="72"/>
        <v>248624</v>
      </c>
      <c r="CZ432">
        <f t="shared" si="73"/>
        <v>37900</v>
      </c>
      <c r="DA432">
        <f t="shared" si="74"/>
        <v>6.56</v>
      </c>
      <c r="DB432">
        <f t="shared" si="75"/>
        <v>3.79</v>
      </c>
      <c r="DC432">
        <f t="shared" si="76"/>
        <v>0</v>
      </c>
    </row>
    <row r="433" spans="1:107" x14ac:dyDescent="0.2">
      <c r="A433">
        <f>ROW(Source!A211)</f>
        <v>211</v>
      </c>
      <c r="B433">
        <v>16742901</v>
      </c>
      <c r="C433">
        <v>16748865</v>
      </c>
      <c r="D433">
        <v>15161912</v>
      </c>
      <c r="E433">
        <v>17</v>
      </c>
      <c r="F433">
        <v>1</v>
      </c>
      <c r="G433">
        <v>1</v>
      </c>
      <c r="H433">
        <v>3</v>
      </c>
      <c r="I433" t="s">
        <v>319</v>
      </c>
      <c r="J433" t="s">
        <v>6</v>
      </c>
      <c r="K433" t="s">
        <v>320</v>
      </c>
      <c r="L433">
        <v>1348</v>
      </c>
      <c r="N433">
        <v>1009</v>
      </c>
      <c r="O433" t="s">
        <v>100</v>
      </c>
      <c r="P433" t="s">
        <v>100</v>
      </c>
      <c r="Q433">
        <v>1000</v>
      </c>
      <c r="W433">
        <v>0</v>
      </c>
      <c r="X433">
        <v>748648226</v>
      </c>
      <c r="Y433">
        <v>1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6.56</v>
      </c>
      <c r="AJ433">
        <v>1</v>
      </c>
      <c r="AK433">
        <v>1</v>
      </c>
      <c r="AL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6</v>
      </c>
      <c r="AT433">
        <v>1</v>
      </c>
      <c r="AU433" t="s">
        <v>6</v>
      </c>
      <c r="AV433">
        <v>0</v>
      </c>
      <c r="AW433">
        <v>2</v>
      </c>
      <c r="AX433">
        <v>16748879</v>
      </c>
      <c r="AY433">
        <v>1</v>
      </c>
      <c r="AZ433">
        <v>0</v>
      </c>
      <c r="BA433">
        <v>407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Y433*Source!I211</f>
        <v>0.4</v>
      </c>
      <c r="CY433">
        <f t="shared" si="72"/>
        <v>0</v>
      </c>
      <c r="CZ433">
        <f t="shared" si="73"/>
        <v>0</v>
      </c>
      <c r="DA433">
        <f t="shared" si="74"/>
        <v>6.56</v>
      </c>
      <c r="DB433">
        <f t="shared" si="75"/>
        <v>0</v>
      </c>
      <c r="DC433">
        <f t="shared" si="76"/>
        <v>0</v>
      </c>
    </row>
    <row r="434" spans="1:107" x14ac:dyDescent="0.2">
      <c r="A434">
        <f>ROW(Source!A211)</f>
        <v>211</v>
      </c>
      <c r="B434">
        <v>16742901</v>
      </c>
      <c r="C434">
        <v>16748865</v>
      </c>
      <c r="D434">
        <v>15190794</v>
      </c>
      <c r="E434">
        <v>1</v>
      </c>
      <c r="F434">
        <v>1</v>
      </c>
      <c r="G434">
        <v>1</v>
      </c>
      <c r="H434">
        <v>3</v>
      </c>
      <c r="I434" t="s">
        <v>1371</v>
      </c>
      <c r="J434" t="s">
        <v>1372</v>
      </c>
      <c r="K434" t="s">
        <v>1373</v>
      </c>
      <c r="L434">
        <v>1302</v>
      </c>
      <c r="N434">
        <v>1003</v>
      </c>
      <c r="O434" t="s">
        <v>740</v>
      </c>
      <c r="P434" t="s">
        <v>740</v>
      </c>
      <c r="Q434">
        <v>10</v>
      </c>
      <c r="W434">
        <v>0</v>
      </c>
      <c r="X434">
        <v>-1640127157</v>
      </c>
      <c r="Y434">
        <v>1.8700000000000001E-2</v>
      </c>
      <c r="AA434">
        <v>329.57</v>
      </c>
      <c r="AB434">
        <v>0</v>
      </c>
      <c r="AC434">
        <v>0</v>
      </c>
      <c r="AD434">
        <v>0</v>
      </c>
      <c r="AE434">
        <v>50.24</v>
      </c>
      <c r="AF434">
        <v>0</v>
      </c>
      <c r="AG434">
        <v>0</v>
      </c>
      <c r="AH434">
        <v>0</v>
      </c>
      <c r="AI434">
        <v>6.56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1.8700000000000001E-2</v>
      </c>
      <c r="AU434" t="s">
        <v>6</v>
      </c>
      <c r="AV434">
        <v>0</v>
      </c>
      <c r="AW434">
        <v>2</v>
      </c>
      <c r="AX434">
        <v>16748880</v>
      </c>
      <c r="AY434">
        <v>1</v>
      </c>
      <c r="AZ434">
        <v>0</v>
      </c>
      <c r="BA434">
        <v>408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Y434*Source!I211</f>
        <v>7.4800000000000005E-3</v>
      </c>
      <c r="CY434">
        <f t="shared" si="72"/>
        <v>329.57</v>
      </c>
      <c r="CZ434">
        <f t="shared" si="73"/>
        <v>50.24</v>
      </c>
      <c r="DA434">
        <f t="shared" si="74"/>
        <v>6.56</v>
      </c>
      <c r="DB434">
        <f t="shared" si="75"/>
        <v>0.94</v>
      </c>
      <c r="DC434">
        <f t="shared" si="76"/>
        <v>0</v>
      </c>
    </row>
    <row r="435" spans="1:107" x14ac:dyDescent="0.2">
      <c r="A435">
        <f>ROW(Source!A211)</f>
        <v>211</v>
      </c>
      <c r="B435">
        <v>16742901</v>
      </c>
      <c r="C435">
        <v>16748865</v>
      </c>
      <c r="D435">
        <v>15191153</v>
      </c>
      <c r="E435">
        <v>1</v>
      </c>
      <c r="F435">
        <v>1</v>
      </c>
      <c r="G435">
        <v>1</v>
      </c>
      <c r="H435">
        <v>3</v>
      </c>
      <c r="I435" t="s">
        <v>1374</v>
      </c>
      <c r="J435" t="s">
        <v>1375</v>
      </c>
      <c r="K435" t="s">
        <v>1376</v>
      </c>
      <c r="L435">
        <v>1348</v>
      </c>
      <c r="N435">
        <v>1009</v>
      </c>
      <c r="O435" t="s">
        <v>100</v>
      </c>
      <c r="P435" t="s">
        <v>100</v>
      </c>
      <c r="Q435">
        <v>1000</v>
      </c>
      <c r="W435">
        <v>0</v>
      </c>
      <c r="X435">
        <v>-1396314973</v>
      </c>
      <c r="Y435">
        <v>3.0000000000000001E-5</v>
      </c>
      <c r="AA435">
        <v>29226.11</v>
      </c>
      <c r="AB435">
        <v>0</v>
      </c>
      <c r="AC435">
        <v>0</v>
      </c>
      <c r="AD435">
        <v>0</v>
      </c>
      <c r="AE435">
        <v>4455.2</v>
      </c>
      <c r="AF435">
        <v>0</v>
      </c>
      <c r="AG435">
        <v>0</v>
      </c>
      <c r="AH435">
        <v>0</v>
      </c>
      <c r="AI435">
        <v>6.56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3.0000000000000001E-5</v>
      </c>
      <c r="AU435" t="s">
        <v>6</v>
      </c>
      <c r="AV435">
        <v>0</v>
      </c>
      <c r="AW435">
        <v>2</v>
      </c>
      <c r="AX435">
        <v>16748881</v>
      </c>
      <c r="AY435">
        <v>1</v>
      </c>
      <c r="AZ435">
        <v>0</v>
      </c>
      <c r="BA435">
        <v>409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Y435*Source!I211</f>
        <v>1.2E-5</v>
      </c>
      <c r="CY435">
        <f t="shared" si="72"/>
        <v>29226.11</v>
      </c>
      <c r="CZ435">
        <f t="shared" si="73"/>
        <v>4455.2</v>
      </c>
      <c r="DA435">
        <f t="shared" si="74"/>
        <v>6.56</v>
      </c>
      <c r="DB435">
        <f t="shared" si="75"/>
        <v>0.13</v>
      </c>
      <c r="DC435">
        <f t="shared" si="76"/>
        <v>0</v>
      </c>
    </row>
    <row r="436" spans="1:107" x14ac:dyDescent="0.2">
      <c r="A436">
        <f>ROW(Source!A211)</f>
        <v>211</v>
      </c>
      <c r="B436">
        <v>16742901</v>
      </c>
      <c r="C436">
        <v>16748865</v>
      </c>
      <c r="D436">
        <v>15191913</v>
      </c>
      <c r="E436">
        <v>1</v>
      </c>
      <c r="F436">
        <v>1</v>
      </c>
      <c r="G436">
        <v>1</v>
      </c>
      <c r="H436">
        <v>3</v>
      </c>
      <c r="I436" t="s">
        <v>1377</v>
      </c>
      <c r="J436" t="s">
        <v>1378</v>
      </c>
      <c r="K436" t="s">
        <v>1379</v>
      </c>
      <c r="L436">
        <v>1348</v>
      </c>
      <c r="N436">
        <v>1009</v>
      </c>
      <c r="O436" t="s">
        <v>100</v>
      </c>
      <c r="P436" t="s">
        <v>100</v>
      </c>
      <c r="Q436">
        <v>1000</v>
      </c>
      <c r="W436">
        <v>0</v>
      </c>
      <c r="X436">
        <v>900832145</v>
      </c>
      <c r="Y436">
        <v>1.9400000000000001E-3</v>
      </c>
      <c r="AA436">
        <v>32275.200000000001</v>
      </c>
      <c r="AB436">
        <v>0</v>
      </c>
      <c r="AC436">
        <v>0</v>
      </c>
      <c r="AD436">
        <v>0</v>
      </c>
      <c r="AE436">
        <v>4920</v>
      </c>
      <c r="AF436">
        <v>0</v>
      </c>
      <c r="AG436">
        <v>0</v>
      </c>
      <c r="AH436">
        <v>0</v>
      </c>
      <c r="AI436">
        <v>6.56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1.9400000000000001E-3</v>
      </c>
      <c r="AU436" t="s">
        <v>6</v>
      </c>
      <c r="AV436">
        <v>0</v>
      </c>
      <c r="AW436">
        <v>2</v>
      </c>
      <c r="AX436">
        <v>16748882</v>
      </c>
      <c r="AY436">
        <v>1</v>
      </c>
      <c r="AZ436">
        <v>0</v>
      </c>
      <c r="BA436">
        <v>410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Y436*Source!I211</f>
        <v>7.7600000000000011E-4</v>
      </c>
      <c r="CY436">
        <f t="shared" si="72"/>
        <v>32275.200000000001</v>
      </c>
      <c r="CZ436">
        <f t="shared" si="73"/>
        <v>4920</v>
      </c>
      <c r="DA436">
        <f t="shared" si="74"/>
        <v>6.56</v>
      </c>
      <c r="DB436">
        <f t="shared" si="75"/>
        <v>9.5399999999999991</v>
      </c>
      <c r="DC436">
        <f t="shared" si="76"/>
        <v>0</v>
      </c>
    </row>
    <row r="437" spans="1:107" x14ac:dyDescent="0.2">
      <c r="A437">
        <f>ROW(Source!A211)</f>
        <v>211</v>
      </c>
      <c r="B437">
        <v>16742901</v>
      </c>
      <c r="C437">
        <v>16748865</v>
      </c>
      <c r="D437">
        <v>15192092</v>
      </c>
      <c r="E437">
        <v>1</v>
      </c>
      <c r="F437">
        <v>1</v>
      </c>
      <c r="G437">
        <v>1</v>
      </c>
      <c r="H437">
        <v>3</v>
      </c>
      <c r="I437" t="s">
        <v>653</v>
      </c>
      <c r="J437" t="s">
        <v>655</v>
      </c>
      <c r="K437" t="s">
        <v>654</v>
      </c>
      <c r="L437">
        <v>1348</v>
      </c>
      <c r="N437">
        <v>1009</v>
      </c>
      <c r="O437" t="s">
        <v>100</v>
      </c>
      <c r="P437" t="s">
        <v>100</v>
      </c>
      <c r="Q437">
        <v>1000</v>
      </c>
      <c r="W437">
        <v>0</v>
      </c>
      <c r="X437">
        <v>1282234864</v>
      </c>
      <c r="Y437">
        <v>1</v>
      </c>
      <c r="AA437">
        <v>44476.800000000003</v>
      </c>
      <c r="AB437">
        <v>0</v>
      </c>
      <c r="AC437">
        <v>0</v>
      </c>
      <c r="AD437">
        <v>0</v>
      </c>
      <c r="AE437">
        <v>6780</v>
      </c>
      <c r="AF437">
        <v>0</v>
      </c>
      <c r="AG437">
        <v>0</v>
      </c>
      <c r="AH437">
        <v>0</v>
      </c>
      <c r="AI437">
        <v>6.56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6</v>
      </c>
      <c r="AT437">
        <v>1</v>
      </c>
      <c r="AU437" t="s">
        <v>6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6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Y437*Source!I211</f>
        <v>0.4</v>
      </c>
      <c r="CY437">
        <f t="shared" si="72"/>
        <v>44476.800000000003</v>
      </c>
      <c r="CZ437">
        <f t="shared" si="73"/>
        <v>6780</v>
      </c>
      <c r="DA437">
        <f t="shared" si="74"/>
        <v>6.56</v>
      </c>
      <c r="DB437">
        <f t="shared" si="75"/>
        <v>6780</v>
      </c>
      <c r="DC437">
        <f t="shared" si="76"/>
        <v>0</v>
      </c>
    </row>
    <row r="438" spans="1:107" x14ac:dyDescent="0.2">
      <c r="A438">
        <f>ROW(Source!A211)</f>
        <v>211</v>
      </c>
      <c r="B438">
        <v>16742901</v>
      </c>
      <c r="C438">
        <v>16748865</v>
      </c>
      <c r="D438">
        <v>15203461</v>
      </c>
      <c r="E438">
        <v>1</v>
      </c>
      <c r="F438">
        <v>1</v>
      </c>
      <c r="G438">
        <v>1</v>
      </c>
      <c r="H438">
        <v>3</v>
      </c>
      <c r="I438" t="s">
        <v>1380</v>
      </c>
      <c r="J438" t="s">
        <v>1381</v>
      </c>
      <c r="K438" t="s">
        <v>1382</v>
      </c>
      <c r="L438">
        <v>1348</v>
      </c>
      <c r="N438">
        <v>1009</v>
      </c>
      <c r="O438" t="s">
        <v>100</v>
      </c>
      <c r="P438" t="s">
        <v>100</v>
      </c>
      <c r="Q438">
        <v>1000</v>
      </c>
      <c r="W438">
        <v>0</v>
      </c>
      <c r="X438">
        <v>-1655298345</v>
      </c>
      <c r="Y438">
        <v>3.1E-4</v>
      </c>
      <c r="AA438">
        <v>102467.2</v>
      </c>
      <c r="AB438">
        <v>0</v>
      </c>
      <c r="AC438">
        <v>0</v>
      </c>
      <c r="AD438">
        <v>0</v>
      </c>
      <c r="AE438">
        <v>15620</v>
      </c>
      <c r="AF438">
        <v>0</v>
      </c>
      <c r="AG438">
        <v>0</v>
      </c>
      <c r="AH438">
        <v>0</v>
      </c>
      <c r="AI438">
        <v>6.56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3.1E-4</v>
      </c>
      <c r="AU438" t="s">
        <v>6</v>
      </c>
      <c r="AV438">
        <v>0</v>
      </c>
      <c r="AW438">
        <v>2</v>
      </c>
      <c r="AX438">
        <v>16748883</v>
      </c>
      <c r="AY438">
        <v>1</v>
      </c>
      <c r="AZ438">
        <v>0</v>
      </c>
      <c r="BA438">
        <v>411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Y438*Source!I211</f>
        <v>1.2400000000000001E-4</v>
      </c>
      <c r="CY438">
        <f t="shared" si="72"/>
        <v>102467.2</v>
      </c>
      <c r="CZ438">
        <f t="shared" si="73"/>
        <v>15620</v>
      </c>
      <c r="DA438">
        <f t="shared" si="74"/>
        <v>6.56</v>
      </c>
      <c r="DB438">
        <f t="shared" si="75"/>
        <v>4.84</v>
      </c>
      <c r="DC438">
        <f t="shared" si="76"/>
        <v>0</v>
      </c>
    </row>
    <row r="439" spans="1:107" x14ac:dyDescent="0.2">
      <c r="A439">
        <f>ROW(Source!A211)</f>
        <v>211</v>
      </c>
      <c r="B439">
        <v>16742901</v>
      </c>
      <c r="C439">
        <v>16748865</v>
      </c>
      <c r="D439">
        <v>15204663</v>
      </c>
      <c r="E439">
        <v>1</v>
      </c>
      <c r="F439">
        <v>1</v>
      </c>
      <c r="G439">
        <v>1</v>
      </c>
      <c r="H439">
        <v>3</v>
      </c>
      <c r="I439" t="s">
        <v>1383</v>
      </c>
      <c r="J439" t="s">
        <v>1384</v>
      </c>
      <c r="K439" t="s">
        <v>1385</v>
      </c>
      <c r="L439">
        <v>1348</v>
      </c>
      <c r="N439">
        <v>1009</v>
      </c>
      <c r="O439" t="s">
        <v>100</v>
      </c>
      <c r="P439" t="s">
        <v>100</v>
      </c>
      <c r="Q439">
        <v>1000</v>
      </c>
      <c r="W439">
        <v>0</v>
      </c>
      <c r="X439">
        <v>-639604785</v>
      </c>
      <c r="Y439">
        <v>5.9999999999999995E-4</v>
      </c>
      <c r="AA439">
        <v>61795.199999999997</v>
      </c>
      <c r="AB439">
        <v>0</v>
      </c>
      <c r="AC439">
        <v>0</v>
      </c>
      <c r="AD439">
        <v>0</v>
      </c>
      <c r="AE439">
        <v>9420</v>
      </c>
      <c r="AF439">
        <v>0</v>
      </c>
      <c r="AG439">
        <v>0</v>
      </c>
      <c r="AH439">
        <v>0</v>
      </c>
      <c r="AI439">
        <v>6.56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5.9999999999999995E-4</v>
      </c>
      <c r="AU439" t="s">
        <v>6</v>
      </c>
      <c r="AV439">
        <v>0</v>
      </c>
      <c r="AW439">
        <v>2</v>
      </c>
      <c r="AX439">
        <v>16748884</v>
      </c>
      <c r="AY439">
        <v>1</v>
      </c>
      <c r="AZ439">
        <v>0</v>
      </c>
      <c r="BA439">
        <v>412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Y439*Source!I211</f>
        <v>2.3999999999999998E-4</v>
      </c>
      <c r="CY439">
        <f t="shared" si="72"/>
        <v>61795.199999999997</v>
      </c>
      <c r="CZ439">
        <f t="shared" si="73"/>
        <v>9420</v>
      </c>
      <c r="DA439">
        <f t="shared" si="74"/>
        <v>6.56</v>
      </c>
      <c r="DB439">
        <f t="shared" si="75"/>
        <v>5.65</v>
      </c>
      <c r="DC439">
        <f t="shared" si="76"/>
        <v>0</v>
      </c>
    </row>
    <row r="440" spans="1:107" x14ac:dyDescent="0.2">
      <c r="A440">
        <f>ROW(Source!A214)</f>
        <v>214</v>
      </c>
      <c r="B440">
        <v>16742901</v>
      </c>
      <c r="C440">
        <v>16746118</v>
      </c>
      <c r="D440">
        <v>15433629</v>
      </c>
      <c r="E440">
        <v>1</v>
      </c>
      <c r="F440">
        <v>1</v>
      </c>
      <c r="G440">
        <v>1</v>
      </c>
      <c r="H440">
        <v>1</v>
      </c>
      <c r="I440" t="s">
        <v>1626</v>
      </c>
      <c r="J440" t="s">
        <v>6</v>
      </c>
      <c r="K440" t="s">
        <v>1627</v>
      </c>
      <c r="L440">
        <v>1191</v>
      </c>
      <c r="N440">
        <v>1013</v>
      </c>
      <c r="O440" t="s">
        <v>1287</v>
      </c>
      <c r="P440" t="s">
        <v>1287</v>
      </c>
      <c r="Q440">
        <v>1</v>
      </c>
      <c r="W440">
        <v>0</v>
      </c>
      <c r="X440">
        <v>-576067263</v>
      </c>
      <c r="Y440">
        <v>1.03</v>
      </c>
      <c r="AA440">
        <v>0</v>
      </c>
      <c r="AB440">
        <v>0</v>
      </c>
      <c r="AC440">
        <v>0</v>
      </c>
      <c r="AD440">
        <v>47.17</v>
      </c>
      <c r="AE440">
        <v>0</v>
      </c>
      <c r="AF440">
        <v>0</v>
      </c>
      <c r="AG440">
        <v>0</v>
      </c>
      <c r="AH440">
        <v>7.19</v>
      </c>
      <c r="AI440">
        <v>1</v>
      </c>
      <c r="AJ440">
        <v>1</v>
      </c>
      <c r="AK440">
        <v>1</v>
      </c>
      <c r="AL440">
        <v>6.56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1.03</v>
      </c>
      <c r="AU440" t="s">
        <v>6</v>
      </c>
      <c r="AV440">
        <v>1</v>
      </c>
      <c r="AW440">
        <v>2</v>
      </c>
      <c r="AX440">
        <v>16746121</v>
      </c>
      <c r="AY440">
        <v>1</v>
      </c>
      <c r="AZ440">
        <v>0</v>
      </c>
      <c r="BA440">
        <v>413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Y440*Source!I214</f>
        <v>31.93</v>
      </c>
      <c r="CY440">
        <f>AD440</f>
        <v>47.17</v>
      </c>
      <c r="CZ440">
        <f>AH440</f>
        <v>7.19</v>
      </c>
      <c r="DA440">
        <f>AL440</f>
        <v>6.56</v>
      </c>
      <c r="DB440">
        <f t="shared" si="75"/>
        <v>7.41</v>
      </c>
      <c r="DC440">
        <f t="shared" si="76"/>
        <v>0</v>
      </c>
    </row>
    <row r="441" spans="1:107" x14ac:dyDescent="0.2">
      <c r="A441">
        <f>ROW(Source!A214)</f>
        <v>214</v>
      </c>
      <c r="B441">
        <v>16742901</v>
      </c>
      <c r="C441">
        <v>16746118</v>
      </c>
      <c r="D441">
        <v>15170984</v>
      </c>
      <c r="E441">
        <v>1</v>
      </c>
      <c r="F441">
        <v>1</v>
      </c>
      <c r="G441">
        <v>1</v>
      </c>
      <c r="H441">
        <v>3</v>
      </c>
      <c r="I441" t="s">
        <v>1628</v>
      </c>
      <c r="J441" t="s">
        <v>1629</v>
      </c>
      <c r="K441" t="s">
        <v>1630</v>
      </c>
      <c r="L441">
        <v>1355</v>
      </c>
      <c r="N441">
        <v>1010</v>
      </c>
      <c r="O441" t="s">
        <v>843</v>
      </c>
      <c r="P441" t="s">
        <v>843</v>
      </c>
      <c r="Q441">
        <v>100</v>
      </c>
      <c r="W441">
        <v>0</v>
      </c>
      <c r="X441">
        <v>1092967459</v>
      </c>
      <c r="Y441">
        <v>0.2</v>
      </c>
      <c r="AA441">
        <v>537.91999999999996</v>
      </c>
      <c r="AB441">
        <v>0</v>
      </c>
      <c r="AC441">
        <v>0</v>
      </c>
      <c r="AD441">
        <v>0</v>
      </c>
      <c r="AE441">
        <v>82</v>
      </c>
      <c r="AF441">
        <v>0</v>
      </c>
      <c r="AG441">
        <v>0</v>
      </c>
      <c r="AH441">
        <v>0</v>
      </c>
      <c r="AI441">
        <v>6.56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0.2</v>
      </c>
      <c r="AU441" t="s">
        <v>6</v>
      </c>
      <c r="AV441">
        <v>0</v>
      </c>
      <c r="AW441">
        <v>2</v>
      </c>
      <c r="AX441">
        <v>16746122</v>
      </c>
      <c r="AY441">
        <v>1</v>
      </c>
      <c r="AZ441">
        <v>0</v>
      </c>
      <c r="BA441">
        <v>414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Y441*Source!I214</f>
        <v>6.2</v>
      </c>
      <c r="CY441">
        <f>AA441</f>
        <v>537.91999999999996</v>
      </c>
      <c r="CZ441">
        <f>AE441</f>
        <v>82</v>
      </c>
      <c r="DA441">
        <f>AI441</f>
        <v>6.56</v>
      </c>
      <c r="DB441">
        <f t="shared" si="75"/>
        <v>16.399999999999999</v>
      </c>
      <c r="DC441">
        <f t="shared" si="76"/>
        <v>0</v>
      </c>
    </row>
    <row r="442" spans="1:107" x14ac:dyDescent="0.2">
      <c r="A442">
        <f>ROW(Source!A284)</f>
        <v>284</v>
      </c>
      <c r="B442">
        <v>16742901</v>
      </c>
      <c r="C442">
        <v>16744313</v>
      </c>
      <c r="D442">
        <v>15432010</v>
      </c>
      <c r="E442">
        <v>1</v>
      </c>
      <c r="F442">
        <v>1</v>
      </c>
      <c r="G442">
        <v>1</v>
      </c>
      <c r="H442">
        <v>1</v>
      </c>
      <c r="I442" t="s">
        <v>1631</v>
      </c>
      <c r="J442" t="s">
        <v>6</v>
      </c>
      <c r="K442" t="s">
        <v>1632</v>
      </c>
      <c r="L442">
        <v>1191</v>
      </c>
      <c r="N442">
        <v>1013</v>
      </c>
      <c r="O442" t="s">
        <v>1287</v>
      </c>
      <c r="P442" t="s">
        <v>1287</v>
      </c>
      <c r="Q442">
        <v>1</v>
      </c>
      <c r="W442">
        <v>0</v>
      </c>
      <c r="X442">
        <v>-228054128</v>
      </c>
      <c r="Y442">
        <v>17.89</v>
      </c>
      <c r="AA442">
        <v>0</v>
      </c>
      <c r="AB442">
        <v>0</v>
      </c>
      <c r="AC442">
        <v>0</v>
      </c>
      <c r="AD442">
        <v>52.61</v>
      </c>
      <c r="AE442">
        <v>0</v>
      </c>
      <c r="AF442">
        <v>0</v>
      </c>
      <c r="AG442">
        <v>0</v>
      </c>
      <c r="AH442">
        <v>8.02</v>
      </c>
      <c r="AI442">
        <v>1</v>
      </c>
      <c r="AJ442">
        <v>1</v>
      </c>
      <c r="AK442">
        <v>1</v>
      </c>
      <c r="AL442">
        <v>6.56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17.89</v>
      </c>
      <c r="AU442" t="s">
        <v>6</v>
      </c>
      <c r="AV442">
        <v>1</v>
      </c>
      <c r="AW442">
        <v>2</v>
      </c>
      <c r="AX442">
        <v>16744317</v>
      </c>
      <c r="AY442">
        <v>1</v>
      </c>
      <c r="AZ442">
        <v>0</v>
      </c>
      <c r="BA442">
        <v>415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Y442*Source!I284</f>
        <v>12.880800000000001</v>
      </c>
      <c r="CY442">
        <f>AD442</f>
        <v>52.61</v>
      </c>
      <c r="CZ442">
        <f>AH442</f>
        <v>8.02</v>
      </c>
      <c r="DA442">
        <f>AL442</f>
        <v>6.56</v>
      </c>
      <c r="DB442">
        <f t="shared" si="75"/>
        <v>143.47999999999999</v>
      </c>
      <c r="DC442">
        <f t="shared" si="76"/>
        <v>0</v>
      </c>
    </row>
    <row r="443" spans="1:107" x14ac:dyDescent="0.2">
      <c r="A443">
        <f>ROW(Source!A284)</f>
        <v>284</v>
      </c>
      <c r="B443">
        <v>16742901</v>
      </c>
      <c r="C443">
        <v>16744313</v>
      </c>
      <c r="D443">
        <v>15430395</v>
      </c>
      <c r="E443">
        <v>1</v>
      </c>
      <c r="F443">
        <v>1</v>
      </c>
      <c r="G443">
        <v>1</v>
      </c>
      <c r="H443">
        <v>1</v>
      </c>
      <c r="I443" t="s">
        <v>1293</v>
      </c>
      <c r="J443" t="s">
        <v>6</v>
      </c>
      <c r="K443" t="s">
        <v>1294</v>
      </c>
      <c r="L443">
        <v>1191</v>
      </c>
      <c r="N443">
        <v>1013</v>
      </c>
      <c r="O443" t="s">
        <v>1287</v>
      </c>
      <c r="P443" t="s">
        <v>1287</v>
      </c>
      <c r="Q443">
        <v>1</v>
      </c>
      <c r="W443">
        <v>0</v>
      </c>
      <c r="X443">
        <v>-1417349443</v>
      </c>
      <c r="Y443">
        <v>0.08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6.56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0.08</v>
      </c>
      <c r="AU443" t="s">
        <v>6</v>
      </c>
      <c r="AV443">
        <v>2</v>
      </c>
      <c r="AW443">
        <v>2</v>
      </c>
      <c r="AX443">
        <v>16744318</v>
      </c>
      <c r="AY443">
        <v>1</v>
      </c>
      <c r="AZ443">
        <v>0</v>
      </c>
      <c r="BA443">
        <v>416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Y443*Source!I284</f>
        <v>5.7599999999999998E-2</v>
      </c>
      <c r="CY443">
        <f>AD443</f>
        <v>0</v>
      </c>
      <c r="CZ443">
        <f>AH443</f>
        <v>0</v>
      </c>
      <c r="DA443">
        <f>AL443</f>
        <v>1</v>
      </c>
      <c r="DB443">
        <f t="shared" si="75"/>
        <v>0</v>
      </c>
      <c r="DC443">
        <f t="shared" si="76"/>
        <v>0</v>
      </c>
    </row>
    <row r="444" spans="1:107" x14ac:dyDescent="0.2">
      <c r="A444">
        <f>ROW(Source!A284)</f>
        <v>284</v>
      </c>
      <c r="B444">
        <v>16742901</v>
      </c>
      <c r="C444">
        <v>16744313</v>
      </c>
      <c r="D444">
        <v>15247974</v>
      </c>
      <c r="E444">
        <v>1</v>
      </c>
      <c r="F444">
        <v>1</v>
      </c>
      <c r="G444">
        <v>1</v>
      </c>
      <c r="H444">
        <v>2</v>
      </c>
      <c r="I444" t="s">
        <v>1314</v>
      </c>
      <c r="J444" t="s">
        <v>1315</v>
      </c>
      <c r="K444" t="s">
        <v>1316</v>
      </c>
      <c r="L444">
        <v>1368</v>
      </c>
      <c r="N444">
        <v>1011</v>
      </c>
      <c r="O444" t="s">
        <v>1298</v>
      </c>
      <c r="P444" t="s">
        <v>1298</v>
      </c>
      <c r="Q444">
        <v>1</v>
      </c>
      <c r="W444">
        <v>0</v>
      </c>
      <c r="X444">
        <v>1188625873</v>
      </c>
      <c r="Y444">
        <v>0.08</v>
      </c>
      <c r="AA444">
        <v>0</v>
      </c>
      <c r="AB444">
        <v>205.07</v>
      </c>
      <c r="AC444">
        <v>13.5</v>
      </c>
      <c r="AD444">
        <v>0</v>
      </c>
      <c r="AE444">
        <v>0</v>
      </c>
      <c r="AF444">
        <v>31.26</v>
      </c>
      <c r="AG444">
        <v>13.5</v>
      </c>
      <c r="AH444">
        <v>0</v>
      </c>
      <c r="AI444">
        <v>1</v>
      </c>
      <c r="AJ444">
        <v>6.56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0.08</v>
      </c>
      <c r="AU444" t="s">
        <v>6</v>
      </c>
      <c r="AV444">
        <v>0</v>
      </c>
      <c r="AW444">
        <v>2</v>
      </c>
      <c r="AX444">
        <v>16744319</v>
      </c>
      <c r="AY444">
        <v>1</v>
      </c>
      <c r="AZ444">
        <v>0</v>
      </c>
      <c r="BA444">
        <v>417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Y444*Source!I284</f>
        <v>5.7599999999999998E-2</v>
      </c>
      <c r="CY444">
        <f>AB444</f>
        <v>205.07</v>
      </c>
      <c r="CZ444">
        <f>AF444</f>
        <v>31.26</v>
      </c>
      <c r="DA444">
        <f>AJ444</f>
        <v>6.56</v>
      </c>
      <c r="DB444">
        <f t="shared" si="75"/>
        <v>2.5</v>
      </c>
      <c r="DC444">
        <f t="shared" si="76"/>
        <v>1.08</v>
      </c>
    </row>
    <row r="445" spans="1:107" x14ac:dyDescent="0.2">
      <c r="A445">
        <f>ROW(Source!A285)</f>
        <v>285</v>
      </c>
      <c r="B445">
        <v>16742901</v>
      </c>
      <c r="C445">
        <v>16744320</v>
      </c>
      <c r="D445">
        <v>15430517</v>
      </c>
      <c r="E445">
        <v>1</v>
      </c>
      <c r="F445">
        <v>1</v>
      </c>
      <c r="G445">
        <v>1</v>
      </c>
      <c r="H445">
        <v>1</v>
      </c>
      <c r="I445" t="s">
        <v>1337</v>
      </c>
      <c r="J445" t="s">
        <v>6</v>
      </c>
      <c r="K445" t="s">
        <v>1338</v>
      </c>
      <c r="L445">
        <v>1191</v>
      </c>
      <c r="N445">
        <v>1013</v>
      </c>
      <c r="O445" t="s">
        <v>1287</v>
      </c>
      <c r="P445" t="s">
        <v>1287</v>
      </c>
      <c r="Q445">
        <v>1</v>
      </c>
      <c r="W445">
        <v>0</v>
      </c>
      <c r="X445">
        <v>735429535</v>
      </c>
      <c r="Y445">
        <v>9.64</v>
      </c>
      <c r="AA445">
        <v>0</v>
      </c>
      <c r="AB445">
        <v>0</v>
      </c>
      <c r="AC445">
        <v>0</v>
      </c>
      <c r="AD445">
        <v>51.17</v>
      </c>
      <c r="AE445">
        <v>0</v>
      </c>
      <c r="AF445">
        <v>0</v>
      </c>
      <c r="AG445">
        <v>0</v>
      </c>
      <c r="AH445">
        <v>7.8</v>
      </c>
      <c r="AI445">
        <v>1</v>
      </c>
      <c r="AJ445">
        <v>1</v>
      </c>
      <c r="AK445">
        <v>1</v>
      </c>
      <c r="AL445">
        <v>6.56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9.64</v>
      </c>
      <c r="AU445" t="s">
        <v>6</v>
      </c>
      <c r="AV445">
        <v>1</v>
      </c>
      <c r="AW445">
        <v>2</v>
      </c>
      <c r="AX445">
        <v>16744324</v>
      </c>
      <c r="AY445">
        <v>1</v>
      </c>
      <c r="AZ445">
        <v>0</v>
      </c>
      <c r="BA445">
        <v>418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Y445*Source!I285</f>
        <v>22.364799999999999</v>
      </c>
      <c r="CY445">
        <f>AD445</f>
        <v>51.17</v>
      </c>
      <c r="CZ445">
        <f>AH445</f>
        <v>7.8</v>
      </c>
      <c r="DA445">
        <f>AL445</f>
        <v>6.56</v>
      </c>
      <c r="DB445">
        <f t="shared" si="75"/>
        <v>75.19</v>
      </c>
      <c r="DC445">
        <f t="shared" si="76"/>
        <v>0</v>
      </c>
    </row>
    <row r="446" spans="1:107" x14ac:dyDescent="0.2">
      <c r="A446">
        <f>ROW(Source!A285)</f>
        <v>285</v>
      </c>
      <c r="B446">
        <v>16742901</v>
      </c>
      <c r="C446">
        <v>16744320</v>
      </c>
      <c r="D446">
        <v>15430395</v>
      </c>
      <c r="E446">
        <v>1</v>
      </c>
      <c r="F446">
        <v>1</v>
      </c>
      <c r="G446">
        <v>1</v>
      </c>
      <c r="H446">
        <v>1</v>
      </c>
      <c r="I446" t="s">
        <v>1293</v>
      </c>
      <c r="J446" t="s">
        <v>6</v>
      </c>
      <c r="K446" t="s">
        <v>1294</v>
      </c>
      <c r="L446">
        <v>1191</v>
      </c>
      <c r="N446">
        <v>1013</v>
      </c>
      <c r="O446" t="s">
        <v>1287</v>
      </c>
      <c r="P446" t="s">
        <v>1287</v>
      </c>
      <c r="Q446">
        <v>1</v>
      </c>
      <c r="W446">
        <v>0</v>
      </c>
      <c r="X446">
        <v>-1417349443</v>
      </c>
      <c r="Y446">
        <v>0.01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6.56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0.01</v>
      </c>
      <c r="AU446" t="s">
        <v>6</v>
      </c>
      <c r="AV446">
        <v>2</v>
      </c>
      <c r="AW446">
        <v>2</v>
      </c>
      <c r="AX446">
        <v>16744325</v>
      </c>
      <c r="AY446">
        <v>1</v>
      </c>
      <c r="AZ446">
        <v>0</v>
      </c>
      <c r="BA446">
        <v>419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Y446*Source!I285</f>
        <v>2.3199999999999998E-2</v>
      </c>
      <c r="CY446">
        <f>AD446</f>
        <v>0</v>
      </c>
      <c r="CZ446">
        <f>AH446</f>
        <v>0</v>
      </c>
      <c r="DA446">
        <f>AL446</f>
        <v>1</v>
      </c>
      <c r="DB446">
        <f t="shared" si="75"/>
        <v>0</v>
      </c>
      <c r="DC446">
        <f t="shared" si="76"/>
        <v>0</v>
      </c>
    </row>
    <row r="447" spans="1:107" x14ac:dyDescent="0.2">
      <c r="A447">
        <f>ROW(Source!A285)</f>
        <v>285</v>
      </c>
      <c r="B447">
        <v>16742901</v>
      </c>
      <c r="C447">
        <v>16744320</v>
      </c>
      <c r="D447">
        <v>15247974</v>
      </c>
      <c r="E447">
        <v>1</v>
      </c>
      <c r="F447">
        <v>1</v>
      </c>
      <c r="G447">
        <v>1</v>
      </c>
      <c r="H447">
        <v>2</v>
      </c>
      <c r="I447" t="s">
        <v>1314</v>
      </c>
      <c r="J447" t="s">
        <v>1315</v>
      </c>
      <c r="K447" t="s">
        <v>1316</v>
      </c>
      <c r="L447">
        <v>1368</v>
      </c>
      <c r="N447">
        <v>1011</v>
      </c>
      <c r="O447" t="s">
        <v>1298</v>
      </c>
      <c r="P447" t="s">
        <v>1298</v>
      </c>
      <c r="Q447">
        <v>1</v>
      </c>
      <c r="W447">
        <v>0</v>
      </c>
      <c r="X447">
        <v>1188625873</v>
      </c>
      <c r="Y447">
        <v>0.01</v>
      </c>
      <c r="AA447">
        <v>0</v>
      </c>
      <c r="AB447">
        <v>205.07</v>
      </c>
      <c r="AC447">
        <v>13.5</v>
      </c>
      <c r="AD447">
        <v>0</v>
      </c>
      <c r="AE447">
        <v>0</v>
      </c>
      <c r="AF447">
        <v>31.26</v>
      </c>
      <c r="AG447">
        <v>13.5</v>
      </c>
      <c r="AH447">
        <v>0</v>
      </c>
      <c r="AI447">
        <v>1</v>
      </c>
      <c r="AJ447">
        <v>6.56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0.01</v>
      </c>
      <c r="AU447" t="s">
        <v>6</v>
      </c>
      <c r="AV447">
        <v>0</v>
      </c>
      <c r="AW447">
        <v>2</v>
      </c>
      <c r="AX447">
        <v>16744326</v>
      </c>
      <c r="AY447">
        <v>1</v>
      </c>
      <c r="AZ447">
        <v>0</v>
      </c>
      <c r="BA447">
        <v>420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Y447*Source!I285</f>
        <v>2.3199999999999998E-2</v>
      </c>
      <c r="CY447">
        <f>AB447</f>
        <v>205.07</v>
      </c>
      <c r="CZ447">
        <f>AF447</f>
        <v>31.26</v>
      </c>
      <c r="DA447">
        <f>AJ447</f>
        <v>6.56</v>
      </c>
      <c r="DB447">
        <f t="shared" si="75"/>
        <v>0.31</v>
      </c>
      <c r="DC447">
        <f t="shared" si="76"/>
        <v>0.14000000000000001</v>
      </c>
    </row>
    <row r="448" spans="1:107" x14ac:dyDescent="0.2">
      <c r="A448">
        <f>ROW(Source!A286)</f>
        <v>286</v>
      </c>
      <c r="B448">
        <v>16742901</v>
      </c>
      <c r="C448">
        <v>16744327</v>
      </c>
      <c r="D448">
        <v>15430517</v>
      </c>
      <c r="E448">
        <v>1</v>
      </c>
      <c r="F448">
        <v>1</v>
      </c>
      <c r="G448">
        <v>1</v>
      </c>
      <c r="H448">
        <v>1</v>
      </c>
      <c r="I448" t="s">
        <v>1337</v>
      </c>
      <c r="J448" t="s">
        <v>6</v>
      </c>
      <c r="K448" t="s">
        <v>1338</v>
      </c>
      <c r="L448">
        <v>1191</v>
      </c>
      <c r="N448">
        <v>1013</v>
      </c>
      <c r="O448" t="s">
        <v>1287</v>
      </c>
      <c r="P448" t="s">
        <v>1287</v>
      </c>
      <c r="Q448">
        <v>1</v>
      </c>
      <c r="W448">
        <v>0</v>
      </c>
      <c r="X448">
        <v>735429535</v>
      </c>
      <c r="Y448">
        <v>5.84</v>
      </c>
      <c r="AA448">
        <v>0</v>
      </c>
      <c r="AB448">
        <v>0</v>
      </c>
      <c r="AC448">
        <v>0</v>
      </c>
      <c r="AD448">
        <v>51.17</v>
      </c>
      <c r="AE448">
        <v>0</v>
      </c>
      <c r="AF448">
        <v>0</v>
      </c>
      <c r="AG448">
        <v>0</v>
      </c>
      <c r="AH448">
        <v>7.8</v>
      </c>
      <c r="AI448">
        <v>1</v>
      </c>
      <c r="AJ448">
        <v>1</v>
      </c>
      <c r="AK448">
        <v>1</v>
      </c>
      <c r="AL448">
        <v>6.56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5.84</v>
      </c>
      <c r="AU448" t="s">
        <v>6</v>
      </c>
      <c r="AV448">
        <v>1</v>
      </c>
      <c r="AW448">
        <v>2</v>
      </c>
      <c r="AX448">
        <v>16744329</v>
      </c>
      <c r="AY448">
        <v>1</v>
      </c>
      <c r="AZ448">
        <v>0</v>
      </c>
      <c r="BA448">
        <v>421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Y448*Source!I286</f>
        <v>2.2191999999999998</v>
      </c>
      <c r="CY448">
        <f>AD448</f>
        <v>51.17</v>
      </c>
      <c r="CZ448">
        <f>AH448</f>
        <v>7.8</v>
      </c>
      <c r="DA448">
        <f>AL448</f>
        <v>6.56</v>
      </c>
      <c r="DB448">
        <f t="shared" si="75"/>
        <v>45.55</v>
      </c>
      <c r="DC448">
        <f t="shared" si="76"/>
        <v>0</v>
      </c>
    </row>
    <row r="449" spans="1:107" x14ac:dyDescent="0.2">
      <c r="A449">
        <f>ROW(Source!A287)</f>
        <v>287</v>
      </c>
      <c r="B449">
        <v>16742901</v>
      </c>
      <c r="C449">
        <v>16744330</v>
      </c>
      <c r="D449">
        <v>15435721</v>
      </c>
      <c r="E449">
        <v>1</v>
      </c>
      <c r="F449">
        <v>1</v>
      </c>
      <c r="G449">
        <v>1</v>
      </c>
      <c r="H449">
        <v>1</v>
      </c>
      <c r="I449" t="s">
        <v>1609</v>
      </c>
      <c r="J449" t="s">
        <v>6</v>
      </c>
      <c r="K449" t="s">
        <v>1610</v>
      </c>
      <c r="L449">
        <v>1191</v>
      </c>
      <c r="N449">
        <v>1013</v>
      </c>
      <c r="O449" t="s">
        <v>1287</v>
      </c>
      <c r="P449" t="s">
        <v>1287</v>
      </c>
      <c r="Q449">
        <v>1</v>
      </c>
      <c r="W449">
        <v>0</v>
      </c>
      <c r="X449">
        <v>1983201532</v>
      </c>
      <c r="Y449">
        <v>4.8869999999999996</v>
      </c>
      <c r="AA449">
        <v>0</v>
      </c>
      <c r="AB449">
        <v>0</v>
      </c>
      <c r="AC449">
        <v>0</v>
      </c>
      <c r="AD449">
        <v>62.39</v>
      </c>
      <c r="AE449">
        <v>0</v>
      </c>
      <c r="AF449">
        <v>0</v>
      </c>
      <c r="AG449">
        <v>0</v>
      </c>
      <c r="AH449">
        <v>9.51</v>
      </c>
      <c r="AI449">
        <v>1</v>
      </c>
      <c r="AJ449">
        <v>1</v>
      </c>
      <c r="AK449">
        <v>1</v>
      </c>
      <c r="AL449">
        <v>6.56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16.29</v>
      </c>
      <c r="AU449" t="s">
        <v>82</v>
      </c>
      <c r="AV449">
        <v>1</v>
      </c>
      <c r="AW449">
        <v>2</v>
      </c>
      <c r="AX449">
        <v>16744337</v>
      </c>
      <c r="AY449">
        <v>1</v>
      </c>
      <c r="AZ449">
        <v>0</v>
      </c>
      <c r="BA449">
        <v>422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Y449*Source!I287</f>
        <v>7.5259799999999997</v>
      </c>
      <c r="CY449">
        <f>AD449</f>
        <v>62.39</v>
      </c>
      <c r="CZ449">
        <f>AH449</f>
        <v>9.51</v>
      </c>
      <c r="DA449">
        <f>AL449</f>
        <v>6.56</v>
      </c>
      <c r="DB449">
        <f>ROUND((ROUND(AT449*CZ449,2)*0.3),2)</f>
        <v>46.48</v>
      </c>
      <c r="DC449">
        <f>ROUND((ROUND(AT449*AG449,2)*0.3),2)</f>
        <v>0</v>
      </c>
    </row>
    <row r="450" spans="1:107" x14ac:dyDescent="0.2">
      <c r="A450">
        <f>ROW(Source!A287)</f>
        <v>287</v>
      </c>
      <c r="B450">
        <v>16742901</v>
      </c>
      <c r="C450">
        <v>16744330</v>
      </c>
      <c r="D450">
        <v>15430395</v>
      </c>
      <c r="E450">
        <v>1</v>
      </c>
      <c r="F450">
        <v>1</v>
      </c>
      <c r="G450">
        <v>1</v>
      </c>
      <c r="H450">
        <v>1</v>
      </c>
      <c r="I450" t="s">
        <v>1293</v>
      </c>
      <c r="J450" t="s">
        <v>6</v>
      </c>
      <c r="K450" t="s">
        <v>1294</v>
      </c>
      <c r="L450">
        <v>1191</v>
      </c>
      <c r="N450">
        <v>1013</v>
      </c>
      <c r="O450" t="s">
        <v>1287</v>
      </c>
      <c r="P450" t="s">
        <v>1287</v>
      </c>
      <c r="Q450">
        <v>1</v>
      </c>
      <c r="W450">
        <v>0</v>
      </c>
      <c r="X450">
        <v>-1417349443</v>
      </c>
      <c r="Y450">
        <v>0.01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6.56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0.01</v>
      </c>
      <c r="AU450" t="s">
        <v>6</v>
      </c>
      <c r="AV450">
        <v>2</v>
      </c>
      <c r="AW450">
        <v>2</v>
      </c>
      <c r="AX450">
        <v>16744338</v>
      </c>
      <c r="AY450">
        <v>1</v>
      </c>
      <c r="AZ450">
        <v>2048</v>
      </c>
      <c r="BA450">
        <v>423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Y450*Source!I287</f>
        <v>1.54E-2</v>
      </c>
      <c r="CY450">
        <f>AD450</f>
        <v>0</v>
      </c>
      <c r="CZ450">
        <f>AH450</f>
        <v>0</v>
      </c>
      <c r="DA450">
        <f>AL450</f>
        <v>1</v>
      </c>
      <c r="DB450">
        <f>ROUND(ROUND(AT450*CZ450,2),2)</f>
        <v>0</v>
      </c>
      <c r="DC450">
        <f>ROUND(ROUND(AT450*AG450,2),2)</f>
        <v>0</v>
      </c>
    </row>
    <row r="451" spans="1:107" x14ac:dyDescent="0.2">
      <c r="A451">
        <f>ROW(Source!A287)</f>
        <v>287</v>
      </c>
      <c r="B451">
        <v>16742901</v>
      </c>
      <c r="C451">
        <v>16744330</v>
      </c>
      <c r="D451">
        <v>15247974</v>
      </c>
      <c r="E451">
        <v>1</v>
      </c>
      <c r="F451">
        <v>1</v>
      </c>
      <c r="G451">
        <v>1</v>
      </c>
      <c r="H451">
        <v>2</v>
      </c>
      <c r="I451" t="s">
        <v>1314</v>
      </c>
      <c r="J451" t="s">
        <v>1315</v>
      </c>
      <c r="K451" t="s">
        <v>1316</v>
      </c>
      <c r="L451">
        <v>1368</v>
      </c>
      <c r="N451">
        <v>1011</v>
      </c>
      <c r="O451" t="s">
        <v>1298</v>
      </c>
      <c r="P451" t="s">
        <v>1298</v>
      </c>
      <c r="Q451">
        <v>1</v>
      </c>
      <c r="W451">
        <v>0</v>
      </c>
      <c r="X451">
        <v>1188625873</v>
      </c>
      <c r="Y451">
        <v>3.0000000000000001E-3</v>
      </c>
      <c r="AA451">
        <v>0</v>
      </c>
      <c r="AB451">
        <v>205.07</v>
      </c>
      <c r="AC451">
        <v>13.5</v>
      </c>
      <c r="AD451">
        <v>0</v>
      </c>
      <c r="AE451">
        <v>0</v>
      </c>
      <c r="AF451">
        <v>31.26</v>
      </c>
      <c r="AG451">
        <v>13.5</v>
      </c>
      <c r="AH451">
        <v>0</v>
      </c>
      <c r="AI451">
        <v>1</v>
      </c>
      <c r="AJ451">
        <v>6.56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0.01</v>
      </c>
      <c r="AU451" t="s">
        <v>82</v>
      </c>
      <c r="AV451">
        <v>0</v>
      </c>
      <c r="AW451">
        <v>2</v>
      </c>
      <c r="AX451">
        <v>16744339</v>
      </c>
      <c r="AY451">
        <v>1</v>
      </c>
      <c r="AZ451">
        <v>0</v>
      </c>
      <c r="BA451">
        <v>424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Y451*Source!I287</f>
        <v>4.62E-3</v>
      </c>
      <c r="CY451">
        <f>AB451</f>
        <v>205.07</v>
      </c>
      <c r="CZ451">
        <f>AF451</f>
        <v>31.26</v>
      </c>
      <c r="DA451">
        <f>AJ451</f>
        <v>6.56</v>
      </c>
      <c r="DB451">
        <f>ROUND((ROUND(AT451*CZ451,2)*0.3),2)</f>
        <v>0.09</v>
      </c>
      <c r="DC451">
        <f>ROUND((ROUND(AT451*AG451,2)*0.3),2)</f>
        <v>0.04</v>
      </c>
    </row>
    <row r="452" spans="1:107" x14ac:dyDescent="0.2">
      <c r="A452">
        <f>ROW(Source!A287)</f>
        <v>287</v>
      </c>
      <c r="B452">
        <v>16742901</v>
      </c>
      <c r="C452">
        <v>16744330</v>
      </c>
      <c r="D452">
        <v>15170076</v>
      </c>
      <c r="E452">
        <v>1</v>
      </c>
      <c r="F452">
        <v>1</v>
      </c>
      <c r="G452">
        <v>1</v>
      </c>
      <c r="H452">
        <v>3</v>
      </c>
      <c r="I452" t="s">
        <v>1633</v>
      </c>
      <c r="J452" t="s">
        <v>1634</v>
      </c>
      <c r="K452" t="s">
        <v>1635</v>
      </c>
      <c r="L452">
        <v>1356</v>
      </c>
      <c r="N452">
        <v>1010</v>
      </c>
      <c r="O452" t="s">
        <v>306</v>
      </c>
      <c r="P452" t="s">
        <v>306</v>
      </c>
      <c r="Q452">
        <v>1000</v>
      </c>
      <c r="W452">
        <v>0</v>
      </c>
      <c r="X452">
        <v>1975348994</v>
      </c>
      <c r="Y452">
        <v>0</v>
      </c>
      <c r="AA452">
        <v>1180.8</v>
      </c>
      <c r="AB452">
        <v>0</v>
      </c>
      <c r="AC452">
        <v>0</v>
      </c>
      <c r="AD452">
        <v>0</v>
      </c>
      <c r="AE452">
        <v>180</v>
      </c>
      <c r="AF452">
        <v>0</v>
      </c>
      <c r="AG452">
        <v>0</v>
      </c>
      <c r="AH452">
        <v>0</v>
      </c>
      <c r="AI452">
        <v>6.56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0.2</v>
      </c>
      <c r="AU452" t="s">
        <v>48</v>
      </c>
      <c r="AV452">
        <v>0</v>
      </c>
      <c r="AW452">
        <v>2</v>
      </c>
      <c r="AX452">
        <v>16744340</v>
      </c>
      <c r="AY452">
        <v>1</v>
      </c>
      <c r="AZ452">
        <v>0</v>
      </c>
      <c r="BA452">
        <v>425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Y452*Source!I287</f>
        <v>0</v>
      </c>
      <c r="CY452">
        <f>AA452</f>
        <v>1180.8</v>
      </c>
      <c r="CZ452">
        <f>AE452</f>
        <v>180</v>
      </c>
      <c r="DA452">
        <f>AI452</f>
        <v>6.56</v>
      </c>
      <c r="DB452">
        <f>ROUND((ROUND(AT452*CZ452,2)*0),2)</f>
        <v>0</v>
      </c>
      <c r="DC452">
        <f>ROUND((ROUND(AT452*AG452,2)*0),2)</f>
        <v>0</v>
      </c>
    </row>
    <row r="453" spans="1:107" x14ac:dyDescent="0.2">
      <c r="A453">
        <f>ROW(Source!A287)</f>
        <v>287</v>
      </c>
      <c r="B453">
        <v>16742901</v>
      </c>
      <c r="C453">
        <v>16744330</v>
      </c>
      <c r="D453">
        <v>15170438</v>
      </c>
      <c r="E453">
        <v>1</v>
      </c>
      <c r="F453">
        <v>1</v>
      </c>
      <c r="G453">
        <v>1</v>
      </c>
      <c r="H453">
        <v>3</v>
      </c>
      <c r="I453" t="s">
        <v>1636</v>
      </c>
      <c r="J453" t="s">
        <v>1637</v>
      </c>
      <c r="K453" t="s">
        <v>1638</v>
      </c>
      <c r="L453">
        <v>1348</v>
      </c>
      <c r="N453">
        <v>1009</v>
      </c>
      <c r="O453" t="s">
        <v>100</v>
      </c>
      <c r="P453" t="s">
        <v>100</v>
      </c>
      <c r="Q453">
        <v>1000</v>
      </c>
      <c r="W453">
        <v>0</v>
      </c>
      <c r="X453">
        <v>-1755229539</v>
      </c>
      <c r="Y453">
        <v>0</v>
      </c>
      <c r="AA453">
        <v>81540.800000000003</v>
      </c>
      <c r="AB453">
        <v>0</v>
      </c>
      <c r="AC453">
        <v>0</v>
      </c>
      <c r="AD453">
        <v>0</v>
      </c>
      <c r="AE453">
        <v>12430</v>
      </c>
      <c r="AF453">
        <v>0</v>
      </c>
      <c r="AG453">
        <v>0</v>
      </c>
      <c r="AH453">
        <v>0</v>
      </c>
      <c r="AI453">
        <v>6.56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1E-3</v>
      </c>
      <c r="AU453" t="s">
        <v>48</v>
      </c>
      <c r="AV453">
        <v>0</v>
      </c>
      <c r="AW453">
        <v>2</v>
      </c>
      <c r="AX453">
        <v>16744341</v>
      </c>
      <c r="AY453">
        <v>1</v>
      </c>
      <c r="AZ453">
        <v>0</v>
      </c>
      <c r="BA453">
        <v>426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Y453*Source!I287</f>
        <v>0</v>
      </c>
      <c r="CY453">
        <f>AA453</f>
        <v>81540.800000000003</v>
      </c>
      <c r="CZ453">
        <f>AE453</f>
        <v>12430</v>
      </c>
      <c r="DA453">
        <f>AI453</f>
        <v>6.56</v>
      </c>
      <c r="DB453">
        <f>ROUND((ROUND(AT453*CZ453,2)*0),2)</f>
        <v>0</v>
      </c>
      <c r="DC453">
        <f>ROUND((ROUND(AT453*AG453,2)*0),2)</f>
        <v>0</v>
      </c>
    </row>
    <row r="454" spans="1:107" x14ac:dyDescent="0.2">
      <c r="A454">
        <f>ROW(Source!A287)</f>
        <v>287</v>
      </c>
      <c r="B454">
        <v>16742901</v>
      </c>
      <c r="C454">
        <v>16744330</v>
      </c>
      <c r="D454">
        <v>15164559</v>
      </c>
      <c r="E454">
        <v>17</v>
      </c>
      <c r="F454">
        <v>1</v>
      </c>
      <c r="G454">
        <v>1</v>
      </c>
      <c r="H454">
        <v>3</v>
      </c>
      <c r="I454" t="s">
        <v>1334</v>
      </c>
      <c r="J454" t="s">
        <v>6</v>
      </c>
      <c r="K454" t="s">
        <v>1335</v>
      </c>
      <c r="L454">
        <v>1374</v>
      </c>
      <c r="N454">
        <v>1013</v>
      </c>
      <c r="O454" t="s">
        <v>1336</v>
      </c>
      <c r="P454" t="s">
        <v>1336</v>
      </c>
      <c r="Q454">
        <v>1</v>
      </c>
      <c r="W454">
        <v>0</v>
      </c>
      <c r="X454">
        <v>-1731369543</v>
      </c>
      <c r="Y454">
        <v>0</v>
      </c>
      <c r="AA454">
        <v>1</v>
      </c>
      <c r="AB454">
        <v>0</v>
      </c>
      <c r="AC454">
        <v>0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3.1</v>
      </c>
      <c r="AU454" t="s">
        <v>48</v>
      </c>
      <c r="AV454">
        <v>0</v>
      </c>
      <c r="AW454">
        <v>2</v>
      </c>
      <c r="AX454">
        <v>16744342</v>
      </c>
      <c r="AY454">
        <v>1</v>
      </c>
      <c r="AZ454">
        <v>0</v>
      </c>
      <c r="BA454">
        <v>427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Y454*Source!I287</f>
        <v>0</v>
      </c>
      <c r="CY454">
        <f>AA454</f>
        <v>1</v>
      </c>
      <c r="CZ454">
        <f>AE454</f>
        <v>1</v>
      </c>
      <c r="DA454">
        <f>AI454</f>
        <v>1</v>
      </c>
      <c r="DB454">
        <f>ROUND((ROUND(AT454*CZ454,2)*0),2)</f>
        <v>0</v>
      </c>
      <c r="DC454">
        <f>ROUND((ROUND(AT454*AG454,2)*0),2)</f>
        <v>0</v>
      </c>
    </row>
    <row r="455" spans="1:107" x14ac:dyDescent="0.2">
      <c r="A455">
        <f>ROW(Source!A288)</f>
        <v>288</v>
      </c>
      <c r="B455">
        <v>16742901</v>
      </c>
      <c r="C455">
        <v>16744343</v>
      </c>
      <c r="D455">
        <v>15442878</v>
      </c>
      <c r="E455">
        <v>1</v>
      </c>
      <c r="F455">
        <v>1</v>
      </c>
      <c r="G455">
        <v>1</v>
      </c>
      <c r="H455">
        <v>1</v>
      </c>
      <c r="I455" t="s">
        <v>1639</v>
      </c>
      <c r="J455" t="s">
        <v>6</v>
      </c>
      <c r="K455" t="s">
        <v>1640</v>
      </c>
      <c r="L455">
        <v>1191</v>
      </c>
      <c r="N455">
        <v>1013</v>
      </c>
      <c r="O455" t="s">
        <v>1287</v>
      </c>
      <c r="P455" t="s">
        <v>1287</v>
      </c>
      <c r="Q455">
        <v>1</v>
      </c>
      <c r="W455">
        <v>0</v>
      </c>
      <c r="X455">
        <v>-362667798</v>
      </c>
      <c r="Y455">
        <v>0.27</v>
      </c>
      <c r="AA455">
        <v>0</v>
      </c>
      <c r="AB455">
        <v>0</v>
      </c>
      <c r="AC455">
        <v>0</v>
      </c>
      <c r="AD455">
        <v>68.88</v>
      </c>
      <c r="AE455">
        <v>0</v>
      </c>
      <c r="AF455">
        <v>0</v>
      </c>
      <c r="AG455">
        <v>0</v>
      </c>
      <c r="AH455">
        <v>10.5</v>
      </c>
      <c r="AI455">
        <v>1</v>
      </c>
      <c r="AJ455">
        <v>1</v>
      </c>
      <c r="AK455">
        <v>1</v>
      </c>
      <c r="AL455">
        <v>6.56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</v>
      </c>
      <c r="AT455">
        <v>0.9</v>
      </c>
      <c r="AU455" t="s">
        <v>82</v>
      </c>
      <c r="AV455">
        <v>1</v>
      </c>
      <c r="AW455">
        <v>2</v>
      </c>
      <c r="AX455">
        <v>16744352</v>
      </c>
      <c r="AY455">
        <v>1</v>
      </c>
      <c r="AZ455">
        <v>0</v>
      </c>
      <c r="BA455">
        <v>428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Y455*Source!I288</f>
        <v>0.54</v>
      </c>
      <c r="CY455">
        <f>AD455</f>
        <v>68.88</v>
      </c>
      <c r="CZ455">
        <f>AH455</f>
        <v>10.5</v>
      </c>
      <c r="DA455">
        <f>AL455</f>
        <v>6.56</v>
      </c>
      <c r="DB455">
        <f>ROUND((ROUND(AT455*CZ455,2)*0.3),2)</f>
        <v>2.84</v>
      </c>
      <c r="DC455">
        <f>ROUND((ROUND(AT455*AG455,2)*0.3),2)</f>
        <v>0</v>
      </c>
    </row>
    <row r="456" spans="1:107" x14ac:dyDescent="0.2">
      <c r="A456">
        <f>ROW(Source!A288)</f>
        <v>288</v>
      </c>
      <c r="B456">
        <v>16742901</v>
      </c>
      <c r="C456">
        <v>16744343</v>
      </c>
      <c r="D456">
        <v>15430395</v>
      </c>
      <c r="E456">
        <v>1</v>
      </c>
      <c r="F456">
        <v>1</v>
      </c>
      <c r="G456">
        <v>1</v>
      </c>
      <c r="H456">
        <v>1</v>
      </c>
      <c r="I456" t="s">
        <v>1293</v>
      </c>
      <c r="J456" t="s">
        <v>6</v>
      </c>
      <c r="K456" t="s">
        <v>1294</v>
      </c>
      <c r="L456">
        <v>1191</v>
      </c>
      <c r="N456">
        <v>1013</v>
      </c>
      <c r="O456" t="s">
        <v>1287</v>
      </c>
      <c r="P456" t="s">
        <v>1287</v>
      </c>
      <c r="Q456">
        <v>1</v>
      </c>
      <c r="W456">
        <v>0</v>
      </c>
      <c r="X456">
        <v>-1417349443</v>
      </c>
      <c r="Y456">
        <v>0.2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6.56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0.2</v>
      </c>
      <c r="AU456" t="s">
        <v>6</v>
      </c>
      <c r="AV456">
        <v>2</v>
      </c>
      <c r="AW456">
        <v>2</v>
      </c>
      <c r="AX456">
        <v>16744353</v>
      </c>
      <c r="AY456">
        <v>1</v>
      </c>
      <c r="AZ456">
        <v>2048</v>
      </c>
      <c r="BA456">
        <v>429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Y456*Source!I288</f>
        <v>0.4</v>
      </c>
      <c r="CY456">
        <f>AD456</f>
        <v>0</v>
      </c>
      <c r="CZ456">
        <f>AH456</f>
        <v>0</v>
      </c>
      <c r="DA456">
        <f>AL456</f>
        <v>1</v>
      </c>
      <c r="DB456">
        <f>ROUND(ROUND(AT456*CZ456,2),2)</f>
        <v>0</v>
      </c>
      <c r="DC456">
        <f>ROUND(ROUND(AT456*AG456,2),2)</f>
        <v>0</v>
      </c>
    </row>
    <row r="457" spans="1:107" x14ac:dyDescent="0.2">
      <c r="A457">
        <f>ROW(Source!A288)</f>
        <v>288</v>
      </c>
      <c r="B457">
        <v>16742901</v>
      </c>
      <c r="C457">
        <v>16744343</v>
      </c>
      <c r="D457">
        <v>15247680</v>
      </c>
      <c r="E457">
        <v>1</v>
      </c>
      <c r="F457">
        <v>1</v>
      </c>
      <c r="G457">
        <v>1</v>
      </c>
      <c r="H457">
        <v>2</v>
      </c>
      <c r="I457" t="s">
        <v>1295</v>
      </c>
      <c r="J457" t="s">
        <v>1296</v>
      </c>
      <c r="K457" t="s">
        <v>1297</v>
      </c>
      <c r="L457">
        <v>1368</v>
      </c>
      <c r="N457">
        <v>1011</v>
      </c>
      <c r="O457" t="s">
        <v>1298</v>
      </c>
      <c r="P457" t="s">
        <v>1298</v>
      </c>
      <c r="Q457">
        <v>1</v>
      </c>
      <c r="W457">
        <v>0</v>
      </c>
      <c r="X457">
        <v>-1718674368</v>
      </c>
      <c r="Y457">
        <v>0.03</v>
      </c>
      <c r="AA457">
        <v>0</v>
      </c>
      <c r="AB457">
        <v>734.65</v>
      </c>
      <c r="AC457">
        <v>13.5</v>
      </c>
      <c r="AD457">
        <v>0</v>
      </c>
      <c r="AE457">
        <v>0</v>
      </c>
      <c r="AF457">
        <v>111.99</v>
      </c>
      <c r="AG457">
        <v>13.5</v>
      </c>
      <c r="AH457">
        <v>0</v>
      </c>
      <c r="AI457">
        <v>1</v>
      </c>
      <c r="AJ457">
        <v>6.56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0.1</v>
      </c>
      <c r="AU457" t="s">
        <v>82</v>
      </c>
      <c r="AV457">
        <v>0</v>
      </c>
      <c r="AW457">
        <v>2</v>
      </c>
      <c r="AX457">
        <v>16744354</v>
      </c>
      <c r="AY457">
        <v>1</v>
      </c>
      <c r="AZ457">
        <v>0</v>
      </c>
      <c r="BA457">
        <v>430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Y457*Source!I288</f>
        <v>0.06</v>
      </c>
      <c r="CY457">
        <f>AB457</f>
        <v>734.65</v>
      </c>
      <c r="CZ457">
        <f>AF457</f>
        <v>111.99</v>
      </c>
      <c r="DA457">
        <f>AJ457</f>
        <v>6.56</v>
      </c>
      <c r="DB457">
        <f>ROUND((ROUND(AT457*CZ457,2)*0.3),2)</f>
        <v>3.36</v>
      </c>
      <c r="DC457">
        <f>ROUND((ROUND(AT457*AG457,2)*0.3),2)</f>
        <v>0.41</v>
      </c>
    </row>
    <row r="458" spans="1:107" x14ac:dyDescent="0.2">
      <c r="A458">
        <f>ROW(Source!A288)</f>
        <v>288</v>
      </c>
      <c r="B458">
        <v>16742901</v>
      </c>
      <c r="C458">
        <v>16744343</v>
      </c>
      <c r="D458">
        <v>15249073</v>
      </c>
      <c r="E458">
        <v>1</v>
      </c>
      <c r="F458">
        <v>1</v>
      </c>
      <c r="G458">
        <v>1</v>
      </c>
      <c r="H458">
        <v>2</v>
      </c>
      <c r="I458" t="s">
        <v>1299</v>
      </c>
      <c r="J458" t="s">
        <v>1300</v>
      </c>
      <c r="K458" t="s">
        <v>1301</v>
      </c>
      <c r="L458">
        <v>1368</v>
      </c>
      <c r="N458">
        <v>1011</v>
      </c>
      <c r="O458" t="s">
        <v>1298</v>
      </c>
      <c r="P458" t="s">
        <v>1298</v>
      </c>
      <c r="Q458">
        <v>1</v>
      </c>
      <c r="W458">
        <v>0</v>
      </c>
      <c r="X458">
        <v>1372534845</v>
      </c>
      <c r="Y458">
        <v>0.03</v>
      </c>
      <c r="AA458">
        <v>0</v>
      </c>
      <c r="AB458">
        <v>431.06</v>
      </c>
      <c r="AC458">
        <v>11.6</v>
      </c>
      <c r="AD458">
        <v>0</v>
      </c>
      <c r="AE458">
        <v>0</v>
      </c>
      <c r="AF458">
        <v>65.709999999999994</v>
      </c>
      <c r="AG458">
        <v>11.6</v>
      </c>
      <c r="AH458">
        <v>0</v>
      </c>
      <c r="AI458">
        <v>1</v>
      </c>
      <c r="AJ458">
        <v>6.56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0.1</v>
      </c>
      <c r="AU458" t="s">
        <v>82</v>
      </c>
      <c r="AV458">
        <v>0</v>
      </c>
      <c r="AW458">
        <v>2</v>
      </c>
      <c r="AX458">
        <v>16744355</v>
      </c>
      <c r="AY458">
        <v>1</v>
      </c>
      <c r="AZ458">
        <v>0</v>
      </c>
      <c r="BA458">
        <v>431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Y458*Source!I288</f>
        <v>0.06</v>
      </c>
      <c r="CY458">
        <f>AB458</f>
        <v>431.06</v>
      </c>
      <c r="CZ458">
        <f>AF458</f>
        <v>65.709999999999994</v>
      </c>
      <c r="DA458">
        <f>AJ458</f>
        <v>6.56</v>
      </c>
      <c r="DB458">
        <f>ROUND((ROUND(AT458*CZ458,2)*0.3),2)</f>
        <v>1.97</v>
      </c>
      <c r="DC458">
        <f>ROUND((ROUND(AT458*AG458,2)*0.3),2)</f>
        <v>0.35</v>
      </c>
    </row>
    <row r="459" spans="1:107" x14ac:dyDescent="0.2">
      <c r="A459">
        <f>ROW(Source!A288)</f>
        <v>288</v>
      </c>
      <c r="B459">
        <v>16742901</v>
      </c>
      <c r="C459">
        <v>16744343</v>
      </c>
      <c r="D459">
        <v>15167588</v>
      </c>
      <c r="E459">
        <v>1</v>
      </c>
      <c r="F459">
        <v>1</v>
      </c>
      <c r="G459">
        <v>1</v>
      </c>
      <c r="H459">
        <v>3</v>
      </c>
      <c r="I459" t="s">
        <v>1641</v>
      </c>
      <c r="J459" t="s">
        <v>1642</v>
      </c>
      <c r="K459" t="s">
        <v>1643</v>
      </c>
      <c r="L459">
        <v>1346</v>
      </c>
      <c r="N459">
        <v>1009</v>
      </c>
      <c r="O459" t="s">
        <v>341</v>
      </c>
      <c r="P459" t="s">
        <v>341</v>
      </c>
      <c r="Q459">
        <v>1</v>
      </c>
      <c r="W459">
        <v>0</v>
      </c>
      <c r="X459">
        <v>-1088866022</v>
      </c>
      <c r="Y459">
        <v>0</v>
      </c>
      <c r="AA459">
        <v>199.42</v>
      </c>
      <c r="AB459">
        <v>0</v>
      </c>
      <c r="AC459">
        <v>0</v>
      </c>
      <c r="AD459">
        <v>0</v>
      </c>
      <c r="AE459">
        <v>30.4</v>
      </c>
      <c r="AF459">
        <v>0</v>
      </c>
      <c r="AG459">
        <v>0</v>
      </c>
      <c r="AH459">
        <v>0</v>
      </c>
      <c r="AI459">
        <v>6.56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0.01</v>
      </c>
      <c r="AU459" t="s">
        <v>48</v>
      </c>
      <c r="AV459">
        <v>0</v>
      </c>
      <c r="AW459">
        <v>2</v>
      </c>
      <c r="AX459">
        <v>16744356</v>
      </c>
      <c r="AY459">
        <v>1</v>
      </c>
      <c r="AZ459">
        <v>0</v>
      </c>
      <c r="BA459">
        <v>432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Y459*Source!I288</f>
        <v>0</v>
      </c>
      <c r="CY459">
        <f>AA459</f>
        <v>199.42</v>
      </c>
      <c r="CZ459">
        <f>AE459</f>
        <v>30.4</v>
      </c>
      <c r="DA459">
        <f>AI459</f>
        <v>6.56</v>
      </c>
      <c r="DB459">
        <f>ROUND((ROUND(AT459*CZ459,2)*0),2)</f>
        <v>0</v>
      </c>
      <c r="DC459">
        <f>ROUND((ROUND(AT459*AG459,2)*0),2)</f>
        <v>0</v>
      </c>
    </row>
    <row r="460" spans="1:107" x14ac:dyDescent="0.2">
      <c r="A460">
        <f>ROW(Source!A288)</f>
        <v>288</v>
      </c>
      <c r="B460">
        <v>16742901</v>
      </c>
      <c r="C460">
        <v>16744343</v>
      </c>
      <c r="D460">
        <v>15169942</v>
      </c>
      <c r="E460">
        <v>1</v>
      </c>
      <c r="F460">
        <v>1</v>
      </c>
      <c r="G460">
        <v>1</v>
      </c>
      <c r="H460">
        <v>3</v>
      </c>
      <c r="I460" t="s">
        <v>1644</v>
      </c>
      <c r="J460" t="s">
        <v>1645</v>
      </c>
      <c r="K460" t="s">
        <v>1310</v>
      </c>
      <c r="L460">
        <v>1346</v>
      </c>
      <c r="N460">
        <v>1009</v>
      </c>
      <c r="O460" t="s">
        <v>341</v>
      </c>
      <c r="P460" t="s">
        <v>341</v>
      </c>
      <c r="Q460">
        <v>1</v>
      </c>
      <c r="W460">
        <v>0</v>
      </c>
      <c r="X460">
        <v>103900845</v>
      </c>
      <c r="Y460">
        <v>0</v>
      </c>
      <c r="AA460">
        <v>59.3</v>
      </c>
      <c r="AB460">
        <v>0</v>
      </c>
      <c r="AC460">
        <v>0</v>
      </c>
      <c r="AD460">
        <v>0</v>
      </c>
      <c r="AE460">
        <v>9.0399999999999991</v>
      </c>
      <c r="AF460">
        <v>0</v>
      </c>
      <c r="AG460">
        <v>0</v>
      </c>
      <c r="AH460">
        <v>0</v>
      </c>
      <c r="AI460">
        <v>6.56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0.3</v>
      </c>
      <c r="AU460" t="s">
        <v>48</v>
      </c>
      <c r="AV460">
        <v>0</v>
      </c>
      <c r="AW460">
        <v>2</v>
      </c>
      <c r="AX460">
        <v>16744357</v>
      </c>
      <c r="AY460">
        <v>1</v>
      </c>
      <c r="AZ460">
        <v>0</v>
      </c>
      <c r="BA460">
        <v>433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Y460*Source!I288</f>
        <v>0</v>
      </c>
      <c r="CY460">
        <f>AA460</f>
        <v>59.3</v>
      </c>
      <c r="CZ460">
        <f>AE460</f>
        <v>9.0399999999999991</v>
      </c>
      <c r="DA460">
        <f>AI460</f>
        <v>6.56</v>
      </c>
      <c r="DB460">
        <f>ROUND((ROUND(AT460*CZ460,2)*0),2)</f>
        <v>0</v>
      </c>
      <c r="DC460">
        <f>ROUND((ROUND(AT460*AG460,2)*0),2)</f>
        <v>0</v>
      </c>
    </row>
    <row r="461" spans="1:107" x14ac:dyDescent="0.2">
      <c r="A461">
        <f>ROW(Source!A288)</f>
        <v>288</v>
      </c>
      <c r="B461">
        <v>16742901</v>
      </c>
      <c r="C461">
        <v>16744343</v>
      </c>
      <c r="D461">
        <v>15191488</v>
      </c>
      <c r="E461">
        <v>1</v>
      </c>
      <c r="F461">
        <v>1</v>
      </c>
      <c r="G461">
        <v>1</v>
      </c>
      <c r="H461">
        <v>3</v>
      </c>
      <c r="I461" t="s">
        <v>1646</v>
      </c>
      <c r="J461" t="s">
        <v>1647</v>
      </c>
      <c r="K461" t="s">
        <v>1648</v>
      </c>
      <c r="L461">
        <v>1348</v>
      </c>
      <c r="N461">
        <v>1009</v>
      </c>
      <c r="O461" t="s">
        <v>100</v>
      </c>
      <c r="P461" t="s">
        <v>100</v>
      </c>
      <c r="Q461">
        <v>1000</v>
      </c>
      <c r="W461">
        <v>0</v>
      </c>
      <c r="X461">
        <v>-1598896989</v>
      </c>
      <c r="Y461">
        <v>0</v>
      </c>
      <c r="AA461">
        <v>32800</v>
      </c>
      <c r="AB461">
        <v>0</v>
      </c>
      <c r="AC461">
        <v>0</v>
      </c>
      <c r="AD461">
        <v>0</v>
      </c>
      <c r="AE461">
        <v>5000</v>
      </c>
      <c r="AF461">
        <v>0</v>
      </c>
      <c r="AG461">
        <v>0</v>
      </c>
      <c r="AH461">
        <v>0</v>
      </c>
      <c r="AI461">
        <v>6.56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5.9999999999999995E-4</v>
      </c>
      <c r="AU461" t="s">
        <v>48</v>
      </c>
      <c r="AV461">
        <v>0</v>
      </c>
      <c r="AW461">
        <v>2</v>
      </c>
      <c r="AX461">
        <v>16744358</v>
      </c>
      <c r="AY461">
        <v>1</v>
      </c>
      <c r="AZ461">
        <v>0</v>
      </c>
      <c r="BA461">
        <v>434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Y461*Source!I288</f>
        <v>0</v>
      </c>
      <c r="CY461">
        <f>AA461</f>
        <v>32800</v>
      </c>
      <c r="CZ461">
        <f>AE461</f>
        <v>5000</v>
      </c>
      <c r="DA461">
        <f>AI461</f>
        <v>6.56</v>
      </c>
      <c r="DB461">
        <f>ROUND((ROUND(AT461*CZ461,2)*0),2)</f>
        <v>0</v>
      </c>
      <c r="DC461">
        <f>ROUND((ROUND(AT461*AG461,2)*0),2)</f>
        <v>0</v>
      </c>
    </row>
    <row r="462" spans="1:107" x14ac:dyDescent="0.2">
      <c r="A462">
        <f>ROW(Source!A288)</f>
        <v>288</v>
      </c>
      <c r="B462">
        <v>16742901</v>
      </c>
      <c r="C462">
        <v>16744343</v>
      </c>
      <c r="D462">
        <v>15164559</v>
      </c>
      <c r="E462">
        <v>17</v>
      </c>
      <c r="F462">
        <v>1</v>
      </c>
      <c r="G462">
        <v>1</v>
      </c>
      <c r="H462">
        <v>3</v>
      </c>
      <c r="I462" t="s">
        <v>1334</v>
      </c>
      <c r="J462" t="s">
        <v>6</v>
      </c>
      <c r="K462" t="s">
        <v>1335</v>
      </c>
      <c r="L462">
        <v>1374</v>
      </c>
      <c r="N462">
        <v>1013</v>
      </c>
      <c r="O462" t="s">
        <v>1336</v>
      </c>
      <c r="P462" t="s">
        <v>1336</v>
      </c>
      <c r="Q462">
        <v>1</v>
      </c>
      <c r="W462">
        <v>0</v>
      </c>
      <c r="X462">
        <v>-1731369543</v>
      </c>
      <c r="Y462">
        <v>0</v>
      </c>
      <c r="AA462">
        <v>1</v>
      </c>
      <c r="AB462">
        <v>0</v>
      </c>
      <c r="AC462">
        <v>0</v>
      </c>
      <c r="AD462">
        <v>0</v>
      </c>
      <c r="AE462">
        <v>1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0.19</v>
      </c>
      <c r="AU462" t="s">
        <v>48</v>
      </c>
      <c r="AV462">
        <v>0</v>
      </c>
      <c r="AW462">
        <v>2</v>
      </c>
      <c r="AX462">
        <v>16744359</v>
      </c>
      <c r="AY462">
        <v>1</v>
      </c>
      <c r="AZ462">
        <v>0</v>
      </c>
      <c r="BA462">
        <v>435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Y462*Source!I288</f>
        <v>0</v>
      </c>
      <c r="CY462">
        <f>AA462</f>
        <v>1</v>
      </c>
      <c r="CZ462">
        <f>AE462</f>
        <v>1</v>
      </c>
      <c r="DA462">
        <f>AI462</f>
        <v>1</v>
      </c>
      <c r="DB462">
        <f>ROUND((ROUND(AT462*CZ462,2)*0),2)</f>
        <v>0</v>
      </c>
      <c r="DC462">
        <f>ROUND((ROUND(AT462*AG462,2)*0),2)</f>
        <v>0</v>
      </c>
    </row>
    <row r="463" spans="1:107" x14ac:dyDescent="0.2">
      <c r="A463">
        <f>ROW(Source!A323)</f>
        <v>323</v>
      </c>
      <c r="B463">
        <v>16742901</v>
      </c>
      <c r="C463">
        <v>16744360</v>
      </c>
      <c r="D463">
        <v>15446300</v>
      </c>
      <c r="E463">
        <v>1</v>
      </c>
      <c r="F463">
        <v>1</v>
      </c>
      <c r="G463">
        <v>1</v>
      </c>
      <c r="H463">
        <v>1</v>
      </c>
      <c r="I463" t="s">
        <v>1437</v>
      </c>
      <c r="J463" t="s">
        <v>6</v>
      </c>
      <c r="K463" t="s">
        <v>1438</v>
      </c>
      <c r="L463">
        <v>1191</v>
      </c>
      <c r="N463">
        <v>1013</v>
      </c>
      <c r="O463" t="s">
        <v>1287</v>
      </c>
      <c r="P463" t="s">
        <v>1287</v>
      </c>
      <c r="Q463">
        <v>1</v>
      </c>
      <c r="W463">
        <v>0</v>
      </c>
      <c r="X463">
        <v>912892513</v>
      </c>
      <c r="Y463">
        <v>94.4</v>
      </c>
      <c r="AA463">
        <v>0</v>
      </c>
      <c r="AB463">
        <v>0</v>
      </c>
      <c r="AC463">
        <v>0</v>
      </c>
      <c r="AD463">
        <v>65.08</v>
      </c>
      <c r="AE463">
        <v>0</v>
      </c>
      <c r="AF463">
        <v>0</v>
      </c>
      <c r="AG463">
        <v>0</v>
      </c>
      <c r="AH463">
        <v>9.92</v>
      </c>
      <c r="AI463">
        <v>1</v>
      </c>
      <c r="AJ463">
        <v>1</v>
      </c>
      <c r="AK463">
        <v>1</v>
      </c>
      <c r="AL463">
        <v>6.56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94.4</v>
      </c>
      <c r="AU463" t="s">
        <v>6</v>
      </c>
      <c r="AV463">
        <v>1</v>
      </c>
      <c r="AW463">
        <v>2</v>
      </c>
      <c r="AX463">
        <v>16744369</v>
      </c>
      <c r="AY463">
        <v>1</v>
      </c>
      <c r="AZ463">
        <v>0</v>
      </c>
      <c r="BA463">
        <v>436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Y463*Source!I323</f>
        <v>18.880000000000003</v>
      </c>
      <c r="CY463">
        <f>AD463</f>
        <v>65.08</v>
      </c>
      <c r="CZ463">
        <f>AH463</f>
        <v>9.92</v>
      </c>
      <c r="DA463">
        <f>AL463</f>
        <v>6.56</v>
      </c>
      <c r="DB463">
        <f t="shared" ref="DB463:DB526" si="77">ROUND(ROUND(AT463*CZ463,2),2)</f>
        <v>936.45</v>
      </c>
      <c r="DC463">
        <f t="shared" ref="DC463:DC526" si="78">ROUND(ROUND(AT463*AG463,2),2)</f>
        <v>0</v>
      </c>
    </row>
    <row r="464" spans="1:107" x14ac:dyDescent="0.2">
      <c r="A464">
        <f>ROW(Source!A323)</f>
        <v>323</v>
      </c>
      <c r="B464">
        <v>16742901</v>
      </c>
      <c r="C464">
        <v>16744360</v>
      </c>
      <c r="D464">
        <v>15430395</v>
      </c>
      <c r="E464">
        <v>1</v>
      </c>
      <c r="F464">
        <v>1</v>
      </c>
      <c r="G464">
        <v>1</v>
      </c>
      <c r="H464">
        <v>1</v>
      </c>
      <c r="I464" t="s">
        <v>1293</v>
      </c>
      <c r="J464" t="s">
        <v>6</v>
      </c>
      <c r="K464" t="s">
        <v>1294</v>
      </c>
      <c r="L464">
        <v>1191</v>
      </c>
      <c r="N464">
        <v>1013</v>
      </c>
      <c r="O464" t="s">
        <v>1287</v>
      </c>
      <c r="P464" t="s">
        <v>1287</v>
      </c>
      <c r="Q464">
        <v>1</v>
      </c>
      <c r="W464">
        <v>0</v>
      </c>
      <c r="X464">
        <v>-1417349443</v>
      </c>
      <c r="Y464">
        <v>0.4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6.56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0.4</v>
      </c>
      <c r="AU464" t="s">
        <v>6</v>
      </c>
      <c r="AV464">
        <v>2</v>
      </c>
      <c r="AW464">
        <v>2</v>
      </c>
      <c r="AX464">
        <v>16744370</v>
      </c>
      <c r="AY464">
        <v>1</v>
      </c>
      <c r="AZ464">
        <v>0</v>
      </c>
      <c r="BA464">
        <v>437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Y464*Source!I323</f>
        <v>8.0000000000000016E-2</v>
      </c>
      <c r="CY464">
        <f>AD464</f>
        <v>0</v>
      </c>
      <c r="CZ464">
        <f>AH464</f>
        <v>0</v>
      </c>
      <c r="DA464">
        <f>AL464</f>
        <v>1</v>
      </c>
      <c r="DB464">
        <f t="shared" si="77"/>
        <v>0</v>
      </c>
      <c r="DC464">
        <f t="shared" si="78"/>
        <v>0</v>
      </c>
    </row>
    <row r="465" spans="1:107" x14ac:dyDescent="0.2">
      <c r="A465">
        <f>ROW(Source!A323)</f>
        <v>323</v>
      </c>
      <c r="B465">
        <v>16742901</v>
      </c>
      <c r="C465">
        <v>16744360</v>
      </c>
      <c r="D465">
        <v>15247680</v>
      </c>
      <c r="E465">
        <v>1</v>
      </c>
      <c r="F465">
        <v>1</v>
      </c>
      <c r="G465">
        <v>1</v>
      </c>
      <c r="H465">
        <v>2</v>
      </c>
      <c r="I465" t="s">
        <v>1295</v>
      </c>
      <c r="J465" t="s">
        <v>1296</v>
      </c>
      <c r="K465" t="s">
        <v>1297</v>
      </c>
      <c r="L465">
        <v>1368</v>
      </c>
      <c r="N465">
        <v>1011</v>
      </c>
      <c r="O465" t="s">
        <v>1298</v>
      </c>
      <c r="P465" t="s">
        <v>1298</v>
      </c>
      <c r="Q465">
        <v>1</v>
      </c>
      <c r="W465">
        <v>0</v>
      </c>
      <c r="X465">
        <v>-1718674368</v>
      </c>
      <c r="Y465">
        <v>0.2</v>
      </c>
      <c r="AA465">
        <v>0</v>
      </c>
      <c r="AB465">
        <v>734.65</v>
      </c>
      <c r="AC465">
        <v>13.5</v>
      </c>
      <c r="AD465">
        <v>0</v>
      </c>
      <c r="AE465">
        <v>0</v>
      </c>
      <c r="AF465">
        <v>111.99</v>
      </c>
      <c r="AG465">
        <v>13.5</v>
      </c>
      <c r="AH465">
        <v>0</v>
      </c>
      <c r="AI465">
        <v>1</v>
      </c>
      <c r="AJ465">
        <v>6.56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0.2</v>
      </c>
      <c r="AU465" t="s">
        <v>6</v>
      </c>
      <c r="AV465">
        <v>0</v>
      </c>
      <c r="AW465">
        <v>2</v>
      </c>
      <c r="AX465">
        <v>16744371</v>
      </c>
      <c r="AY465">
        <v>1</v>
      </c>
      <c r="AZ465">
        <v>0</v>
      </c>
      <c r="BA465">
        <v>438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Y465*Source!I323</f>
        <v>4.0000000000000008E-2</v>
      </c>
      <c r="CY465">
        <f>AB465</f>
        <v>734.65</v>
      </c>
      <c r="CZ465">
        <f>AF465</f>
        <v>111.99</v>
      </c>
      <c r="DA465">
        <f>AJ465</f>
        <v>6.56</v>
      </c>
      <c r="DB465">
        <f t="shared" si="77"/>
        <v>22.4</v>
      </c>
      <c r="DC465">
        <f t="shared" si="78"/>
        <v>2.7</v>
      </c>
    </row>
    <row r="466" spans="1:107" x14ac:dyDescent="0.2">
      <c r="A466">
        <f>ROW(Source!A323)</f>
        <v>323</v>
      </c>
      <c r="B466">
        <v>16742901</v>
      </c>
      <c r="C466">
        <v>16744360</v>
      </c>
      <c r="D466">
        <v>15249073</v>
      </c>
      <c r="E466">
        <v>1</v>
      </c>
      <c r="F466">
        <v>1</v>
      </c>
      <c r="G466">
        <v>1</v>
      </c>
      <c r="H466">
        <v>2</v>
      </c>
      <c r="I466" t="s">
        <v>1299</v>
      </c>
      <c r="J466" t="s">
        <v>1300</v>
      </c>
      <c r="K466" t="s">
        <v>1301</v>
      </c>
      <c r="L466">
        <v>1368</v>
      </c>
      <c r="N466">
        <v>1011</v>
      </c>
      <c r="O466" t="s">
        <v>1298</v>
      </c>
      <c r="P466" t="s">
        <v>1298</v>
      </c>
      <c r="Q466">
        <v>1</v>
      </c>
      <c r="W466">
        <v>0</v>
      </c>
      <c r="X466">
        <v>1372534845</v>
      </c>
      <c r="Y466">
        <v>0.2</v>
      </c>
      <c r="AA466">
        <v>0</v>
      </c>
      <c r="AB466">
        <v>431.06</v>
      </c>
      <c r="AC466">
        <v>11.6</v>
      </c>
      <c r="AD466">
        <v>0</v>
      </c>
      <c r="AE466">
        <v>0</v>
      </c>
      <c r="AF466">
        <v>65.709999999999994</v>
      </c>
      <c r="AG466">
        <v>11.6</v>
      </c>
      <c r="AH466">
        <v>0</v>
      </c>
      <c r="AI466">
        <v>1</v>
      </c>
      <c r="AJ466">
        <v>6.56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0.2</v>
      </c>
      <c r="AU466" t="s">
        <v>6</v>
      </c>
      <c r="AV466">
        <v>0</v>
      </c>
      <c r="AW466">
        <v>2</v>
      </c>
      <c r="AX466">
        <v>16744372</v>
      </c>
      <c r="AY466">
        <v>1</v>
      </c>
      <c r="AZ466">
        <v>0</v>
      </c>
      <c r="BA466">
        <v>439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Y466*Source!I323</f>
        <v>4.0000000000000008E-2</v>
      </c>
      <c r="CY466">
        <f>AB466</f>
        <v>431.06</v>
      </c>
      <c r="CZ466">
        <f>AF466</f>
        <v>65.709999999999994</v>
      </c>
      <c r="DA466">
        <f>AJ466</f>
        <v>6.56</v>
      </c>
      <c r="DB466">
        <f t="shared" si="77"/>
        <v>13.14</v>
      </c>
      <c r="DC466">
        <f t="shared" si="78"/>
        <v>2.3199999999999998</v>
      </c>
    </row>
    <row r="467" spans="1:107" x14ac:dyDescent="0.2">
      <c r="A467">
        <f>ROW(Source!A323)</f>
        <v>323</v>
      </c>
      <c r="B467">
        <v>16742901</v>
      </c>
      <c r="C467">
        <v>16744360</v>
      </c>
      <c r="D467">
        <v>15219877</v>
      </c>
      <c r="E467">
        <v>1</v>
      </c>
      <c r="F467">
        <v>1</v>
      </c>
      <c r="G467">
        <v>1</v>
      </c>
      <c r="H467">
        <v>3</v>
      </c>
      <c r="I467" t="s">
        <v>707</v>
      </c>
      <c r="J467" t="s">
        <v>709</v>
      </c>
      <c r="K467" t="s">
        <v>708</v>
      </c>
      <c r="L467">
        <v>1354</v>
      </c>
      <c r="N467">
        <v>1010</v>
      </c>
      <c r="O467" t="s">
        <v>73</v>
      </c>
      <c r="P467" t="s">
        <v>73</v>
      </c>
      <c r="Q467">
        <v>1</v>
      </c>
      <c r="W467">
        <v>0</v>
      </c>
      <c r="X467">
        <v>-1476084766</v>
      </c>
      <c r="Y467">
        <v>100</v>
      </c>
      <c r="AA467">
        <v>2232.83</v>
      </c>
      <c r="AB467">
        <v>0</v>
      </c>
      <c r="AC467">
        <v>0</v>
      </c>
      <c r="AD467">
        <v>0</v>
      </c>
      <c r="AE467">
        <v>340.37</v>
      </c>
      <c r="AF467">
        <v>0</v>
      </c>
      <c r="AG467">
        <v>0</v>
      </c>
      <c r="AH467">
        <v>0</v>
      </c>
      <c r="AI467">
        <v>6.56</v>
      </c>
      <c r="AJ467">
        <v>1</v>
      </c>
      <c r="AK467">
        <v>1</v>
      </c>
      <c r="AL467">
        <v>1</v>
      </c>
      <c r="AN467">
        <v>0</v>
      </c>
      <c r="AO467">
        <v>0</v>
      </c>
      <c r="AP467">
        <v>0</v>
      </c>
      <c r="AQ467">
        <v>0</v>
      </c>
      <c r="AR467">
        <v>0</v>
      </c>
      <c r="AS467" t="s">
        <v>6</v>
      </c>
      <c r="AT467">
        <v>100</v>
      </c>
      <c r="AU467" t="s">
        <v>6</v>
      </c>
      <c r="AV467">
        <v>0</v>
      </c>
      <c r="AW467">
        <v>1</v>
      </c>
      <c r="AX467">
        <v>-1</v>
      </c>
      <c r="AY467">
        <v>0</v>
      </c>
      <c r="AZ467">
        <v>0</v>
      </c>
      <c r="BA467" t="s">
        <v>6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Y467*Source!I323</f>
        <v>20</v>
      </c>
      <c r="CY467">
        <f>AA467</f>
        <v>2232.83</v>
      </c>
      <c r="CZ467">
        <f>AE467</f>
        <v>340.37</v>
      </c>
      <c r="DA467">
        <f>AI467</f>
        <v>6.56</v>
      </c>
      <c r="DB467">
        <f t="shared" si="77"/>
        <v>34037</v>
      </c>
      <c r="DC467">
        <f t="shared" si="78"/>
        <v>0</v>
      </c>
    </row>
    <row r="468" spans="1:107" x14ac:dyDescent="0.2">
      <c r="A468">
        <f>ROW(Source!A323)</f>
        <v>323</v>
      </c>
      <c r="B468">
        <v>16742901</v>
      </c>
      <c r="C468">
        <v>16744360</v>
      </c>
      <c r="D468">
        <v>15221296</v>
      </c>
      <c r="E468">
        <v>1</v>
      </c>
      <c r="F468">
        <v>1</v>
      </c>
      <c r="G468">
        <v>1</v>
      </c>
      <c r="H468">
        <v>3</v>
      </c>
      <c r="I468" t="s">
        <v>1649</v>
      </c>
      <c r="J468" t="s">
        <v>1650</v>
      </c>
      <c r="K468" t="s">
        <v>1651</v>
      </c>
      <c r="L468">
        <v>1355</v>
      </c>
      <c r="N468">
        <v>1010</v>
      </c>
      <c r="O468" t="s">
        <v>843</v>
      </c>
      <c r="P468" t="s">
        <v>843</v>
      </c>
      <c r="Q468">
        <v>100</v>
      </c>
      <c r="W468">
        <v>0</v>
      </c>
      <c r="X468">
        <v>783817326</v>
      </c>
      <c r="Y468">
        <v>1.02</v>
      </c>
      <c r="AA468">
        <v>656</v>
      </c>
      <c r="AB468">
        <v>0</v>
      </c>
      <c r="AC468">
        <v>0</v>
      </c>
      <c r="AD468">
        <v>0</v>
      </c>
      <c r="AE468">
        <v>100</v>
      </c>
      <c r="AF468">
        <v>0</v>
      </c>
      <c r="AG468">
        <v>0</v>
      </c>
      <c r="AH468">
        <v>0</v>
      </c>
      <c r="AI468">
        <v>6.56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1.02</v>
      </c>
      <c r="AU468" t="s">
        <v>6</v>
      </c>
      <c r="AV468">
        <v>0</v>
      </c>
      <c r="AW468">
        <v>2</v>
      </c>
      <c r="AX468">
        <v>16744373</v>
      </c>
      <c r="AY468">
        <v>1</v>
      </c>
      <c r="AZ468">
        <v>0</v>
      </c>
      <c r="BA468">
        <v>440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Y468*Source!I323</f>
        <v>0.20400000000000001</v>
      </c>
      <c r="CY468">
        <f>AA468</f>
        <v>656</v>
      </c>
      <c r="CZ468">
        <f>AE468</f>
        <v>100</v>
      </c>
      <c r="DA468">
        <f>AI468</f>
        <v>6.56</v>
      </c>
      <c r="DB468">
        <f t="shared" si="77"/>
        <v>102</v>
      </c>
      <c r="DC468">
        <f t="shared" si="78"/>
        <v>0</v>
      </c>
    </row>
    <row r="469" spans="1:107" x14ac:dyDescent="0.2">
      <c r="A469">
        <f>ROW(Source!A323)</f>
        <v>323</v>
      </c>
      <c r="B469">
        <v>16742901</v>
      </c>
      <c r="C469">
        <v>16744360</v>
      </c>
      <c r="D469">
        <v>15164559</v>
      </c>
      <c r="E469">
        <v>17</v>
      </c>
      <c r="F469">
        <v>1</v>
      </c>
      <c r="G469">
        <v>1</v>
      </c>
      <c r="H469">
        <v>3</v>
      </c>
      <c r="I469" t="s">
        <v>1334</v>
      </c>
      <c r="J469" t="s">
        <v>6</v>
      </c>
      <c r="K469" t="s">
        <v>1335</v>
      </c>
      <c r="L469">
        <v>1374</v>
      </c>
      <c r="N469">
        <v>1013</v>
      </c>
      <c r="O469" t="s">
        <v>1336</v>
      </c>
      <c r="P469" t="s">
        <v>1336</v>
      </c>
      <c r="Q469">
        <v>1</v>
      </c>
      <c r="W469">
        <v>0</v>
      </c>
      <c r="X469">
        <v>-1731369543</v>
      </c>
      <c r="Y469">
        <v>18.73</v>
      </c>
      <c r="AA469">
        <v>1</v>
      </c>
      <c r="AB469">
        <v>0</v>
      </c>
      <c r="AC469">
        <v>0</v>
      </c>
      <c r="AD469">
        <v>0</v>
      </c>
      <c r="AE469">
        <v>1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18.73</v>
      </c>
      <c r="AU469" t="s">
        <v>6</v>
      </c>
      <c r="AV469">
        <v>0</v>
      </c>
      <c r="AW469">
        <v>2</v>
      </c>
      <c r="AX469">
        <v>16744374</v>
      </c>
      <c r="AY469">
        <v>1</v>
      </c>
      <c r="AZ469">
        <v>0</v>
      </c>
      <c r="BA469">
        <v>441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Y469*Source!I323</f>
        <v>3.7460000000000004</v>
      </c>
      <c r="CY469">
        <f>AA469</f>
        <v>1</v>
      </c>
      <c r="CZ469">
        <f>AE469</f>
        <v>1</v>
      </c>
      <c r="DA469">
        <f>AI469</f>
        <v>1</v>
      </c>
      <c r="DB469">
        <f t="shared" si="77"/>
        <v>18.73</v>
      </c>
      <c r="DC469">
        <f t="shared" si="78"/>
        <v>0</v>
      </c>
    </row>
    <row r="470" spans="1:107" x14ac:dyDescent="0.2">
      <c r="A470">
        <f>ROW(Source!A325)</f>
        <v>325</v>
      </c>
      <c r="B470">
        <v>16742901</v>
      </c>
      <c r="C470">
        <v>16753483</v>
      </c>
      <c r="D470">
        <v>15446300</v>
      </c>
      <c r="E470">
        <v>1</v>
      </c>
      <c r="F470">
        <v>1</v>
      </c>
      <c r="G470">
        <v>1</v>
      </c>
      <c r="H470">
        <v>1</v>
      </c>
      <c r="I470" t="s">
        <v>1437</v>
      </c>
      <c r="J470" t="s">
        <v>6</v>
      </c>
      <c r="K470" t="s">
        <v>1438</v>
      </c>
      <c r="L470">
        <v>1191</v>
      </c>
      <c r="N470">
        <v>1013</v>
      </c>
      <c r="O470" t="s">
        <v>1287</v>
      </c>
      <c r="P470" t="s">
        <v>1287</v>
      </c>
      <c r="Q470">
        <v>1</v>
      </c>
      <c r="W470">
        <v>0</v>
      </c>
      <c r="X470">
        <v>912892513</v>
      </c>
      <c r="Y470">
        <v>135.19999999999999</v>
      </c>
      <c r="AA470">
        <v>0</v>
      </c>
      <c r="AB470">
        <v>0</v>
      </c>
      <c r="AC470">
        <v>0</v>
      </c>
      <c r="AD470">
        <v>65.08</v>
      </c>
      <c r="AE470">
        <v>0</v>
      </c>
      <c r="AF470">
        <v>0</v>
      </c>
      <c r="AG470">
        <v>0</v>
      </c>
      <c r="AH470">
        <v>9.92</v>
      </c>
      <c r="AI470">
        <v>1</v>
      </c>
      <c r="AJ470">
        <v>1</v>
      </c>
      <c r="AK470">
        <v>1</v>
      </c>
      <c r="AL470">
        <v>6.56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135.19999999999999</v>
      </c>
      <c r="AU470" t="s">
        <v>6</v>
      </c>
      <c r="AV470">
        <v>1</v>
      </c>
      <c r="AW470">
        <v>2</v>
      </c>
      <c r="AX470">
        <v>16753484</v>
      </c>
      <c r="AY470">
        <v>1</v>
      </c>
      <c r="AZ470">
        <v>0</v>
      </c>
      <c r="BA470">
        <v>442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Y470*Source!I325</f>
        <v>101.39999999999999</v>
      </c>
      <c r="CY470">
        <f>AD470</f>
        <v>65.08</v>
      </c>
      <c r="CZ470">
        <f>AH470</f>
        <v>9.92</v>
      </c>
      <c r="DA470">
        <f>AL470</f>
        <v>6.56</v>
      </c>
      <c r="DB470">
        <f t="shared" si="77"/>
        <v>1341.18</v>
      </c>
      <c r="DC470">
        <f t="shared" si="78"/>
        <v>0</v>
      </c>
    </row>
    <row r="471" spans="1:107" x14ac:dyDescent="0.2">
      <c r="A471">
        <f>ROW(Source!A325)</f>
        <v>325</v>
      </c>
      <c r="B471">
        <v>16742901</v>
      </c>
      <c r="C471">
        <v>16753483</v>
      </c>
      <c r="D471">
        <v>15430395</v>
      </c>
      <c r="E471">
        <v>1</v>
      </c>
      <c r="F471">
        <v>1</v>
      </c>
      <c r="G471">
        <v>1</v>
      </c>
      <c r="H471">
        <v>1</v>
      </c>
      <c r="I471" t="s">
        <v>1293</v>
      </c>
      <c r="J471" t="s">
        <v>6</v>
      </c>
      <c r="K471" t="s">
        <v>1294</v>
      </c>
      <c r="L471">
        <v>1191</v>
      </c>
      <c r="N471">
        <v>1013</v>
      </c>
      <c r="O471" t="s">
        <v>1287</v>
      </c>
      <c r="P471" t="s">
        <v>1287</v>
      </c>
      <c r="Q471">
        <v>1</v>
      </c>
      <c r="W471">
        <v>0</v>
      </c>
      <c r="X471">
        <v>-1417349443</v>
      </c>
      <c r="Y471">
        <v>0.6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6.56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0.6</v>
      </c>
      <c r="AU471" t="s">
        <v>6</v>
      </c>
      <c r="AV471">
        <v>2</v>
      </c>
      <c r="AW471">
        <v>2</v>
      </c>
      <c r="AX471">
        <v>16753485</v>
      </c>
      <c r="AY471">
        <v>1</v>
      </c>
      <c r="AZ471">
        <v>0</v>
      </c>
      <c r="BA471">
        <v>443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Y471*Source!I325</f>
        <v>0.44999999999999996</v>
      </c>
      <c r="CY471">
        <f>AD471</f>
        <v>0</v>
      </c>
      <c r="CZ471">
        <f>AH471</f>
        <v>0</v>
      </c>
      <c r="DA471">
        <f>AL471</f>
        <v>1</v>
      </c>
      <c r="DB471">
        <f t="shared" si="77"/>
        <v>0</v>
      </c>
      <c r="DC471">
        <f t="shared" si="78"/>
        <v>0</v>
      </c>
    </row>
    <row r="472" spans="1:107" x14ac:dyDescent="0.2">
      <c r="A472">
        <f>ROW(Source!A325)</f>
        <v>325</v>
      </c>
      <c r="B472">
        <v>16742901</v>
      </c>
      <c r="C472">
        <v>16753483</v>
      </c>
      <c r="D472">
        <v>15247680</v>
      </c>
      <c r="E472">
        <v>1</v>
      </c>
      <c r="F472">
        <v>1</v>
      </c>
      <c r="G472">
        <v>1</v>
      </c>
      <c r="H472">
        <v>2</v>
      </c>
      <c r="I472" t="s">
        <v>1295</v>
      </c>
      <c r="J472" t="s">
        <v>1296</v>
      </c>
      <c r="K472" t="s">
        <v>1297</v>
      </c>
      <c r="L472">
        <v>1368</v>
      </c>
      <c r="N472">
        <v>1011</v>
      </c>
      <c r="O472" t="s">
        <v>1298</v>
      </c>
      <c r="P472" t="s">
        <v>1298</v>
      </c>
      <c r="Q472">
        <v>1</v>
      </c>
      <c r="W472">
        <v>0</v>
      </c>
      <c r="X472">
        <v>-1718674368</v>
      </c>
      <c r="Y472">
        <v>0.3</v>
      </c>
      <c r="AA472">
        <v>0</v>
      </c>
      <c r="AB472">
        <v>734.65</v>
      </c>
      <c r="AC472">
        <v>13.5</v>
      </c>
      <c r="AD472">
        <v>0</v>
      </c>
      <c r="AE472">
        <v>0</v>
      </c>
      <c r="AF472">
        <v>111.99</v>
      </c>
      <c r="AG472">
        <v>13.5</v>
      </c>
      <c r="AH472">
        <v>0</v>
      </c>
      <c r="AI472">
        <v>1</v>
      </c>
      <c r="AJ472">
        <v>6.56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0.3</v>
      </c>
      <c r="AU472" t="s">
        <v>6</v>
      </c>
      <c r="AV472">
        <v>0</v>
      </c>
      <c r="AW472">
        <v>2</v>
      </c>
      <c r="AX472">
        <v>16753486</v>
      </c>
      <c r="AY472">
        <v>1</v>
      </c>
      <c r="AZ472">
        <v>0</v>
      </c>
      <c r="BA472">
        <v>444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Y472*Source!I325</f>
        <v>0.22499999999999998</v>
      </c>
      <c r="CY472">
        <f>AB472</f>
        <v>734.65</v>
      </c>
      <c r="CZ472">
        <f>AF472</f>
        <v>111.99</v>
      </c>
      <c r="DA472">
        <f>AJ472</f>
        <v>6.56</v>
      </c>
      <c r="DB472">
        <f t="shared" si="77"/>
        <v>33.6</v>
      </c>
      <c r="DC472">
        <f t="shared" si="78"/>
        <v>4.05</v>
      </c>
    </row>
    <row r="473" spans="1:107" x14ac:dyDescent="0.2">
      <c r="A473">
        <f>ROW(Source!A325)</f>
        <v>325</v>
      </c>
      <c r="B473">
        <v>16742901</v>
      </c>
      <c r="C473">
        <v>16753483</v>
      </c>
      <c r="D473">
        <v>15249073</v>
      </c>
      <c r="E473">
        <v>1</v>
      </c>
      <c r="F473">
        <v>1</v>
      </c>
      <c r="G473">
        <v>1</v>
      </c>
      <c r="H473">
        <v>2</v>
      </c>
      <c r="I473" t="s">
        <v>1299</v>
      </c>
      <c r="J473" t="s">
        <v>1300</v>
      </c>
      <c r="K473" t="s">
        <v>1301</v>
      </c>
      <c r="L473">
        <v>1368</v>
      </c>
      <c r="N473">
        <v>1011</v>
      </c>
      <c r="O473" t="s">
        <v>1298</v>
      </c>
      <c r="P473" t="s">
        <v>1298</v>
      </c>
      <c r="Q473">
        <v>1</v>
      </c>
      <c r="W473">
        <v>0</v>
      </c>
      <c r="X473">
        <v>1372534845</v>
      </c>
      <c r="Y473">
        <v>0.3</v>
      </c>
      <c r="AA473">
        <v>0</v>
      </c>
      <c r="AB473">
        <v>431.06</v>
      </c>
      <c r="AC473">
        <v>11.6</v>
      </c>
      <c r="AD473">
        <v>0</v>
      </c>
      <c r="AE473">
        <v>0</v>
      </c>
      <c r="AF473">
        <v>65.709999999999994</v>
      </c>
      <c r="AG473">
        <v>11.6</v>
      </c>
      <c r="AH473">
        <v>0</v>
      </c>
      <c r="AI473">
        <v>1</v>
      </c>
      <c r="AJ473">
        <v>6.56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0.3</v>
      </c>
      <c r="AU473" t="s">
        <v>6</v>
      </c>
      <c r="AV473">
        <v>0</v>
      </c>
      <c r="AW473">
        <v>2</v>
      </c>
      <c r="AX473">
        <v>16753487</v>
      </c>
      <c r="AY473">
        <v>1</v>
      </c>
      <c r="AZ473">
        <v>0</v>
      </c>
      <c r="BA473">
        <v>445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Y473*Source!I325</f>
        <v>0.22499999999999998</v>
      </c>
      <c r="CY473">
        <f>AB473</f>
        <v>431.06</v>
      </c>
      <c r="CZ473">
        <f>AF473</f>
        <v>65.709999999999994</v>
      </c>
      <c r="DA473">
        <f>AJ473</f>
        <v>6.56</v>
      </c>
      <c r="DB473">
        <f t="shared" si="77"/>
        <v>19.71</v>
      </c>
      <c r="DC473">
        <f t="shared" si="78"/>
        <v>3.48</v>
      </c>
    </row>
    <row r="474" spans="1:107" x14ac:dyDescent="0.2">
      <c r="A474">
        <f>ROW(Source!A325)</f>
        <v>325</v>
      </c>
      <c r="B474">
        <v>16742901</v>
      </c>
      <c r="C474">
        <v>16753483</v>
      </c>
      <c r="D474">
        <v>15171982</v>
      </c>
      <c r="E474">
        <v>1</v>
      </c>
      <c r="F474">
        <v>1</v>
      </c>
      <c r="G474">
        <v>1</v>
      </c>
      <c r="H474">
        <v>3</v>
      </c>
      <c r="I474" t="s">
        <v>1320</v>
      </c>
      <c r="J474" t="s">
        <v>1321</v>
      </c>
      <c r="K474" t="s">
        <v>1322</v>
      </c>
      <c r="L474">
        <v>1348</v>
      </c>
      <c r="N474">
        <v>1009</v>
      </c>
      <c r="O474" t="s">
        <v>100</v>
      </c>
      <c r="P474" t="s">
        <v>100</v>
      </c>
      <c r="Q474">
        <v>1000</v>
      </c>
      <c r="W474">
        <v>0</v>
      </c>
      <c r="X474">
        <v>-1421715385</v>
      </c>
      <c r="Y474">
        <v>3.15E-3</v>
      </c>
      <c r="AA474">
        <v>4788.67</v>
      </c>
      <c r="AB474">
        <v>0</v>
      </c>
      <c r="AC474">
        <v>0</v>
      </c>
      <c r="AD474">
        <v>0</v>
      </c>
      <c r="AE474">
        <v>729.98</v>
      </c>
      <c r="AF474">
        <v>0</v>
      </c>
      <c r="AG474">
        <v>0</v>
      </c>
      <c r="AH474">
        <v>0</v>
      </c>
      <c r="AI474">
        <v>6.56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3.15E-3</v>
      </c>
      <c r="AU474" t="s">
        <v>6</v>
      </c>
      <c r="AV474">
        <v>0</v>
      </c>
      <c r="AW474">
        <v>2</v>
      </c>
      <c r="AX474">
        <v>16753488</v>
      </c>
      <c r="AY474">
        <v>1</v>
      </c>
      <c r="AZ474">
        <v>0</v>
      </c>
      <c r="BA474">
        <v>446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Y474*Source!I325</f>
        <v>2.3625E-3</v>
      </c>
      <c r="CY474">
        <f>AA474</f>
        <v>4788.67</v>
      </c>
      <c r="CZ474">
        <f>AE474</f>
        <v>729.98</v>
      </c>
      <c r="DA474">
        <f>AI474</f>
        <v>6.56</v>
      </c>
      <c r="DB474">
        <f t="shared" si="77"/>
        <v>2.2999999999999998</v>
      </c>
      <c r="DC474">
        <f t="shared" si="78"/>
        <v>0</v>
      </c>
    </row>
    <row r="475" spans="1:107" x14ac:dyDescent="0.2">
      <c r="A475">
        <f>ROW(Source!A325)</f>
        <v>325</v>
      </c>
      <c r="B475">
        <v>16742901</v>
      </c>
      <c r="C475">
        <v>16753483</v>
      </c>
      <c r="D475">
        <v>15219877</v>
      </c>
      <c r="E475">
        <v>1</v>
      </c>
      <c r="F475">
        <v>1</v>
      </c>
      <c r="G475">
        <v>1</v>
      </c>
      <c r="H475">
        <v>3</v>
      </c>
      <c r="I475" t="s">
        <v>707</v>
      </c>
      <c r="J475" t="s">
        <v>709</v>
      </c>
      <c r="K475" t="s">
        <v>715</v>
      </c>
      <c r="L475">
        <v>1354</v>
      </c>
      <c r="N475">
        <v>1010</v>
      </c>
      <c r="O475" t="s">
        <v>73</v>
      </c>
      <c r="P475" t="s">
        <v>73</v>
      </c>
      <c r="Q475">
        <v>1</v>
      </c>
      <c r="W475">
        <v>0</v>
      </c>
      <c r="X475">
        <v>-287472163</v>
      </c>
      <c r="Y475">
        <v>100</v>
      </c>
      <c r="AA475">
        <v>2232.83</v>
      </c>
      <c r="AB475">
        <v>0</v>
      </c>
      <c r="AC475">
        <v>0</v>
      </c>
      <c r="AD475">
        <v>0</v>
      </c>
      <c r="AE475">
        <v>340.37</v>
      </c>
      <c r="AF475">
        <v>0</v>
      </c>
      <c r="AG475">
        <v>0</v>
      </c>
      <c r="AH475">
        <v>0</v>
      </c>
      <c r="AI475">
        <v>6.56</v>
      </c>
      <c r="AJ475">
        <v>1</v>
      </c>
      <c r="AK475">
        <v>1</v>
      </c>
      <c r="AL475">
        <v>1</v>
      </c>
      <c r="AN475">
        <v>0</v>
      </c>
      <c r="AO475">
        <v>0</v>
      </c>
      <c r="AP475">
        <v>0</v>
      </c>
      <c r="AQ475">
        <v>0</v>
      </c>
      <c r="AR475">
        <v>0</v>
      </c>
      <c r="AS475" t="s">
        <v>6</v>
      </c>
      <c r="AT475">
        <v>100</v>
      </c>
      <c r="AU475" t="s">
        <v>6</v>
      </c>
      <c r="AV475">
        <v>0</v>
      </c>
      <c r="AW475">
        <v>1</v>
      </c>
      <c r="AX475">
        <v>-1</v>
      </c>
      <c r="AY475">
        <v>0</v>
      </c>
      <c r="AZ475">
        <v>0</v>
      </c>
      <c r="BA475" t="s">
        <v>6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Y475*Source!I325</f>
        <v>75</v>
      </c>
      <c r="CY475">
        <f>AA475</f>
        <v>2232.83</v>
      </c>
      <c r="CZ475">
        <f>AE475</f>
        <v>340.37</v>
      </c>
      <c r="DA475">
        <f>AI475</f>
        <v>6.56</v>
      </c>
      <c r="DB475">
        <f t="shared" si="77"/>
        <v>34037</v>
      </c>
      <c r="DC475">
        <f t="shared" si="78"/>
        <v>0</v>
      </c>
    </row>
    <row r="476" spans="1:107" x14ac:dyDescent="0.2">
      <c r="A476">
        <f>ROW(Source!A325)</f>
        <v>325</v>
      </c>
      <c r="B476">
        <v>16742901</v>
      </c>
      <c r="C476">
        <v>16753483</v>
      </c>
      <c r="D476">
        <v>15233312</v>
      </c>
      <c r="E476">
        <v>1</v>
      </c>
      <c r="F476">
        <v>1</v>
      </c>
      <c r="G476">
        <v>1</v>
      </c>
      <c r="H476">
        <v>3</v>
      </c>
      <c r="I476" t="s">
        <v>1652</v>
      </c>
      <c r="J476" t="s">
        <v>1653</v>
      </c>
      <c r="K476" t="s">
        <v>1654</v>
      </c>
      <c r="L476">
        <v>1346</v>
      </c>
      <c r="N476">
        <v>1009</v>
      </c>
      <c r="O476" t="s">
        <v>341</v>
      </c>
      <c r="P476" t="s">
        <v>341</v>
      </c>
      <c r="Q476">
        <v>1</v>
      </c>
      <c r="W476">
        <v>0</v>
      </c>
      <c r="X476">
        <v>1584075688</v>
      </c>
      <c r="Y476">
        <v>2.8</v>
      </c>
      <c r="AA476">
        <v>234.19</v>
      </c>
      <c r="AB476">
        <v>0</v>
      </c>
      <c r="AC476">
        <v>0</v>
      </c>
      <c r="AD476">
        <v>0</v>
      </c>
      <c r="AE476">
        <v>35.700000000000003</v>
      </c>
      <c r="AF476">
        <v>0</v>
      </c>
      <c r="AG476">
        <v>0</v>
      </c>
      <c r="AH476">
        <v>0</v>
      </c>
      <c r="AI476">
        <v>6.56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2.8</v>
      </c>
      <c r="AU476" t="s">
        <v>6</v>
      </c>
      <c r="AV476">
        <v>0</v>
      </c>
      <c r="AW476">
        <v>2</v>
      </c>
      <c r="AX476">
        <v>16753489</v>
      </c>
      <c r="AY476">
        <v>1</v>
      </c>
      <c r="AZ476">
        <v>0</v>
      </c>
      <c r="BA476">
        <v>447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Y476*Source!I325</f>
        <v>2.0999999999999996</v>
      </c>
      <c r="CY476">
        <f>AA476</f>
        <v>234.19</v>
      </c>
      <c r="CZ476">
        <f>AE476</f>
        <v>35.700000000000003</v>
      </c>
      <c r="DA476">
        <f>AI476</f>
        <v>6.56</v>
      </c>
      <c r="DB476">
        <f t="shared" si="77"/>
        <v>99.96</v>
      </c>
      <c r="DC476">
        <f t="shared" si="78"/>
        <v>0</v>
      </c>
    </row>
    <row r="477" spans="1:107" x14ac:dyDescent="0.2">
      <c r="A477">
        <f>ROW(Source!A325)</f>
        <v>325</v>
      </c>
      <c r="B477">
        <v>16742901</v>
      </c>
      <c r="C477">
        <v>16753483</v>
      </c>
      <c r="D477">
        <v>15164559</v>
      </c>
      <c r="E477">
        <v>17</v>
      </c>
      <c r="F477">
        <v>1</v>
      </c>
      <c r="G477">
        <v>1</v>
      </c>
      <c r="H477">
        <v>3</v>
      </c>
      <c r="I477" t="s">
        <v>1334</v>
      </c>
      <c r="J477" t="s">
        <v>6</v>
      </c>
      <c r="K477" t="s">
        <v>1335</v>
      </c>
      <c r="L477">
        <v>1374</v>
      </c>
      <c r="N477">
        <v>1013</v>
      </c>
      <c r="O477" t="s">
        <v>1336</v>
      </c>
      <c r="P477" t="s">
        <v>1336</v>
      </c>
      <c r="Q477">
        <v>1</v>
      </c>
      <c r="W477">
        <v>0</v>
      </c>
      <c r="X477">
        <v>-1731369543</v>
      </c>
      <c r="Y477">
        <v>26.82</v>
      </c>
      <c r="AA477">
        <v>1</v>
      </c>
      <c r="AB477">
        <v>0</v>
      </c>
      <c r="AC477">
        <v>0</v>
      </c>
      <c r="AD477">
        <v>0</v>
      </c>
      <c r="AE477">
        <v>1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26.82</v>
      </c>
      <c r="AU477" t="s">
        <v>6</v>
      </c>
      <c r="AV477">
        <v>0</v>
      </c>
      <c r="AW477">
        <v>2</v>
      </c>
      <c r="AX477">
        <v>16753490</v>
      </c>
      <c r="AY477">
        <v>1</v>
      </c>
      <c r="AZ477">
        <v>0</v>
      </c>
      <c r="BA477">
        <v>448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Y477*Source!I325</f>
        <v>20.115000000000002</v>
      </c>
      <c r="CY477">
        <f>AA477</f>
        <v>1</v>
      </c>
      <c r="CZ477">
        <f>AE477</f>
        <v>1</v>
      </c>
      <c r="DA477">
        <f>AI477</f>
        <v>1</v>
      </c>
      <c r="DB477">
        <f t="shared" si="77"/>
        <v>26.82</v>
      </c>
      <c r="DC477">
        <f t="shared" si="78"/>
        <v>0</v>
      </c>
    </row>
    <row r="478" spans="1:107" x14ac:dyDescent="0.2">
      <c r="A478">
        <f>ROW(Source!A327)</f>
        <v>327</v>
      </c>
      <c r="B478">
        <v>16742901</v>
      </c>
      <c r="C478">
        <v>16744376</v>
      </c>
      <c r="D478">
        <v>15446300</v>
      </c>
      <c r="E478">
        <v>1</v>
      </c>
      <c r="F478">
        <v>1</v>
      </c>
      <c r="G478">
        <v>1</v>
      </c>
      <c r="H478">
        <v>1</v>
      </c>
      <c r="I478" t="s">
        <v>1437</v>
      </c>
      <c r="J478" t="s">
        <v>6</v>
      </c>
      <c r="K478" t="s">
        <v>1438</v>
      </c>
      <c r="L478">
        <v>1191</v>
      </c>
      <c r="N478">
        <v>1013</v>
      </c>
      <c r="O478" t="s">
        <v>1287</v>
      </c>
      <c r="P478" t="s">
        <v>1287</v>
      </c>
      <c r="Q478">
        <v>1</v>
      </c>
      <c r="W478">
        <v>0</v>
      </c>
      <c r="X478">
        <v>912892513</v>
      </c>
      <c r="Y478">
        <v>35.130000000000003</v>
      </c>
      <c r="AA478">
        <v>0</v>
      </c>
      <c r="AB478">
        <v>0</v>
      </c>
      <c r="AC478">
        <v>0</v>
      </c>
      <c r="AD478">
        <v>65.08</v>
      </c>
      <c r="AE478">
        <v>0</v>
      </c>
      <c r="AF478">
        <v>0</v>
      </c>
      <c r="AG478">
        <v>0</v>
      </c>
      <c r="AH478">
        <v>9.92</v>
      </c>
      <c r="AI478">
        <v>1</v>
      </c>
      <c r="AJ478">
        <v>1</v>
      </c>
      <c r="AK478">
        <v>1</v>
      </c>
      <c r="AL478">
        <v>6.56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35.130000000000003</v>
      </c>
      <c r="AU478" t="s">
        <v>6</v>
      </c>
      <c r="AV478">
        <v>1</v>
      </c>
      <c r="AW478">
        <v>2</v>
      </c>
      <c r="AX478">
        <v>16744386</v>
      </c>
      <c r="AY478">
        <v>1</v>
      </c>
      <c r="AZ478">
        <v>0</v>
      </c>
      <c r="BA478">
        <v>449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Y478*Source!I327</f>
        <v>2.1078000000000001</v>
      </c>
      <c r="CY478">
        <f>AD478</f>
        <v>65.08</v>
      </c>
      <c r="CZ478">
        <f>AH478</f>
        <v>9.92</v>
      </c>
      <c r="DA478">
        <f>AL478</f>
        <v>6.56</v>
      </c>
      <c r="DB478">
        <f t="shared" si="77"/>
        <v>348.49</v>
      </c>
      <c r="DC478">
        <f t="shared" si="78"/>
        <v>0</v>
      </c>
    </row>
    <row r="479" spans="1:107" x14ac:dyDescent="0.2">
      <c r="A479">
        <f>ROW(Source!A327)</f>
        <v>327</v>
      </c>
      <c r="B479">
        <v>16742901</v>
      </c>
      <c r="C479">
        <v>16744376</v>
      </c>
      <c r="D479">
        <v>15430395</v>
      </c>
      <c r="E479">
        <v>1</v>
      </c>
      <c r="F479">
        <v>1</v>
      </c>
      <c r="G479">
        <v>1</v>
      </c>
      <c r="H479">
        <v>1</v>
      </c>
      <c r="I479" t="s">
        <v>1293</v>
      </c>
      <c r="J479" t="s">
        <v>6</v>
      </c>
      <c r="K479" t="s">
        <v>1294</v>
      </c>
      <c r="L479">
        <v>1191</v>
      </c>
      <c r="N479">
        <v>1013</v>
      </c>
      <c r="O479" t="s">
        <v>1287</v>
      </c>
      <c r="P479" t="s">
        <v>1287</v>
      </c>
      <c r="Q479">
        <v>1</v>
      </c>
      <c r="W479">
        <v>0</v>
      </c>
      <c r="X479">
        <v>-1417349443</v>
      </c>
      <c r="Y479">
        <v>0.05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6.56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0.05</v>
      </c>
      <c r="AU479" t="s">
        <v>6</v>
      </c>
      <c r="AV479">
        <v>2</v>
      </c>
      <c r="AW479">
        <v>2</v>
      </c>
      <c r="AX479">
        <v>16744387</v>
      </c>
      <c r="AY479">
        <v>1</v>
      </c>
      <c r="AZ479">
        <v>0</v>
      </c>
      <c r="BA479">
        <v>450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Y479*Source!I327</f>
        <v>3.0000000000000001E-3</v>
      </c>
      <c r="CY479">
        <f>AD479</f>
        <v>0</v>
      </c>
      <c r="CZ479">
        <f>AH479</f>
        <v>0</v>
      </c>
      <c r="DA479">
        <f>AL479</f>
        <v>1</v>
      </c>
      <c r="DB479">
        <f t="shared" si="77"/>
        <v>0</v>
      </c>
      <c r="DC479">
        <f t="shared" si="78"/>
        <v>0</v>
      </c>
    </row>
    <row r="480" spans="1:107" x14ac:dyDescent="0.2">
      <c r="A480">
        <f>ROW(Source!A327)</f>
        <v>327</v>
      </c>
      <c r="B480">
        <v>16742901</v>
      </c>
      <c r="C480">
        <v>16744376</v>
      </c>
      <c r="D480">
        <v>15247680</v>
      </c>
      <c r="E480">
        <v>1</v>
      </c>
      <c r="F480">
        <v>1</v>
      </c>
      <c r="G480">
        <v>1</v>
      </c>
      <c r="H480">
        <v>2</v>
      </c>
      <c r="I480" t="s">
        <v>1295</v>
      </c>
      <c r="J480" t="s">
        <v>1296</v>
      </c>
      <c r="K480" t="s">
        <v>1297</v>
      </c>
      <c r="L480">
        <v>1368</v>
      </c>
      <c r="N480">
        <v>1011</v>
      </c>
      <c r="O480" t="s">
        <v>1298</v>
      </c>
      <c r="P480" t="s">
        <v>1298</v>
      </c>
      <c r="Q480">
        <v>1</v>
      </c>
      <c r="W480">
        <v>0</v>
      </c>
      <c r="X480">
        <v>-1718674368</v>
      </c>
      <c r="Y480">
        <v>0.03</v>
      </c>
      <c r="AA480">
        <v>0</v>
      </c>
      <c r="AB480">
        <v>734.65</v>
      </c>
      <c r="AC480">
        <v>13.5</v>
      </c>
      <c r="AD480">
        <v>0</v>
      </c>
      <c r="AE480">
        <v>0</v>
      </c>
      <c r="AF480">
        <v>111.99</v>
      </c>
      <c r="AG480">
        <v>13.5</v>
      </c>
      <c r="AH480">
        <v>0</v>
      </c>
      <c r="AI480">
        <v>1</v>
      </c>
      <c r="AJ480">
        <v>6.56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0.03</v>
      </c>
      <c r="AU480" t="s">
        <v>6</v>
      </c>
      <c r="AV480">
        <v>0</v>
      </c>
      <c r="AW480">
        <v>2</v>
      </c>
      <c r="AX480">
        <v>16744388</v>
      </c>
      <c r="AY480">
        <v>1</v>
      </c>
      <c r="AZ480">
        <v>0</v>
      </c>
      <c r="BA480">
        <v>451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Y480*Source!I327</f>
        <v>1.8E-3</v>
      </c>
      <c r="CY480">
        <f>AB480</f>
        <v>734.65</v>
      </c>
      <c r="CZ480">
        <f>AF480</f>
        <v>111.99</v>
      </c>
      <c r="DA480">
        <f>AJ480</f>
        <v>6.56</v>
      </c>
      <c r="DB480">
        <f t="shared" si="77"/>
        <v>3.36</v>
      </c>
      <c r="DC480">
        <f t="shared" si="78"/>
        <v>0.41</v>
      </c>
    </row>
    <row r="481" spans="1:107" x14ac:dyDescent="0.2">
      <c r="A481">
        <f>ROW(Source!A327)</f>
        <v>327</v>
      </c>
      <c r="B481">
        <v>16742901</v>
      </c>
      <c r="C481">
        <v>16744376</v>
      </c>
      <c r="D481">
        <v>15249073</v>
      </c>
      <c r="E481">
        <v>1</v>
      </c>
      <c r="F481">
        <v>1</v>
      </c>
      <c r="G481">
        <v>1</v>
      </c>
      <c r="H481">
        <v>2</v>
      </c>
      <c r="I481" t="s">
        <v>1299</v>
      </c>
      <c r="J481" t="s">
        <v>1300</v>
      </c>
      <c r="K481" t="s">
        <v>1301</v>
      </c>
      <c r="L481">
        <v>1368</v>
      </c>
      <c r="N481">
        <v>1011</v>
      </c>
      <c r="O481" t="s">
        <v>1298</v>
      </c>
      <c r="P481" t="s">
        <v>1298</v>
      </c>
      <c r="Q481">
        <v>1</v>
      </c>
      <c r="W481">
        <v>0</v>
      </c>
      <c r="X481">
        <v>1372534845</v>
      </c>
      <c r="Y481">
        <v>0.02</v>
      </c>
      <c r="AA481">
        <v>0</v>
      </c>
      <c r="AB481">
        <v>431.06</v>
      </c>
      <c r="AC481">
        <v>11.6</v>
      </c>
      <c r="AD481">
        <v>0</v>
      </c>
      <c r="AE481">
        <v>0</v>
      </c>
      <c r="AF481">
        <v>65.709999999999994</v>
      </c>
      <c r="AG481">
        <v>11.6</v>
      </c>
      <c r="AH481">
        <v>0</v>
      </c>
      <c r="AI481">
        <v>1</v>
      </c>
      <c r="AJ481">
        <v>6.56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0.02</v>
      </c>
      <c r="AU481" t="s">
        <v>6</v>
      </c>
      <c r="AV481">
        <v>0</v>
      </c>
      <c r="AW481">
        <v>2</v>
      </c>
      <c r="AX481">
        <v>16744389</v>
      </c>
      <c r="AY481">
        <v>1</v>
      </c>
      <c r="AZ481">
        <v>0</v>
      </c>
      <c r="BA481">
        <v>452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Y481*Source!I327</f>
        <v>1.1999999999999999E-3</v>
      </c>
      <c r="CY481">
        <f>AB481</f>
        <v>431.06</v>
      </c>
      <c r="CZ481">
        <f>AF481</f>
        <v>65.709999999999994</v>
      </c>
      <c r="DA481">
        <f>AJ481</f>
        <v>6.56</v>
      </c>
      <c r="DB481">
        <f t="shared" si="77"/>
        <v>1.31</v>
      </c>
      <c r="DC481">
        <f t="shared" si="78"/>
        <v>0.23</v>
      </c>
    </row>
    <row r="482" spans="1:107" x14ac:dyDescent="0.2">
      <c r="A482">
        <f>ROW(Source!A327)</f>
        <v>327</v>
      </c>
      <c r="B482">
        <v>16742901</v>
      </c>
      <c r="C482">
        <v>16744376</v>
      </c>
      <c r="D482">
        <v>15170074</v>
      </c>
      <c r="E482">
        <v>1</v>
      </c>
      <c r="F482">
        <v>1</v>
      </c>
      <c r="G482">
        <v>1</v>
      </c>
      <c r="H482">
        <v>3</v>
      </c>
      <c r="I482" t="s">
        <v>1655</v>
      </c>
      <c r="J482" t="s">
        <v>1656</v>
      </c>
      <c r="K482" t="s">
        <v>1657</v>
      </c>
      <c r="L482">
        <v>1355</v>
      </c>
      <c r="N482">
        <v>1010</v>
      </c>
      <c r="O482" t="s">
        <v>843</v>
      </c>
      <c r="P482" t="s">
        <v>843</v>
      </c>
      <c r="Q482">
        <v>100</v>
      </c>
      <c r="W482">
        <v>0</v>
      </c>
      <c r="X482">
        <v>1794244060</v>
      </c>
      <c r="Y482">
        <v>1.02</v>
      </c>
      <c r="AA482">
        <v>564.16</v>
      </c>
      <c r="AB482">
        <v>0</v>
      </c>
      <c r="AC482">
        <v>0</v>
      </c>
      <c r="AD482">
        <v>0</v>
      </c>
      <c r="AE482">
        <v>86</v>
      </c>
      <c r="AF482">
        <v>0</v>
      </c>
      <c r="AG482">
        <v>0</v>
      </c>
      <c r="AH482">
        <v>0</v>
      </c>
      <c r="AI482">
        <v>6.56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1.02</v>
      </c>
      <c r="AU482" t="s">
        <v>6</v>
      </c>
      <c r="AV482">
        <v>0</v>
      </c>
      <c r="AW482">
        <v>2</v>
      </c>
      <c r="AX482">
        <v>16744390</v>
      </c>
      <c r="AY482">
        <v>1</v>
      </c>
      <c r="AZ482">
        <v>0</v>
      </c>
      <c r="BA482">
        <v>453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Y482*Source!I327</f>
        <v>6.1199999999999997E-2</v>
      </c>
      <c r="CY482">
        <f>AA482</f>
        <v>564.16</v>
      </c>
      <c r="CZ482">
        <f>AE482</f>
        <v>86</v>
      </c>
      <c r="DA482">
        <f>AI482</f>
        <v>6.56</v>
      </c>
      <c r="DB482">
        <f t="shared" si="77"/>
        <v>87.72</v>
      </c>
      <c r="DC482">
        <f t="shared" si="78"/>
        <v>0</v>
      </c>
    </row>
    <row r="483" spans="1:107" x14ac:dyDescent="0.2">
      <c r="A483">
        <f>ROW(Source!A327)</f>
        <v>327</v>
      </c>
      <c r="B483">
        <v>16742901</v>
      </c>
      <c r="C483">
        <v>16744376</v>
      </c>
      <c r="D483">
        <v>15170434</v>
      </c>
      <c r="E483">
        <v>1</v>
      </c>
      <c r="F483">
        <v>1</v>
      </c>
      <c r="G483">
        <v>1</v>
      </c>
      <c r="H483">
        <v>3</v>
      </c>
      <c r="I483" t="s">
        <v>1658</v>
      </c>
      <c r="J483" t="s">
        <v>1659</v>
      </c>
      <c r="K483" t="s">
        <v>1660</v>
      </c>
      <c r="L483">
        <v>1348</v>
      </c>
      <c r="N483">
        <v>1009</v>
      </c>
      <c r="O483" t="s">
        <v>100</v>
      </c>
      <c r="P483" t="s">
        <v>100</v>
      </c>
      <c r="Q483">
        <v>1000</v>
      </c>
      <c r="W483">
        <v>0</v>
      </c>
      <c r="X483">
        <v>797358079</v>
      </c>
      <c r="Y483">
        <v>1.6000000000000001E-4</v>
      </c>
      <c r="AA483">
        <v>195488</v>
      </c>
      <c r="AB483">
        <v>0</v>
      </c>
      <c r="AC483">
        <v>0</v>
      </c>
      <c r="AD483">
        <v>0</v>
      </c>
      <c r="AE483">
        <v>29800</v>
      </c>
      <c r="AF483">
        <v>0</v>
      </c>
      <c r="AG483">
        <v>0</v>
      </c>
      <c r="AH483">
        <v>0</v>
      </c>
      <c r="AI483">
        <v>6.56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1.6000000000000001E-4</v>
      </c>
      <c r="AU483" t="s">
        <v>6</v>
      </c>
      <c r="AV483">
        <v>0</v>
      </c>
      <c r="AW483">
        <v>2</v>
      </c>
      <c r="AX483">
        <v>16744391</v>
      </c>
      <c r="AY483">
        <v>1</v>
      </c>
      <c r="AZ483">
        <v>0</v>
      </c>
      <c r="BA483">
        <v>454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Y483*Source!I327</f>
        <v>9.6000000000000013E-6</v>
      </c>
      <c r="CY483">
        <f>AA483</f>
        <v>195488</v>
      </c>
      <c r="CZ483">
        <f>AE483</f>
        <v>29800</v>
      </c>
      <c r="DA483">
        <f>AI483</f>
        <v>6.56</v>
      </c>
      <c r="DB483">
        <f t="shared" si="77"/>
        <v>4.7699999999999996</v>
      </c>
      <c r="DC483">
        <f t="shared" si="78"/>
        <v>0</v>
      </c>
    </row>
    <row r="484" spans="1:107" x14ac:dyDescent="0.2">
      <c r="A484">
        <f>ROW(Source!A327)</f>
        <v>327</v>
      </c>
      <c r="B484">
        <v>16742901</v>
      </c>
      <c r="C484">
        <v>16744376</v>
      </c>
      <c r="D484">
        <v>15170438</v>
      </c>
      <c r="E484">
        <v>1</v>
      </c>
      <c r="F484">
        <v>1</v>
      </c>
      <c r="G484">
        <v>1</v>
      </c>
      <c r="H484">
        <v>3</v>
      </c>
      <c r="I484" t="s">
        <v>1636</v>
      </c>
      <c r="J484" t="s">
        <v>1637</v>
      </c>
      <c r="K484" t="s">
        <v>1638</v>
      </c>
      <c r="L484">
        <v>1348</v>
      </c>
      <c r="N484">
        <v>1009</v>
      </c>
      <c r="O484" t="s">
        <v>100</v>
      </c>
      <c r="P484" t="s">
        <v>100</v>
      </c>
      <c r="Q484">
        <v>1000</v>
      </c>
      <c r="W484">
        <v>0</v>
      </c>
      <c r="X484">
        <v>-1755229539</v>
      </c>
      <c r="Y484">
        <v>2.9999999999999997E-4</v>
      </c>
      <c r="AA484">
        <v>81540.800000000003</v>
      </c>
      <c r="AB484">
        <v>0</v>
      </c>
      <c r="AC484">
        <v>0</v>
      </c>
      <c r="AD484">
        <v>0</v>
      </c>
      <c r="AE484">
        <v>12430</v>
      </c>
      <c r="AF484">
        <v>0</v>
      </c>
      <c r="AG484">
        <v>0</v>
      </c>
      <c r="AH484">
        <v>0</v>
      </c>
      <c r="AI484">
        <v>6.56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6</v>
      </c>
      <c r="AT484">
        <v>2.9999999999999997E-4</v>
      </c>
      <c r="AU484" t="s">
        <v>6</v>
      </c>
      <c r="AV484">
        <v>0</v>
      </c>
      <c r="AW484">
        <v>2</v>
      </c>
      <c r="AX484">
        <v>16744392</v>
      </c>
      <c r="AY484">
        <v>1</v>
      </c>
      <c r="AZ484">
        <v>0</v>
      </c>
      <c r="BA484">
        <v>455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Y484*Source!I327</f>
        <v>1.7999999999999997E-5</v>
      </c>
      <c r="CY484">
        <f>AA484</f>
        <v>81540.800000000003</v>
      </c>
      <c r="CZ484">
        <f>AE484</f>
        <v>12430</v>
      </c>
      <c r="DA484">
        <f>AI484</f>
        <v>6.56</v>
      </c>
      <c r="DB484">
        <f t="shared" si="77"/>
        <v>3.73</v>
      </c>
      <c r="DC484">
        <f t="shared" si="78"/>
        <v>0</v>
      </c>
    </row>
    <row r="485" spans="1:107" x14ac:dyDescent="0.2">
      <c r="A485">
        <f>ROW(Source!A327)</f>
        <v>327</v>
      </c>
      <c r="B485">
        <v>16742901</v>
      </c>
      <c r="C485">
        <v>16744376</v>
      </c>
      <c r="D485">
        <v>15220565</v>
      </c>
      <c r="E485">
        <v>1</v>
      </c>
      <c r="F485">
        <v>1</v>
      </c>
      <c r="G485">
        <v>1</v>
      </c>
      <c r="H485">
        <v>3</v>
      </c>
      <c r="I485" t="s">
        <v>721</v>
      </c>
      <c r="J485" t="s">
        <v>724</v>
      </c>
      <c r="K485" t="s">
        <v>722</v>
      </c>
      <c r="L485">
        <v>1358</v>
      </c>
      <c r="N485">
        <v>1010</v>
      </c>
      <c r="O485" t="s">
        <v>723</v>
      </c>
      <c r="P485" t="s">
        <v>723</v>
      </c>
      <c r="Q485">
        <v>10</v>
      </c>
      <c r="W485">
        <v>0</v>
      </c>
      <c r="X485">
        <v>668519206</v>
      </c>
      <c r="Y485">
        <v>10</v>
      </c>
      <c r="AA485">
        <v>477.57</v>
      </c>
      <c r="AB485">
        <v>0</v>
      </c>
      <c r="AC485">
        <v>0</v>
      </c>
      <c r="AD485">
        <v>0</v>
      </c>
      <c r="AE485">
        <v>72.8</v>
      </c>
      <c r="AF485">
        <v>0</v>
      </c>
      <c r="AG485">
        <v>0</v>
      </c>
      <c r="AH485">
        <v>0</v>
      </c>
      <c r="AI485">
        <v>6.56</v>
      </c>
      <c r="AJ485">
        <v>1</v>
      </c>
      <c r="AK485">
        <v>1</v>
      </c>
      <c r="AL485">
        <v>1</v>
      </c>
      <c r="AN485">
        <v>0</v>
      </c>
      <c r="AO485">
        <v>0</v>
      </c>
      <c r="AP485">
        <v>0</v>
      </c>
      <c r="AQ485">
        <v>0</v>
      </c>
      <c r="AR485">
        <v>0</v>
      </c>
      <c r="AS485" t="s">
        <v>6</v>
      </c>
      <c r="AT485">
        <v>10</v>
      </c>
      <c r="AU485" t="s">
        <v>6</v>
      </c>
      <c r="AV485">
        <v>0</v>
      </c>
      <c r="AW485">
        <v>1</v>
      </c>
      <c r="AX485">
        <v>-1</v>
      </c>
      <c r="AY485">
        <v>0</v>
      </c>
      <c r="AZ485">
        <v>0</v>
      </c>
      <c r="BA485" t="s">
        <v>6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Y485*Source!I327</f>
        <v>0.6</v>
      </c>
      <c r="CY485">
        <f>AA485</f>
        <v>477.57</v>
      </c>
      <c r="CZ485">
        <f>AE485</f>
        <v>72.8</v>
      </c>
      <c r="DA485">
        <f>AI485</f>
        <v>6.56</v>
      </c>
      <c r="DB485">
        <f t="shared" si="77"/>
        <v>728</v>
      </c>
      <c r="DC485">
        <f t="shared" si="78"/>
        <v>0</v>
      </c>
    </row>
    <row r="486" spans="1:107" x14ac:dyDescent="0.2">
      <c r="A486">
        <f>ROW(Source!A327)</f>
        <v>327</v>
      </c>
      <c r="B486">
        <v>16742901</v>
      </c>
      <c r="C486">
        <v>16744376</v>
      </c>
      <c r="D486">
        <v>15164559</v>
      </c>
      <c r="E486">
        <v>17</v>
      </c>
      <c r="F486">
        <v>1</v>
      </c>
      <c r="G486">
        <v>1</v>
      </c>
      <c r="H486">
        <v>3</v>
      </c>
      <c r="I486" t="s">
        <v>1334</v>
      </c>
      <c r="J486" t="s">
        <v>6</v>
      </c>
      <c r="K486" t="s">
        <v>1335</v>
      </c>
      <c r="L486">
        <v>1374</v>
      </c>
      <c r="N486">
        <v>1013</v>
      </c>
      <c r="O486" t="s">
        <v>1336</v>
      </c>
      <c r="P486" t="s">
        <v>1336</v>
      </c>
      <c r="Q486">
        <v>1</v>
      </c>
      <c r="W486">
        <v>0</v>
      </c>
      <c r="X486">
        <v>-1731369543</v>
      </c>
      <c r="Y486">
        <v>6.97</v>
      </c>
      <c r="AA486">
        <v>1</v>
      </c>
      <c r="AB486">
        <v>0</v>
      </c>
      <c r="AC486">
        <v>0</v>
      </c>
      <c r="AD486">
        <v>0</v>
      </c>
      <c r="AE486">
        <v>1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6</v>
      </c>
      <c r="AT486">
        <v>6.97</v>
      </c>
      <c r="AU486" t="s">
        <v>6</v>
      </c>
      <c r="AV486">
        <v>0</v>
      </c>
      <c r="AW486">
        <v>2</v>
      </c>
      <c r="AX486">
        <v>16744393</v>
      </c>
      <c r="AY486">
        <v>1</v>
      </c>
      <c r="AZ486">
        <v>0</v>
      </c>
      <c r="BA486">
        <v>456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Y486*Source!I327</f>
        <v>0.41819999999999996</v>
      </c>
      <c r="CY486">
        <f>AA486</f>
        <v>1</v>
      </c>
      <c r="CZ486">
        <f>AE486</f>
        <v>1</v>
      </c>
      <c r="DA486">
        <f>AI486</f>
        <v>1</v>
      </c>
      <c r="DB486">
        <f t="shared" si="77"/>
        <v>6.97</v>
      </c>
      <c r="DC486">
        <f t="shared" si="78"/>
        <v>0</v>
      </c>
    </row>
    <row r="487" spans="1:107" x14ac:dyDescent="0.2">
      <c r="A487">
        <f>ROW(Source!A329)</f>
        <v>329</v>
      </c>
      <c r="B487">
        <v>16742901</v>
      </c>
      <c r="C487">
        <v>16744395</v>
      </c>
      <c r="D487">
        <v>15446300</v>
      </c>
      <c r="E487">
        <v>1</v>
      </c>
      <c r="F487">
        <v>1</v>
      </c>
      <c r="G487">
        <v>1</v>
      </c>
      <c r="H487">
        <v>1</v>
      </c>
      <c r="I487" t="s">
        <v>1437</v>
      </c>
      <c r="J487" t="s">
        <v>6</v>
      </c>
      <c r="K487" t="s">
        <v>1438</v>
      </c>
      <c r="L487">
        <v>1191</v>
      </c>
      <c r="N487">
        <v>1013</v>
      </c>
      <c r="O487" t="s">
        <v>1287</v>
      </c>
      <c r="P487" t="s">
        <v>1287</v>
      </c>
      <c r="Q487">
        <v>1</v>
      </c>
      <c r="W487">
        <v>0</v>
      </c>
      <c r="X487">
        <v>912892513</v>
      </c>
      <c r="Y487">
        <v>31.6</v>
      </c>
      <c r="AA487">
        <v>0</v>
      </c>
      <c r="AB487">
        <v>0</v>
      </c>
      <c r="AC487">
        <v>0</v>
      </c>
      <c r="AD487">
        <v>65.08</v>
      </c>
      <c r="AE487">
        <v>0</v>
      </c>
      <c r="AF487">
        <v>0</v>
      </c>
      <c r="AG487">
        <v>0</v>
      </c>
      <c r="AH487">
        <v>9.92</v>
      </c>
      <c r="AI487">
        <v>1</v>
      </c>
      <c r="AJ487">
        <v>1</v>
      </c>
      <c r="AK487">
        <v>1</v>
      </c>
      <c r="AL487">
        <v>6.56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6</v>
      </c>
      <c r="AT487">
        <v>31.6</v>
      </c>
      <c r="AU487" t="s">
        <v>6</v>
      </c>
      <c r="AV487">
        <v>1</v>
      </c>
      <c r="AW487">
        <v>2</v>
      </c>
      <c r="AX487">
        <v>16744406</v>
      </c>
      <c r="AY487">
        <v>1</v>
      </c>
      <c r="AZ487">
        <v>0</v>
      </c>
      <c r="BA487">
        <v>457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Y487*Source!I329</f>
        <v>0.94799999999999995</v>
      </c>
      <c r="CY487">
        <f>AD487</f>
        <v>65.08</v>
      </c>
      <c r="CZ487">
        <f>AH487</f>
        <v>9.92</v>
      </c>
      <c r="DA487">
        <f>AL487</f>
        <v>6.56</v>
      </c>
      <c r="DB487">
        <f t="shared" si="77"/>
        <v>313.47000000000003</v>
      </c>
      <c r="DC487">
        <f t="shared" si="78"/>
        <v>0</v>
      </c>
    </row>
    <row r="488" spans="1:107" x14ac:dyDescent="0.2">
      <c r="A488">
        <f>ROW(Source!A329)</f>
        <v>329</v>
      </c>
      <c r="B488">
        <v>16742901</v>
      </c>
      <c r="C488">
        <v>16744395</v>
      </c>
      <c r="D488">
        <v>15430395</v>
      </c>
      <c r="E488">
        <v>1</v>
      </c>
      <c r="F488">
        <v>1</v>
      </c>
      <c r="G488">
        <v>1</v>
      </c>
      <c r="H488">
        <v>1</v>
      </c>
      <c r="I488" t="s">
        <v>1293</v>
      </c>
      <c r="J488" t="s">
        <v>6</v>
      </c>
      <c r="K488" t="s">
        <v>1294</v>
      </c>
      <c r="L488">
        <v>1191</v>
      </c>
      <c r="N488">
        <v>1013</v>
      </c>
      <c r="O488" t="s">
        <v>1287</v>
      </c>
      <c r="P488" t="s">
        <v>1287</v>
      </c>
      <c r="Q488">
        <v>1</v>
      </c>
      <c r="W488">
        <v>0</v>
      </c>
      <c r="X488">
        <v>-1417349443</v>
      </c>
      <c r="Y488">
        <v>0.05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6.56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0.05</v>
      </c>
      <c r="AU488" t="s">
        <v>6</v>
      </c>
      <c r="AV488">
        <v>2</v>
      </c>
      <c r="AW488">
        <v>2</v>
      </c>
      <c r="AX488">
        <v>16744407</v>
      </c>
      <c r="AY488">
        <v>1</v>
      </c>
      <c r="AZ488">
        <v>0</v>
      </c>
      <c r="BA488">
        <v>458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Y488*Source!I329</f>
        <v>1.5E-3</v>
      </c>
      <c r="CY488">
        <f>AD488</f>
        <v>0</v>
      </c>
      <c r="CZ488">
        <f>AH488</f>
        <v>0</v>
      </c>
      <c r="DA488">
        <f>AL488</f>
        <v>1</v>
      </c>
      <c r="DB488">
        <f t="shared" si="77"/>
        <v>0</v>
      </c>
      <c r="DC488">
        <f t="shared" si="78"/>
        <v>0</v>
      </c>
    </row>
    <row r="489" spans="1:107" x14ac:dyDescent="0.2">
      <c r="A489">
        <f>ROW(Source!A329)</f>
        <v>329</v>
      </c>
      <c r="B489">
        <v>16742901</v>
      </c>
      <c r="C489">
        <v>16744395</v>
      </c>
      <c r="D489">
        <v>15247680</v>
      </c>
      <c r="E489">
        <v>1</v>
      </c>
      <c r="F489">
        <v>1</v>
      </c>
      <c r="G489">
        <v>1</v>
      </c>
      <c r="H489">
        <v>2</v>
      </c>
      <c r="I489" t="s">
        <v>1295</v>
      </c>
      <c r="J489" t="s">
        <v>1296</v>
      </c>
      <c r="K489" t="s">
        <v>1297</v>
      </c>
      <c r="L489">
        <v>1368</v>
      </c>
      <c r="N489">
        <v>1011</v>
      </c>
      <c r="O489" t="s">
        <v>1298</v>
      </c>
      <c r="P489" t="s">
        <v>1298</v>
      </c>
      <c r="Q489">
        <v>1</v>
      </c>
      <c r="W489">
        <v>0</v>
      </c>
      <c r="X489">
        <v>-1718674368</v>
      </c>
      <c r="Y489">
        <v>0.03</v>
      </c>
      <c r="AA489">
        <v>0</v>
      </c>
      <c r="AB489">
        <v>734.65</v>
      </c>
      <c r="AC489">
        <v>13.5</v>
      </c>
      <c r="AD489">
        <v>0</v>
      </c>
      <c r="AE489">
        <v>0</v>
      </c>
      <c r="AF489">
        <v>111.99</v>
      </c>
      <c r="AG489">
        <v>13.5</v>
      </c>
      <c r="AH489">
        <v>0</v>
      </c>
      <c r="AI489">
        <v>1</v>
      </c>
      <c r="AJ489">
        <v>6.56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6</v>
      </c>
      <c r="AT489">
        <v>0.03</v>
      </c>
      <c r="AU489" t="s">
        <v>6</v>
      </c>
      <c r="AV489">
        <v>0</v>
      </c>
      <c r="AW489">
        <v>2</v>
      </c>
      <c r="AX489">
        <v>16744408</v>
      </c>
      <c r="AY489">
        <v>1</v>
      </c>
      <c r="AZ489">
        <v>0</v>
      </c>
      <c r="BA489">
        <v>459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Y489*Source!I329</f>
        <v>8.9999999999999998E-4</v>
      </c>
      <c r="CY489">
        <f>AB489</f>
        <v>734.65</v>
      </c>
      <c r="CZ489">
        <f>AF489</f>
        <v>111.99</v>
      </c>
      <c r="DA489">
        <f>AJ489</f>
        <v>6.56</v>
      </c>
      <c r="DB489">
        <f t="shared" si="77"/>
        <v>3.36</v>
      </c>
      <c r="DC489">
        <f t="shared" si="78"/>
        <v>0.41</v>
      </c>
    </row>
    <row r="490" spans="1:107" x14ac:dyDescent="0.2">
      <c r="A490">
        <f>ROW(Source!A329)</f>
        <v>329</v>
      </c>
      <c r="B490">
        <v>16742901</v>
      </c>
      <c r="C490">
        <v>16744395</v>
      </c>
      <c r="D490">
        <v>15249073</v>
      </c>
      <c r="E490">
        <v>1</v>
      </c>
      <c r="F490">
        <v>1</v>
      </c>
      <c r="G490">
        <v>1</v>
      </c>
      <c r="H490">
        <v>2</v>
      </c>
      <c r="I490" t="s">
        <v>1299</v>
      </c>
      <c r="J490" t="s">
        <v>1300</v>
      </c>
      <c r="K490" t="s">
        <v>1301</v>
      </c>
      <c r="L490">
        <v>1368</v>
      </c>
      <c r="N490">
        <v>1011</v>
      </c>
      <c r="O490" t="s">
        <v>1298</v>
      </c>
      <c r="P490" t="s">
        <v>1298</v>
      </c>
      <c r="Q490">
        <v>1</v>
      </c>
      <c r="W490">
        <v>0</v>
      </c>
      <c r="X490">
        <v>1372534845</v>
      </c>
      <c r="Y490">
        <v>0.02</v>
      </c>
      <c r="AA490">
        <v>0</v>
      </c>
      <c r="AB490">
        <v>431.06</v>
      </c>
      <c r="AC490">
        <v>11.6</v>
      </c>
      <c r="AD490">
        <v>0</v>
      </c>
      <c r="AE490">
        <v>0</v>
      </c>
      <c r="AF490">
        <v>65.709999999999994</v>
      </c>
      <c r="AG490">
        <v>11.6</v>
      </c>
      <c r="AH490">
        <v>0</v>
      </c>
      <c r="AI490">
        <v>1</v>
      </c>
      <c r="AJ490">
        <v>6.56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6</v>
      </c>
      <c r="AT490">
        <v>0.02</v>
      </c>
      <c r="AU490" t="s">
        <v>6</v>
      </c>
      <c r="AV490">
        <v>0</v>
      </c>
      <c r="AW490">
        <v>2</v>
      </c>
      <c r="AX490">
        <v>16744409</v>
      </c>
      <c r="AY490">
        <v>1</v>
      </c>
      <c r="AZ490">
        <v>0</v>
      </c>
      <c r="BA490">
        <v>460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Y490*Source!I329</f>
        <v>5.9999999999999995E-4</v>
      </c>
      <c r="CY490">
        <f>AB490</f>
        <v>431.06</v>
      </c>
      <c r="CZ490">
        <f>AF490</f>
        <v>65.709999999999994</v>
      </c>
      <c r="DA490">
        <f>AJ490</f>
        <v>6.56</v>
      </c>
      <c r="DB490">
        <f t="shared" si="77"/>
        <v>1.31</v>
      </c>
      <c r="DC490">
        <f t="shared" si="78"/>
        <v>0.23</v>
      </c>
    </row>
    <row r="491" spans="1:107" x14ac:dyDescent="0.2">
      <c r="A491">
        <f>ROW(Source!A329)</f>
        <v>329</v>
      </c>
      <c r="B491">
        <v>16742901</v>
      </c>
      <c r="C491">
        <v>16744395</v>
      </c>
      <c r="D491">
        <v>15167588</v>
      </c>
      <c r="E491">
        <v>1</v>
      </c>
      <c r="F491">
        <v>1</v>
      </c>
      <c r="G491">
        <v>1</v>
      </c>
      <c r="H491">
        <v>3</v>
      </c>
      <c r="I491" t="s">
        <v>1641</v>
      </c>
      <c r="J491" t="s">
        <v>1642</v>
      </c>
      <c r="K491" t="s">
        <v>1643</v>
      </c>
      <c r="L491">
        <v>1346</v>
      </c>
      <c r="N491">
        <v>1009</v>
      </c>
      <c r="O491" t="s">
        <v>341</v>
      </c>
      <c r="P491" t="s">
        <v>341</v>
      </c>
      <c r="Q491">
        <v>1</v>
      </c>
      <c r="W491">
        <v>0</v>
      </c>
      <c r="X491">
        <v>-1088866022</v>
      </c>
      <c r="Y491">
        <v>0.11</v>
      </c>
      <c r="AA491">
        <v>199.42</v>
      </c>
      <c r="AB491">
        <v>0</v>
      </c>
      <c r="AC491">
        <v>0</v>
      </c>
      <c r="AD491">
        <v>0</v>
      </c>
      <c r="AE491">
        <v>30.4</v>
      </c>
      <c r="AF491">
        <v>0</v>
      </c>
      <c r="AG491">
        <v>0</v>
      </c>
      <c r="AH491">
        <v>0</v>
      </c>
      <c r="AI491">
        <v>6.56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6</v>
      </c>
      <c r="AT491">
        <v>0.11</v>
      </c>
      <c r="AU491" t="s">
        <v>6</v>
      </c>
      <c r="AV491">
        <v>0</v>
      </c>
      <c r="AW491">
        <v>2</v>
      </c>
      <c r="AX491">
        <v>16744410</v>
      </c>
      <c r="AY491">
        <v>1</v>
      </c>
      <c r="AZ491">
        <v>0</v>
      </c>
      <c r="BA491">
        <v>461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Y491*Source!I329</f>
        <v>3.3E-3</v>
      </c>
      <c r="CY491">
        <f t="shared" ref="CY491:CY496" si="79">AA491</f>
        <v>199.42</v>
      </c>
      <c r="CZ491">
        <f t="shared" ref="CZ491:CZ496" si="80">AE491</f>
        <v>30.4</v>
      </c>
      <c r="DA491">
        <f t="shared" ref="DA491:DA496" si="81">AI491</f>
        <v>6.56</v>
      </c>
      <c r="DB491">
        <f t="shared" si="77"/>
        <v>3.34</v>
      </c>
      <c r="DC491">
        <f t="shared" si="78"/>
        <v>0</v>
      </c>
    </row>
    <row r="492" spans="1:107" x14ac:dyDescent="0.2">
      <c r="A492">
        <f>ROW(Source!A329)</f>
        <v>329</v>
      </c>
      <c r="B492">
        <v>16742901</v>
      </c>
      <c r="C492">
        <v>16744395</v>
      </c>
      <c r="D492">
        <v>15170074</v>
      </c>
      <c r="E492">
        <v>1</v>
      </c>
      <c r="F492">
        <v>1</v>
      </c>
      <c r="G492">
        <v>1</v>
      </c>
      <c r="H492">
        <v>3</v>
      </c>
      <c r="I492" t="s">
        <v>1655</v>
      </c>
      <c r="J492" t="s">
        <v>1656</v>
      </c>
      <c r="K492" t="s">
        <v>1657</v>
      </c>
      <c r="L492">
        <v>1355</v>
      </c>
      <c r="N492">
        <v>1010</v>
      </c>
      <c r="O492" t="s">
        <v>843</v>
      </c>
      <c r="P492" t="s">
        <v>843</v>
      </c>
      <c r="Q492">
        <v>100</v>
      </c>
      <c r="W492">
        <v>0</v>
      </c>
      <c r="X492">
        <v>1794244060</v>
      </c>
      <c r="Y492">
        <v>1.02</v>
      </c>
      <c r="AA492">
        <v>564.16</v>
      </c>
      <c r="AB492">
        <v>0</v>
      </c>
      <c r="AC492">
        <v>0</v>
      </c>
      <c r="AD492">
        <v>0</v>
      </c>
      <c r="AE492">
        <v>86</v>
      </c>
      <c r="AF492">
        <v>0</v>
      </c>
      <c r="AG492">
        <v>0</v>
      </c>
      <c r="AH492">
        <v>0</v>
      </c>
      <c r="AI492">
        <v>6.56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1.02</v>
      </c>
      <c r="AU492" t="s">
        <v>6</v>
      </c>
      <c r="AV492">
        <v>0</v>
      </c>
      <c r="AW492">
        <v>2</v>
      </c>
      <c r="AX492">
        <v>16744411</v>
      </c>
      <c r="AY492">
        <v>1</v>
      </c>
      <c r="AZ492">
        <v>0</v>
      </c>
      <c r="BA492">
        <v>462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Y492*Source!I329</f>
        <v>3.0599999999999999E-2</v>
      </c>
      <c r="CY492">
        <f t="shared" si="79"/>
        <v>564.16</v>
      </c>
      <c r="CZ492">
        <f t="shared" si="80"/>
        <v>86</v>
      </c>
      <c r="DA492">
        <f t="shared" si="81"/>
        <v>6.56</v>
      </c>
      <c r="DB492">
        <f t="shared" si="77"/>
        <v>87.72</v>
      </c>
      <c r="DC492">
        <f t="shared" si="78"/>
        <v>0</v>
      </c>
    </row>
    <row r="493" spans="1:107" x14ac:dyDescent="0.2">
      <c r="A493">
        <f>ROW(Source!A329)</f>
        <v>329</v>
      </c>
      <c r="B493">
        <v>16742901</v>
      </c>
      <c r="C493">
        <v>16744395</v>
      </c>
      <c r="D493">
        <v>15170434</v>
      </c>
      <c r="E493">
        <v>1</v>
      </c>
      <c r="F493">
        <v>1</v>
      </c>
      <c r="G493">
        <v>1</v>
      </c>
      <c r="H493">
        <v>3</v>
      </c>
      <c r="I493" t="s">
        <v>1658</v>
      </c>
      <c r="J493" t="s">
        <v>1659</v>
      </c>
      <c r="K493" t="s">
        <v>1660</v>
      </c>
      <c r="L493">
        <v>1348</v>
      </c>
      <c r="N493">
        <v>1009</v>
      </c>
      <c r="O493" t="s">
        <v>100</v>
      </c>
      <c r="P493" t="s">
        <v>100</v>
      </c>
      <c r="Q493">
        <v>1000</v>
      </c>
      <c r="W493">
        <v>0</v>
      </c>
      <c r="X493">
        <v>797358079</v>
      </c>
      <c r="Y493">
        <v>1.6000000000000001E-4</v>
      </c>
      <c r="AA493">
        <v>195488</v>
      </c>
      <c r="AB493">
        <v>0</v>
      </c>
      <c r="AC493">
        <v>0</v>
      </c>
      <c r="AD493">
        <v>0</v>
      </c>
      <c r="AE493">
        <v>29800</v>
      </c>
      <c r="AF493">
        <v>0</v>
      </c>
      <c r="AG493">
        <v>0</v>
      </c>
      <c r="AH493">
        <v>0</v>
      </c>
      <c r="AI493">
        <v>6.56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6</v>
      </c>
      <c r="AT493">
        <v>1.6000000000000001E-4</v>
      </c>
      <c r="AU493" t="s">
        <v>6</v>
      </c>
      <c r="AV493">
        <v>0</v>
      </c>
      <c r="AW493">
        <v>2</v>
      </c>
      <c r="AX493">
        <v>16744412</v>
      </c>
      <c r="AY493">
        <v>1</v>
      </c>
      <c r="AZ493">
        <v>0</v>
      </c>
      <c r="BA493">
        <v>463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Y493*Source!I329</f>
        <v>4.8000000000000006E-6</v>
      </c>
      <c r="CY493">
        <f t="shared" si="79"/>
        <v>195488</v>
      </c>
      <c r="CZ493">
        <f t="shared" si="80"/>
        <v>29800</v>
      </c>
      <c r="DA493">
        <f t="shared" si="81"/>
        <v>6.56</v>
      </c>
      <c r="DB493">
        <f t="shared" si="77"/>
        <v>4.7699999999999996</v>
      </c>
      <c r="DC493">
        <f t="shared" si="78"/>
        <v>0</v>
      </c>
    </row>
    <row r="494" spans="1:107" x14ac:dyDescent="0.2">
      <c r="A494">
        <f>ROW(Source!A329)</f>
        <v>329</v>
      </c>
      <c r="B494">
        <v>16742901</v>
      </c>
      <c r="C494">
        <v>16744395</v>
      </c>
      <c r="D494">
        <v>15170438</v>
      </c>
      <c r="E494">
        <v>1</v>
      </c>
      <c r="F494">
        <v>1</v>
      </c>
      <c r="G494">
        <v>1</v>
      </c>
      <c r="H494">
        <v>3</v>
      </c>
      <c r="I494" t="s">
        <v>1636</v>
      </c>
      <c r="J494" t="s">
        <v>1637</v>
      </c>
      <c r="K494" t="s">
        <v>1638</v>
      </c>
      <c r="L494">
        <v>1348</v>
      </c>
      <c r="N494">
        <v>1009</v>
      </c>
      <c r="O494" t="s">
        <v>100</v>
      </c>
      <c r="P494" t="s">
        <v>100</v>
      </c>
      <c r="Q494">
        <v>1000</v>
      </c>
      <c r="W494">
        <v>0</v>
      </c>
      <c r="X494">
        <v>-1755229539</v>
      </c>
      <c r="Y494">
        <v>2.9999999999999997E-4</v>
      </c>
      <c r="AA494">
        <v>81540.800000000003</v>
      </c>
      <c r="AB494">
        <v>0</v>
      </c>
      <c r="AC494">
        <v>0</v>
      </c>
      <c r="AD494">
        <v>0</v>
      </c>
      <c r="AE494">
        <v>12430</v>
      </c>
      <c r="AF494">
        <v>0</v>
      </c>
      <c r="AG494">
        <v>0</v>
      </c>
      <c r="AH494">
        <v>0</v>
      </c>
      <c r="AI494">
        <v>6.56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2.9999999999999997E-4</v>
      </c>
      <c r="AU494" t="s">
        <v>6</v>
      </c>
      <c r="AV494">
        <v>0</v>
      </c>
      <c r="AW494">
        <v>2</v>
      </c>
      <c r="AX494">
        <v>16744413</v>
      </c>
      <c r="AY494">
        <v>1</v>
      </c>
      <c r="AZ494">
        <v>0</v>
      </c>
      <c r="BA494">
        <v>464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Y494*Source!I329</f>
        <v>8.9999999999999985E-6</v>
      </c>
      <c r="CY494">
        <f t="shared" si="79"/>
        <v>81540.800000000003</v>
      </c>
      <c r="CZ494">
        <f t="shared" si="80"/>
        <v>12430</v>
      </c>
      <c r="DA494">
        <f t="shared" si="81"/>
        <v>6.56</v>
      </c>
      <c r="DB494">
        <f t="shared" si="77"/>
        <v>3.73</v>
      </c>
      <c r="DC494">
        <f t="shared" si="78"/>
        <v>0</v>
      </c>
    </row>
    <row r="495" spans="1:107" x14ac:dyDescent="0.2">
      <c r="A495">
        <f>ROW(Source!A329)</f>
        <v>329</v>
      </c>
      <c r="B495">
        <v>16742901</v>
      </c>
      <c r="C495">
        <v>16744395</v>
      </c>
      <c r="D495">
        <v>15220581</v>
      </c>
      <c r="E495">
        <v>1</v>
      </c>
      <c r="F495">
        <v>1</v>
      </c>
      <c r="G495">
        <v>1</v>
      </c>
      <c r="H495">
        <v>3</v>
      </c>
      <c r="I495" t="s">
        <v>730</v>
      </c>
      <c r="J495" t="s">
        <v>732</v>
      </c>
      <c r="K495" t="s">
        <v>731</v>
      </c>
      <c r="L495">
        <v>1358</v>
      </c>
      <c r="N495">
        <v>1010</v>
      </c>
      <c r="O495" t="s">
        <v>723</v>
      </c>
      <c r="P495" t="s">
        <v>723</v>
      </c>
      <c r="Q495">
        <v>10</v>
      </c>
      <c r="W495">
        <v>0</v>
      </c>
      <c r="X495">
        <v>-168123214</v>
      </c>
      <c r="Y495">
        <v>10</v>
      </c>
      <c r="AA495">
        <v>422.46</v>
      </c>
      <c r="AB495">
        <v>0</v>
      </c>
      <c r="AC495">
        <v>0</v>
      </c>
      <c r="AD495">
        <v>0</v>
      </c>
      <c r="AE495">
        <v>64.400000000000006</v>
      </c>
      <c r="AF495">
        <v>0</v>
      </c>
      <c r="AG495">
        <v>0</v>
      </c>
      <c r="AH495">
        <v>0</v>
      </c>
      <c r="AI495">
        <v>6.56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6</v>
      </c>
      <c r="AT495">
        <v>10</v>
      </c>
      <c r="AU495" t="s">
        <v>6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Y495*Source!I329</f>
        <v>0.3</v>
      </c>
      <c r="CY495">
        <f t="shared" si="79"/>
        <v>422.46</v>
      </c>
      <c r="CZ495">
        <f t="shared" si="80"/>
        <v>64.400000000000006</v>
      </c>
      <c r="DA495">
        <f t="shared" si="81"/>
        <v>6.56</v>
      </c>
      <c r="DB495">
        <f t="shared" si="77"/>
        <v>644</v>
      </c>
      <c r="DC495">
        <f t="shared" si="78"/>
        <v>0</v>
      </c>
    </row>
    <row r="496" spans="1:107" x14ac:dyDescent="0.2">
      <c r="A496">
        <f>ROW(Source!A329)</f>
        <v>329</v>
      </c>
      <c r="B496">
        <v>16742901</v>
      </c>
      <c r="C496">
        <v>16744395</v>
      </c>
      <c r="D496">
        <v>15164559</v>
      </c>
      <c r="E496">
        <v>17</v>
      </c>
      <c r="F496">
        <v>1</v>
      </c>
      <c r="G496">
        <v>1</v>
      </c>
      <c r="H496">
        <v>3</v>
      </c>
      <c r="I496" t="s">
        <v>1334</v>
      </c>
      <c r="J496" t="s">
        <v>6</v>
      </c>
      <c r="K496" t="s">
        <v>1335</v>
      </c>
      <c r="L496">
        <v>1374</v>
      </c>
      <c r="N496">
        <v>1013</v>
      </c>
      <c r="O496" t="s">
        <v>1336</v>
      </c>
      <c r="P496" t="s">
        <v>1336</v>
      </c>
      <c r="Q496">
        <v>1</v>
      </c>
      <c r="W496">
        <v>0</v>
      </c>
      <c r="X496">
        <v>-1731369543</v>
      </c>
      <c r="Y496">
        <v>6.27</v>
      </c>
      <c r="AA496">
        <v>1</v>
      </c>
      <c r="AB496">
        <v>0</v>
      </c>
      <c r="AC496">
        <v>0</v>
      </c>
      <c r="AD496">
        <v>0</v>
      </c>
      <c r="AE496">
        <v>1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6.27</v>
      </c>
      <c r="AU496" t="s">
        <v>6</v>
      </c>
      <c r="AV496">
        <v>0</v>
      </c>
      <c r="AW496">
        <v>2</v>
      </c>
      <c r="AX496">
        <v>16744414</v>
      </c>
      <c r="AY496">
        <v>1</v>
      </c>
      <c r="AZ496">
        <v>0</v>
      </c>
      <c r="BA496">
        <v>465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Y496*Source!I329</f>
        <v>0.18809999999999999</v>
      </c>
      <c r="CY496">
        <f t="shared" si="79"/>
        <v>1</v>
      </c>
      <c r="CZ496">
        <f t="shared" si="80"/>
        <v>1</v>
      </c>
      <c r="DA496">
        <f t="shared" si="81"/>
        <v>1</v>
      </c>
      <c r="DB496">
        <f t="shared" si="77"/>
        <v>6.27</v>
      </c>
      <c r="DC496">
        <f t="shared" si="78"/>
        <v>0</v>
      </c>
    </row>
    <row r="497" spans="1:107" x14ac:dyDescent="0.2">
      <c r="A497">
        <f>ROW(Source!A331)</f>
        <v>331</v>
      </c>
      <c r="B497">
        <v>16742901</v>
      </c>
      <c r="C497">
        <v>16744416</v>
      </c>
      <c r="D497">
        <v>15438286</v>
      </c>
      <c r="E497">
        <v>1</v>
      </c>
      <c r="F497">
        <v>1</v>
      </c>
      <c r="G497">
        <v>1</v>
      </c>
      <c r="H497">
        <v>1</v>
      </c>
      <c r="I497" t="s">
        <v>1451</v>
      </c>
      <c r="J497" t="s">
        <v>6</v>
      </c>
      <c r="K497" t="s">
        <v>1452</v>
      </c>
      <c r="L497">
        <v>1191</v>
      </c>
      <c r="N497">
        <v>1013</v>
      </c>
      <c r="O497" t="s">
        <v>1287</v>
      </c>
      <c r="P497" t="s">
        <v>1287</v>
      </c>
      <c r="Q497">
        <v>1</v>
      </c>
      <c r="W497">
        <v>0</v>
      </c>
      <c r="X497">
        <v>-1027537862</v>
      </c>
      <c r="Y497">
        <v>15.2</v>
      </c>
      <c r="AA497">
        <v>0</v>
      </c>
      <c r="AB497">
        <v>0</v>
      </c>
      <c r="AC497">
        <v>0</v>
      </c>
      <c r="AD497">
        <v>60.22</v>
      </c>
      <c r="AE497">
        <v>0</v>
      </c>
      <c r="AF497">
        <v>0</v>
      </c>
      <c r="AG497">
        <v>0</v>
      </c>
      <c r="AH497">
        <v>9.18</v>
      </c>
      <c r="AI497">
        <v>1</v>
      </c>
      <c r="AJ497">
        <v>1</v>
      </c>
      <c r="AK497">
        <v>1</v>
      </c>
      <c r="AL497">
        <v>6.56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6</v>
      </c>
      <c r="AT497">
        <v>15.2</v>
      </c>
      <c r="AU497" t="s">
        <v>6</v>
      </c>
      <c r="AV497">
        <v>1</v>
      </c>
      <c r="AW497">
        <v>2</v>
      </c>
      <c r="AX497">
        <v>16744421</v>
      </c>
      <c r="AY497">
        <v>1</v>
      </c>
      <c r="AZ497">
        <v>0</v>
      </c>
      <c r="BA497">
        <v>466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Y497*Source!I331</f>
        <v>27.815999999999999</v>
      </c>
      <c r="CY497">
        <f>AD497</f>
        <v>60.22</v>
      </c>
      <c r="CZ497">
        <f>AH497</f>
        <v>9.18</v>
      </c>
      <c r="DA497">
        <f>AL497</f>
        <v>6.56</v>
      </c>
      <c r="DB497">
        <f t="shared" si="77"/>
        <v>139.54</v>
      </c>
      <c r="DC497">
        <f t="shared" si="78"/>
        <v>0</v>
      </c>
    </row>
    <row r="498" spans="1:107" x14ac:dyDescent="0.2">
      <c r="A498">
        <f>ROW(Source!A331)</f>
        <v>331</v>
      </c>
      <c r="B498">
        <v>16742901</v>
      </c>
      <c r="C498">
        <v>16744416</v>
      </c>
      <c r="D498">
        <v>15170155</v>
      </c>
      <c r="E498">
        <v>1</v>
      </c>
      <c r="F498">
        <v>1</v>
      </c>
      <c r="G498">
        <v>1</v>
      </c>
      <c r="H498">
        <v>3</v>
      </c>
      <c r="I498" t="s">
        <v>1661</v>
      </c>
      <c r="J498" t="s">
        <v>1662</v>
      </c>
      <c r="K498" t="s">
        <v>1663</v>
      </c>
      <c r="L498">
        <v>1355</v>
      </c>
      <c r="N498">
        <v>1010</v>
      </c>
      <c r="O498" t="s">
        <v>843</v>
      </c>
      <c r="P498" t="s">
        <v>843</v>
      </c>
      <c r="Q498">
        <v>100</v>
      </c>
      <c r="W498">
        <v>0</v>
      </c>
      <c r="X498">
        <v>1135215184</v>
      </c>
      <c r="Y498">
        <v>1.75</v>
      </c>
      <c r="AA498">
        <v>52.48</v>
      </c>
      <c r="AB498">
        <v>0</v>
      </c>
      <c r="AC498">
        <v>0</v>
      </c>
      <c r="AD498">
        <v>0</v>
      </c>
      <c r="AE498">
        <v>8</v>
      </c>
      <c r="AF498">
        <v>0</v>
      </c>
      <c r="AG498">
        <v>0</v>
      </c>
      <c r="AH498">
        <v>0</v>
      </c>
      <c r="AI498">
        <v>6.56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1.75</v>
      </c>
      <c r="AU498" t="s">
        <v>6</v>
      </c>
      <c r="AV498">
        <v>0</v>
      </c>
      <c r="AW498">
        <v>2</v>
      </c>
      <c r="AX498">
        <v>16744422</v>
      </c>
      <c r="AY498">
        <v>1</v>
      </c>
      <c r="AZ498">
        <v>0</v>
      </c>
      <c r="BA498">
        <v>467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Y498*Source!I331</f>
        <v>3.2025000000000001</v>
      </c>
      <c r="CY498">
        <f>AA498</f>
        <v>52.48</v>
      </c>
      <c r="CZ498">
        <f>AE498</f>
        <v>8</v>
      </c>
      <c r="DA498">
        <f>AI498</f>
        <v>6.56</v>
      </c>
      <c r="DB498">
        <f t="shared" si="77"/>
        <v>14</v>
      </c>
      <c r="DC498">
        <f t="shared" si="78"/>
        <v>0</v>
      </c>
    </row>
    <row r="499" spans="1:107" x14ac:dyDescent="0.2">
      <c r="A499">
        <f>ROW(Source!A331)</f>
        <v>331</v>
      </c>
      <c r="B499">
        <v>16742901</v>
      </c>
      <c r="C499">
        <v>16744416</v>
      </c>
      <c r="D499">
        <v>15233333</v>
      </c>
      <c r="E499">
        <v>1</v>
      </c>
      <c r="F499">
        <v>1</v>
      </c>
      <c r="G499">
        <v>1</v>
      </c>
      <c r="H499">
        <v>3</v>
      </c>
      <c r="I499" t="s">
        <v>738</v>
      </c>
      <c r="J499" t="s">
        <v>741</v>
      </c>
      <c r="K499" t="s">
        <v>739</v>
      </c>
      <c r="L499">
        <v>1302</v>
      </c>
      <c r="N499">
        <v>1003</v>
      </c>
      <c r="O499" t="s">
        <v>740</v>
      </c>
      <c r="P499" t="s">
        <v>740</v>
      </c>
      <c r="Q499">
        <v>10</v>
      </c>
      <c r="W499">
        <v>0</v>
      </c>
      <c r="X499">
        <v>-819900352</v>
      </c>
      <c r="Y499">
        <v>10</v>
      </c>
      <c r="AA499">
        <v>105.68</v>
      </c>
      <c r="AB499">
        <v>0</v>
      </c>
      <c r="AC499">
        <v>0</v>
      </c>
      <c r="AD499">
        <v>0</v>
      </c>
      <c r="AE499">
        <v>16.11</v>
      </c>
      <c r="AF499">
        <v>0</v>
      </c>
      <c r="AG499">
        <v>0</v>
      </c>
      <c r="AH499">
        <v>0</v>
      </c>
      <c r="AI499">
        <v>6.56</v>
      </c>
      <c r="AJ499">
        <v>1</v>
      </c>
      <c r="AK499">
        <v>1</v>
      </c>
      <c r="AL499">
        <v>1</v>
      </c>
      <c r="AN499">
        <v>0</v>
      </c>
      <c r="AO499">
        <v>0</v>
      </c>
      <c r="AP499">
        <v>0</v>
      </c>
      <c r="AQ499">
        <v>0</v>
      </c>
      <c r="AR499">
        <v>0</v>
      </c>
      <c r="AS499" t="s">
        <v>6</v>
      </c>
      <c r="AT499">
        <v>10</v>
      </c>
      <c r="AU499" t="s">
        <v>6</v>
      </c>
      <c r="AV499">
        <v>0</v>
      </c>
      <c r="AW499">
        <v>1</v>
      </c>
      <c r="AX499">
        <v>-1</v>
      </c>
      <c r="AY499">
        <v>0</v>
      </c>
      <c r="AZ499">
        <v>0</v>
      </c>
      <c r="BA499" t="s">
        <v>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Y499*Source!I331</f>
        <v>18.3</v>
      </c>
      <c r="CY499">
        <f>AA499</f>
        <v>105.68</v>
      </c>
      <c r="CZ499">
        <f>AE499</f>
        <v>16.11</v>
      </c>
      <c r="DA499">
        <f>AI499</f>
        <v>6.56</v>
      </c>
      <c r="DB499">
        <f t="shared" si="77"/>
        <v>161.1</v>
      </c>
      <c r="DC499">
        <f t="shared" si="78"/>
        <v>0</v>
      </c>
    </row>
    <row r="500" spans="1:107" x14ac:dyDescent="0.2">
      <c r="A500">
        <f>ROW(Source!A331)</f>
        <v>331</v>
      </c>
      <c r="B500">
        <v>16742901</v>
      </c>
      <c r="C500">
        <v>16744416</v>
      </c>
      <c r="D500">
        <v>15164559</v>
      </c>
      <c r="E500">
        <v>17</v>
      </c>
      <c r="F500">
        <v>1</v>
      </c>
      <c r="G500">
        <v>1</v>
      </c>
      <c r="H500">
        <v>3</v>
      </c>
      <c r="I500" t="s">
        <v>1334</v>
      </c>
      <c r="J500" t="s">
        <v>6</v>
      </c>
      <c r="K500" t="s">
        <v>1335</v>
      </c>
      <c r="L500">
        <v>1374</v>
      </c>
      <c r="N500">
        <v>1013</v>
      </c>
      <c r="O500" t="s">
        <v>1336</v>
      </c>
      <c r="P500" t="s">
        <v>1336</v>
      </c>
      <c r="Q500">
        <v>1</v>
      </c>
      <c r="W500">
        <v>0</v>
      </c>
      <c r="X500">
        <v>-1731369543</v>
      </c>
      <c r="Y500">
        <v>2.79</v>
      </c>
      <c r="AA500">
        <v>1</v>
      </c>
      <c r="AB500">
        <v>0</v>
      </c>
      <c r="AC500">
        <v>0</v>
      </c>
      <c r="AD500">
        <v>0</v>
      </c>
      <c r="AE500">
        <v>1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6</v>
      </c>
      <c r="AT500">
        <v>2.79</v>
      </c>
      <c r="AU500" t="s">
        <v>6</v>
      </c>
      <c r="AV500">
        <v>0</v>
      </c>
      <c r="AW500">
        <v>2</v>
      </c>
      <c r="AX500">
        <v>16744423</v>
      </c>
      <c r="AY500">
        <v>1</v>
      </c>
      <c r="AZ500">
        <v>0</v>
      </c>
      <c r="BA500">
        <v>468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Y500*Source!I331</f>
        <v>5.1057000000000006</v>
      </c>
      <c r="CY500">
        <f>AA500</f>
        <v>1</v>
      </c>
      <c r="CZ500">
        <f>AE500</f>
        <v>1</v>
      </c>
      <c r="DA500">
        <f>AI500</f>
        <v>1</v>
      </c>
      <c r="DB500">
        <f t="shared" si="77"/>
        <v>2.79</v>
      </c>
      <c r="DC500">
        <f t="shared" si="78"/>
        <v>0</v>
      </c>
    </row>
    <row r="501" spans="1:107" x14ac:dyDescent="0.2">
      <c r="A501">
        <f>ROW(Source!A333)</f>
        <v>333</v>
      </c>
      <c r="B501">
        <v>16742901</v>
      </c>
      <c r="C501">
        <v>16744425</v>
      </c>
      <c r="D501">
        <v>15430397</v>
      </c>
      <c r="E501">
        <v>1</v>
      </c>
      <c r="F501">
        <v>1</v>
      </c>
      <c r="G501">
        <v>1</v>
      </c>
      <c r="H501">
        <v>1</v>
      </c>
      <c r="I501" t="s">
        <v>1323</v>
      </c>
      <c r="J501" t="s">
        <v>6</v>
      </c>
      <c r="K501" t="s">
        <v>1324</v>
      </c>
      <c r="L501">
        <v>1191</v>
      </c>
      <c r="N501">
        <v>1013</v>
      </c>
      <c r="O501" t="s">
        <v>1287</v>
      </c>
      <c r="P501" t="s">
        <v>1287</v>
      </c>
      <c r="Q501">
        <v>1</v>
      </c>
      <c r="W501">
        <v>0</v>
      </c>
      <c r="X501">
        <v>-1081351934</v>
      </c>
      <c r="Y501">
        <v>5.39</v>
      </c>
      <c r="AA501">
        <v>0</v>
      </c>
      <c r="AB501">
        <v>0</v>
      </c>
      <c r="AC501">
        <v>0</v>
      </c>
      <c r="AD501">
        <v>61.66</v>
      </c>
      <c r="AE501">
        <v>0</v>
      </c>
      <c r="AF501">
        <v>0</v>
      </c>
      <c r="AG501">
        <v>0</v>
      </c>
      <c r="AH501">
        <v>9.4</v>
      </c>
      <c r="AI501">
        <v>1</v>
      </c>
      <c r="AJ501">
        <v>1</v>
      </c>
      <c r="AK501">
        <v>1</v>
      </c>
      <c r="AL501">
        <v>6.56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6</v>
      </c>
      <c r="AT501">
        <v>5.39</v>
      </c>
      <c r="AU501" t="s">
        <v>6</v>
      </c>
      <c r="AV501">
        <v>1</v>
      </c>
      <c r="AW501">
        <v>2</v>
      </c>
      <c r="AX501">
        <v>16744437</v>
      </c>
      <c r="AY501">
        <v>1</v>
      </c>
      <c r="AZ501">
        <v>0</v>
      </c>
      <c r="BA501">
        <v>469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Y501*Source!I333</f>
        <v>13.9062</v>
      </c>
      <c r="CY501">
        <f>AD501</f>
        <v>61.66</v>
      </c>
      <c r="CZ501">
        <f>AH501</f>
        <v>9.4</v>
      </c>
      <c r="DA501">
        <f>AL501</f>
        <v>6.56</v>
      </c>
      <c r="DB501">
        <f t="shared" si="77"/>
        <v>50.67</v>
      </c>
      <c r="DC501">
        <f t="shared" si="78"/>
        <v>0</v>
      </c>
    </row>
    <row r="502" spans="1:107" x14ac:dyDescent="0.2">
      <c r="A502">
        <f>ROW(Source!A333)</f>
        <v>333</v>
      </c>
      <c r="B502">
        <v>16742901</v>
      </c>
      <c r="C502">
        <v>16744425</v>
      </c>
      <c r="D502">
        <v>15430395</v>
      </c>
      <c r="E502">
        <v>1</v>
      </c>
      <c r="F502">
        <v>1</v>
      </c>
      <c r="G502">
        <v>1</v>
      </c>
      <c r="H502">
        <v>1</v>
      </c>
      <c r="I502" t="s">
        <v>1293</v>
      </c>
      <c r="J502" t="s">
        <v>6</v>
      </c>
      <c r="K502" t="s">
        <v>1294</v>
      </c>
      <c r="L502">
        <v>1191</v>
      </c>
      <c r="N502">
        <v>1013</v>
      </c>
      <c r="O502" t="s">
        <v>1287</v>
      </c>
      <c r="P502" t="s">
        <v>1287</v>
      </c>
      <c r="Q502">
        <v>1</v>
      </c>
      <c r="W502">
        <v>0</v>
      </c>
      <c r="X502">
        <v>-1417349443</v>
      </c>
      <c r="Y502">
        <v>0.04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6.56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0.04</v>
      </c>
      <c r="AU502" t="s">
        <v>6</v>
      </c>
      <c r="AV502">
        <v>2</v>
      </c>
      <c r="AW502">
        <v>2</v>
      </c>
      <c r="AX502">
        <v>16744438</v>
      </c>
      <c r="AY502">
        <v>1</v>
      </c>
      <c r="AZ502">
        <v>0</v>
      </c>
      <c r="BA502">
        <v>470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Y502*Source!I333</f>
        <v>0.1032</v>
      </c>
      <c r="CY502">
        <f>AD502</f>
        <v>0</v>
      </c>
      <c r="CZ502">
        <f>AH502</f>
        <v>0</v>
      </c>
      <c r="DA502">
        <f>AL502</f>
        <v>1</v>
      </c>
      <c r="DB502">
        <f t="shared" si="77"/>
        <v>0</v>
      </c>
      <c r="DC502">
        <f t="shared" si="78"/>
        <v>0</v>
      </c>
    </row>
    <row r="503" spans="1:107" x14ac:dyDescent="0.2">
      <c r="A503">
        <f>ROW(Source!A333)</f>
        <v>333</v>
      </c>
      <c r="B503">
        <v>16742901</v>
      </c>
      <c r="C503">
        <v>16744425</v>
      </c>
      <c r="D503">
        <v>15247680</v>
      </c>
      <c r="E503">
        <v>1</v>
      </c>
      <c r="F503">
        <v>1</v>
      </c>
      <c r="G503">
        <v>1</v>
      </c>
      <c r="H503">
        <v>2</v>
      </c>
      <c r="I503" t="s">
        <v>1295</v>
      </c>
      <c r="J503" t="s">
        <v>1296</v>
      </c>
      <c r="K503" t="s">
        <v>1297</v>
      </c>
      <c r="L503">
        <v>1368</v>
      </c>
      <c r="N503">
        <v>1011</v>
      </c>
      <c r="O503" t="s">
        <v>1298</v>
      </c>
      <c r="P503" t="s">
        <v>1298</v>
      </c>
      <c r="Q503">
        <v>1</v>
      </c>
      <c r="W503">
        <v>0</v>
      </c>
      <c r="X503">
        <v>-1718674368</v>
      </c>
      <c r="Y503">
        <v>0.02</v>
      </c>
      <c r="AA503">
        <v>0</v>
      </c>
      <c r="AB503">
        <v>734.65</v>
      </c>
      <c r="AC503">
        <v>13.5</v>
      </c>
      <c r="AD503">
        <v>0</v>
      </c>
      <c r="AE503">
        <v>0</v>
      </c>
      <c r="AF503">
        <v>111.99</v>
      </c>
      <c r="AG503">
        <v>13.5</v>
      </c>
      <c r="AH503">
        <v>0</v>
      </c>
      <c r="AI503">
        <v>1</v>
      </c>
      <c r="AJ503">
        <v>6.56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6</v>
      </c>
      <c r="AT503">
        <v>0.02</v>
      </c>
      <c r="AU503" t="s">
        <v>6</v>
      </c>
      <c r="AV503">
        <v>0</v>
      </c>
      <c r="AW503">
        <v>2</v>
      </c>
      <c r="AX503">
        <v>16744439</v>
      </c>
      <c r="AY503">
        <v>1</v>
      </c>
      <c r="AZ503">
        <v>0</v>
      </c>
      <c r="BA503">
        <v>471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Y503*Source!I333</f>
        <v>5.16E-2</v>
      </c>
      <c r="CY503">
        <f>AB503</f>
        <v>734.65</v>
      </c>
      <c r="CZ503">
        <f>AF503</f>
        <v>111.99</v>
      </c>
      <c r="DA503">
        <f>AJ503</f>
        <v>6.56</v>
      </c>
      <c r="DB503">
        <f t="shared" si="77"/>
        <v>2.2400000000000002</v>
      </c>
      <c r="DC503">
        <f t="shared" si="78"/>
        <v>0.27</v>
      </c>
    </row>
    <row r="504" spans="1:107" x14ac:dyDescent="0.2">
      <c r="A504">
        <f>ROW(Source!A333)</f>
        <v>333</v>
      </c>
      <c r="B504">
        <v>16742901</v>
      </c>
      <c r="C504">
        <v>16744425</v>
      </c>
      <c r="D504">
        <v>15249073</v>
      </c>
      <c r="E504">
        <v>1</v>
      </c>
      <c r="F504">
        <v>1</v>
      </c>
      <c r="G504">
        <v>1</v>
      </c>
      <c r="H504">
        <v>2</v>
      </c>
      <c r="I504" t="s">
        <v>1299</v>
      </c>
      <c r="J504" t="s">
        <v>1300</v>
      </c>
      <c r="K504" t="s">
        <v>1301</v>
      </c>
      <c r="L504">
        <v>1368</v>
      </c>
      <c r="N504">
        <v>1011</v>
      </c>
      <c r="O504" t="s">
        <v>1298</v>
      </c>
      <c r="P504" t="s">
        <v>1298</v>
      </c>
      <c r="Q504">
        <v>1</v>
      </c>
      <c r="W504">
        <v>0</v>
      </c>
      <c r="X504">
        <v>1372534845</v>
      </c>
      <c r="Y504">
        <v>0.02</v>
      </c>
      <c r="AA504">
        <v>0</v>
      </c>
      <c r="AB504">
        <v>431.06</v>
      </c>
      <c r="AC504">
        <v>11.6</v>
      </c>
      <c r="AD504">
        <v>0</v>
      </c>
      <c r="AE504">
        <v>0</v>
      </c>
      <c r="AF504">
        <v>65.709999999999994</v>
      </c>
      <c r="AG504">
        <v>11.6</v>
      </c>
      <c r="AH504">
        <v>0</v>
      </c>
      <c r="AI504">
        <v>1</v>
      </c>
      <c r="AJ504">
        <v>6.56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0.02</v>
      </c>
      <c r="AU504" t="s">
        <v>6</v>
      </c>
      <c r="AV504">
        <v>0</v>
      </c>
      <c r="AW504">
        <v>2</v>
      </c>
      <c r="AX504">
        <v>16744440</v>
      </c>
      <c r="AY504">
        <v>1</v>
      </c>
      <c r="AZ504">
        <v>0</v>
      </c>
      <c r="BA504">
        <v>472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Y504*Source!I333</f>
        <v>5.16E-2</v>
      </c>
      <c r="CY504">
        <f>AB504</f>
        <v>431.06</v>
      </c>
      <c r="CZ504">
        <f>AF504</f>
        <v>65.709999999999994</v>
      </c>
      <c r="DA504">
        <f>AJ504</f>
        <v>6.56</v>
      </c>
      <c r="DB504">
        <f t="shared" si="77"/>
        <v>1.31</v>
      </c>
      <c r="DC504">
        <f t="shared" si="78"/>
        <v>0.23</v>
      </c>
    </row>
    <row r="505" spans="1:107" x14ac:dyDescent="0.2">
      <c r="A505">
        <f>ROW(Source!A333)</f>
        <v>333</v>
      </c>
      <c r="B505">
        <v>16742901</v>
      </c>
      <c r="C505">
        <v>16744425</v>
      </c>
      <c r="D505">
        <v>15167588</v>
      </c>
      <c r="E505">
        <v>1</v>
      </c>
      <c r="F505">
        <v>1</v>
      </c>
      <c r="G505">
        <v>1</v>
      </c>
      <c r="H505">
        <v>3</v>
      </c>
      <c r="I505" t="s">
        <v>1641</v>
      </c>
      <c r="J505" t="s">
        <v>1642</v>
      </c>
      <c r="K505" t="s">
        <v>1643</v>
      </c>
      <c r="L505">
        <v>1346</v>
      </c>
      <c r="N505">
        <v>1009</v>
      </c>
      <c r="O505" t="s">
        <v>341</v>
      </c>
      <c r="P505" t="s">
        <v>341</v>
      </c>
      <c r="Q505">
        <v>1</v>
      </c>
      <c r="W505">
        <v>0</v>
      </c>
      <c r="X505">
        <v>-1088866022</v>
      </c>
      <c r="Y505">
        <v>0.16</v>
      </c>
      <c r="AA505">
        <v>199.42</v>
      </c>
      <c r="AB505">
        <v>0</v>
      </c>
      <c r="AC505">
        <v>0</v>
      </c>
      <c r="AD505">
        <v>0</v>
      </c>
      <c r="AE505">
        <v>30.4</v>
      </c>
      <c r="AF505">
        <v>0</v>
      </c>
      <c r="AG505">
        <v>0</v>
      </c>
      <c r="AH505">
        <v>0</v>
      </c>
      <c r="AI505">
        <v>6.56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6</v>
      </c>
      <c r="AT505">
        <v>0.16</v>
      </c>
      <c r="AU505" t="s">
        <v>6</v>
      </c>
      <c r="AV505">
        <v>0</v>
      </c>
      <c r="AW505">
        <v>2</v>
      </c>
      <c r="AX505">
        <v>16744441</v>
      </c>
      <c r="AY505">
        <v>1</v>
      </c>
      <c r="AZ505">
        <v>0</v>
      </c>
      <c r="BA505">
        <v>473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Y505*Source!I333</f>
        <v>0.4128</v>
      </c>
      <c r="CY505">
        <f t="shared" ref="CY505:CY511" si="82">AA505</f>
        <v>199.42</v>
      </c>
      <c r="CZ505">
        <f t="shared" ref="CZ505:CZ511" si="83">AE505</f>
        <v>30.4</v>
      </c>
      <c r="DA505">
        <f t="shared" ref="DA505:DA511" si="84">AI505</f>
        <v>6.56</v>
      </c>
      <c r="DB505">
        <f t="shared" si="77"/>
        <v>4.8600000000000003</v>
      </c>
      <c r="DC505">
        <f t="shared" si="78"/>
        <v>0</v>
      </c>
    </row>
    <row r="506" spans="1:107" x14ac:dyDescent="0.2">
      <c r="A506">
        <f>ROW(Source!A333)</f>
        <v>333</v>
      </c>
      <c r="B506">
        <v>16742901</v>
      </c>
      <c r="C506">
        <v>16744425</v>
      </c>
      <c r="D506">
        <v>15167867</v>
      </c>
      <c r="E506">
        <v>1</v>
      </c>
      <c r="F506">
        <v>1</v>
      </c>
      <c r="G506">
        <v>1</v>
      </c>
      <c r="H506">
        <v>3</v>
      </c>
      <c r="I506" t="s">
        <v>1664</v>
      </c>
      <c r="J506" t="s">
        <v>1665</v>
      </c>
      <c r="K506" t="s">
        <v>1666</v>
      </c>
      <c r="L506">
        <v>1348</v>
      </c>
      <c r="N506">
        <v>1009</v>
      </c>
      <c r="O506" t="s">
        <v>100</v>
      </c>
      <c r="P506" t="s">
        <v>100</v>
      </c>
      <c r="Q506">
        <v>1000</v>
      </c>
      <c r="W506">
        <v>0</v>
      </c>
      <c r="X506">
        <v>1012095217</v>
      </c>
      <c r="Y506">
        <v>5.9999999999999995E-4</v>
      </c>
      <c r="AA506">
        <v>11939.2</v>
      </c>
      <c r="AB506">
        <v>0</v>
      </c>
      <c r="AC506">
        <v>0</v>
      </c>
      <c r="AD506">
        <v>0</v>
      </c>
      <c r="AE506">
        <v>1820</v>
      </c>
      <c r="AF506">
        <v>0</v>
      </c>
      <c r="AG506">
        <v>0</v>
      </c>
      <c r="AH506">
        <v>0</v>
      </c>
      <c r="AI506">
        <v>6.56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5.9999999999999995E-4</v>
      </c>
      <c r="AU506" t="s">
        <v>6</v>
      </c>
      <c r="AV506">
        <v>0</v>
      </c>
      <c r="AW506">
        <v>2</v>
      </c>
      <c r="AX506">
        <v>16744442</v>
      </c>
      <c r="AY506">
        <v>1</v>
      </c>
      <c r="AZ506">
        <v>0</v>
      </c>
      <c r="BA506">
        <v>474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Y506*Source!I333</f>
        <v>1.5479999999999999E-3</v>
      </c>
      <c r="CY506">
        <f t="shared" si="82"/>
        <v>11939.2</v>
      </c>
      <c r="CZ506">
        <f t="shared" si="83"/>
        <v>1820</v>
      </c>
      <c r="DA506">
        <f t="shared" si="84"/>
        <v>6.56</v>
      </c>
      <c r="DB506">
        <f t="shared" si="77"/>
        <v>1.0900000000000001</v>
      </c>
      <c r="DC506">
        <f t="shared" si="78"/>
        <v>0</v>
      </c>
    </row>
    <row r="507" spans="1:107" x14ac:dyDescent="0.2">
      <c r="A507">
        <f>ROW(Source!A333)</f>
        <v>333</v>
      </c>
      <c r="B507">
        <v>16742901</v>
      </c>
      <c r="C507">
        <v>16744425</v>
      </c>
      <c r="D507">
        <v>15203834</v>
      </c>
      <c r="E507">
        <v>1</v>
      </c>
      <c r="F507">
        <v>1</v>
      </c>
      <c r="G507">
        <v>1</v>
      </c>
      <c r="H507">
        <v>3</v>
      </c>
      <c r="I507" t="s">
        <v>1667</v>
      </c>
      <c r="J507" t="s">
        <v>1668</v>
      </c>
      <c r="K507" t="s">
        <v>403</v>
      </c>
      <c r="L507">
        <v>1346</v>
      </c>
      <c r="N507">
        <v>1009</v>
      </c>
      <c r="O507" t="s">
        <v>341</v>
      </c>
      <c r="P507" t="s">
        <v>341</v>
      </c>
      <c r="Q507">
        <v>1</v>
      </c>
      <c r="W507">
        <v>0</v>
      </c>
      <c r="X507">
        <v>210558753</v>
      </c>
      <c r="Y507">
        <v>0.02</v>
      </c>
      <c r="AA507">
        <v>187.62</v>
      </c>
      <c r="AB507">
        <v>0</v>
      </c>
      <c r="AC507">
        <v>0</v>
      </c>
      <c r="AD507">
        <v>0</v>
      </c>
      <c r="AE507">
        <v>28.6</v>
      </c>
      <c r="AF507">
        <v>0</v>
      </c>
      <c r="AG507">
        <v>0</v>
      </c>
      <c r="AH507">
        <v>0</v>
      </c>
      <c r="AI507">
        <v>6.56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6</v>
      </c>
      <c r="AT507">
        <v>0.02</v>
      </c>
      <c r="AU507" t="s">
        <v>6</v>
      </c>
      <c r="AV507">
        <v>0</v>
      </c>
      <c r="AW507">
        <v>2</v>
      </c>
      <c r="AX507">
        <v>16744443</v>
      </c>
      <c r="AY507">
        <v>1</v>
      </c>
      <c r="AZ507">
        <v>0</v>
      </c>
      <c r="BA507">
        <v>475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Y507*Source!I333</f>
        <v>5.16E-2</v>
      </c>
      <c r="CY507">
        <f t="shared" si="82"/>
        <v>187.62</v>
      </c>
      <c r="CZ507">
        <f t="shared" si="83"/>
        <v>28.6</v>
      </c>
      <c r="DA507">
        <f t="shared" si="84"/>
        <v>6.56</v>
      </c>
      <c r="DB507">
        <f t="shared" si="77"/>
        <v>0.56999999999999995</v>
      </c>
      <c r="DC507">
        <f t="shared" si="78"/>
        <v>0</v>
      </c>
    </row>
    <row r="508" spans="1:107" x14ac:dyDescent="0.2">
      <c r="A508">
        <f>ROW(Source!A333)</f>
        <v>333</v>
      </c>
      <c r="B508">
        <v>16742901</v>
      </c>
      <c r="C508">
        <v>16744425</v>
      </c>
      <c r="D508">
        <v>15217527</v>
      </c>
      <c r="E508">
        <v>1</v>
      </c>
      <c r="F508">
        <v>1</v>
      </c>
      <c r="G508">
        <v>1</v>
      </c>
      <c r="H508">
        <v>3</v>
      </c>
      <c r="I508" t="s">
        <v>1669</v>
      </c>
      <c r="J508" t="s">
        <v>1670</v>
      </c>
      <c r="K508" t="s">
        <v>1671</v>
      </c>
      <c r="L508">
        <v>1355</v>
      </c>
      <c r="N508">
        <v>1010</v>
      </c>
      <c r="O508" t="s">
        <v>843</v>
      </c>
      <c r="P508" t="s">
        <v>843</v>
      </c>
      <c r="Q508">
        <v>100</v>
      </c>
      <c r="W508">
        <v>0</v>
      </c>
      <c r="X508">
        <v>-423136440</v>
      </c>
      <c r="Y508">
        <v>0.05</v>
      </c>
      <c r="AA508">
        <v>721.6</v>
      </c>
      <c r="AB508">
        <v>0</v>
      </c>
      <c r="AC508">
        <v>0</v>
      </c>
      <c r="AD508">
        <v>0</v>
      </c>
      <c r="AE508">
        <v>110</v>
      </c>
      <c r="AF508">
        <v>0</v>
      </c>
      <c r="AG508">
        <v>0</v>
      </c>
      <c r="AH508">
        <v>0</v>
      </c>
      <c r="AI508">
        <v>6.56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6</v>
      </c>
      <c r="AT508">
        <v>0.05</v>
      </c>
      <c r="AU508" t="s">
        <v>6</v>
      </c>
      <c r="AV508">
        <v>0</v>
      </c>
      <c r="AW508">
        <v>2</v>
      </c>
      <c r="AX508">
        <v>16744444</v>
      </c>
      <c r="AY508">
        <v>1</v>
      </c>
      <c r="AZ508">
        <v>0</v>
      </c>
      <c r="BA508">
        <v>476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Y508*Source!I333</f>
        <v>0.129</v>
      </c>
      <c r="CY508">
        <f t="shared" si="82"/>
        <v>721.6</v>
      </c>
      <c r="CZ508">
        <f t="shared" si="83"/>
        <v>110</v>
      </c>
      <c r="DA508">
        <f t="shared" si="84"/>
        <v>6.56</v>
      </c>
      <c r="DB508">
        <f t="shared" si="77"/>
        <v>5.5</v>
      </c>
      <c r="DC508">
        <f t="shared" si="78"/>
        <v>0</v>
      </c>
    </row>
    <row r="509" spans="1:107" x14ac:dyDescent="0.2">
      <c r="A509">
        <f>ROW(Source!A333)</f>
        <v>333</v>
      </c>
      <c r="B509">
        <v>16742901</v>
      </c>
      <c r="C509">
        <v>16744425</v>
      </c>
      <c r="D509">
        <v>15217578</v>
      </c>
      <c r="E509">
        <v>1</v>
      </c>
      <c r="F509">
        <v>1</v>
      </c>
      <c r="G509">
        <v>1</v>
      </c>
      <c r="H509">
        <v>3</v>
      </c>
      <c r="I509" t="s">
        <v>1672</v>
      </c>
      <c r="J509" t="s">
        <v>1673</v>
      </c>
      <c r="K509" t="s">
        <v>1674</v>
      </c>
      <c r="L509">
        <v>1356</v>
      </c>
      <c r="N509">
        <v>1010</v>
      </c>
      <c r="O509" t="s">
        <v>306</v>
      </c>
      <c r="P509" t="s">
        <v>306</v>
      </c>
      <c r="Q509">
        <v>1000</v>
      </c>
      <c r="W509">
        <v>0</v>
      </c>
      <c r="X509">
        <v>537827188</v>
      </c>
      <c r="Y509">
        <v>1.2200000000000001E-2</v>
      </c>
      <c r="AA509">
        <v>780.64</v>
      </c>
      <c r="AB509">
        <v>0</v>
      </c>
      <c r="AC509">
        <v>0</v>
      </c>
      <c r="AD509">
        <v>0</v>
      </c>
      <c r="AE509">
        <v>119</v>
      </c>
      <c r="AF509">
        <v>0</v>
      </c>
      <c r="AG509">
        <v>0</v>
      </c>
      <c r="AH509">
        <v>0</v>
      </c>
      <c r="AI509">
        <v>6.56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6</v>
      </c>
      <c r="AT509">
        <v>1.2200000000000001E-2</v>
      </c>
      <c r="AU509" t="s">
        <v>6</v>
      </c>
      <c r="AV509">
        <v>0</v>
      </c>
      <c r="AW509">
        <v>2</v>
      </c>
      <c r="AX509">
        <v>16744445</v>
      </c>
      <c r="AY509">
        <v>1</v>
      </c>
      <c r="AZ509">
        <v>0</v>
      </c>
      <c r="BA509">
        <v>477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Y509*Source!I333</f>
        <v>3.1476000000000004E-2</v>
      </c>
      <c r="CY509">
        <f t="shared" si="82"/>
        <v>780.64</v>
      </c>
      <c r="CZ509">
        <f t="shared" si="83"/>
        <v>119</v>
      </c>
      <c r="DA509">
        <f t="shared" si="84"/>
        <v>6.56</v>
      </c>
      <c r="DB509">
        <f t="shared" si="77"/>
        <v>1.45</v>
      </c>
      <c r="DC509">
        <f t="shared" si="78"/>
        <v>0</v>
      </c>
    </row>
    <row r="510" spans="1:107" x14ac:dyDescent="0.2">
      <c r="A510">
        <f>ROW(Source!A333)</f>
        <v>333</v>
      </c>
      <c r="B510">
        <v>16742901</v>
      </c>
      <c r="C510">
        <v>16744425</v>
      </c>
      <c r="D510">
        <v>15223429</v>
      </c>
      <c r="E510">
        <v>1</v>
      </c>
      <c r="F510">
        <v>1</v>
      </c>
      <c r="G510">
        <v>1</v>
      </c>
      <c r="H510">
        <v>3</v>
      </c>
      <c r="I510" t="s">
        <v>747</v>
      </c>
      <c r="J510" t="s">
        <v>750</v>
      </c>
      <c r="K510" t="s">
        <v>748</v>
      </c>
      <c r="L510">
        <v>1477</v>
      </c>
      <c r="N510">
        <v>1013</v>
      </c>
      <c r="O510" t="s">
        <v>749</v>
      </c>
      <c r="P510" t="s">
        <v>751</v>
      </c>
      <c r="Q510">
        <v>1</v>
      </c>
      <c r="W510">
        <v>0</v>
      </c>
      <c r="X510">
        <v>-798446083</v>
      </c>
      <c r="Y510">
        <v>0.1</v>
      </c>
      <c r="AA510">
        <v>71903.31</v>
      </c>
      <c r="AB510">
        <v>0</v>
      </c>
      <c r="AC510">
        <v>0</v>
      </c>
      <c r="AD510">
        <v>0</v>
      </c>
      <c r="AE510">
        <v>10960.87</v>
      </c>
      <c r="AF510">
        <v>0</v>
      </c>
      <c r="AG510">
        <v>0</v>
      </c>
      <c r="AH510">
        <v>0</v>
      </c>
      <c r="AI510">
        <v>6.56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6</v>
      </c>
      <c r="AT510">
        <v>0.1</v>
      </c>
      <c r="AU510" t="s">
        <v>6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6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Y510*Source!I333</f>
        <v>0.25800000000000001</v>
      </c>
      <c r="CY510">
        <f t="shared" si="82"/>
        <v>71903.31</v>
      </c>
      <c r="CZ510">
        <f t="shared" si="83"/>
        <v>10960.87</v>
      </c>
      <c r="DA510">
        <f t="shared" si="84"/>
        <v>6.56</v>
      </c>
      <c r="DB510">
        <f t="shared" si="77"/>
        <v>1096.0899999999999</v>
      </c>
      <c r="DC510">
        <f t="shared" si="78"/>
        <v>0</v>
      </c>
    </row>
    <row r="511" spans="1:107" x14ac:dyDescent="0.2">
      <c r="A511">
        <f>ROW(Source!A333)</f>
        <v>333</v>
      </c>
      <c r="B511">
        <v>16742901</v>
      </c>
      <c r="C511">
        <v>16744425</v>
      </c>
      <c r="D511">
        <v>15164559</v>
      </c>
      <c r="E511">
        <v>17</v>
      </c>
      <c r="F511">
        <v>1</v>
      </c>
      <c r="G511">
        <v>1</v>
      </c>
      <c r="H511">
        <v>3</v>
      </c>
      <c r="I511" t="s">
        <v>1334</v>
      </c>
      <c r="J511" t="s">
        <v>6</v>
      </c>
      <c r="K511" t="s">
        <v>1335</v>
      </c>
      <c r="L511">
        <v>1374</v>
      </c>
      <c r="N511">
        <v>1013</v>
      </c>
      <c r="O511" t="s">
        <v>1336</v>
      </c>
      <c r="P511" t="s">
        <v>1336</v>
      </c>
      <c r="Q511">
        <v>1</v>
      </c>
      <c r="W511">
        <v>0</v>
      </c>
      <c r="X511">
        <v>-1731369543</v>
      </c>
      <c r="Y511">
        <v>1.01</v>
      </c>
      <c r="AA511">
        <v>1</v>
      </c>
      <c r="AB511">
        <v>0</v>
      </c>
      <c r="AC511">
        <v>0</v>
      </c>
      <c r="AD511">
        <v>0</v>
      </c>
      <c r="AE511">
        <v>1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6</v>
      </c>
      <c r="AT511">
        <v>1.01</v>
      </c>
      <c r="AU511" t="s">
        <v>6</v>
      </c>
      <c r="AV511">
        <v>0</v>
      </c>
      <c r="AW511">
        <v>2</v>
      </c>
      <c r="AX511">
        <v>16744446</v>
      </c>
      <c r="AY511">
        <v>1</v>
      </c>
      <c r="AZ511">
        <v>0</v>
      </c>
      <c r="BA511">
        <v>478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Y511*Source!I333</f>
        <v>2.6057999999999999</v>
      </c>
      <c r="CY511">
        <f t="shared" si="82"/>
        <v>1</v>
      </c>
      <c r="CZ511">
        <f t="shared" si="83"/>
        <v>1</v>
      </c>
      <c r="DA511">
        <f t="shared" si="84"/>
        <v>1</v>
      </c>
      <c r="DB511">
        <f t="shared" si="77"/>
        <v>1.01</v>
      </c>
      <c r="DC511">
        <f t="shared" si="78"/>
        <v>0</v>
      </c>
    </row>
    <row r="512" spans="1:107" x14ac:dyDescent="0.2">
      <c r="A512">
        <f>ROW(Source!A335)</f>
        <v>335</v>
      </c>
      <c r="B512">
        <v>16742901</v>
      </c>
      <c r="C512">
        <v>16744448</v>
      </c>
      <c r="D512">
        <v>15435721</v>
      </c>
      <c r="E512">
        <v>1</v>
      </c>
      <c r="F512">
        <v>1</v>
      </c>
      <c r="G512">
        <v>1</v>
      </c>
      <c r="H512">
        <v>1</v>
      </c>
      <c r="I512" t="s">
        <v>1609</v>
      </c>
      <c r="J512" t="s">
        <v>6</v>
      </c>
      <c r="K512" t="s">
        <v>1610</v>
      </c>
      <c r="L512">
        <v>1191</v>
      </c>
      <c r="N512">
        <v>1013</v>
      </c>
      <c r="O512" t="s">
        <v>1287</v>
      </c>
      <c r="P512" t="s">
        <v>1287</v>
      </c>
      <c r="Q512">
        <v>1</v>
      </c>
      <c r="W512">
        <v>0</v>
      </c>
      <c r="X512">
        <v>1983201532</v>
      </c>
      <c r="Y512">
        <v>16.29</v>
      </c>
      <c r="AA512">
        <v>0</v>
      </c>
      <c r="AB512">
        <v>0</v>
      </c>
      <c r="AC512">
        <v>0</v>
      </c>
      <c r="AD512">
        <v>62.39</v>
      </c>
      <c r="AE512">
        <v>0</v>
      </c>
      <c r="AF512">
        <v>0</v>
      </c>
      <c r="AG512">
        <v>0</v>
      </c>
      <c r="AH512">
        <v>9.51</v>
      </c>
      <c r="AI512">
        <v>1</v>
      </c>
      <c r="AJ512">
        <v>1</v>
      </c>
      <c r="AK512">
        <v>1</v>
      </c>
      <c r="AL512">
        <v>6.56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6</v>
      </c>
      <c r="AT512">
        <v>16.29</v>
      </c>
      <c r="AU512" t="s">
        <v>6</v>
      </c>
      <c r="AV512">
        <v>1</v>
      </c>
      <c r="AW512">
        <v>2</v>
      </c>
      <c r="AX512">
        <v>16744456</v>
      </c>
      <c r="AY512">
        <v>1</v>
      </c>
      <c r="AZ512">
        <v>0</v>
      </c>
      <c r="BA512">
        <v>479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Y512*Source!I335</f>
        <v>13.032</v>
      </c>
      <c r="CY512">
        <f>AD512</f>
        <v>62.39</v>
      </c>
      <c r="CZ512">
        <f>AH512</f>
        <v>9.51</v>
      </c>
      <c r="DA512">
        <f>AL512</f>
        <v>6.56</v>
      </c>
      <c r="DB512">
        <f t="shared" si="77"/>
        <v>154.91999999999999</v>
      </c>
      <c r="DC512">
        <f t="shared" si="78"/>
        <v>0</v>
      </c>
    </row>
    <row r="513" spans="1:107" x14ac:dyDescent="0.2">
      <c r="A513">
        <f>ROW(Source!A335)</f>
        <v>335</v>
      </c>
      <c r="B513">
        <v>16742901</v>
      </c>
      <c r="C513">
        <v>16744448</v>
      </c>
      <c r="D513">
        <v>15430395</v>
      </c>
      <c r="E513">
        <v>1</v>
      </c>
      <c r="F513">
        <v>1</v>
      </c>
      <c r="G513">
        <v>1</v>
      </c>
      <c r="H513">
        <v>1</v>
      </c>
      <c r="I513" t="s">
        <v>1293</v>
      </c>
      <c r="J513" t="s">
        <v>6</v>
      </c>
      <c r="K513" t="s">
        <v>1294</v>
      </c>
      <c r="L513">
        <v>1191</v>
      </c>
      <c r="N513">
        <v>1013</v>
      </c>
      <c r="O513" t="s">
        <v>1287</v>
      </c>
      <c r="P513" t="s">
        <v>1287</v>
      </c>
      <c r="Q513">
        <v>1</v>
      </c>
      <c r="W513">
        <v>0</v>
      </c>
      <c r="X513">
        <v>-1417349443</v>
      </c>
      <c r="Y513">
        <v>0.01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6.56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0.01</v>
      </c>
      <c r="AU513" t="s">
        <v>6</v>
      </c>
      <c r="AV513">
        <v>2</v>
      </c>
      <c r="AW513">
        <v>2</v>
      </c>
      <c r="AX513">
        <v>16744457</v>
      </c>
      <c r="AY513">
        <v>1</v>
      </c>
      <c r="AZ513">
        <v>0</v>
      </c>
      <c r="BA513">
        <v>480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Y513*Source!I335</f>
        <v>8.0000000000000002E-3</v>
      </c>
      <c r="CY513">
        <f>AD513</f>
        <v>0</v>
      </c>
      <c r="CZ513">
        <f>AH513</f>
        <v>0</v>
      </c>
      <c r="DA513">
        <f>AL513</f>
        <v>1</v>
      </c>
      <c r="DB513">
        <f t="shared" si="77"/>
        <v>0</v>
      </c>
      <c r="DC513">
        <f t="shared" si="78"/>
        <v>0</v>
      </c>
    </row>
    <row r="514" spans="1:107" x14ac:dyDescent="0.2">
      <c r="A514">
        <f>ROW(Source!A335)</f>
        <v>335</v>
      </c>
      <c r="B514">
        <v>16742901</v>
      </c>
      <c r="C514">
        <v>16744448</v>
      </c>
      <c r="D514">
        <v>15247974</v>
      </c>
      <c r="E514">
        <v>1</v>
      </c>
      <c r="F514">
        <v>1</v>
      </c>
      <c r="G514">
        <v>1</v>
      </c>
      <c r="H514">
        <v>2</v>
      </c>
      <c r="I514" t="s">
        <v>1314</v>
      </c>
      <c r="J514" t="s">
        <v>1315</v>
      </c>
      <c r="K514" t="s">
        <v>1316</v>
      </c>
      <c r="L514">
        <v>1368</v>
      </c>
      <c r="N514">
        <v>1011</v>
      </c>
      <c r="O514" t="s">
        <v>1298</v>
      </c>
      <c r="P514" t="s">
        <v>1298</v>
      </c>
      <c r="Q514">
        <v>1</v>
      </c>
      <c r="W514">
        <v>0</v>
      </c>
      <c r="X514">
        <v>1188625873</v>
      </c>
      <c r="Y514">
        <v>0.01</v>
      </c>
      <c r="AA514">
        <v>0</v>
      </c>
      <c r="AB514">
        <v>205.07</v>
      </c>
      <c r="AC514">
        <v>13.5</v>
      </c>
      <c r="AD514">
        <v>0</v>
      </c>
      <c r="AE514">
        <v>0</v>
      </c>
      <c r="AF514">
        <v>31.26</v>
      </c>
      <c r="AG514">
        <v>13.5</v>
      </c>
      <c r="AH514">
        <v>0</v>
      </c>
      <c r="AI514">
        <v>1</v>
      </c>
      <c r="AJ514">
        <v>6.56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0.01</v>
      </c>
      <c r="AU514" t="s">
        <v>6</v>
      </c>
      <c r="AV514">
        <v>0</v>
      </c>
      <c r="AW514">
        <v>2</v>
      </c>
      <c r="AX514">
        <v>16744458</v>
      </c>
      <c r="AY514">
        <v>1</v>
      </c>
      <c r="AZ514">
        <v>0</v>
      </c>
      <c r="BA514">
        <v>481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Y514*Source!I335</f>
        <v>8.0000000000000002E-3</v>
      </c>
      <c r="CY514">
        <f>AB514</f>
        <v>205.07</v>
      </c>
      <c r="CZ514">
        <f>AF514</f>
        <v>31.26</v>
      </c>
      <c r="DA514">
        <f>AJ514</f>
        <v>6.56</v>
      </c>
      <c r="DB514">
        <f t="shared" si="77"/>
        <v>0.31</v>
      </c>
      <c r="DC514">
        <f t="shared" si="78"/>
        <v>0.14000000000000001</v>
      </c>
    </row>
    <row r="515" spans="1:107" x14ac:dyDescent="0.2">
      <c r="A515">
        <f>ROW(Source!A335)</f>
        <v>335</v>
      </c>
      <c r="B515">
        <v>16742901</v>
      </c>
      <c r="C515">
        <v>16744448</v>
      </c>
      <c r="D515">
        <v>15170076</v>
      </c>
      <c r="E515">
        <v>1</v>
      </c>
      <c r="F515">
        <v>1</v>
      </c>
      <c r="G515">
        <v>1</v>
      </c>
      <c r="H515">
        <v>3</v>
      </c>
      <c r="I515" t="s">
        <v>1633</v>
      </c>
      <c r="J515" t="s">
        <v>1634</v>
      </c>
      <c r="K515" t="s">
        <v>1635</v>
      </c>
      <c r="L515">
        <v>1356</v>
      </c>
      <c r="N515">
        <v>1010</v>
      </c>
      <c r="O515" t="s">
        <v>306</v>
      </c>
      <c r="P515" t="s">
        <v>306</v>
      </c>
      <c r="Q515">
        <v>1000</v>
      </c>
      <c r="W515">
        <v>0</v>
      </c>
      <c r="X515">
        <v>1975348994</v>
      </c>
      <c r="Y515">
        <v>0.2</v>
      </c>
      <c r="AA515">
        <v>1180.8</v>
      </c>
      <c r="AB515">
        <v>0</v>
      </c>
      <c r="AC515">
        <v>0</v>
      </c>
      <c r="AD515">
        <v>0</v>
      </c>
      <c r="AE515">
        <v>180</v>
      </c>
      <c r="AF515">
        <v>0</v>
      </c>
      <c r="AG515">
        <v>0</v>
      </c>
      <c r="AH515">
        <v>0</v>
      </c>
      <c r="AI515">
        <v>6.56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6</v>
      </c>
      <c r="AT515">
        <v>0.2</v>
      </c>
      <c r="AU515" t="s">
        <v>6</v>
      </c>
      <c r="AV515">
        <v>0</v>
      </c>
      <c r="AW515">
        <v>2</v>
      </c>
      <c r="AX515">
        <v>16744459</v>
      </c>
      <c r="AY515">
        <v>1</v>
      </c>
      <c r="AZ515">
        <v>0</v>
      </c>
      <c r="BA515">
        <v>482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Y515*Source!I335</f>
        <v>0.16000000000000003</v>
      </c>
      <c r="CY515">
        <f>AA515</f>
        <v>1180.8</v>
      </c>
      <c r="CZ515">
        <f>AE515</f>
        <v>180</v>
      </c>
      <c r="DA515">
        <f>AI515</f>
        <v>6.56</v>
      </c>
      <c r="DB515">
        <f t="shared" si="77"/>
        <v>36</v>
      </c>
      <c r="DC515">
        <f t="shared" si="78"/>
        <v>0</v>
      </c>
    </row>
    <row r="516" spans="1:107" x14ac:dyDescent="0.2">
      <c r="A516">
        <f>ROW(Source!A335)</f>
        <v>335</v>
      </c>
      <c r="B516">
        <v>16742901</v>
      </c>
      <c r="C516">
        <v>16744448</v>
      </c>
      <c r="D516">
        <v>15170438</v>
      </c>
      <c r="E516">
        <v>1</v>
      </c>
      <c r="F516">
        <v>1</v>
      </c>
      <c r="G516">
        <v>1</v>
      </c>
      <c r="H516">
        <v>3</v>
      </c>
      <c r="I516" t="s">
        <v>1636</v>
      </c>
      <c r="J516" t="s">
        <v>1637</v>
      </c>
      <c r="K516" t="s">
        <v>1638</v>
      </c>
      <c r="L516">
        <v>1348</v>
      </c>
      <c r="N516">
        <v>1009</v>
      </c>
      <c r="O516" t="s">
        <v>100</v>
      </c>
      <c r="P516" t="s">
        <v>100</v>
      </c>
      <c r="Q516">
        <v>1000</v>
      </c>
      <c r="W516">
        <v>0</v>
      </c>
      <c r="X516">
        <v>-1755229539</v>
      </c>
      <c r="Y516">
        <v>1E-3</v>
      </c>
      <c r="AA516">
        <v>81540.800000000003</v>
      </c>
      <c r="AB516">
        <v>0</v>
      </c>
      <c r="AC516">
        <v>0</v>
      </c>
      <c r="AD516">
        <v>0</v>
      </c>
      <c r="AE516">
        <v>12430</v>
      </c>
      <c r="AF516">
        <v>0</v>
      </c>
      <c r="AG516">
        <v>0</v>
      </c>
      <c r="AH516">
        <v>0</v>
      </c>
      <c r="AI516">
        <v>6.56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1E-3</v>
      </c>
      <c r="AU516" t="s">
        <v>6</v>
      </c>
      <c r="AV516">
        <v>0</v>
      </c>
      <c r="AW516">
        <v>2</v>
      </c>
      <c r="AX516">
        <v>16744460</v>
      </c>
      <c r="AY516">
        <v>1</v>
      </c>
      <c r="AZ516">
        <v>0</v>
      </c>
      <c r="BA516">
        <v>483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Y516*Source!I335</f>
        <v>8.0000000000000004E-4</v>
      </c>
      <c r="CY516">
        <f>AA516</f>
        <v>81540.800000000003</v>
      </c>
      <c r="CZ516">
        <f>AE516</f>
        <v>12430</v>
      </c>
      <c r="DA516">
        <f>AI516</f>
        <v>6.56</v>
      </c>
      <c r="DB516">
        <f t="shared" si="77"/>
        <v>12.43</v>
      </c>
      <c r="DC516">
        <f t="shared" si="78"/>
        <v>0</v>
      </c>
    </row>
    <row r="517" spans="1:107" x14ac:dyDescent="0.2">
      <c r="A517">
        <f>ROW(Source!A335)</f>
        <v>335</v>
      </c>
      <c r="B517">
        <v>16742901</v>
      </c>
      <c r="C517">
        <v>16744448</v>
      </c>
      <c r="D517">
        <v>15218443</v>
      </c>
      <c r="E517">
        <v>1</v>
      </c>
      <c r="F517">
        <v>1</v>
      </c>
      <c r="G517">
        <v>1</v>
      </c>
      <c r="H517">
        <v>3</v>
      </c>
      <c r="I517" t="s">
        <v>755</v>
      </c>
      <c r="J517" t="s">
        <v>757</v>
      </c>
      <c r="K517" t="s">
        <v>756</v>
      </c>
      <c r="L517">
        <v>1308</v>
      </c>
      <c r="N517">
        <v>1003</v>
      </c>
      <c r="O517" t="s">
        <v>34</v>
      </c>
      <c r="P517" t="s">
        <v>34</v>
      </c>
      <c r="Q517">
        <v>100</v>
      </c>
      <c r="W517">
        <v>0</v>
      </c>
      <c r="X517">
        <v>575153488</v>
      </c>
      <c r="Y517">
        <v>1</v>
      </c>
      <c r="AA517">
        <v>4690.3999999999996</v>
      </c>
      <c r="AB517">
        <v>0</v>
      </c>
      <c r="AC517">
        <v>0</v>
      </c>
      <c r="AD517">
        <v>0</v>
      </c>
      <c r="AE517">
        <v>715</v>
      </c>
      <c r="AF517">
        <v>0</v>
      </c>
      <c r="AG517">
        <v>0</v>
      </c>
      <c r="AH517">
        <v>0</v>
      </c>
      <c r="AI517">
        <v>6.56</v>
      </c>
      <c r="AJ517">
        <v>1</v>
      </c>
      <c r="AK517">
        <v>1</v>
      </c>
      <c r="AL517">
        <v>1</v>
      </c>
      <c r="AN517">
        <v>0</v>
      </c>
      <c r="AO517">
        <v>0</v>
      </c>
      <c r="AP517">
        <v>0</v>
      </c>
      <c r="AQ517">
        <v>0</v>
      </c>
      <c r="AR517">
        <v>0</v>
      </c>
      <c r="AS517" t="s">
        <v>6</v>
      </c>
      <c r="AT517">
        <v>1</v>
      </c>
      <c r="AU517" t="s">
        <v>6</v>
      </c>
      <c r="AV517">
        <v>0</v>
      </c>
      <c r="AW517">
        <v>1</v>
      </c>
      <c r="AX517">
        <v>-1</v>
      </c>
      <c r="AY517">
        <v>0</v>
      </c>
      <c r="AZ517">
        <v>0</v>
      </c>
      <c r="BA517" t="s">
        <v>6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Y517*Source!I335</f>
        <v>0.8</v>
      </c>
      <c r="CY517">
        <f>AA517</f>
        <v>4690.3999999999996</v>
      </c>
      <c r="CZ517">
        <f>AE517</f>
        <v>715</v>
      </c>
      <c r="DA517">
        <f>AI517</f>
        <v>6.56</v>
      </c>
      <c r="DB517">
        <f t="shared" si="77"/>
        <v>715</v>
      </c>
      <c r="DC517">
        <f t="shared" si="78"/>
        <v>0</v>
      </c>
    </row>
    <row r="518" spans="1:107" x14ac:dyDescent="0.2">
      <c r="A518">
        <f>ROW(Source!A335)</f>
        <v>335</v>
      </c>
      <c r="B518">
        <v>16742901</v>
      </c>
      <c r="C518">
        <v>16744448</v>
      </c>
      <c r="D518">
        <v>15164559</v>
      </c>
      <c r="E518">
        <v>17</v>
      </c>
      <c r="F518">
        <v>1</v>
      </c>
      <c r="G518">
        <v>1</v>
      </c>
      <c r="H518">
        <v>3</v>
      </c>
      <c r="I518" t="s">
        <v>1334</v>
      </c>
      <c r="J518" t="s">
        <v>6</v>
      </c>
      <c r="K518" t="s">
        <v>1335</v>
      </c>
      <c r="L518">
        <v>1374</v>
      </c>
      <c r="N518">
        <v>1013</v>
      </c>
      <c r="O518" t="s">
        <v>1336</v>
      </c>
      <c r="P518" t="s">
        <v>1336</v>
      </c>
      <c r="Q518">
        <v>1</v>
      </c>
      <c r="W518">
        <v>0</v>
      </c>
      <c r="X518">
        <v>-1731369543</v>
      </c>
      <c r="Y518">
        <v>3.1</v>
      </c>
      <c r="AA518">
        <v>1</v>
      </c>
      <c r="AB518">
        <v>0</v>
      </c>
      <c r="AC518">
        <v>0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3.1</v>
      </c>
      <c r="AU518" t="s">
        <v>6</v>
      </c>
      <c r="AV518">
        <v>0</v>
      </c>
      <c r="AW518">
        <v>2</v>
      </c>
      <c r="AX518">
        <v>16744461</v>
      </c>
      <c r="AY518">
        <v>1</v>
      </c>
      <c r="AZ518">
        <v>0</v>
      </c>
      <c r="BA518">
        <v>484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Y518*Source!I335</f>
        <v>2.4800000000000004</v>
      </c>
      <c r="CY518">
        <f>AA518</f>
        <v>1</v>
      </c>
      <c r="CZ518">
        <f>AE518</f>
        <v>1</v>
      </c>
      <c r="DA518">
        <f>AI518</f>
        <v>1</v>
      </c>
      <c r="DB518">
        <f t="shared" si="77"/>
        <v>3.1</v>
      </c>
      <c r="DC518">
        <f t="shared" si="78"/>
        <v>0</v>
      </c>
    </row>
    <row r="519" spans="1:107" x14ac:dyDescent="0.2">
      <c r="A519">
        <f>ROW(Source!A337)</f>
        <v>337</v>
      </c>
      <c r="B519">
        <v>16742901</v>
      </c>
      <c r="C519">
        <v>16744463</v>
      </c>
      <c r="D519">
        <v>15430397</v>
      </c>
      <c r="E519">
        <v>1</v>
      </c>
      <c r="F519">
        <v>1</v>
      </c>
      <c r="G519">
        <v>1</v>
      </c>
      <c r="H519">
        <v>1</v>
      </c>
      <c r="I519" t="s">
        <v>1323</v>
      </c>
      <c r="J519" t="s">
        <v>6</v>
      </c>
      <c r="K519" t="s">
        <v>1324</v>
      </c>
      <c r="L519">
        <v>1191</v>
      </c>
      <c r="N519">
        <v>1013</v>
      </c>
      <c r="O519" t="s">
        <v>1287</v>
      </c>
      <c r="P519" t="s">
        <v>1287</v>
      </c>
      <c r="Q519">
        <v>1</v>
      </c>
      <c r="W519">
        <v>0</v>
      </c>
      <c r="X519">
        <v>-1081351934</v>
      </c>
      <c r="Y519">
        <v>2.82</v>
      </c>
      <c r="AA519">
        <v>0</v>
      </c>
      <c r="AB519">
        <v>0</v>
      </c>
      <c r="AC519">
        <v>0</v>
      </c>
      <c r="AD519">
        <v>61.66</v>
      </c>
      <c r="AE519">
        <v>0</v>
      </c>
      <c r="AF519">
        <v>0</v>
      </c>
      <c r="AG519">
        <v>0</v>
      </c>
      <c r="AH519">
        <v>9.4</v>
      </c>
      <c r="AI519">
        <v>1</v>
      </c>
      <c r="AJ519">
        <v>1</v>
      </c>
      <c r="AK519">
        <v>1</v>
      </c>
      <c r="AL519">
        <v>6.56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6</v>
      </c>
      <c r="AT519">
        <v>2.82</v>
      </c>
      <c r="AU519" t="s">
        <v>6</v>
      </c>
      <c r="AV519">
        <v>1</v>
      </c>
      <c r="AW519">
        <v>2</v>
      </c>
      <c r="AX519">
        <v>16744473</v>
      </c>
      <c r="AY519">
        <v>1</v>
      </c>
      <c r="AZ519">
        <v>0</v>
      </c>
      <c r="BA519">
        <v>485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Y519*Source!I337</f>
        <v>2.2559999999999998</v>
      </c>
      <c r="CY519">
        <f>AD519</f>
        <v>61.66</v>
      </c>
      <c r="CZ519">
        <f>AH519</f>
        <v>9.4</v>
      </c>
      <c r="DA519">
        <f>AL519</f>
        <v>6.56</v>
      </c>
      <c r="DB519">
        <f t="shared" si="77"/>
        <v>26.51</v>
      </c>
      <c r="DC519">
        <f t="shared" si="78"/>
        <v>0</v>
      </c>
    </row>
    <row r="520" spans="1:107" x14ac:dyDescent="0.2">
      <c r="A520">
        <f>ROW(Source!A337)</f>
        <v>337</v>
      </c>
      <c r="B520">
        <v>16742901</v>
      </c>
      <c r="C520">
        <v>16744463</v>
      </c>
      <c r="D520">
        <v>15430395</v>
      </c>
      <c r="E520">
        <v>1</v>
      </c>
      <c r="F520">
        <v>1</v>
      </c>
      <c r="G520">
        <v>1</v>
      </c>
      <c r="H520">
        <v>1</v>
      </c>
      <c r="I520" t="s">
        <v>1293</v>
      </c>
      <c r="J520" t="s">
        <v>6</v>
      </c>
      <c r="K520" t="s">
        <v>1294</v>
      </c>
      <c r="L520">
        <v>1191</v>
      </c>
      <c r="N520">
        <v>1013</v>
      </c>
      <c r="O520" t="s">
        <v>1287</v>
      </c>
      <c r="P520" t="s">
        <v>1287</v>
      </c>
      <c r="Q520">
        <v>1</v>
      </c>
      <c r="W520">
        <v>0</v>
      </c>
      <c r="X520">
        <v>-1417349443</v>
      </c>
      <c r="Y520">
        <v>0.02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6.56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6</v>
      </c>
      <c r="AT520">
        <v>0.02</v>
      </c>
      <c r="AU520" t="s">
        <v>6</v>
      </c>
      <c r="AV520">
        <v>2</v>
      </c>
      <c r="AW520">
        <v>2</v>
      </c>
      <c r="AX520">
        <v>16744474</v>
      </c>
      <c r="AY520">
        <v>1</v>
      </c>
      <c r="AZ520">
        <v>0</v>
      </c>
      <c r="BA520">
        <v>486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Y520*Source!I337</f>
        <v>1.6E-2</v>
      </c>
      <c r="CY520">
        <f>AD520</f>
        <v>0</v>
      </c>
      <c r="CZ520">
        <f>AH520</f>
        <v>0</v>
      </c>
      <c r="DA520">
        <f>AL520</f>
        <v>1</v>
      </c>
      <c r="DB520">
        <f t="shared" si="77"/>
        <v>0</v>
      </c>
      <c r="DC520">
        <f t="shared" si="78"/>
        <v>0</v>
      </c>
    </row>
    <row r="521" spans="1:107" x14ac:dyDescent="0.2">
      <c r="A521">
        <f>ROW(Source!A337)</f>
        <v>337</v>
      </c>
      <c r="B521">
        <v>16742901</v>
      </c>
      <c r="C521">
        <v>16744463</v>
      </c>
      <c r="D521">
        <v>15247680</v>
      </c>
      <c r="E521">
        <v>1</v>
      </c>
      <c r="F521">
        <v>1</v>
      </c>
      <c r="G521">
        <v>1</v>
      </c>
      <c r="H521">
        <v>2</v>
      </c>
      <c r="I521" t="s">
        <v>1295</v>
      </c>
      <c r="J521" t="s">
        <v>1296</v>
      </c>
      <c r="K521" t="s">
        <v>1297</v>
      </c>
      <c r="L521">
        <v>1368</v>
      </c>
      <c r="N521">
        <v>1011</v>
      </c>
      <c r="O521" t="s">
        <v>1298</v>
      </c>
      <c r="P521" t="s">
        <v>1298</v>
      </c>
      <c r="Q521">
        <v>1</v>
      </c>
      <c r="W521">
        <v>0</v>
      </c>
      <c r="X521">
        <v>-1718674368</v>
      </c>
      <c r="Y521">
        <v>0.01</v>
      </c>
      <c r="AA521">
        <v>0</v>
      </c>
      <c r="AB521">
        <v>734.65</v>
      </c>
      <c r="AC521">
        <v>13.5</v>
      </c>
      <c r="AD521">
        <v>0</v>
      </c>
      <c r="AE521">
        <v>0</v>
      </c>
      <c r="AF521">
        <v>111.99</v>
      </c>
      <c r="AG521">
        <v>13.5</v>
      </c>
      <c r="AH521">
        <v>0</v>
      </c>
      <c r="AI521">
        <v>1</v>
      </c>
      <c r="AJ521">
        <v>6.56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6</v>
      </c>
      <c r="AT521">
        <v>0.01</v>
      </c>
      <c r="AU521" t="s">
        <v>6</v>
      </c>
      <c r="AV521">
        <v>0</v>
      </c>
      <c r="AW521">
        <v>2</v>
      </c>
      <c r="AX521">
        <v>16744475</v>
      </c>
      <c r="AY521">
        <v>1</v>
      </c>
      <c r="AZ521">
        <v>0</v>
      </c>
      <c r="BA521">
        <v>487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Y521*Source!I337</f>
        <v>8.0000000000000002E-3</v>
      </c>
      <c r="CY521">
        <f>AB521</f>
        <v>734.65</v>
      </c>
      <c r="CZ521">
        <f>AF521</f>
        <v>111.99</v>
      </c>
      <c r="DA521">
        <f>AJ521</f>
        <v>6.56</v>
      </c>
      <c r="DB521">
        <f t="shared" si="77"/>
        <v>1.1200000000000001</v>
      </c>
      <c r="DC521">
        <f t="shared" si="78"/>
        <v>0.14000000000000001</v>
      </c>
    </row>
    <row r="522" spans="1:107" x14ac:dyDescent="0.2">
      <c r="A522">
        <f>ROW(Source!A337)</f>
        <v>337</v>
      </c>
      <c r="B522">
        <v>16742901</v>
      </c>
      <c r="C522">
        <v>16744463</v>
      </c>
      <c r="D522">
        <v>15249073</v>
      </c>
      <c r="E522">
        <v>1</v>
      </c>
      <c r="F522">
        <v>1</v>
      </c>
      <c r="G522">
        <v>1</v>
      </c>
      <c r="H522">
        <v>2</v>
      </c>
      <c r="I522" t="s">
        <v>1299</v>
      </c>
      <c r="J522" t="s">
        <v>1300</v>
      </c>
      <c r="K522" t="s">
        <v>1301</v>
      </c>
      <c r="L522">
        <v>1368</v>
      </c>
      <c r="N522">
        <v>1011</v>
      </c>
      <c r="O522" t="s">
        <v>1298</v>
      </c>
      <c r="P522" t="s">
        <v>1298</v>
      </c>
      <c r="Q522">
        <v>1</v>
      </c>
      <c r="W522">
        <v>0</v>
      </c>
      <c r="X522">
        <v>1372534845</v>
      </c>
      <c r="Y522">
        <v>0.01</v>
      </c>
      <c r="AA522">
        <v>0</v>
      </c>
      <c r="AB522">
        <v>431.06</v>
      </c>
      <c r="AC522">
        <v>11.6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6.56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0.01</v>
      </c>
      <c r="AU522" t="s">
        <v>6</v>
      </c>
      <c r="AV522">
        <v>0</v>
      </c>
      <c r="AW522">
        <v>2</v>
      </c>
      <c r="AX522">
        <v>16744476</v>
      </c>
      <c r="AY522">
        <v>1</v>
      </c>
      <c r="AZ522">
        <v>0</v>
      </c>
      <c r="BA522">
        <v>488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Y522*Source!I337</f>
        <v>8.0000000000000002E-3</v>
      </c>
      <c r="CY522">
        <f>AB522</f>
        <v>431.06</v>
      </c>
      <c r="CZ522">
        <f>AF522</f>
        <v>65.709999999999994</v>
      </c>
      <c r="DA522">
        <f>AJ522</f>
        <v>6.56</v>
      </c>
      <c r="DB522">
        <f t="shared" si="77"/>
        <v>0.66</v>
      </c>
      <c r="DC522">
        <f t="shared" si="78"/>
        <v>0.12</v>
      </c>
    </row>
    <row r="523" spans="1:107" x14ac:dyDescent="0.2">
      <c r="A523">
        <f>ROW(Source!A337)</f>
        <v>337</v>
      </c>
      <c r="B523">
        <v>16742901</v>
      </c>
      <c r="C523">
        <v>16744463</v>
      </c>
      <c r="D523">
        <v>15167588</v>
      </c>
      <c r="E523">
        <v>1</v>
      </c>
      <c r="F523">
        <v>1</v>
      </c>
      <c r="G523">
        <v>1</v>
      </c>
      <c r="H523">
        <v>3</v>
      </c>
      <c r="I523" t="s">
        <v>1641</v>
      </c>
      <c r="J523" t="s">
        <v>1642</v>
      </c>
      <c r="K523" t="s">
        <v>1643</v>
      </c>
      <c r="L523">
        <v>1346</v>
      </c>
      <c r="N523">
        <v>1009</v>
      </c>
      <c r="O523" t="s">
        <v>341</v>
      </c>
      <c r="P523" t="s">
        <v>341</v>
      </c>
      <c r="Q523">
        <v>1</v>
      </c>
      <c r="W523">
        <v>0</v>
      </c>
      <c r="X523">
        <v>-1088866022</v>
      </c>
      <c r="Y523">
        <v>0.16</v>
      </c>
      <c r="AA523">
        <v>199.42</v>
      </c>
      <c r="AB523">
        <v>0</v>
      </c>
      <c r="AC523">
        <v>0</v>
      </c>
      <c r="AD523">
        <v>0</v>
      </c>
      <c r="AE523">
        <v>30.4</v>
      </c>
      <c r="AF523">
        <v>0</v>
      </c>
      <c r="AG523">
        <v>0</v>
      </c>
      <c r="AH523">
        <v>0</v>
      </c>
      <c r="AI523">
        <v>6.56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0.16</v>
      </c>
      <c r="AU523" t="s">
        <v>6</v>
      </c>
      <c r="AV523">
        <v>0</v>
      </c>
      <c r="AW523">
        <v>2</v>
      </c>
      <c r="AX523">
        <v>16744477</v>
      </c>
      <c r="AY523">
        <v>1</v>
      </c>
      <c r="AZ523">
        <v>0</v>
      </c>
      <c r="BA523">
        <v>489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Y523*Source!I337</f>
        <v>0.128</v>
      </c>
      <c r="CY523">
        <f>AA523</f>
        <v>199.42</v>
      </c>
      <c r="CZ523">
        <f>AE523</f>
        <v>30.4</v>
      </c>
      <c r="DA523">
        <f>AI523</f>
        <v>6.56</v>
      </c>
      <c r="DB523">
        <f t="shared" si="77"/>
        <v>4.8600000000000003</v>
      </c>
      <c r="DC523">
        <f t="shared" si="78"/>
        <v>0</v>
      </c>
    </row>
    <row r="524" spans="1:107" x14ac:dyDescent="0.2">
      <c r="A524">
        <f>ROW(Source!A337)</f>
        <v>337</v>
      </c>
      <c r="B524">
        <v>16742901</v>
      </c>
      <c r="C524">
        <v>16744463</v>
      </c>
      <c r="D524">
        <v>15167600</v>
      </c>
      <c r="E524">
        <v>1</v>
      </c>
      <c r="F524">
        <v>1</v>
      </c>
      <c r="G524">
        <v>1</v>
      </c>
      <c r="H524">
        <v>3</v>
      </c>
      <c r="I524" t="s">
        <v>1675</v>
      </c>
      <c r="J524" t="s">
        <v>1676</v>
      </c>
      <c r="K524" t="s">
        <v>1677</v>
      </c>
      <c r="L524">
        <v>1308</v>
      </c>
      <c r="N524">
        <v>1003</v>
      </c>
      <c r="O524" t="s">
        <v>34</v>
      </c>
      <c r="P524" t="s">
        <v>34</v>
      </c>
      <c r="Q524">
        <v>100</v>
      </c>
      <c r="W524">
        <v>0</v>
      </c>
      <c r="X524">
        <v>568244124</v>
      </c>
      <c r="Y524">
        <v>0.05</v>
      </c>
      <c r="AA524">
        <v>787.2</v>
      </c>
      <c r="AB524">
        <v>0</v>
      </c>
      <c r="AC524">
        <v>0</v>
      </c>
      <c r="AD524">
        <v>0</v>
      </c>
      <c r="AE524">
        <v>120</v>
      </c>
      <c r="AF524">
        <v>0</v>
      </c>
      <c r="AG524">
        <v>0</v>
      </c>
      <c r="AH524">
        <v>0</v>
      </c>
      <c r="AI524">
        <v>6.56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6</v>
      </c>
      <c r="AT524">
        <v>0.05</v>
      </c>
      <c r="AU524" t="s">
        <v>6</v>
      </c>
      <c r="AV524">
        <v>0</v>
      </c>
      <c r="AW524">
        <v>2</v>
      </c>
      <c r="AX524">
        <v>16744478</v>
      </c>
      <c r="AY524">
        <v>1</v>
      </c>
      <c r="AZ524">
        <v>0</v>
      </c>
      <c r="BA524">
        <v>490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Y524*Source!I337</f>
        <v>4.0000000000000008E-2</v>
      </c>
      <c r="CY524">
        <f>AA524</f>
        <v>787.2</v>
      </c>
      <c r="CZ524">
        <f>AE524</f>
        <v>120</v>
      </c>
      <c r="DA524">
        <f>AI524</f>
        <v>6.56</v>
      </c>
      <c r="DB524">
        <f t="shared" si="77"/>
        <v>6</v>
      </c>
      <c r="DC524">
        <f t="shared" si="78"/>
        <v>0</v>
      </c>
    </row>
    <row r="525" spans="1:107" x14ac:dyDescent="0.2">
      <c r="A525">
        <f>ROW(Source!A337)</f>
        <v>337</v>
      </c>
      <c r="B525">
        <v>16742901</v>
      </c>
      <c r="C525">
        <v>16744463</v>
      </c>
      <c r="D525">
        <v>15203834</v>
      </c>
      <c r="E525">
        <v>1</v>
      </c>
      <c r="F525">
        <v>1</v>
      </c>
      <c r="G525">
        <v>1</v>
      </c>
      <c r="H525">
        <v>3</v>
      </c>
      <c r="I525" t="s">
        <v>1667</v>
      </c>
      <c r="J525" t="s">
        <v>1668</v>
      </c>
      <c r="K525" t="s">
        <v>403</v>
      </c>
      <c r="L525">
        <v>1346</v>
      </c>
      <c r="N525">
        <v>1009</v>
      </c>
      <c r="O525" t="s">
        <v>341</v>
      </c>
      <c r="P525" t="s">
        <v>341</v>
      </c>
      <c r="Q525">
        <v>1</v>
      </c>
      <c r="W525">
        <v>0</v>
      </c>
      <c r="X525">
        <v>210558753</v>
      </c>
      <c r="Y525">
        <v>0.05</v>
      </c>
      <c r="AA525">
        <v>187.62</v>
      </c>
      <c r="AB525">
        <v>0</v>
      </c>
      <c r="AC525">
        <v>0</v>
      </c>
      <c r="AD525">
        <v>0</v>
      </c>
      <c r="AE525">
        <v>28.6</v>
      </c>
      <c r="AF525">
        <v>0</v>
      </c>
      <c r="AG525">
        <v>0</v>
      </c>
      <c r="AH525">
        <v>0</v>
      </c>
      <c r="AI525">
        <v>6.56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0.05</v>
      </c>
      <c r="AU525" t="s">
        <v>6</v>
      </c>
      <c r="AV525">
        <v>0</v>
      </c>
      <c r="AW525">
        <v>2</v>
      </c>
      <c r="AX525">
        <v>16744479</v>
      </c>
      <c r="AY525">
        <v>1</v>
      </c>
      <c r="AZ525">
        <v>0</v>
      </c>
      <c r="BA525">
        <v>491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Y525*Source!I337</f>
        <v>4.0000000000000008E-2</v>
      </c>
      <c r="CY525">
        <f>AA525</f>
        <v>187.62</v>
      </c>
      <c r="CZ525">
        <f>AE525</f>
        <v>28.6</v>
      </c>
      <c r="DA525">
        <f>AI525</f>
        <v>6.56</v>
      </c>
      <c r="DB525">
        <f t="shared" si="77"/>
        <v>1.43</v>
      </c>
      <c r="DC525">
        <f t="shared" si="78"/>
        <v>0</v>
      </c>
    </row>
    <row r="526" spans="1:107" x14ac:dyDescent="0.2">
      <c r="A526">
        <f>ROW(Source!A337)</f>
        <v>337</v>
      </c>
      <c r="B526">
        <v>16742901</v>
      </c>
      <c r="C526">
        <v>16744463</v>
      </c>
      <c r="D526">
        <v>15223429</v>
      </c>
      <c r="E526">
        <v>1</v>
      </c>
      <c r="F526">
        <v>1</v>
      </c>
      <c r="G526">
        <v>1</v>
      </c>
      <c r="H526">
        <v>3</v>
      </c>
      <c r="I526" t="s">
        <v>747</v>
      </c>
      <c r="J526" t="s">
        <v>750</v>
      </c>
      <c r="K526" t="s">
        <v>748</v>
      </c>
      <c r="L526">
        <v>1477</v>
      </c>
      <c r="N526">
        <v>1013</v>
      </c>
      <c r="O526" t="s">
        <v>749</v>
      </c>
      <c r="P526" t="s">
        <v>751</v>
      </c>
      <c r="Q526">
        <v>1</v>
      </c>
      <c r="W526">
        <v>0</v>
      </c>
      <c r="X526">
        <v>-798446083</v>
      </c>
      <c r="Y526">
        <v>0.1</v>
      </c>
      <c r="AA526">
        <v>71903.31</v>
      </c>
      <c r="AB526">
        <v>0</v>
      </c>
      <c r="AC526">
        <v>0</v>
      </c>
      <c r="AD526">
        <v>0</v>
      </c>
      <c r="AE526">
        <v>10960.87</v>
      </c>
      <c r="AF526">
        <v>0</v>
      </c>
      <c r="AG526">
        <v>0</v>
      </c>
      <c r="AH526">
        <v>0</v>
      </c>
      <c r="AI526">
        <v>6.56</v>
      </c>
      <c r="AJ526">
        <v>1</v>
      </c>
      <c r="AK526">
        <v>1</v>
      </c>
      <c r="AL526">
        <v>1</v>
      </c>
      <c r="AN526">
        <v>0</v>
      </c>
      <c r="AO526">
        <v>0</v>
      </c>
      <c r="AP526">
        <v>0</v>
      </c>
      <c r="AQ526">
        <v>0</v>
      </c>
      <c r="AR526">
        <v>0</v>
      </c>
      <c r="AS526" t="s">
        <v>6</v>
      </c>
      <c r="AT526">
        <v>0.1</v>
      </c>
      <c r="AU526" t="s">
        <v>6</v>
      </c>
      <c r="AV526">
        <v>0</v>
      </c>
      <c r="AW526">
        <v>1</v>
      </c>
      <c r="AX526">
        <v>-1</v>
      </c>
      <c r="AY526">
        <v>0</v>
      </c>
      <c r="AZ526">
        <v>0</v>
      </c>
      <c r="BA526" t="s">
        <v>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Y526*Source!I337</f>
        <v>8.0000000000000016E-2</v>
      </c>
      <c r="CY526">
        <f>AA526</f>
        <v>71903.31</v>
      </c>
      <c r="CZ526">
        <f>AE526</f>
        <v>10960.87</v>
      </c>
      <c r="DA526">
        <f>AI526</f>
        <v>6.56</v>
      </c>
      <c r="DB526">
        <f t="shared" si="77"/>
        <v>1096.0899999999999</v>
      </c>
      <c r="DC526">
        <f t="shared" si="78"/>
        <v>0</v>
      </c>
    </row>
    <row r="527" spans="1:107" x14ac:dyDescent="0.2">
      <c r="A527">
        <f>ROW(Source!A337)</f>
        <v>337</v>
      </c>
      <c r="B527">
        <v>16742901</v>
      </c>
      <c r="C527">
        <v>16744463</v>
      </c>
      <c r="D527">
        <v>15164559</v>
      </c>
      <c r="E527">
        <v>17</v>
      </c>
      <c r="F527">
        <v>1</v>
      </c>
      <c r="G527">
        <v>1</v>
      </c>
      <c r="H527">
        <v>3</v>
      </c>
      <c r="I527" t="s">
        <v>1334</v>
      </c>
      <c r="J527" t="s">
        <v>6</v>
      </c>
      <c r="K527" t="s">
        <v>1335</v>
      </c>
      <c r="L527">
        <v>1374</v>
      </c>
      <c r="N527">
        <v>1013</v>
      </c>
      <c r="O527" t="s">
        <v>1336</v>
      </c>
      <c r="P527" t="s">
        <v>1336</v>
      </c>
      <c r="Q527">
        <v>1</v>
      </c>
      <c r="W527">
        <v>0</v>
      </c>
      <c r="X527">
        <v>-1731369543</v>
      </c>
      <c r="Y527">
        <v>0.53</v>
      </c>
      <c r="AA527">
        <v>1</v>
      </c>
      <c r="AB527">
        <v>0</v>
      </c>
      <c r="AC527">
        <v>0</v>
      </c>
      <c r="AD527">
        <v>0</v>
      </c>
      <c r="AE527">
        <v>1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0.53</v>
      </c>
      <c r="AU527" t="s">
        <v>6</v>
      </c>
      <c r="AV527">
        <v>0</v>
      </c>
      <c r="AW527">
        <v>2</v>
      </c>
      <c r="AX527">
        <v>16744480</v>
      </c>
      <c r="AY527">
        <v>1</v>
      </c>
      <c r="AZ527">
        <v>0</v>
      </c>
      <c r="BA527">
        <v>492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Y527*Source!I337</f>
        <v>0.42400000000000004</v>
      </c>
      <c r="CY527">
        <f>AA527</f>
        <v>1</v>
      </c>
      <c r="CZ527">
        <f>AE527</f>
        <v>1</v>
      </c>
      <c r="DA527">
        <f>AI527</f>
        <v>1</v>
      </c>
      <c r="DB527">
        <f t="shared" ref="DB527:DB590" si="85">ROUND(ROUND(AT527*CZ527,2),2)</f>
        <v>0.53</v>
      </c>
      <c r="DC527">
        <f t="shared" ref="DC527:DC590" si="86">ROUND(ROUND(AT527*AG527,2),2)</f>
        <v>0</v>
      </c>
    </row>
    <row r="528" spans="1:107" x14ac:dyDescent="0.2">
      <c r="A528">
        <f>ROW(Source!A339)</f>
        <v>339</v>
      </c>
      <c r="B528">
        <v>16742901</v>
      </c>
      <c r="C528">
        <v>16744482</v>
      </c>
      <c r="D528">
        <v>15447742</v>
      </c>
      <c r="E528">
        <v>1</v>
      </c>
      <c r="F528">
        <v>1</v>
      </c>
      <c r="G528">
        <v>1</v>
      </c>
      <c r="H528">
        <v>1</v>
      </c>
      <c r="I528" t="s">
        <v>1604</v>
      </c>
      <c r="J528" t="s">
        <v>6</v>
      </c>
      <c r="K528" t="s">
        <v>1605</v>
      </c>
      <c r="L528">
        <v>1191</v>
      </c>
      <c r="N528">
        <v>1013</v>
      </c>
      <c r="O528" t="s">
        <v>1287</v>
      </c>
      <c r="P528" t="s">
        <v>1287</v>
      </c>
      <c r="Q528">
        <v>1</v>
      </c>
      <c r="W528">
        <v>0</v>
      </c>
      <c r="X528">
        <v>-2143564933</v>
      </c>
      <c r="Y528">
        <v>0.5</v>
      </c>
      <c r="AA528">
        <v>0</v>
      </c>
      <c r="AB528">
        <v>0</v>
      </c>
      <c r="AC528">
        <v>0</v>
      </c>
      <c r="AD528">
        <v>64.03</v>
      </c>
      <c r="AE528">
        <v>0</v>
      </c>
      <c r="AF528">
        <v>0</v>
      </c>
      <c r="AG528">
        <v>0</v>
      </c>
      <c r="AH528">
        <v>9.76</v>
      </c>
      <c r="AI528">
        <v>1</v>
      </c>
      <c r="AJ528">
        <v>1</v>
      </c>
      <c r="AK528">
        <v>1</v>
      </c>
      <c r="AL528">
        <v>6.56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0.5</v>
      </c>
      <c r="AU528" t="s">
        <v>6</v>
      </c>
      <c r="AV528">
        <v>1</v>
      </c>
      <c r="AW528">
        <v>2</v>
      </c>
      <c r="AX528">
        <v>16744490</v>
      </c>
      <c r="AY528">
        <v>1</v>
      </c>
      <c r="AZ528">
        <v>0</v>
      </c>
      <c r="BA528">
        <v>493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Y528*Source!I339</f>
        <v>45</v>
      </c>
      <c r="CY528">
        <f>AD528</f>
        <v>64.03</v>
      </c>
      <c r="CZ528">
        <f>AH528</f>
        <v>9.76</v>
      </c>
      <c r="DA528">
        <f>AL528</f>
        <v>6.56</v>
      </c>
      <c r="DB528">
        <f t="shared" si="85"/>
        <v>4.88</v>
      </c>
      <c r="DC528">
        <f t="shared" si="86"/>
        <v>0</v>
      </c>
    </row>
    <row r="529" spans="1:107" x14ac:dyDescent="0.2">
      <c r="A529">
        <f>ROW(Source!A339)</f>
        <v>339</v>
      </c>
      <c r="B529">
        <v>16742901</v>
      </c>
      <c r="C529">
        <v>16744482</v>
      </c>
      <c r="D529">
        <v>15170438</v>
      </c>
      <c r="E529">
        <v>1</v>
      </c>
      <c r="F529">
        <v>1</v>
      </c>
      <c r="G529">
        <v>1</v>
      </c>
      <c r="H529">
        <v>3</v>
      </c>
      <c r="I529" t="s">
        <v>1636</v>
      </c>
      <c r="J529" t="s">
        <v>1637</v>
      </c>
      <c r="K529" t="s">
        <v>1638</v>
      </c>
      <c r="L529">
        <v>1348</v>
      </c>
      <c r="N529">
        <v>1009</v>
      </c>
      <c r="O529" t="s">
        <v>100</v>
      </c>
      <c r="P529" t="s">
        <v>100</v>
      </c>
      <c r="Q529">
        <v>1000</v>
      </c>
      <c r="W529">
        <v>0</v>
      </c>
      <c r="X529">
        <v>-1755229539</v>
      </c>
      <c r="Y529">
        <v>1.0000000000000001E-5</v>
      </c>
      <c r="AA529">
        <v>81540.800000000003</v>
      </c>
      <c r="AB529">
        <v>0</v>
      </c>
      <c r="AC529">
        <v>0</v>
      </c>
      <c r="AD529">
        <v>0</v>
      </c>
      <c r="AE529">
        <v>12430</v>
      </c>
      <c r="AF529">
        <v>0</v>
      </c>
      <c r="AG529">
        <v>0</v>
      </c>
      <c r="AH529">
        <v>0</v>
      </c>
      <c r="AI529">
        <v>6.56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6</v>
      </c>
      <c r="AT529">
        <v>1.0000000000000001E-5</v>
      </c>
      <c r="AU529" t="s">
        <v>6</v>
      </c>
      <c r="AV529">
        <v>0</v>
      </c>
      <c r="AW529">
        <v>2</v>
      </c>
      <c r="AX529">
        <v>16744491</v>
      </c>
      <c r="AY529">
        <v>1</v>
      </c>
      <c r="AZ529">
        <v>0</v>
      </c>
      <c r="BA529">
        <v>494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Y529*Source!I339</f>
        <v>9.0000000000000008E-4</v>
      </c>
      <c r="CY529">
        <f>AA529</f>
        <v>81540.800000000003</v>
      </c>
      <c r="CZ529">
        <f>AE529</f>
        <v>12430</v>
      </c>
      <c r="DA529">
        <f>AI529</f>
        <v>6.56</v>
      </c>
      <c r="DB529">
        <f t="shared" si="85"/>
        <v>0.12</v>
      </c>
      <c r="DC529">
        <f t="shared" si="86"/>
        <v>0</v>
      </c>
    </row>
    <row r="530" spans="1:107" x14ac:dyDescent="0.2">
      <c r="A530">
        <f>ROW(Source!A339)</f>
        <v>339</v>
      </c>
      <c r="B530">
        <v>16742901</v>
      </c>
      <c r="C530">
        <v>16744482</v>
      </c>
      <c r="D530">
        <v>15171982</v>
      </c>
      <c r="E530">
        <v>1</v>
      </c>
      <c r="F530">
        <v>1</v>
      </c>
      <c r="G530">
        <v>1</v>
      </c>
      <c r="H530">
        <v>3</v>
      </c>
      <c r="I530" t="s">
        <v>1320</v>
      </c>
      <c r="J530" t="s">
        <v>1321</v>
      </c>
      <c r="K530" t="s">
        <v>1322</v>
      </c>
      <c r="L530">
        <v>1348</v>
      </c>
      <c r="N530">
        <v>1009</v>
      </c>
      <c r="O530" t="s">
        <v>100</v>
      </c>
      <c r="P530" t="s">
        <v>100</v>
      </c>
      <c r="Q530">
        <v>1000</v>
      </c>
      <c r="W530">
        <v>0</v>
      </c>
      <c r="X530">
        <v>-1421715385</v>
      </c>
      <c r="Y530">
        <v>5.0000000000000002E-5</v>
      </c>
      <c r="AA530">
        <v>4788.67</v>
      </c>
      <c r="AB530">
        <v>0</v>
      </c>
      <c r="AC530">
        <v>0</v>
      </c>
      <c r="AD530">
        <v>0</v>
      </c>
      <c r="AE530">
        <v>729.98</v>
      </c>
      <c r="AF530">
        <v>0</v>
      </c>
      <c r="AG530">
        <v>0</v>
      </c>
      <c r="AH530">
        <v>0</v>
      </c>
      <c r="AI530">
        <v>6.56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6</v>
      </c>
      <c r="AT530">
        <v>5.0000000000000002E-5</v>
      </c>
      <c r="AU530" t="s">
        <v>6</v>
      </c>
      <c r="AV530">
        <v>0</v>
      </c>
      <c r="AW530">
        <v>2</v>
      </c>
      <c r="AX530">
        <v>16744492</v>
      </c>
      <c r="AY530">
        <v>1</v>
      </c>
      <c r="AZ530">
        <v>0</v>
      </c>
      <c r="BA530">
        <v>495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Y530*Source!I339</f>
        <v>4.5000000000000005E-3</v>
      </c>
      <c r="CY530">
        <f>AA530</f>
        <v>4788.67</v>
      </c>
      <c r="CZ530">
        <f>AE530</f>
        <v>729.98</v>
      </c>
      <c r="DA530">
        <f>AI530</f>
        <v>6.56</v>
      </c>
      <c r="DB530">
        <f t="shared" si="85"/>
        <v>0.04</v>
      </c>
      <c r="DC530">
        <f t="shared" si="86"/>
        <v>0</v>
      </c>
    </row>
    <row r="531" spans="1:107" x14ac:dyDescent="0.2">
      <c r="A531">
        <f>ROW(Source!A339)</f>
        <v>339</v>
      </c>
      <c r="B531">
        <v>16742901</v>
      </c>
      <c r="C531">
        <v>16744482</v>
      </c>
      <c r="D531">
        <v>15191144</v>
      </c>
      <c r="E531">
        <v>1</v>
      </c>
      <c r="F531">
        <v>1</v>
      </c>
      <c r="G531">
        <v>1</v>
      </c>
      <c r="H531">
        <v>3</v>
      </c>
      <c r="I531" t="s">
        <v>1678</v>
      </c>
      <c r="J531" t="s">
        <v>1679</v>
      </c>
      <c r="K531" t="s">
        <v>1680</v>
      </c>
      <c r="L531">
        <v>1348</v>
      </c>
      <c r="N531">
        <v>1009</v>
      </c>
      <c r="O531" t="s">
        <v>100</v>
      </c>
      <c r="P531" t="s">
        <v>100</v>
      </c>
      <c r="Q531">
        <v>1000</v>
      </c>
      <c r="W531">
        <v>0</v>
      </c>
      <c r="X531">
        <v>-1328921133</v>
      </c>
      <c r="Y531">
        <v>1.0000000000000001E-5</v>
      </c>
      <c r="AA531">
        <v>96366.399999999994</v>
      </c>
      <c r="AB531">
        <v>0</v>
      </c>
      <c r="AC531">
        <v>0</v>
      </c>
      <c r="AD531">
        <v>0</v>
      </c>
      <c r="AE531">
        <v>14690</v>
      </c>
      <c r="AF531">
        <v>0</v>
      </c>
      <c r="AG531">
        <v>0</v>
      </c>
      <c r="AH531">
        <v>0</v>
      </c>
      <c r="AI531">
        <v>6.56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1.0000000000000001E-5</v>
      </c>
      <c r="AU531" t="s">
        <v>6</v>
      </c>
      <c r="AV531">
        <v>0</v>
      </c>
      <c r="AW531">
        <v>2</v>
      </c>
      <c r="AX531">
        <v>16744493</v>
      </c>
      <c r="AY531">
        <v>1</v>
      </c>
      <c r="AZ531">
        <v>0</v>
      </c>
      <c r="BA531">
        <v>496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Y531*Source!I339</f>
        <v>9.0000000000000008E-4</v>
      </c>
      <c r="CY531">
        <f>AA531</f>
        <v>96366.399999999994</v>
      </c>
      <c r="CZ531">
        <f>AE531</f>
        <v>14690</v>
      </c>
      <c r="DA531">
        <f>AI531</f>
        <v>6.56</v>
      </c>
      <c r="DB531">
        <f t="shared" si="85"/>
        <v>0.15</v>
      </c>
      <c r="DC531">
        <f t="shared" si="86"/>
        <v>0</v>
      </c>
    </row>
    <row r="532" spans="1:107" x14ac:dyDescent="0.2">
      <c r="A532">
        <f>ROW(Source!A339)</f>
        <v>339</v>
      </c>
      <c r="B532">
        <v>16742901</v>
      </c>
      <c r="C532">
        <v>16744482</v>
      </c>
      <c r="D532">
        <v>15221015</v>
      </c>
      <c r="E532">
        <v>1</v>
      </c>
      <c r="F532">
        <v>1</v>
      </c>
      <c r="G532">
        <v>1</v>
      </c>
      <c r="H532">
        <v>3</v>
      </c>
      <c r="I532" t="s">
        <v>770</v>
      </c>
      <c r="J532" t="s">
        <v>772</v>
      </c>
      <c r="K532" t="s">
        <v>771</v>
      </c>
      <c r="L532">
        <v>1354</v>
      </c>
      <c r="N532">
        <v>1010</v>
      </c>
      <c r="O532" t="s">
        <v>73</v>
      </c>
      <c r="P532" t="s">
        <v>73</v>
      </c>
      <c r="Q532">
        <v>1</v>
      </c>
      <c r="W532">
        <v>0</v>
      </c>
      <c r="X532">
        <v>-1197549434</v>
      </c>
      <c r="Y532">
        <v>1</v>
      </c>
      <c r="AA532">
        <v>56.55</v>
      </c>
      <c r="AB532">
        <v>0</v>
      </c>
      <c r="AC532">
        <v>0</v>
      </c>
      <c r="AD532">
        <v>0</v>
      </c>
      <c r="AE532">
        <v>8.6199999999999992</v>
      </c>
      <c r="AF532">
        <v>0</v>
      </c>
      <c r="AG532">
        <v>0</v>
      </c>
      <c r="AH532">
        <v>0</v>
      </c>
      <c r="AI532">
        <v>6.56</v>
      </c>
      <c r="AJ532">
        <v>1</v>
      </c>
      <c r="AK532">
        <v>1</v>
      </c>
      <c r="AL532">
        <v>1</v>
      </c>
      <c r="AN532">
        <v>0</v>
      </c>
      <c r="AO532">
        <v>0</v>
      </c>
      <c r="AP532">
        <v>0</v>
      </c>
      <c r="AQ532">
        <v>0</v>
      </c>
      <c r="AR532">
        <v>0</v>
      </c>
      <c r="AS532" t="s">
        <v>6</v>
      </c>
      <c r="AT532">
        <v>1</v>
      </c>
      <c r="AU532" t="s">
        <v>6</v>
      </c>
      <c r="AV532">
        <v>0</v>
      </c>
      <c r="AW532">
        <v>1</v>
      </c>
      <c r="AX532">
        <v>-1</v>
      </c>
      <c r="AY532">
        <v>0</v>
      </c>
      <c r="AZ532">
        <v>0</v>
      </c>
      <c r="BA532" t="s">
        <v>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Y532*Source!I339</f>
        <v>90</v>
      </c>
      <c r="CY532">
        <f>AA532</f>
        <v>56.55</v>
      </c>
      <c r="CZ532">
        <f>AE532</f>
        <v>8.6199999999999992</v>
      </c>
      <c r="DA532">
        <f>AI532</f>
        <v>6.56</v>
      </c>
      <c r="DB532">
        <f t="shared" si="85"/>
        <v>8.6199999999999992</v>
      </c>
      <c r="DC532">
        <f t="shared" si="86"/>
        <v>0</v>
      </c>
    </row>
    <row r="533" spans="1:107" x14ac:dyDescent="0.2">
      <c r="A533">
        <f>ROW(Source!A339)</f>
        <v>339</v>
      </c>
      <c r="B533">
        <v>16742901</v>
      </c>
      <c r="C533">
        <v>16744482</v>
      </c>
      <c r="D533">
        <v>15164559</v>
      </c>
      <c r="E533">
        <v>17</v>
      </c>
      <c r="F533">
        <v>1</v>
      </c>
      <c r="G533">
        <v>1</v>
      </c>
      <c r="H533">
        <v>3</v>
      </c>
      <c r="I533" t="s">
        <v>1334</v>
      </c>
      <c r="J533" t="s">
        <v>6</v>
      </c>
      <c r="K533" t="s">
        <v>1335</v>
      </c>
      <c r="L533">
        <v>1374</v>
      </c>
      <c r="N533">
        <v>1013</v>
      </c>
      <c r="O533" t="s">
        <v>1336</v>
      </c>
      <c r="P533" t="s">
        <v>1336</v>
      </c>
      <c r="Q533">
        <v>1</v>
      </c>
      <c r="W533">
        <v>0</v>
      </c>
      <c r="X533">
        <v>-1731369543</v>
      </c>
      <c r="Y533">
        <v>0.1</v>
      </c>
      <c r="AA533">
        <v>1</v>
      </c>
      <c r="AB533">
        <v>0</v>
      </c>
      <c r="AC533">
        <v>0</v>
      </c>
      <c r="AD533">
        <v>0</v>
      </c>
      <c r="AE533">
        <v>1</v>
      </c>
      <c r="AF533">
        <v>0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6</v>
      </c>
      <c r="AT533">
        <v>0.1</v>
      </c>
      <c r="AU533" t="s">
        <v>6</v>
      </c>
      <c r="AV533">
        <v>0</v>
      </c>
      <c r="AW533">
        <v>2</v>
      </c>
      <c r="AX533">
        <v>16744494</v>
      </c>
      <c r="AY533">
        <v>1</v>
      </c>
      <c r="AZ533">
        <v>0</v>
      </c>
      <c r="BA533">
        <v>497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Y533*Source!I339</f>
        <v>9</v>
      </c>
      <c r="CY533">
        <f>AA533</f>
        <v>1</v>
      </c>
      <c r="CZ533">
        <f>AE533</f>
        <v>1</v>
      </c>
      <c r="DA533">
        <f>AI533</f>
        <v>1</v>
      </c>
      <c r="DB533">
        <f t="shared" si="85"/>
        <v>0.1</v>
      </c>
      <c r="DC533">
        <f t="shared" si="86"/>
        <v>0</v>
      </c>
    </row>
    <row r="534" spans="1:107" x14ac:dyDescent="0.2">
      <c r="A534">
        <f>ROW(Source!A341)</f>
        <v>341</v>
      </c>
      <c r="B534">
        <v>16742901</v>
      </c>
      <c r="C534">
        <v>16744496</v>
      </c>
      <c r="D534">
        <v>15430767</v>
      </c>
      <c r="E534">
        <v>1</v>
      </c>
      <c r="F534">
        <v>1</v>
      </c>
      <c r="G534">
        <v>1</v>
      </c>
      <c r="H534">
        <v>1</v>
      </c>
      <c r="I534" t="s">
        <v>1285</v>
      </c>
      <c r="J534" t="s">
        <v>6</v>
      </c>
      <c r="K534" t="s">
        <v>1286</v>
      </c>
      <c r="L534">
        <v>1191</v>
      </c>
      <c r="N534">
        <v>1013</v>
      </c>
      <c r="O534" t="s">
        <v>1287</v>
      </c>
      <c r="P534" t="s">
        <v>1287</v>
      </c>
      <c r="Q534">
        <v>1</v>
      </c>
      <c r="W534">
        <v>0</v>
      </c>
      <c r="X534">
        <v>-400197608</v>
      </c>
      <c r="Y534">
        <v>5.49</v>
      </c>
      <c r="AA534">
        <v>0</v>
      </c>
      <c r="AB534">
        <v>0</v>
      </c>
      <c r="AC534">
        <v>0</v>
      </c>
      <c r="AD534">
        <v>55.96</v>
      </c>
      <c r="AE534">
        <v>0</v>
      </c>
      <c r="AF534">
        <v>0</v>
      </c>
      <c r="AG534">
        <v>0</v>
      </c>
      <c r="AH534">
        <v>8.5299999999999994</v>
      </c>
      <c r="AI534">
        <v>1</v>
      </c>
      <c r="AJ534">
        <v>1</v>
      </c>
      <c r="AK534">
        <v>1</v>
      </c>
      <c r="AL534">
        <v>6.56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5.49</v>
      </c>
      <c r="AU534" t="s">
        <v>6</v>
      </c>
      <c r="AV534">
        <v>1</v>
      </c>
      <c r="AW534">
        <v>2</v>
      </c>
      <c r="AX534">
        <v>16744498</v>
      </c>
      <c r="AY534">
        <v>1</v>
      </c>
      <c r="AZ534">
        <v>0</v>
      </c>
      <c r="BA534">
        <v>498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Y534*Source!I341</f>
        <v>0.87840000000000007</v>
      </c>
      <c r="CY534">
        <f>AD534</f>
        <v>55.96</v>
      </c>
      <c r="CZ534">
        <f>AH534</f>
        <v>8.5299999999999994</v>
      </c>
      <c r="DA534">
        <f>AL534</f>
        <v>6.56</v>
      </c>
      <c r="DB534">
        <f t="shared" si="85"/>
        <v>46.83</v>
      </c>
      <c r="DC534">
        <f t="shared" si="86"/>
        <v>0</v>
      </c>
    </row>
    <row r="535" spans="1:107" x14ac:dyDescent="0.2">
      <c r="A535">
        <f>ROW(Source!A342)</f>
        <v>342</v>
      </c>
      <c r="B535">
        <v>16742901</v>
      </c>
      <c r="C535">
        <v>16744500</v>
      </c>
      <c r="D535">
        <v>15430397</v>
      </c>
      <c r="E535">
        <v>1</v>
      </c>
      <c r="F535">
        <v>1</v>
      </c>
      <c r="G535">
        <v>1</v>
      </c>
      <c r="H535">
        <v>1</v>
      </c>
      <c r="I535" t="s">
        <v>1323</v>
      </c>
      <c r="J535" t="s">
        <v>6</v>
      </c>
      <c r="K535" t="s">
        <v>1324</v>
      </c>
      <c r="L535">
        <v>1191</v>
      </c>
      <c r="N535">
        <v>1013</v>
      </c>
      <c r="O535" t="s">
        <v>1287</v>
      </c>
      <c r="P535" t="s">
        <v>1287</v>
      </c>
      <c r="Q535">
        <v>1</v>
      </c>
      <c r="W535">
        <v>0</v>
      </c>
      <c r="X535">
        <v>-1081351934</v>
      </c>
      <c r="Y535">
        <v>15.28</v>
      </c>
      <c r="AA535">
        <v>0</v>
      </c>
      <c r="AB535">
        <v>0</v>
      </c>
      <c r="AC535">
        <v>0</v>
      </c>
      <c r="AD535">
        <v>61.66</v>
      </c>
      <c r="AE535">
        <v>0</v>
      </c>
      <c r="AF535">
        <v>0</v>
      </c>
      <c r="AG535">
        <v>0</v>
      </c>
      <c r="AH535">
        <v>9.4</v>
      </c>
      <c r="AI535">
        <v>1</v>
      </c>
      <c r="AJ535">
        <v>1</v>
      </c>
      <c r="AK535">
        <v>1</v>
      </c>
      <c r="AL535">
        <v>6.56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15.28</v>
      </c>
      <c r="AU535" t="s">
        <v>6</v>
      </c>
      <c r="AV535">
        <v>1</v>
      </c>
      <c r="AW535">
        <v>2</v>
      </c>
      <c r="AX535">
        <v>16744512</v>
      </c>
      <c r="AY535">
        <v>1</v>
      </c>
      <c r="AZ535">
        <v>0</v>
      </c>
      <c r="BA535">
        <v>500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Y535*Source!I342</f>
        <v>0.36671999999999999</v>
      </c>
      <c r="CY535">
        <f>AD535</f>
        <v>61.66</v>
      </c>
      <c r="CZ535">
        <f>AH535</f>
        <v>9.4</v>
      </c>
      <c r="DA535">
        <f>AL535</f>
        <v>6.56</v>
      </c>
      <c r="DB535">
        <f t="shared" si="85"/>
        <v>143.63</v>
      </c>
      <c r="DC535">
        <f t="shared" si="86"/>
        <v>0</v>
      </c>
    </row>
    <row r="536" spans="1:107" x14ac:dyDescent="0.2">
      <c r="A536">
        <f>ROW(Source!A342)</f>
        <v>342</v>
      </c>
      <c r="B536">
        <v>16742901</v>
      </c>
      <c r="C536">
        <v>16744500</v>
      </c>
      <c r="D536">
        <v>15430395</v>
      </c>
      <c r="E536">
        <v>1</v>
      </c>
      <c r="F536">
        <v>1</v>
      </c>
      <c r="G536">
        <v>1</v>
      </c>
      <c r="H536">
        <v>1</v>
      </c>
      <c r="I536" t="s">
        <v>1293</v>
      </c>
      <c r="J536" t="s">
        <v>6</v>
      </c>
      <c r="K536" t="s">
        <v>1294</v>
      </c>
      <c r="L536">
        <v>1191</v>
      </c>
      <c r="N536">
        <v>1013</v>
      </c>
      <c r="O536" t="s">
        <v>1287</v>
      </c>
      <c r="P536" t="s">
        <v>1287</v>
      </c>
      <c r="Q536">
        <v>1</v>
      </c>
      <c r="W536">
        <v>0</v>
      </c>
      <c r="X536">
        <v>-1417349443</v>
      </c>
      <c r="Y536">
        <v>0.22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6.56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0.22</v>
      </c>
      <c r="AU536" t="s">
        <v>6</v>
      </c>
      <c r="AV536">
        <v>2</v>
      </c>
      <c r="AW536">
        <v>2</v>
      </c>
      <c r="AX536">
        <v>16744513</v>
      </c>
      <c r="AY536">
        <v>1</v>
      </c>
      <c r="AZ536">
        <v>0</v>
      </c>
      <c r="BA536">
        <v>501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Y536*Source!I342</f>
        <v>5.28E-3</v>
      </c>
      <c r="CY536">
        <f>AD536</f>
        <v>0</v>
      </c>
      <c r="CZ536">
        <f>AH536</f>
        <v>0</v>
      </c>
      <c r="DA536">
        <f>AL536</f>
        <v>1</v>
      </c>
      <c r="DB536">
        <f t="shared" si="85"/>
        <v>0</v>
      </c>
      <c r="DC536">
        <f t="shared" si="86"/>
        <v>0</v>
      </c>
    </row>
    <row r="537" spans="1:107" x14ac:dyDescent="0.2">
      <c r="A537">
        <f>ROW(Source!A342)</f>
        <v>342</v>
      </c>
      <c r="B537">
        <v>16742901</v>
      </c>
      <c r="C537">
        <v>16744500</v>
      </c>
      <c r="D537">
        <v>15247680</v>
      </c>
      <c r="E537">
        <v>1</v>
      </c>
      <c r="F537">
        <v>1</v>
      </c>
      <c r="G537">
        <v>1</v>
      </c>
      <c r="H537">
        <v>2</v>
      </c>
      <c r="I537" t="s">
        <v>1295</v>
      </c>
      <c r="J537" t="s">
        <v>1296</v>
      </c>
      <c r="K537" t="s">
        <v>1297</v>
      </c>
      <c r="L537">
        <v>1368</v>
      </c>
      <c r="N537">
        <v>1011</v>
      </c>
      <c r="O537" t="s">
        <v>1298</v>
      </c>
      <c r="P537" t="s">
        <v>1298</v>
      </c>
      <c r="Q537">
        <v>1</v>
      </c>
      <c r="W537">
        <v>0</v>
      </c>
      <c r="X537">
        <v>-1718674368</v>
      </c>
      <c r="Y537">
        <v>0.11</v>
      </c>
      <c r="AA537">
        <v>0</v>
      </c>
      <c r="AB537">
        <v>734.65</v>
      </c>
      <c r="AC537">
        <v>13.5</v>
      </c>
      <c r="AD537">
        <v>0</v>
      </c>
      <c r="AE537">
        <v>0</v>
      </c>
      <c r="AF537">
        <v>111.99</v>
      </c>
      <c r="AG537">
        <v>13.5</v>
      </c>
      <c r="AH537">
        <v>0</v>
      </c>
      <c r="AI537">
        <v>1</v>
      </c>
      <c r="AJ537">
        <v>6.56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0.11</v>
      </c>
      <c r="AU537" t="s">
        <v>6</v>
      </c>
      <c r="AV537">
        <v>0</v>
      </c>
      <c r="AW537">
        <v>2</v>
      </c>
      <c r="AX537">
        <v>16744514</v>
      </c>
      <c r="AY537">
        <v>1</v>
      </c>
      <c r="AZ537">
        <v>0</v>
      </c>
      <c r="BA537">
        <v>502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Y537*Source!I342</f>
        <v>2.64E-3</v>
      </c>
      <c r="CY537">
        <f>AB537</f>
        <v>734.65</v>
      </c>
      <c r="CZ537">
        <f>AF537</f>
        <v>111.99</v>
      </c>
      <c r="DA537">
        <f>AJ537</f>
        <v>6.56</v>
      </c>
      <c r="DB537">
        <f t="shared" si="85"/>
        <v>12.32</v>
      </c>
      <c r="DC537">
        <f t="shared" si="86"/>
        <v>1.49</v>
      </c>
    </row>
    <row r="538" spans="1:107" x14ac:dyDescent="0.2">
      <c r="A538">
        <f>ROW(Source!A342)</f>
        <v>342</v>
      </c>
      <c r="B538">
        <v>16742901</v>
      </c>
      <c r="C538">
        <v>16744500</v>
      </c>
      <c r="D538">
        <v>15249073</v>
      </c>
      <c r="E538">
        <v>1</v>
      </c>
      <c r="F538">
        <v>1</v>
      </c>
      <c r="G538">
        <v>1</v>
      </c>
      <c r="H538">
        <v>2</v>
      </c>
      <c r="I538" t="s">
        <v>1299</v>
      </c>
      <c r="J538" t="s">
        <v>1300</v>
      </c>
      <c r="K538" t="s">
        <v>1301</v>
      </c>
      <c r="L538">
        <v>1368</v>
      </c>
      <c r="N538">
        <v>1011</v>
      </c>
      <c r="O538" t="s">
        <v>1298</v>
      </c>
      <c r="P538" t="s">
        <v>1298</v>
      </c>
      <c r="Q538">
        <v>1</v>
      </c>
      <c r="W538">
        <v>0</v>
      </c>
      <c r="X538">
        <v>1372534845</v>
      </c>
      <c r="Y538">
        <v>0.11</v>
      </c>
      <c r="AA538">
        <v>0</v>
      </c>
      <c r="AB538">
        <v>431.06</v>
      </c>
      <c r="AC538">
        <v>11.6</v>
      </c>
      <c r="AD538">
        <v>0</v>
      </c>
      <c r="AE538">
        <v>0</v>
      </c>
      <c r="AF538">
        <v>65.709999999999994</v>
      </c>
      <c r="AG538">
        <v>11.6</v>
      </c>
      <c r="AH538">
        <v>0</v>
      </c>
      <c r="AI538">
        <v>1</v>
      </c>
      <c r="AJ538">
        <v>6.56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0.11</v>
      </c>
      <c r="AU538" t="s">
        <v>6</v>
      </c>
      <c r="AV538">
        <v>0</v>
      </c>
      <c r="AW538">
        <v>2</v>
      </c>
      <c r="AX538">
        <v>16744515</v>
      </c>
      <c r="AY538">
        <v>1</v>
      </c>
      <c r="AZ538">
        <v>0</v>
      </c>
      <c r="BA538">
        <v>503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Y538*Source!I342</f>
        <v>2.64E-3</v>
      </c>
      <c r="CY538">
        <f>AB538</f>
        <v>431.06</v>
      </c>
      <c r="CZ538">
        <f>AF538</f>
        <v>65.709999999999994</v>
      </c>
      <c r="DA538">
        <f>AJ538</f>
        <v>6.56</v>
      </c>
      <c r="DB538">
        <f t="shared" si="85"/>
        <v>7.23</v>
      </c>
      <c r="DC538">
        <f t="shared" si="86"/>
        <v>1.28</v>
      </c>
    </row>
    <row r="539" spans="1:107" x14ac:dyDescent="0.2">
      <c r="A539">
        <f>ROW(Source!A342)</f>
        <v>342</v>
      </c>
      <c r="B539">
        <v>16742901</v>
      </c>
      <c r="C539">
        <v>16744500</v>
      </c>
      <c r="D539">
        <v>15172838</v>
      </c>
      <c r="E539">
        <v>1</v>
      </c>
      <c r="F539">
        <v>1</v>
      </c>
      <c r="G539">
        <v>1</v>
      </c>
      <c r="H539">
        <v>3</v>
      </c>
      <c r="I539" t="s">
        <v>1681</v>
      </c>
      <c r="J539" t="s">
        <v>1682</v>
      </c>
      <c r="K539" t="s">
        <v>1683</v>
      </c>
      <c r="L539">
        <v>1339</v>
      </c>
      <c r="N539">
        <v>1007</v>
      </c>
      <c r="O539" t="s">
        <v>301</v>
      </c>
      <c r="P539" t="s">
        <v>301</v>
      </c>
      <c r="Q539">
        <v>1</v>
      </c>
      <c r="W539">
        <v>0</v>
      </c>
      <c r="X539">
        <v>536744769</v>
      </c>
      <c r="Y539">
        <v>2.1000000000000001E-2</v>
      </c>
      <c r="AA539">
        <v>3936</v>
      </c>
      <c r="AB539">
        <v>0</v>
      </c>
      <c r="AC539">
        <v>0</v>
      </c>
      <c r="AD539">
        <v>0</v>
      </c>
      <c r="AE539">
        <v>600</v>
      </c>
      <c r="AF539">
        <v>0</v>
      </c>
      <c r="AG539">
        <v>0</v>
      </c>
      <c r="AH539">
        <v>0</v>
      </c>
      <c r="AI539">
        <v>6.56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2.1000000000000001E-2</v>
      </c>
      <c r="AU539" t="s">
        <v>6</v>
      </c>
      <c r="AV539">
        <v>0</v>
      </c>
      <c r="AW539">
        <v>2</v>
      </c>
      <c r="AX539">
        <v>16744516</v>
      </c>
      <c r="AY539">
        <v>1</v>
      </c>
      <c r="AZ539">
        <v>0</v>
      </c>
      <c r="BA539">
        <v>504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Y539*Source!I342</f>
        <v>5.04E-4</v>
      </c>
      <c r="CY539">
        <f t="shared" ref="CY539:CY545" si="87">AA539</f>
        <v>3936</v>
      </c>
      <c r="CZ539">
        <f t="shared" ref="CZ539:CZ545" si="88">AE539</f>
        <v>600</v>
      </c>
      <c r="DA539">
        <f t="shared" ref="DA539:DA545" si="89">AI539</f>
        <v>6.56</v>
      </c>
      <c r="DB539">
        <f t="shared" si="85"/>
        <v>12.6</v>
      </c>
      <c r="DC539">
        <f t="shared" si="86"/>
        <v>0</v>
      </c>
    </row>
    <row r="540" spans="1:107" x14ac:dyDescent="0.2">
      <c r="A540">
        <f>ROW(Source!A342)</f>
        <v>342</v>
      </c>
      <c r="B540">
        <v>16742901</v>
      </c>
      <c r="C540">
        <v>16744500</v>
      </c>
      <c r="D540">
        <v>15202442</v>
      </c>
      <c r="E540">
        <v>1</v>
      </c>
      <c r="F540">
        <v>1</v>
      </c>
      <c r="G540">
        <v>1</v>
      </c>
      <c r="H540">
        <v>3</v>
      </c>
      <c r="I540" t="s">
        <v>1684</v>
      </c>
      <c r="J540" t="s">
        <v>1685</v>
      </c>
      <c r="K540" t="s">
        <v>1686</v>
      </c>
      <c r="L540">
        <v>1346</v>
      </c>
      <c r="N540">
        <v>1009</v>
      </c>
      <c r="O540" t="s">
        <v>341</v>
      </c>
      <c r="P540" t="s">
        <v>341</v>
      </c>
      <c r="Q540">
        <v>1</v>
      </c>
      <c r="W540">
        <v>0</v>
      </c>
      <c r="X540">
        <v>505519491</v>
      </c>
      <c r="Y540">
        <v>0.4</v>
      </c>
      <c r="AA540">
        <v>169.25</v>
      </c>
      <c r="AB540">
        <v>0</v>
      </c>
      <c r="AC540">
        <v>0</v>
      </c>
      <c r="AD540">
        <v>0</v>
      </c>
      <c r="AE540">
        <v>25.8</v>
      </c>
      <c r="AF540">
        <v>0</v>
      </c>
      <c r="AG540">
        <v>0</v>
      </c>
      <c r="AH540">
        <v>0</v>
      </c>
      <c r="AI540">
        <v>6.56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0.4</v>
      </c>
      <c r="AU540" t="s">
        <v>6</v>
      </c>
      <c r="AV540">
        <v>0</v>
      </c>
      <c r="AW540">
        <v>2</v>
      </c>
      <c r="AX540">
        <v>16744517</v>
      </c>
      <c r="AY540">
        <v>1</v>
      </c>
      <c r="AZ540">
        <v>0</v>
      </c>
      <c r="BA540">
        <v>505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Y540*Source!I342</f>
        <v>9.6000000000000009E-3</v>
      </c>
      <c r="CY540">
        <f t="shared" si="87"/>
        <v>169.25</v>
      </c>
      <c r="CZ540">
        <f t="shared" si="88"/>
        <v>25.8</v>
      </c>
      <c r="DA540">
        <f t="shared" si="89"/>
        <v>6.56</v>
      </c>
      <c r="DB540">
        <f t="shared" si="85"/>
        <v>10.32</v>
      </c>
      <c r="DC540">
        <f t="shared" si="86"/>
        <v>0</v>
      </c>
    </row>
    <row r="541" spans="1:107" x14ac:dyDescent="0.2">
      <c r="A541">
        <f>ROW(Source!A342)</f>
        <v>342</v>
      </c>
      <c r="B541">
        <v>16742901</v>
      </c>
      <c r="C541">
        <v>16744500</v>
      </c>
      <c r="D541">
        <v>15217585</v>
      </c>
      <c r="E541">
        <v>1</v>
      </c>
      <c r="F541">
        <v>1</v>
      </c>
      <c r="G541">
        <v>1</v>
      </c>
      <c r="H541">
        <v>3</v>
      </c>
      <c r="I541" t="s">
        <v>1687</v>
      </c>
      <c r="J541" t="s">
        <v>1688</v>
      </c>
      <c r="K541" t="s">
        <v>1689</v>
      </c>
      <c r="L541">
        <v>1356</v>
      </c>
      <c r="N541">
        <v>1010</v>
      </c>
      <c r="O541" t="s">
        <v>306</v>
      </c>
      <c r="P541" t="s">
        <v>306</v>
      </c>
      <c r="Q541">
        <v>1000</v>
      </c>
      <c r="W541">
        <v>0</v>
      </c>
      <c r="X541">
        <v>40709342</v>
      </c>
      <c r="Y541">
        <v>3.2000000000000001E-2</v>
      </c>
      <c r="AA541">
        <v>1771.2</v>
      </c>
      <c r="AB541">
        <v>0</v>
      </c>
      <c r="AC541">
        <v>0</v>
      </c>
      <c r="AD541">
        <v>0</v>
      </c>
      <c r="AE541">
        <v>270</v>
      </c>
      <c r="AF541">
        <v>0</v>
      </c>
      <c r="AG541">
        <v>0</v>
      </c>
      <c r="AH541">
        <v>0</v>
      </c>
      <c r="AI541">
        <v>6.56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3.2000000000000001E-2</v>
      </c>
      <c r="AU541" t="s">
        <v>6</v>
      </c>
      <c r="AV541">
        <v>0</v>
      </c>
      <c r="AW541">
        <v>2</v>
      </c>
      <c r="AX541">
        <v>16744518</v>
      </c>
      <c r="AY541">
        <v>1</v>
      </c>
      <c r="AZ541">
        <v>0</v>
      </c>
      <c r="BA541">
        <v>506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Y541*Source!I342</f>
        <v>7.6800000000000002E-4</v>
      </c>
      <c r="CY541">
        <f t="shared" si="87"/>
        <v>1771.2</v>
      </c>
      <c r="CZ541">
        <f t="shared" si="88"/>
        <v>270</v>
      </c>
      <c r="DA541">
        <f t="shared" si="89"/>
        <v>6.56</v>
      </c>
      <c r="DB541">
        <f t="shared" si="85"/>
        <v>8.64</v>
      </c>
      <c r="DC541">
        <f t="shared" si="86"/>
        <v>0</v>
      </c>
    </row>
    <row r="542" spans="1:107" x14ac:dyDescent="0.2">
      <c r="A542">
        <f>ROW(Source!A342)</f>
        <v>342</v>
      </c>
      <c r="B542">
        <v>16742901</v>
      </c>
      <c r="C542">
        <v>16744500</v>
      </c>
      <c r="D542">
        <v>15217593</v>
      </c>
      <c r="E542">
        <v>1</v>
      </c>
      <c r="F542">
        <v>1</v>
      </c>
      <c r="G542">
        <v>1</v>
      </c>
      <c r="H542">
        <v>3</v>
      </c>
      <c r="I542" t="s">
        <v>1690</v>
      </c>
      <c r="J542" t="s">
        <v>1691</v>
      </c>
      <c r="K542" t="s">
        <v>1692</v>
      </c>
      <c r="L542">
        <v>1358</v>
      </c>
      <c r="N542">
        <v>1010</v>
      </c>
      <c r="O542" t="s">
        <v>723</v>
      </c>
      <c r="P542" t="s">
        <v>723</v>
      </c>
      <c r="Q542">
        <v>10</v>
      </c>
      <c r="W542">
        <v>0</v>
      </c>
      <c r="X542">
        <v>-1110089157</v>
      </c>
      <c r="Y542">
        <v>1</v>
      </c>
      <c r="AA542">
        <v>130.54</v>
      </c>
      <c r="AB542">
        <v>0</v>
      </c>
      <c r="AC542">
        <v>0</v>
      </c>
      <c r="AD542">
        <v>0</v>
      </c>
      <c r="AE542">
        <v>19.899999999999999</v>
      </c>
      <c r="AF542">
        <v>0</v>
      </c>
      <c r="AG542">
        <v>0</v>
      </c>
      <c r="AH542">
        <v>0</v>
      </c>
      <c r="AI542">
        <v>6.56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1</v>
      </c>
      <c r="AU542" t="s">
        <v>6</v>
      </c>
      <c r="AV542">
        <v>0</v>
      </c>
      <c r="AW542">
        <v>2</v>
      </c>
      <c r="AX542">
        <v>16744519</v>
      </c>
      <c r="AY542">
        <v>1</v>
      </c>
      <c r="AZ542">
        <v>0</v>
      </c>
      <c r="BA542">
        <v>507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Y542*Source!I342</f>
        <v>2.4E-2</v>
      </c>
      <c r="CY542">
        <f t="shared" si="87"/>
        <v>130.54</v>
      </c>
      <c r="CZ542">
        <f t="shared" si="88"/>
        <v>19.899999999999999</v>
      </c>
      <c r="DA542">
        <f t="shared" si="89"/>
        <v>6.56</v>
      </c>
      <c r="DB542">
        <f t="shared" si="85"/>
        <v>19.899999999999999</v>
      </c>
      <c r="DC542">
        <f t="shared" si="86"/>
        <v>0</v>
      </c>
    </row>
    <row r="543" spans="1:107" x14ac:dyDescent="0.2">
      <c r="A543">
        <f>ROW(Source!A342)</f>
        <v>342</v>
      </c>
      <c r="B543">
        <v>16742901</v>
      </c>
      <c r="C543">
        <v>16744500</v>
      </c>
      <c r="D543">
        <v>15218939</v>
      </c>
      <c r="E543">
        <v>1</v>
      </c>
      <c r="F543">
        <v>1</v>
      </c>
      <c r="G543">
        <v>1</v>
      </c>
      <c r="H543">
        <v>3</v>
      </c>
      <c r="I543" t="s">
        <v>1693</v>
      </c>
      <c r="J543" t="s">
        <v>1694</v>
      </c>
      <c r="K543" t="s">
        <v>1695</v>
      </c>
      <c r="L543">
        <v>1354</v>
      </c>
      <c r="N543">
        <v>1010</v>
      </c>
      <c r="O543" t="s">
        <v>73</v>
      </c>
      <c r="P543" t="s">
        <v>73</v>
      </c>
      <c r="Q543">
        <v>1</v>
      </c>
      <c r="W543">
        <v>0</v>
      </c>
      <c r="X543">
        <v>-1308137011</v>
      </c>
      <c r="Y543">
        <v>0.5</v>
      </c>
      <c r="AA543">
        <v>438.34</v>
      </c>
      <c r="AB543">
        <v>0</v>
      </c>
      <c r="AC543">
        <v>0</v>
      </c>
      <c r="AD543">
        <v>0</v>
      </c>
      <c r="AE543">
        <v>66.819999999999993</v>
      </c>
      <c r="AF543">
        <v>0</v>
      </c>
      <c r="AG543">
        <v>0</v>
      </c>
      <c r="AH543">
        <v>0</v>
      </c>
      <c r="AI543">
        <v>6.56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0.5</v>
      </c>
      <c r="AU543" t="s">
        <v>6</v>
      </c>
      <c r="AV543">
        <v>0</v>
      </c>
      <c r="AW543">
        <v>2</v>
      </c>
      <c r="AX543">
        <v>16744520</v>
      </c>
      <c r="AY543">
        <v>1</v>
      </c>
      <c r="AZ543">
        <v>0</v>
      </c>
      <c r="BA543">
        <v>508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Y543*Source!I342</f>
        <v>1.2E-2</v>
      </c>
      <c r="CY543">
        <f t="shared" si="87"/>
        <v>438.34</v>
      </c>
      <c r="CZ543">
        <f t="shared" si="88"/>
        <v>66.819999999999993</v>
      </c>
      <c r="DA543">
        <f t="shared" si="89"/>
        <v>6.56</v>
      </c>
      <c r="DB543">
        <f t="shared" si="85"/>
        <v>33.409999999999997</v>
      </c>
      <c r="DC543">
        <f t="shared" si="86"/>
        <v>0</v>
      </c>
    </row>
    <row r="544" spans="1:107" x14ac:dyDescent="0.2">
      <c r="A544">
        <f>ROW(Source!A342)</f>
        <v>342</v>
      </c>
      <c r="B544">
        <v>16742901</v>
      </c>
      <c r="C544">
        <v>16744500</v>
      </c>
      <c r="D544">
        <v>15233361</v>
      </c>
      <c r="E544">
        <v>1</v>
      </c>
      <c r="F544">
        <v>1</v>
      </c>
      <c r="G544">
        <v>1</v>
      </c>
      <c r="H544">
        <v>3</v>
      </c>
      <c r="I544" t="s">
        <v>782</v>
      </c>
      <c r="J544" t="s">
        <v>784</v>
      </c>
      <c r="K544" t="s">
        <v>783</v>
      </c>
      <c r="L544">
        <v>1302</v>
      </c>
      <c r="N544">
        <v>1003</v>
      </c>
      <c r="O544" t="s">
        <v>740</v>
      </c>
      <c r="P544" t="s">
        <v>740</v>
      </c>
      <c r="Q544">
        <v>10</v>
      </c>
      <c r="W544">
        <v>0</v>
      </c>
      <c r="X544">
        <v>1974421767</v>
      </c>
      <c r="Y544">
        <v>10</v>
      </c>
      <c r="AA544">
        <v>521.32000000000005</v>
      </c>
      <c r="AB544">
        <v>0</v>
      </c>
      <c r="AC544">
        <v>0</v>
      </c>
      <c r="AD544">
        <v>0</v>
      </c>
      <c r="AE544">
        <v>79.47</v>
      </c>
      <c r="AF544">
        <v>0</v>
      </c>
      <c r="AG544">
        <v>0</v>
      </c>
      <c r="AH544">
        <v>0</v>
      </c>
      <c r="AI544">
        <v>6.56</v>
      </c>
      <c r="AJ544">
        <v>1</v>
      </c>
      <c r="AK544">
        <v>1</v>
      </c>
      <c r="AL544">
        <v>1</v>
      </c>
      <c r="AN544">
        <v>0</v>
      </c>
      <c r="AO544">
        <v>0</v>
      </c>
      <c r="AP544">
        <v>0</v>
      </c>
      <c r="AQ544">
        <v>0</v>
      </c>
      <c r="AR544">
        <v>0</v>
      </c>
      <c r="AS544" t="s">
        <v>6</v>
      </c>
      <c r="AT544">
        <v>10</v>
      </c>
      <c r="AU544" t="s">
        <v>6</v>
      </c>
      <c r="AV544">
        <v>0</v>
      </c>
      <c r="AW544">
        <v>1</v>
      </c>
      <c r="AX544">
        <v>-1</v>
      </c>
      <c r="AY544">
        <v>0</v>
      </c>
      <c r="AZ544">
        <v>0</v>
      </c>
      <c r="BA544" t="s">
        <v>6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Y544*Source!I342</f>
        <v>0.24</v>
      </c>
      <c r="CY544">
        <f t="shared" si="87"/>
        <v>521.32000000000005</v>
      </c>
      <c r="CZ544">
        <f t="shared" si="88"/>
        <v>79.47</v>
      </c>
      <c r="DA544">
        <f t="shared" si="89"/>
        <v>6.56</v>
      </c>
      <c r="DB544">
        <f t="shared" si="85"/>
        <v>794.7</v>
      </c>
      <c r="DC544">
        <f t="shared" si="86"/>
        <v>0</v>
      </c>
    </row>
    <row r="545" spans="1:107" x14ac:dyDescent="0.2">
      <c r="A545">
        <f>ROW(Source!A342)</f>
        <v>342</v>
      </c>
      <c r="B545">
        <v>16742901</v>
      </c>
      <c r="C545">
        <v>16744500</v>
      </c>
      <c r="D545">
        <v>15164559</v>
      </c>
      <c r="E545">
        <v>17</v>
      </c>
      <c r="F545">
        <v>1</v>
      </c>
      <c r="G545">
        <v>1</v>
      </c>
      <c r="H545">
        <v>3</v>
      </c>
      <c r="I545" t="s">
        <v>1334</v>
      </c>
      <c r="J545" t="s">
        <v>6</v>
      </c>
      <c r="K545" t="s">
        <v>1335</v>
      </c>
      <c r="L545">
        <v>1374</v>
      </c>
      <c r="N545">
        <v>1013</v>
      </c>
      <c r="O545" t="s">
        <v>1336</v>
      </c>
      <c r="P545" t="s">
        <v>1336</v>
      </c>
      <c r="Q545">
        <v>1</v>
      </c>
      <c r="W545">
        <v>0</v>
      </c>
      <c r="X545">
        <v>-1731369543</v>
      </c>
      <c r="Y545">
        <v>2.87</v>
      </c>
      <c r="AA545">
        <v>1</v>
      </c>
      <c r="AB545">
        <v>0</v>
      </c>
      <c r="AC545">
        <v>0</v>
      </c>
      <c r="AD545">
        <v>0</v>
      </c>
      <c r="AE545">
        <v>1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6</v>
      </c>
      <c r="AT545">
        <v>2.87</v>
      </c>
      <c r="AU545" t="s">
        <v>6</v>
      </c>
      <c r="AV545">
        <v>0</v>
      </c>
      <c r="AW545">
        <v>2</v>
      </c>
      <c r="AX545">
        <v>16744521</v>
      </c>
      <c r="AY545">
        <v>1</v>
      </c>
      <c r="AZ545">
        <v>0</v>
      </c>
      <c r="BA545">
        <v>509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Y545*Source!I342</f>
        <v>6.8880000000000011E-2</v>
      </c>
      <c r="CY545">
        <f t="shared" si="87"/>
        <v>1</v>
      </c>
      <c r="CZ545">
        <f t="shared" si="88"/>
        <v>1</v>
      </c>
      <c r="DA545">
        <f t="shared" si="89"/>
        <v>1</v>
      </c>
      <c r="DB545">
        <f t="shared" si="85"/>
        <v>2.87</v>
      </c>
      <c r="DC545">
        <f t="shared" si="86"/>
        <v>0</v>
      </c>
    </row>
    <row r="546" spans="1:107" x14ac:dyDescent="0.2">
      <c r="A546">
        <f>ROW(Source!A344)</f>
        <v>344</v>
      </c>
      <c r="B546">
        <v>16742901</v>
      </c>
      <c r="C546">
        <v>16744523</v>
      </c>
      <c r="D546">
        <v>15442878</v>
      </c>
      <c r="E546">
        <v>1</v>
      </c>
      <c r="F546">
        <v>1</v>
      </c>
      <c r="G546">
        <v>1</v>
      </c>
      <c r="H546">
        <v>1</v>
      </c>
      <c r="I546" t="s">
        <v>1639</v>
      </c>
      <c r="J546" t="s">
        <v>6</v>
      </c>
      <c r="K546" t="s">
        <v>1640</v>
      </c>
      <c r="L546">
        <v>1191</v>
      </c>
      <c r="N546">
        <v>1013</v>
      </c>
      <c r="O546" t="s">
        <v>1287</v>
      </c>
      <c r="P546" t="s">
        <v>1287</v>
      </c>
      <c r="Q546">
        <v>1</v>
      </c>
      <c r="W546">
        <v>0</v>
      </c>
      <c r="X546">
        <v>-362667798</v>
      </c>
      <c r="Y546">
        <v>0.9</v>
      </c>
      <c r="AA546">
        <v>0</v>
      </c>
      <c r="AB546">
        <v>0</v>
      </c>
      <c r="AC546">
        <v>0</v>
      </c>
      <c r="AD546">
        <v>68.88</v>
      </c>
      <c r="AE546">
        <v>0</v>
      </c>
      <c r="AF546">
        <v>0</v>
      </c>
      <c r="AG546">
        <v>0</v>
      </c>
      <c r="AH546">
        <v>10.5</v>
      </c>
      <c r="AI546">
        <v>1</v>
      </c>
      <c r="AJ546">
        <v>1</v>
      </c>
      <c r="AK546">
        <v>1</v>
      </c>
      <c r="AL546">
        <v>6.56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6</v>
      </c>
      <c r="AT546">
        <v>0.9</v>
      </c>
      <c r="AU546" t="s">
        <v>6</v>
      </c>
      <c r="AV546">
        <v>1</v>
      </c>
      <c r="AW546">
        <v>2</v>
      </c>
      <c r="AX546">
        <v>16744534</v>
      </c>
      <c r="AY546">
        <v>1</v>
      </c>
      <c r="AZ546">
        <v>0</v>
      </c>
      <c r="BA546">
        <v>510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Y546*Source!I344</f>
        <v>1.8</v>
      </c>
      <c r="CY546">
        <f>AD546</f>
        <v>68.88</v>
      </c>
      <c r="CZ546">
        <f>AH546</f>
        <v>10.5</v>
      </c>
      <c r="DA546">
        <f>AL546</f>
        <v>6.56</v>
      </c>
      <c r="DB546">
        <f t="shared" si="85"/>
        <v>9.4499999999999993</v>
      </c>
      <c r="DC546">
        <f t="shared" si="86"/>
        <v>0</v>
      </c>
    </row>
    <row r="547" spans="1:107" x14ac:dyDescent="0.2">
      <c r="A547">
        <f>ROW(Source!A344)</f>
        <v>344</v>
      </c>
      <c r="B547">
        <v>16742901</v>
      </c>
      <c r="C547">
        <v>16744523</v>
      </c>
      <c r="D547">
        <v>15430395</v>
      </c>
      <c r="E547">
        <v>1</v>
      </c>
      <c r="F547">
        <v>1</v>
      </c>
      <c r="G547">
        <v>1</v>
      </c>
      <c r="H547">
        <v>1</v>
      </c>
      <c r="I547" t="s">
        <v>1293</v>
      </c>
      <c r="J547" t="s">
        <v>6</v>
      </c>
      <c r="K547" t="s">
        <v>1294</v>
      </c>
      <c r="L547">
        <v>1191</v>
      </c>
      <c r="N547">
        <v>1013</v>
      </c>
      <c r="O547" t="s">
        <v>1287</v>
      </c>
      <c r="P547" t="s">
        <v>1287</v>
      </c>
      <c r="Q547">
        <v>1</v>
      </c>
      <c r="W547">
        <v>0</v>
      </c>
      <c r="X547">
        <v>-1417349443</v>
      </c>
      <c r="Y547">
        <v>0.2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6.56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0.2</v>
      </c>
      <c r="AU547" t="s">
        <v>6</v>
      </c>
      <c r="AV547">
        <v>2</v>
      </c>
      <c r="AW547">
        <v>2</v>
      </c>
      <c r="AX547">
        <v>16744535</v>
      </c>
      <c r="AY547">
        <v>1</v>
      </c>
      <c r="AZ547">
        <v>0</v>
      </c>
      <c r="BA547">
        <v>511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Y547*Source!I344</f>
        <v>0.4</v>
      </c>
      <c r="CY547">
        <f>AD547</f>
        <v>0</v>
      </c>
      <c r="CZ547">
        <f>AH547</f>
        <v>0</v>
      </c>
      <c r="DA547">
        <f>AL547</f>
        <v>1</v>
      </c>
      <c r="DB547">
        <f t="shared" si="85"/>
        <v>0</v>
      </c>
      <c r="DC547">
        <f t="shared" si="86"/>
        <v>0</v>
      </c>
    </row>
    <row r="548" spans="1:107" x14ac:dyDescent="0.2">
      <c r="A548">
        <f>ROW(Source!A344)</f>
        <v>344</v>
      </c>
      <c r="B548">
        <v>16742901</v>
      </c>
      <c r="C548">
        <v>16744523</v>
      </c>
      <c r="D548">
        <v>15247680</v>
      </c>
      <c r="E548">
        <v>1</v>
      </c>
      <c r="F548">
        <v>1</v>
      </c>
      <c r="G548">
        <v>1</v>
      </c>
      <c r="H548">
        <v>2</v>
      </c>
      <c r="I548" t="s">
        <v>1295</v>
      </c>
      <c r="J548" t="s">
        <v>1296</v>
      </c>
      <c r="K548" t="s">
        <v>1297</v>
      </c>
      <c r="L548">
        <v>1368</v>
      </c>
      <c r="N548">
        <v>1011</v>
      </c>
      <c r="O548" t="s">
        <v>1298</v>
      </c>
      <c r="P548" t="s">
        <v>1298</v>
      </c>
      <c r="Q548">
        <v>1</v>
      </c>
      <c r="W548">
        <v>0</v>
      </c>
      <c r="X548">
        <v>-1718674368</v>
      </c>
      <c r="Y548">
        <v>0.1</v>
      </c>
      <c r="AA548">
        <v>0</v>
      </c>
      <c r="AB548">
        <v>734.65</v>
      </c>
      <c r="AC548">
        <v>13.5</v>
      </c>
      <c r="AD548">
        <v>0</v>
      </c>
      <c r="AE548">
        <v>0</v>
      </c>
      <c r="AF548">
        <v>111.99</v>
      </c>
      <c r="AG548">
        <v>13.5</v>
      </c>
      <c r="AH548">
        <v>0</v>
      </c>
      <c r="AI548">
        <v>1</v>
      </c>
      <c r="AJ548">
        <v>6.56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6</v>
      </c>
      <c r="AT548">
        <v>0.1</v>
      </c>
      <c r="AU548" t="s">
        <v>6</v>
      </c>
      <c r="AV548">
        <v>0</v>
      </c>
      <c r="AW548">
        <v>2</v>
      </c>
      <c r="AX548">
        <v>16744536</v>
      </c>
      <c r="AY548">
        <v>1</v>
      </c>
      <c r="AZ548">
        <v>0</v>
      </c>
      <c r="BA548">
        <v>512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Y548*Source!I344</f>
        <v>0.2</v>
      </c>
      <c r="CY548">
        <f>AB548</f>
        <v>734.65</v>
      </c>
      <c r="CZ548">
        <f>AF548</f>
        <v>111.99</v>
      </c>
      <c r="DA548">
        <f>AJ548</f>
        <v>6.56</v>
      </c>
      <c r="DB548">
        <f t="shared" si="85"/>
        <v>11.2</v>
      </c>
      <c r="DC548">
        <f t="shared" si="86"/>
        <v>1.35</v>
      </c>
    </row>
    <row r="549" spans="1:107" x14ac:dyDescent="0.2">
      <c r="A549">
        <f>ROW(Source!A344)</f>
        <v>344</v>
      </c>
      <c r="B549">
        <v>16742901</v>
      </c>
      <c r="C549">
        <v>16744523</v>
      </c>
      <c r="D549">
        <v>15249073</v>
      </c>
      <c r="E549">
        <v>1</v>
      </c>
      <c r="F549">
        <v>1</v>
      </c>
      <c r="G549">
        <v>1</v>
      </c>
      <c r="H549">
        <v>2</v>
      </c>
      <c r="I549" t="s">
        <v>1299</v>
      </c>
      <c r="J549" t="s">
        <v>1300</v>
      </c>
      <c r="K549" t="s">
        <v>1301</v>
      </c>
      <c r="L549">
        <v>1368</v>
      </c>
      <c r="N549">
        <v>1011</v>
      </c>
      <c r="O549" t="s">
        <v>1298</v>
      </c>
      <c r="P549" t="s">
        <v>1298</v>
      </c>
      <c r="Q549">
        <v>1</v>
      </c>
      <c r="W549">
        <v>0</v>
      </c>
      <c r="X549">
        <v>1372534845</v>
      </c>
      <c r="Y549">
        <v>0.1</v>
      </c>
      <c r="AA549">
        <v>0</v>
      </c>
      <c r="AB549">
        <v>431.06</v>
      </c>
      <c r="AC549">
        <v>11.6</v>
      </c>
      <c r="AD549">
        <v>0</v>
      </c>
      <c r="AE549">
        <v>0</v>
      </c>
      <c r="AF549">
        <v>65.709999999999994</v>
      </c>
      <c r="AG549">
        <v>11.6</v>
      </c>
      <c r="AH549">
        <v>0</v>
      </c>
      <c r="AI549">
        <v>1</v>
      </c>
      <c r="AJ549">
        <v>6.56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6</v>
      </c>
      <c r="AT549">
        <v>0.1</v>
      </c>
      <c r="AU549" t="s">
        <v>6</v>
      </c>
      <c r="AV549">
        <v>0</v>
      </c>
      <c r="AW549">
        <v>2</v>
      </c>
      <c r="AX549">
        <v>16744537</v>
      </c>
      <c r="AY549">
        <v>1</v>
      </c>
      <c r="AZ549">
        <v>0</v>
      </c>
      <c r="BA549">
        <v>513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Y549*Source!I344</f>
        <v>0.2</v>
      </c>
      <c r="CY549">
        <f>AB549</f>
        <v>431.06</v>
      </c>
      <c r="CZ549">
        <f>AF549</f>
        <v>65.709999999999994</v>
      </c>
      <c r="DA549">
        <f>AJ549</f>
        <v>6.56</v>
      </c>
      <c r="DB549">
        <f t="shared" si="85"/>
        <v>6.57</v>
      </c>
      <c r="DC549">
        <f t="shared" si="86"/>
        <v>1.1599999999999999</v>
      </c>
    </row>
    <row r="550" spans="1:107" x14ac:dyDescent="0.2">
      <c r="A550">
        <f>ROW(Source!A344)</f>
        <v>344</v>
      </c>
      <c r="B550">
        <v>16742901</v>
      </c>
      <c r="C550">
        <v>16744523</v>
      </c>
      <c r="D550">
        <v>15167588</v>
      </c>
      <c r="E550">
        <v>1</v>
      </c>
      <c r="F550">
        <v>1</v>
      </c>
      <c r="G550">
        <v>1</v>
      </c>
      <c r="H550">
        <v>3</v>
      </c>
      <c r="I550" t="s">
        <v>1641</v>
      </c>
      <c r="J550" t="s">
        <v>1642</v>
      </c>
      <c r="K550" t="s">
        <v>1643</v>
      </c>
      <c r="L550">
        <v>1346</v>
      </c>
      <c r="N550">
        <v>1009</v>
      </c>
      <c r="O550" t="s">
        <v>341</v>
      </c>
      <c r="P550" t="s">
        <v>341</v>
      </c>
      <c r="Q550">
        <v>1</v>
      </c>
      <c r="W550">
        <v>0</v>
      </c>
      <c r="X550">
        <v>-1088866022</v>
      </c>
      <c r="Y550">
        <v>0.01</v>
      </c>
      <c r="AA550">
        <v>199.42</v>
      </c>
      <c r="AB550">
        <v>0</v>
      </c>
      <c r="AC550">
        <v>0</v>
      </c>
      <c r="AD550">
        <v>0</v>
      </c>
      <c r="AE550">
        <v>30.4</v>
      </c>
      <c r="AF550">
        <v>0</v>
      </c>
      <c r="AG550">
        <v>0</v>
      </c>
      <c r="AH550">
        <v>0</v>
      </c>
      <c r="AI550">
        <v>6.56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6</v>
      </c>
      <c r="AT550">
        <v>0.01</v>
      </c>
      <c r="AU550" t="s">
        <v>6</v>
      </c>
      <c r="AV550">
        <v>0</v>
      </c>
      <c r="AW550">
        <v>2</v>
      </c>
      <c r="AX550">
        <v>16744538</v>
      </c>
      <c r="AY550">
        <v>1</v>
      </c>
      <c r="AZ550">
        <v>0</v>
      </c>
      <c r="BA550">
        <v>514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Y550*Source!I344</f>
        <v>0.02</v>
      </c>
      <c r="CY550">
        <f>AA550</f>
        <v>199.42</v>
      </c>
      <c r="CZ550">
        <f>AE550</f>
        <v>30.4</v>
      </c>
      <c r="DA550">
        <f>AI550</f>
        <v>6.56</v>
      </c>
      <c r="DB550">
        <f t="shared" si="85"/>
        <v>0.3</v>
      </c>
      <c r="DC550">
        <f t="shared" si="86"/>
        <v>0</v>
      </c>
    </row>
    <row r="551" spans="1:107" x14ac:dyDescent="0.2">
      <c r="A551">
        <f>ROW(Source!A344)</f>
        <v>344</v>
      </c>
      <c r="B551">
        <v>16742901</v>
      </c>
      <c r="C551">
        <v>16744523</v>
      </c>
      <c r="D551">
        <v>15169942</v>
      </c>
      <c r="E551">
        <v>1</v>
      </c>
      <c r="F551">
        <v>1</v>
      </c>
      <c r="G551">
        <v>1</v>
      </c>
      <c r="H551">
        <v>3</v>
      </c>
      <c r="I551" t="s">
        <v>1644</v>
      </c>
      <c r="J551" t="s">
        <v>1645</v>
      </c>
      <c r="K551" t="s">
        <v>1310</v>
      </c>
      <c r="L551">
        <v>1346</v>
      </c>
      <c r="N551">
        <v>1009</v>
      </c>
      <c r="O551" t="s">
        <v>341</v>
      </c>
      <c r="P551" t="s">
        <v>341</v>
      </c>
      <c r="Q551">
        <v>1</v>
      </c>
      <c r="W551">
        <v>0</v>
      </c>
      <c r="X551">
        <v>103900845</v>
      </c>
      <c r="Y551">
        <v>0.3</v>
      </c>
      <c r="AA551">
        <v>59.3</v>
      </c>
      <c r="AB551">
        <v>0</v>
      </c>
      <c r="AC551">
        <v>0</v>
      </c>
      <c r="AD551">
        <v>0</v>
      </c>
      <c r="AE551">
        <v>9.0399999999999991</v>
      </c>
      <c r="AF551">
        <v>0</v>
      </c>
      <c r="AG551">
        <v>0</v>
      </c>
      <c r="AH551">
        <v>0</v>
      </c>
      <c r="AI551">
        <v>6.56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6</v>
      </c>
      <c r="AT551">
        <v>0.3</v>
      </c>
      <c r="AU551" t="s">
        <v>6</v>
      </c>
      <c r="AV551">
        <v>0</v>
      </c>
      <c r="AW551">
        <v>2</v>
      </c>
      <c r="AX551">
        <v>16744539</v>
      </c>
      <c r="AY551">
        <v>1</v>
      </c>
      <c r="AZ551">
        <v>0</v>
      </c>
      <c r="BA551">
        <v>515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Y551*Source!I344</f>
        <v>0.6</v>
      </c>
      <c r="CY551">
        <f>AA551</f>
        <v>59.3</v>
      </c>
      <c r="CZ551">
        <f>AE551</f>
        <v>9.0399999999999991</v>
      </c>
      <c r="DA551">
        <f>AI551</f>
        <v>6.56</v>
      </c>
      <c r="DB551">
        <f t="shared" si="85"/>
        <v>2.71</v>
      </c>
      <c r="DC551">
        <f t="shared" si="86"/>
        <v>0</v>
      </c>
    </row>
    <row r="552" spans="1:107" x14ac:dyDescent="0.2">
      <c r="A552">
        <f>ROW(Source!A344)</f>
        <v>344</v>
      </c>
      <c r="B552">
        <v>16742901</v>
      </c>
      <c r="C552">
        <v>16744523</v>
      </c>
      <c r="D552">
        <v>15191488</v>
      </c>
      <c r="E552">
        <v>1</v>
      </c>
      <c r="F552">
        <v>1</v>
      </c>
      <c r="G552">
        <v>1</v>
      </c>
      <c r="H552">
        <v>3</v>
      </c>
      <c r="I552" t="s">
        <v>1646</v>
      </c>
      <c r="J552" t="s">
        <v>1647</v>
      </c>
      <c r="K552" t="s">
        <v>1648</v>
      </c>
      <c r="L552">
        <v>1348</v>
      </c>
      <c r="N552">
        <v>1009</v>
      </c>
      <c r="O552" t="s">
        <v>100</v>
      </c>
      <c r="P552" t="s">
        <v>100</v>
      </c>
      <c r="Q552">
        <v>1000</v>
      </c>
      <c r="W552">
        <v>0</v>
      </c>
      <c r="X552">
        <v>-1598896989</v>
      </c>
      <c r="Y552">
        <v>5.9999999999999995E-4</v>
      </c>
      <c r="AA552">
        <v>32800</v>
      </c>
      <c r="AB552">
        <v>0</v>
      </c>
      <c r="AC552">
        <v>0</v>
      </c>
      <c r="AD552">
        <v>0</v>
      </c>
      <c r="AE552">
        <v>5000</v>
      </c>
      <c r="AF552">
        <v>0</v>
      </c>
      <c r="AG552">
        <v>0</v>
      </c>
      <c r="AH552">
        <v>0</v>
      </c>
      <c r="AI552">
        <v>6.56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6</v>
      </c>
      <c r="AT552">
        <v>5.9999999999999995E-4</v>
      </c>
      <c r="AU552" t="s">
        <v>6</v>
      </c>
      <c r="AV552">
        <v>0</v>
      </c>
      <c r="AW552">
        <v>2</v>
      </c>
      <c r="AX552">
        <v>16744540</v>
      </c>
      <c r="AY552">
        <v>1</v>
      </c>
      <c r="AZ552">
        <v>0</v>
      </c>
      <c r="BA552">
        <v>516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Y552*Source!I344</f>
        <v>1.1999999999999999E-3</v>
      </c>
      <c r="CY552">
        <f>AA552</f>
        <v>32800</v>
      </c>
      <c r="CZ552">
        <f>AE552</f>
        <v>5000</v>
      </c>
      <c r="DA552">
        <f>AI552</f>
        <v>6.56</v>
      </c>
      <c r="DB552">
        <f t="shared" si="85"/>
        <v>3</v>
      </c>
      <c r="DC552">
        <f t="shared" si="86"/>
        <v>0</v>
      </c>
    </row>
    <row r="553" spans="1:107" x14ac:dyDescent="0.2">
      <c r="A553">
        <f>ROW(Source!A344)</f>
        <v>344</v>
      </c>
      <c r="B553">
        <v>16742901</v>
      </c>
      <c r="C553">
        <v>16744523</v>
      </c>
      <c r="D553">
        <v>15240001</v>
      </c>
      <c r="E553">
        <v>1</v>
      </c>
      <c r="F553">
        <v>1</v>
      </c>
      <c r="G553">
        <v>1</v>
      </c>
      <c r="H553">
        <v>3</v>
      </c>
      <c r="I553" t="s">
        <v>788</v>
      </c>
      <c r="J553" t="s">
        <v>790</v>
      </c>
      <c r="K553" t="s">
        <v>789</v>
      </c>
      <c r="L553">
        <v>1354</v>
      </c>
      <c r="N553">
        <v>1010</v>
      </c>
      <c r="O553" t="s">
        <v>73</v>
      </c>
      <c r="P553" t="s">
        <v>73</v>
      </c>
      <c r="Q553">
        <v>1</v>
      </c>
      <c r="W553">
        <v>0</v>
      </c>
      <c r="X553">
        <v>973980002</v>
      </c>
      <c r="Y553">
        <v>1</v>
      </c>
      <c r="AA553">
        <v>9805.69</v>
      </c>
      <c r="AB553">
        <v>0</v>
      </c>
      <c r="AC553">
        <v>0</v>
      </c>
      <c r="AD553">
        <v>0</v>
      </c>
      <c r="AE553">
        <v>1494.77</v>
      </c>
      <c r="AF553">
        <v>0</v>
      </c>
      <c r="AG553">
        <v>0</v>
      </c>
      <c r="AH553">
        <v>0</v>
      </c>
      <c r="AI553">
        <v>6.56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6</v>
      </c>
      <c r="AT553">
        <v>1</v>
      </c>
      <c r="AU553" t="s">
        <v>6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6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Y553*Source!I344</f>
        <v>2</v>
      </c>
      <c r="CY553">
        <f>AA553</f>
        <v>9805.69</v>
      </c>
      <c r="CZ553">
        <f>AE553</f>
        <v>1494.77</v>
      </c>
      <c r="DA553">
        <f>AI553</f>
        <v>6.56</v>
      </c>
      <c r="DB553">
        <f t="shared" si="85"/>
        <v>1494.77</v>
      </c>
      <c r="DC553">
        <f t="shared" si="86"/>
        <v>0</v>
      </c>
    </row>
    <row r="554" spans="1:107" x14ac:dyDescent="0.2">
      <c r="A554">
        <f>ROW(Source!A344)</f>
        <v>344</v>
      </c>
      <c r="B554">
        <v>16742901</v>
      </c>
      <c r="C554">
        <v>16744523</v>
      </c>
      <c r="D554">
        <v>15164559</v>
      </c>
      <c r="E554">
        <v>17</v>
      </c>
      <c r="F554">
        <v>1</v>
      </c>
      <c r="G554">
        <v>1</v>
      </c>
      <c r="H554">
        <v>3</v>
      </c>
      <c r="I554" t="s">
        <v>1334</v>
      </c>
      <c r="J554" t="s">
        <v>6</v>
      </c>
      <c r="K554" t="s">
        <v>1335</v>
      </c>
      <c r="L554">
        <v>1374</v>
      </c>
      <c r="N554">
        <v>1013</v>
      </c>
      <c r="O554" t="s">
        <v>1336</v>
      </c>
      <c r="P554" t="s">
        <v>1336</v>
      </c>
      <c r="Q554">
        <v>1</v>
      </c>
      <c r="W554">
        <v>0</v>
      </c>
      <c r="X554">
        <v>-1731369543</v>
      </c>
      <c r="Y554">
        <v>0.19</v>
      </c>
      <c r="AA554">
        <v>1</v>
      </c>
      <c r="AB554">
        <v>0</v>
      </c>
      <c r="AC554">
        <v>0</v>
      </c>
      <c r="AD554">
        <v>0</v>
      </c>
      <c r="AE554">
        <v>1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0.19</v>
      </c>
      <c r="AU554" t="s">
        <v>6</v>
      </c>
      <c r="AV554">
        <v>0</v>
      </c>
      <c r="AW554">
        <v>2</v>
      </c>
      <c r="AX554">
        <v>16744541</v>
      </c>
      <c r="AY554">
        <v>1</v>
      </c>
      <c r="AZ554">
        <v>0</v>
      </c>
      <c r="BA554">
        <v>517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Y554*Source!I344</f>
        <v>0.38</v>
      </c>
      <c r="CY554">
        <f>AA554</f>
        <v>1</v>
      </c>
      <c r="CZ554">
        <f>AE554</f>
        <v>1</v>
      </c>
      <c r="DA554">
        <f>AI554</f>
        <v>1</v>
      </c>
      <c r="DB554">
        <f t="shared" si="85"/>
        <v>0.19</v>
      </c>
      <c r="DC554">
        <f t="shared" si="86"/>
        <v>0</v>
      </c>
    </row>
    <row r="555" spans="1:107" x14ac:dyDescent="0.2">
      <c r="A555">
        <f>ROW(Source!A346)</f>
        <v>346</v>
      </c>
      <c r="B555">
        <v>16742901</v>
      </c>
      <c r="C555">
        <v>16744543</v>
      </c>
      <c r="D555">
        <v>15435721</v>
      </c>
      <c r="E555">
        <v>1</v>
      </c>
      <c r="F555">
        <v>1</v>
      </c>
      <c r="G555">
        <v>1</v>
      </c>
      <c r="H555">
        <v>1</v>
      </c>
      <c r="I555" t="s">
        <v>1609</v>
      </c>
      <c r="J555" t="s">
        <v>6</v>
      </c>
      <c r="K555" t="s">
        <v>1610</v>
      </c>
      <c r="L555">
        <v>1191</v>
      </c>
      <c r="N555">
        <v>1013</v>
      </c>
      <c r="O555" t="s">
        <v>1287</v>
      </c>
      <c r="P555" t="s">
        <v>1287</v>
      </c>
      <c r="Q555">
        <v>1</v>
      </c>
      <c r="W555">
        <v>0</v>
      </c>
      <c r="X555">
        <v>1983201532</v>
      </c>
      <c r="Y555">
        <v>1.62</v>
      </c>
      <c r="AA555">
        <v>0</v>
      </c>
      <c r="AB555">
        <v>0</v>
      </c>
      <c r="AC555">
        <v>0</v>
      </c>
      <c r="AD555">
        <v>62.39</v>
      </c>
      <c r="AE555">
        <v>0</v>
      </c>
      <c r="AF555">
        <v>0</v>
      </c>
      <c r="AG555">
        <v>0</v>
      </c>
      <c r="AH555">
        <v>9.51</v>
      </c>
      <c r="AI555">
        <v>1</v>
      </c>
      <c r="AJ555">
        <v>1</v>
      </c>
      <c r="AK555">
        <v>1</v>
      </c>
      <c r="AL555">
        <v>6.56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1.62</v>
      </c>
      <c r="AU555" t="s">
        <v>6</v>
      </c>
      <c r="AV555">
        <v>1</v>
      </c>
      <c r="AW555">
        <v>2</v>
      </c>
      <c r="AX555">
        <v>16744560</v>
      </c>
      <c r="AY555">
        <v>1</v>
      </c>
      <c r="AZ555">
        <v>0</v>
      </c>
      <c r="BA555">
        <v>518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Y555*Source!I346</f>
        <v>16.200000000000003</v>
      </c>
      <c r="CY555">
        <f>AD555</f>
        <v>62.39</v>
      </c>
      <c r="CZ555">
        <f>AH555</f>
        <v>9.51</v>
      </c>
      <c r="DA555">
        <f>AL555</f>
        <v>6.56</v>
      </c>
      <c r="DB555">
        <f t="shared" si="85"/>
        <v>15.41</v>
      </c>
      <c r="DC555">
        <f t="shared" si="86"/>
        <v>0</v>
      </c>
    </row>
    <row r="556" spans="1:107" x14ac:dyDescent="0.2">
      <c r="A556">
        <f>ROW(Source!A346)</f>
        <v>346</v>
      </c>
      <c r="B556">
        <v>16742901</v>
      </c>
      <c r="C556">
        <v>16744543</v>
      </c>
      <c r="D556">
        <v>15249377</v>
      </c>
      <c r="E556">
        <v>1</v>
      </c>
      <c r="F556">
        <v>1</v>
      </c>
      <c r="G556">
        <v>1</v>
      </c>
      <c r="H556">
        <v>2</v>
      </c>
      <c r="I556" t="s">
        <v>1302</v>
      </c>
      <c r="J556" t="s">
        <v>1303</v>
      </c>
      <c r="K556" t="s">
        <v>1304</v>
      </c>
      <c r="L556">
        <v>1368</v>
      </c>
      <c r="N556">
        <v>1011</v>
      </c>
      <c r="O556" t="s">
        <v>1298</v>
      </c>
      <c r="P556" t="s">
        <v>1298</v>
      </c>
      <c r="Q556">
        <v>1</v>
      </c>
      <c r="W556">
        <v>0</v>
      </c>
      <c r="X556">
        <v>-353815937</v>
      </c>
      <c r="Y556">
        <v>0.14000000000000001</v>
      </c>
      <c r="AA556">
        <v>0</v>
      </c>
      <c r="AB556">
        <v>53.14</v>
      </c>
      <c r="AC556">
        <v>0</v>
      </c>
      <c r="AD556">
        <v>0</v>
      </c>
      <c r="AE556">
        <v>0</v>
      </c>
      <c r="AF556">
        <v>8.1</v>
      </c>
      <c r="AG556">
        <v>0</v>
      </c>
      <c r="AH556">
        <v>0</v>
      </c>
      <c r="AI556">
        <v>1</v>
      </c>
      <c r="AJ556">
        <v>6.56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0.14000000000000001</v>
      </c>
      <c r="AU556" t="s">
        <v>6</v>
      </c>
      <c r="AV556">
        <v>0</v>
      </c>
      <c r="AW556">
        <v>2</v>
      </c>
      <c r="AX556">
        <v>16744561</v>
      </c>
      <c r="AY556">
        <v>1</v>
      </c>
      <c r="AZ556">
        <v>0</v>
      </c>
      <c r="BA556">
        <v>519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Y556*Source!I346</f>
        <v>1.4000000000000001</v>
      </c>
      <c r="CY556">
        <f>AB556</f>
        <v>53.14</v>
      </c>
      <c r="CZ556">
        <f>AF556</f>
        <v>8.1</v>
      </c>
      <c r="DA556">
        <f>AJ556</f>
        <v>6.56</v>
      </c>
      <c r="DB556">
        <f t="shared" si="85"/>
        <v>1.1299999999999999</v>
      </c>
      <c r="DC556">
        <f t="shared" si="86"/>
        <v>0</v>
      </c>
    </row>
    <row r="557" spans="1:107" x14ac:dyDescent="0.2">
      <c r="A557">
        <f>ROW(Source!A346)</f>
        <v>346</v>
      </c>
      <c r="B557">
        <v>16742901</v>
      </c>
      <c r="C557">
        <v>16744543</v>
      </c>
      <c r="D557">
        <v>15165537</v>
      </c>
      <c r="E557">
        <v>1</v>
      </c>
      <c r="F557">
        <v>1</v>
      </c>
      <c r="G557">
        <v>1</v>
      </c>
      <c r="H557">
        <v>3</v>
      </c>
      <c r="I557" t="s">
        <v>1696</v>
      </c>
      <c r="J557" t="s">
        <v>1697</v>
      </c>
      <c r="K557" t="s">
        <v>1698</v>
      </c>
      <c r="L557">
        <v>1346</v>
      </c>
      <c r="N557">
        <v>1009</v>
      </c>
      <c r="O557" t="s">
        <v>341</v>
      </c>
      <c r="P557" t="s">
        <v>341</v>
      </c>
      <c r="Q557">
        <v>1</v>
      </c>
      <c r="W557">
        <v>0</v>
      </c>
      <c r="X557">
        <v>618806536</v>
      </c>
      <c r="Y557">
        <v>6.0000000000000001E-3</v>
      </c>
      <c r="AA557">
        <v>295</v>
      </c>
      <c r="AB557">
        <v>0</v>
      </c>
      <c r="AC557">
        <v>0</v>
      </c>
      <c r="AD557">
        <v>0</v>
      </c>
      <c r="AE557">
        <v>44.97</v>
      </c>
      <c r="AF557">
        <v>0</v>
      </c>
      <c r="AG557">
        <v>0</v>
      </c>
      <c r="AH557">
        <v>0</v>
      </c>
      <c r="AI557">
        <v>6.56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6.0000000000000001E-3</v>
      </c>
      <c r="AU557" t="s">
        <v>6</v>
      </c>
      <c r="AV557">
        <v>0</v>
      </c>
      <c r="AW557">
        <v>2</v>
      </c>
      <c r="AX557">
        <v>16744562</v>
      </c>
      <c r="AY557">
        <v>1</v>
      </c>
      <c r="AZ557">
        <v>0</v>
      </c>
      <c r="BA557">
        <v>520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Y557*Source!I346</f>
        <v>0.06</v>
      </c>
      <c r="CY557">
        <f t="shared" ref="CY557:CY569" si="90">AA557</f>
        <v>295</v>
      </c>
      <c r="CZ557">
        <f t="shared" ref="CZ557:CZ569" si="91">AE557</f>
        <v>44.97</v>
      </c>
      <c r="DA557">
        <f t="shared" ref="DA557:DA569" si="92">AI557</f>
        <v>6.56</v>
      </c>
      <c r="DB557">
        <f t="shared" si="85"/>
        <v>0.27</v>
      </c>
      <c r="DC557">
        <f t="shared" si="86"/>
        <v>0</v>
      </c>
    </row>
    <row r="558" spans="1:107" x14ac:dyDescent="0.2">
      <c r="A558">
        <f>ROW(Source!A346)</f>
        <v>346</v>
      </c>
      <c r="B558">
        <v>16742901</v>
      </c>
      <c r="C558">
        <v>16744543</v>
      </c>
      <c r="D558">
        <v>15167269</v>
      </c>
      <c r="E558">
        <v>1</v>
      </c>
      <c r="F558">
        <v>1</v>
      </c>
      <c r="G558">
        <v>1</v>
      </c>
      <c r="H558">
        <v>3</v>
      </c>
      <c r="I558" t="s">
        <v>1699</v>
      </c>
      <c r="J558" t="s">
        <v>1700</v>
      </c>
      <c r="K558" t="s">
        <v>1701</v>
      </c>
      <c r="L558">
        <v>1346</v>
      </c>
      <c r="N558">
        <v>1009</v>
      </c>
      <c r="O558" t="s">
        <v>341</v>
      </c>
      <c r="P558" t="s">
        <v>341</v>
      </c>
      <c r="Q558">
        <v>1</v>
      </c>
      <c r="W558">
        <v>0</v>
      </c>
      <c r="X558">
        <v>56922527</v>
      </c>
      <c r="Y558">
        <v>1E-3</v>
      </c>
      <c r="AA558">
        <v>75.44</v>
      </c>
      <c r="AB558">
        <v>0</v>
      </c>
      <c r="AC558">
        <v>0</v>
      </c>
      <c r="AD558">
        <v>0</v>
      </c>
      <c r="AE558">
        <v>11.5</v>
      </c>
      <c r="AF558">
        <v>0</v>
      </c>
      <c r="AG558">
        <v>0</v>
      </c>
      <c r="AH558">
        <v>0</v>
      </c>
      <c r="AI558">
        <v>6.56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1E-3</v>
      </c>
      <c r="AU558" t="s">
        <v>6</v>
      </c>
      <c r="AV558">
        <v>0</v>
      </c>
      <c r="AW558">
        <v>2</v>
      </c>
      <c r="AX558">
        <v>16744563</v>
      </c>
      <c r="AY558">
        <v>1</v>
      </c>
      <c r="AZ558">
        <v>0</v>
      </c>
      <c r="BA558">
        <v>521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Y558*Source!I346</f>
        <v>0.01</v>
      </c>
      <c r="CY558">
        <f t="shared" si="90"/>
        <v>75.44</v>
      </c>
      <c r="CZ558">
        <f t="shared" si="91"/>
        <v>11.5</v>
      </c>
      <c r="DA558">
        <f t="shared" si="92"/>
        <v>6.56</v>
      </c>
      <c r="DB558">
        <f t="shared" si="85"/>
        <v>0.01</v>
      </c>
      <c r="DC558">
        <f t="shared" si="86"/>
        <v>0</v>
      </c>
    </row>
    <row r="559" spans="1:107" x14ac:dyDescent="0.2">
      <c r="A559">
        <f>ROW(Source!A346)</f>
        <v>346</v>
      </c>
      <c r="B559">
        <v>16742901</v>
      </c>
      <c r="C559">
        <v>16744543</v>
      </c>
      <c r="D559">
        <v>15167588</v>
      </c>
      <c r="E559">
        <v>1</v>
      </c>
      <c r="F559">
        <v>1</v>
      </c>
      <c r="G559">
        <v>1</v>
      </c>
      <c r="H559">
        <v>3</v>
      </c>
      <c r="I559" t="s">
        <v>1641</v>
      </c>
      <c r="J559" t="s">
        <v>1642</v>
      </c>
      <c r="K559" t="s">
        <v>1643</v>
      </c>
      <c r="L559">
        <v>1346</v>
      </c>
      <c r="N559">
        <v>1009</v>
      </c>
      <c r="O559" t="s">
        <v>341</v>
      </c>
      <c r="P559" t="s">
        <v>341</v>
      </c>
      <c r="Q559">
        <v>1</v>
      </c>
      <c r="W559">
        <v>0</v>
      </c>
      <c r="X559">
        <v>-1088866022</v>
      </c>
      <c r="Y559">
        <v>1.2E-2</v>
      </c>
      <c r="AA559">
        <v>199.42</v>
      </c>
      <c r="AB559">
        <v>0</v>
      </c>
      <c r="AC559">
        <v>0</v>
      </c>
      <c r="AD559">
        <v>0</v>
      </c>
      <c r="AE559">
        <v>30.4</v>
      </c>
      <c r="AF559">
        <v>0</v>
      </c>
      <c r="AG559">
        <v>0</v>
      </c>
      <c r="AH559">
        <v>0</v>
      </c>
      <c r="AI559">
        <v>6.56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1.2E-2</v>
      </c>
      <c r="AU559" t="s">
        <v>6</v>
      </c>
      <c r="AV559">
        <v>0</v>
      </c>
      <c r="AW559">
        <v>2</v>
      </c>
      <c r="AX559">
        <v>16744564</v>
      </c>
      <c r="AY559">
        <v>1</v>
      </c>
      <c r="AZ559">
        <v>0</v>
      </c>
      <c r="BA559">
        <v>522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Y559*Source!I346</f>
        <v>0.12</v>
      </c>
      <c r="CY559">
        <f t="shared" si="90"/>
        <v>199.42</v>
      </c>
      <c r="CZ559">
        <f t="shared" si="91"/>
        <v>30.4</v>
      </c>
      <c r="DA559">
        <f t="shared" si="92"/>
        <v>6.56</v>
      </c>
      <c r="DB559">
        <f t="shared" si="85"/>
        <v>0.36</v>
      </c>
      <c r="DC559">
        <f t="shared" si="86"/>
        <v>0</v>
      </c>
    </row>
    <row r="560" spans="1:107" x14ac:dyDescent="0.2">
      <c r="A560">
        <f>ROW(Source!A346)</f>
        <v>346</v>
      </c>
      <c r="B560">
        <v>16742901</v>
      </c>
      <c r="C560">
        <v>16744543</v>
      </c>
      <c r="D560">
        <v>15168752</v>
      </c>
      <c r="E560">
        <v>1</v>
      </c>
      <c r="F560">
        <v>1</v>
      </c>
      <c r="G560">
        <v>1</v>
      </c>
      <c r="H560">
        <v>3</v>
      </c>
      <c r="I560" t="s">
        <v>1325</v>
      </c>
      <c r="J560" t="s">
        <v>1326</v>
      </c>
      <c r="K560" t="s">
        <v>1327</v>
      </c>
      <c r="L560">
        <v>1346</v>
      </c>
      <c r="N560">
        <v>1009</v>
      </c>
      <c r="O560" t="s">
        <v>341</v>
      </c>
      <c r="P560" t="s">
        <v>341</v>
      </c>
      <c r="Q560">
        <v>1</v>
      </c>
      <c r="W560">
        <v>0</v>
      </c>
      <c r="X560">
        <v>586013393</v>
      </c>
      <c r="Y560">
        <v>7.0000000000000007E-2</v>
      </c>
      <c r="AA560">
        <v>69.34</v>
      </c>
      <c r="AB560">
        <v>0</v>
      </c>
      <c r="AC560">
        <v>0</v>
      </c>
      <c r="AD560">
        <v>0</v>
      </c>
      <c r="AE560">
        <v>10.57</v>
      </c>
      <c r="AF560">
        <v>0</v>
      </c>
      <c r="AG560">
        <v>0</v>
      </c>
      <c r="AH560">
        <v>0</v>
      </c>
      <c r="AI560">
        <v>6.56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7.0000000000000007E-2</v>
      </c>
      <c r="AU560" t="s">
        <v>6</v>
      </c>
      <c r="AV560">
        <v>0</v>
      </c>
      <c r="AW560">
        <v>2</v>
      </c>
      <c r="AX560">
        <v>16744565</v>
      </c>
      <c r="AY560">
        <v>1</v>
      </c>
      <c r="AZ560">
        <v>0</v>
      </c>
      <c r="BA560">
        <v>523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Y560*Source!I346</f>
        <v>0.70000000000000007</v>
      </c>
      <c r="CY560">
        <f t="shared" si="90"/>
        <v>69.34</v>
      </c>
      <c r="CZ560">
        <f t="shared" si="91"/>
        <v>10.57</v>
      </c>
      <c r="DA560">
        <f t="shared" si="92"/>
        <v>6.56</v>
      </c>
      <c r="DB560">
        <f t="shared" si="85"/>
        <v>0.74</v>
      </c>
      <c r="DC560">
        <f t="shared" si="86"/>
        <v>0</v>
      </c>
    </row>
    <row r="561" spans="1:107" x14ac:dyDescent="0.2">
      <c r="A561">
        <f>ROW(Source!A346)</f>
        <v>346</v>
      </c>
      <c r="B561">
        <v>16742901</v>
      </c>
      <c r="C561">
        <v>16744543</v>
      </c>
      <c r="D561">
        <v>15169942</v>
      </c>
      <c r="E561">
        <v>1</v>
      </c>
      <c r="F561">
        <v>1</v>
      </c>
      <c r="G561">
        <v>1</v>
      </c>
      <c r="H561">
        <v>3</v>
      </c>
      <c r="I561" t="s">
        <v>1644</v>
      </c>
      <c r="J561" t="s">
        <v>1645</v>
      </c>
      <c r="K561" t="s">
        <v>1310</v>
      </c>
      <c r="L561">
        <v>1346</v>
      </c>
      <c r="N561">
        <v>1009</v>
      </c>
      <c r="O561" t="s">
        <v>341</v>
      </c>
      <c r="P561" t="s">
        <v>341</v>
      </c>
      <c r="Q561">
        <v>1</v>
      </c>
      <c r="W561">
        <v>0</v>
      </c>
      <c r="X561">
        <v>103900845</v>
      </c>
      <c r="Y561">
        <v>4.9000000000000002E-2</v>
      </c>
      <c r="AA561">
        <v>59.3</v>
      </c>
      <c r="AB561">
        <v>0</v>
      </c>
      <c r="AC561">
        <v>0</v>
      </c>
      <c r="AD561">
        <v>0</v>
      </c>
      <c r="AE561">
        <v>9.0399999999999991</v>
      </c>
      <c r="AF561">
        <v>0</v>
      </c>
      <c r="AG561">
        <v>0</v>
      </c>
      <c r="AH561">
        <v>0</v>
      </c>
      <c r="AI561">
        <v>6.56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6</v>
      </c>
      <c r="AT561">
        <v>4.9000000000000002E-2</v>
      </c>
      <c r="AU561" t="s">
        <v>6</v>
      </c>
      <c r="AV561">
        <v>0</v>
      </c>
      <c r="AW561">
        <v>2</v>
      </c>
      <c r="AX561">
        <v>16744566</v>
      </c>
      <c r="AY561">
        <v>1</v>
      </c>
      <c r="AZ561">
        <v>0</v>
      </c>
      <c r="BA561">
        <v>524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Y561*Source!I346</f>
        <v>0.49</v>
      </c>
      <c r="CY561">
        <f t="shared" si="90"/>
        <v>59.3</v>
      </c>
      <c r="CZ561">
        <f t="shared" si="91"/>
        <v>9.0399999999999991</v>
      </c>
      <c r="DA561">
        <f t="shared" si="92"/>
        <v>6.56</v>
      </c>
      <c r="DB561">
        <f t="shared" si="85"/>
        <v>0.44</v>
      </c>
      <c r="DC561">
        <f t="shared" si="86"/>
        <v>0</v>
      </c>
    </row>
    <row r="562" spans="1:107" x14ac:dyDescent="0.2">
      <c r="A562">
        <f>ROW(Source!A346)</f>
        <v>346</v>
      </c>
      <c r="B562">
        <v>16742901</v>
      </c>
      <c r="C562">
        <v>16744543</v>
      </c>
      <c r="D562">
        <v>15170074</v>
      </c>
      <c r="E562">
        <v>1</v>
      </c>
      <c r="F562">
        <v>1</v>
      </c>
      <c r="G562">
        <v>1</v>
      </c>
      <c r="H562">
        <v>3</v>
      </c>
      <c r="I562" t="s">
        <v>1655</v>
      </c>
      <c r="J562" t="s">
        <v>1656</v>
      </c>
      <c r="K562" t="s">
        <v>1657</v>
      </c>
      <c r="L562">
        <v>1355</v>
      </c>
      <c r="N562">
        <v>1010</v>
      </c>
      <c r="O562" t="s">
        <v>843</v>
      </c>
      <c r="P562" t="s">
        <v>843</v>
      </c>
      <c r="Q562">
        <v>100</v>
      </c>
      <c r="W562">
        <v>0</v>
      </c>
      <c r="X562">
        <v>1794244060</v>
      </c>
      <c r="Y562">
        <v>0.02</v>
      </c>
      <c r="AA562">
        <v>564.16</v>
      </c>
      <c r="AB562">
        <v>0</v>
      </c>
      <c r="AC562">
        <v>0</v>
      </c>
      <c r="AD562">
        <v>0</v>
      </c>
      <c r="AE562">
        <v>86</v>
      </c>
      <c r="AF562">
        <v>0</v>
      </c>
      <c r="AG562">
        <v>0</v>
      </c>
      <c r="AH562">
        <v>0</v>
      </c>
      <c r="AI562">
        <v>6.56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0.02</v>
      </c>
      <c r="AU562" t="s">
        <v>6</v>
      </c>
      <c r="AV562">
        <v>0</v>
      </c>
      <c r="AW562">
        <v>2</v>
      </c>
      <c r="AX562">
        <v>16744567</v>
      </c>
      <c r="AY562">
        <v>1</v>
      </c>
      <c r="AZ562">
        <v>0</v>
      </c>
      <c r="BA562">
        <v>525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Y562*Source!I346</f>
        <v>0.2</v>
      </c>
      <c r="CY562">
        <f t="shared" si="90"/>
        <v>564.16</v>
      </c>
      <c r="CZ562">
        <f t="shared" si="91"/>
        <v>86</v>
      </c>
      <c r="DA562">
        <f t="shared" si="92"/>
        <v>6.56</v>
      </c>
      <c r="DB562">
        <f t="shared" si="85"/>
        <v>1.72</v>
      </c>
      <c r="DC562">
        <f t="shared" si="86"/>
        <v>0</v>
      </c>
    </row>
    <row r="563" spans="1:107" x14ac:dyDescent="0.2">
      <c r="A563">
        <f>ROW(Source!A346)</f>
        <v>346</v>
      </c>
      <c r="B563">
        <v>16742901</v>
      </c>
      <c r="C563">
        <v>16744543</v>
      </c>
      <c r="D563">
        <v>15170994</v>
      </c>
      <c r="E563">
        <v>1</v>
      </c>
      <c r="F563">
        <v>1</v>
      </c>
      <c r="G563">
        <v>1</v>
      </c>
      <c r="H563">
        <v>3</v>
      </c>
      <c r="I563" t="s">
        <v>1702</v>
      </c>
      <c r="J563" t="s">
        <v>1703</v>
      </c>
      <c r="K563" t="s">
        <v>1704</v>
      </c>
      <c r="L563">
        <v>1346</v>
      </c>
      <c r="N563">
        <v>1009</v>
      </c>
      <c r="O563" t="s">
        <v>341</v>
      </c>
      <c r="P563" t="s">
        <v>341</v>
      </c>
      <c r="Q563">
        <v>1</v>
      </c>
      <c r="W563">
        <v>0</v>
      </c>
      <c r="X563">
        <v>-856710481</v>
      </c>
      <c r="Y563">
        <v>1E-3</v>
      </c>
      <c r="AA563">
        <v>872.81</v>
      </c>
      <c r="AB563">
        <v>0</v>
      </c>
      <c r="AC563">
        <v>0</v>
      </c>
      <c r="AD563">
        <v>0</v>
      </c>
      <c r="AE563">
        <v>133.05000000000001</v>
      </c>
      <c r="AF563">
        <v>0</v>
      </c>
      <c r="AG563">
        <v>0</v>
      </c>
      <c r="AH563">
        <v>0</v>
      </c>
      <c r="AI563">
        <v>6.56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1E-3</v>
      </c>
      <c r="AU563" t="s">
        <v>6</v>
      </c>
      <c r="AV563">
        <v>0</v>
      </c>
      <c r="AW563">
        <v>2</v>
      </c>
      <c r="AX563">
        <v>16744568</v>
      </c>
      <c r="AY563">
        <v>1</v>
      </c>
      <c r="AZ563">
        <v>0</v>
      </c>
      <c r="BA563">
        <v>526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Y563*Source!I346</f>
        <v>0.01</v>
      </c>
      <c r="CY563">
        <f t="shared" si="90"/>
        <v>872.81</v>
      </c>
      <c r="CZ563">
        <f t="shared" si="91"/>
        <v>133.05000000000001</v>
      </c>
      <c r="DA563">
        <f t="shared" si="92"/>
        <v>6.56</v>
      </c>
      <c r="DB563">
        <f t="shared" si="85"/>
        <v>0.13</v>
      </c>
      <c r="DC563">
        <f t="shared" si="86"/>
        <v>0</v>
      </c>
    </row>
    <row r="564" spans="1:107" x14ac:dyDescent="0.2">
      <c r="A564">
        <f>ROW(Source!A346)</f>
        <v>346</v>
      </c>
      <c r="B564">
        <v>16742901</v>
      </c>
      <c r="C564">
        <v>16744543</v>
      </c>
      <c r="D564">
        <v>15188647</v>
      </c>
      <c r="E564">
        <v>1</v>
      </c>
      <c r="F564">
        <v>1</v>
      </c>
      <c r="G564">
        <v>1</v>
      </c>
      <c r="H564">
        <v>3</v>
      </c>
      <c r="I564" t="s">
        <v>1705</v>
      </c>
      <c r="J564" t="s">
        <v>1706</v>
      </c>
      <c r="K564" t="s">
        <v>1707</v>
      </c>
      <c r="L564">
        <v>1348</v>
      </c>
      <c r="N564">
        <v>1009</v>
      </c>
      <c r="O564" t="s">
        <v>100</v>
      </c>
      <c r="P564" t="s">
        <v>100</v>
      </c>
      <c r="Q564">
        <v>1000</v>
      </c>
      <c r="W564">
        <v>0</v>
      </c>
      <c r="X564">
        <v>426000481</v>
      </c>
      <c r="Y564">
        <v>4.0000000000000001E-3</v>
      </c>
      <c r="AA564">
        <v>75440</v>
      </c>
      <c r="AB564">
        <v>0</v>
      </c>
      <c r="AC564">
        <v>0</v>
      </c>
      <c r="AD564">
        <v>0</v>
      </c>
      <c r="AE564">
        <v>11500</v>
      </c>
      <c r="AF564">
        <v>0</v>
      </c>
      <c r="AG564">
        <v>0</v>
      </c>
      <c r="AH564">
        <v>0</v>
      </c>
      <c r="AI564">
        <v>6.56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6</v>
      </c>
      <c r="AT564">
        <v>4.0000000000000001E-3</v>
      </c>
      <c r="AU564" t="s">
        <v>6</v>
      </c>
      <c r="AV564">
        <v>0</v>
      </c>
      <c r="AW564">
        <v>2</v>
      </c>
      <c r="AX564">
        <v>16744569</v>
      </c>
      <c r="AY564">
        <v>1</v>
      </c>
      <c r="AZ564">
        <v>0</v>
      </c>
      <c r="BA564">
        <v>527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Y564*Source!I346</f>
        <v>0.04</v>
      </c>
      <c r="CY564">
        <f t="shared" si="90"/>
        <v>75440</v>
      </c>
      <c r="CZ564">
        <f t="shared" si="91"/>
        <v>11500</v>
      </c>
      <c r="DA564">
        <f t="shared" si="92"/>
        <v>6.56</v>
      </c>
      <c r="DB564">
        <f t="shared" si="85"/>
        <v>46</v>
      </c>
      <c r="DC564">
        <f t="shared" si="86"/>
        <v>0</v>
      </c>
    </row>
    <row r="565" spans="1:107" x14ac:dyDescent="0.2">
      <c r="A565">
        <f>ROW(Source!A346)</f>
        <v>346</v>
      </c>
      <c r="B565">
        <v>16742901</v>
      </c>
      <c r="C565">
        <v>16744543</v>
      </c>
      <c r="D565">
        <v>15203834</v>
      </c>
      <c r="E565">
        <v>1</v>
      </c>
      <c r="F565">
        <v>1</v>
      </c>
      <c r="G565">
        <v>1</v>
      </c>
      <c r="H565">
        <v>3</v>
      </c>
      <c r="I565" t="s">
        <v>1667</v>
      </c>
      <c r="J565" t="s">
        <v>1668</v>
      </c>
      <c r="K565" t="s">
        <v>403</v>
      </c>
      <c r="L565">
        <v>1346</v>
      </c>
      <c r="N565">
        <v>1009</v>
      </c>
      <c r="O565" t="s">
        <v>341</v>
      </c>
      <c r="P565" t="s">
        <v>341</v>
      </c>
      <c r="Q565">
        <v>1</v>
      </c>
      <c r="W565">
        <v>0</v>
      </c>
      <c r="X565">
        <v>210558753</v>
      </c>
      <c r="Y565">
        <v>4.7E-2</v>
      </c>
      <c r="AA565">
        <v>187.62</v>
      </c>
      <c r="AB565">
        <v>0</v>
      </c>
      <c r="AC565">
        <v>0</v>
      </c>
      <c r="AD565">
        <v>0</v>
      </c>
      <c r="AE565">
        <v>28.6</v>
      </c>
      <c r="AF565">
        <v>0</v>
      </c>
      <c r="AG565">
        <v>0</v>
      </c>
      <c r="AH565">
        <v>0</v>
      </c>
      <c r="AI565">
        <v>6.56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6</v>
      </c>
      <c r="AT565">
        <v>4.7E-2</v>
      </c>
      <c r="AU565" t="s">
        <v>6</v>
      </c>
      <c r="AV565">
        <v>0</v>
      </c>
      <c r="AW565">
        <v>2</v>
      </c>
      <c r="AX565">
        <v>16744570</v>
      </c>
      <c r="AY565">
        <v>1</v>
      </c>
      <c r="AZ565">
        <v>0</v>
      </c>
      <c r="BA565">
        <v>528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Y565*Source!I346</f>
        <v>0.47</v>
      </c>
      <c r="CY565">
        <f t="shared" si="90"/>
        <v>187.62</v>
      </c>
      <c r="CZ565">
        <f t="shared" si="91"/>
        <v>28.6</v>
      </c>
      <c r="DA565">
        <f t="shared" si="92"/>
        <v>6.56</v>
      </c>
      <c r="DB565">
        <f t="shared" si="85"/>
        <v>1.34</v>
      </c>
      <c r="DC565">
        <f t="shared" si="86"/>
        <v>0</v>
      </c>
    </row>
    <row r="566" spans="1:107" x14ac:dyDescent="0.2">
      <c r="A566">
        <f>ROW(Source!A346)</f>
        <v>346</v>
      </c>
      <c r="B566">
        <v>16742901</v>
      </c>
      <c r="C566">
        <v>16744543</v>
      </c>
      <c r="D566">
        <v>15203987</v>
      </c>
      <c r="E566">
        <v>1</v>
      </c>
      <c r="F566">
        <v>1</v>
      </c>
      <c r="G566">
        <v>1</v>
      </c>
      <c r="H566">
        <v>3</v>
      </c>
      <c r="I566" t="s">
        <v>1708</v>
      </c>
      <c r="J566" t="s">
        <v>1709</v>
      </c>
      <c r="K566" t="s">
        <v>1710</v>
      </c>
      <c r="L566">
        <v>1346</v>
      </c>
      <c r="N566">
        <v>1009</v>
      </c>
      <c r="O566" t="s">
        <v>341</v>
      </c>
      <c r="P566" t="s">
        <v>341</v>
      </c>
      <c r="Q566">
        <v>1</v>
      </c>
      <c r="W566">
        <v>0</v>
      </c>
      <c r="X566">
        <v>-1274984028</v>
      </c>
      <c r="Y566">
        <v>6.0000000000000001E-3</v>
      </c>
      <c r="AA566">
        <v>233.73</v>
      </c>
      <c r="AB566">
        <v>0</v>
      </c>
      <c r="AC566">
        <v>0</v>
      </c>
      <c r="AD566">
        <v>0</v>
      </c>
      <c r="AE566">
        <v>35.630000000000003</v>
      </c>
      <c r="AF566">
        <v>0</v>
      </c>
      <c r="AG566">
        <v>0</v>
      </c>
      <c r="AH566">
        <v>0</v>
      </c>
      <c r="AI566">
        <v>6.56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6</v>
      </c>
      <c r="AT566">
        <v>6.0000000000000001E-3</v>
      </c>
      <c r="AU566" t="s">
        <v>6</v>
      </c>
      <c r="AV566">
        <v>0</v>
      </c>
      <c r="AW566">
        <v>2</v>
      </c>
      <c r="AX566">
        <v>16744571</v>
      </c>
      <c r="AY566">
        <v>1</v>
      </c>
      <c r="AZ566">
        <v>0</v>
      </c>
      <c r="BA566">
        <v>529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Y566*Source!I346</f>
        <v>0.06</v>
      </c>
      <c r="CY566">
        <f t="shared" si="90"/>
        <v>233.73</v>
      </c>
      <c r="CZ566">
        <f t="shared" si="91"/>
        <v>35.630000000000003</v>
      </c>
      <c r="DA566">
        <f t="shared" si="92"/>
        <v>6.56</v>
      </c>
      <c r="DB566">
        <f t="shared" si="85"/>
        <v>0.21</v>
      </c>
      <c r="DC566">
        <f t="shared" si="86"/>
        <v>0</v>
      </c>
    </row>
    <row r="567" spans="1:107" x14ac:dyDescent="0.2">
      <c r="A567">
        <f>ROW(Source!A346)</f>
        <v>346</v>
      </c>
      <c r="B567">
        <v>16742901</v>
      </c>
      <c r="C567">
        <v>16744543</v>
      </c>
      <c r="D567">
        <v>15217463</v>
      </c>
      <c r="E567">
        <v>1</v>
      </c>
      <c r="F567">
        <v>1</v>
      </c>
      <c r="G567">
        <v>1</v>
      </c>
      <c r="H567">
        <v>3</v>
      </c>
      <c r="I567" t="s">
        <v>1711</v>
      </c>
      <c r="J567" t="s">
        <v>1712</v>
      </c>
      <c r="K567" t="s">
        <v>1713</v>
      </c>
      <c r="L567">
        <v>1358</v>
      </c>
      <c r="N567">
        <v>1010</v>
      </c>
      <c r="O567" t="s">
        <v>723</v>
      </c>
      <c r="P567" t="s">
        <v>723</v>
      </c>
      <c r="Q567">
        <v>10</v>
      </c>
      <c r="W567">
        <v>0</v>
      </c>
      <c r="X567">
        <v>1386890308</v>
      </c>
      <c r="Y567">
        <v>0.1</v>
      </c>
      <c r="AA567">
        <v>255.84</v>
      </c>
      <c r="AB567">
        <v>0</v>
      </c>
      <c r="AC567">
        <v>0</v>
      </c>
      <c r="AD567">
        <v>0</v>
      </c>
      <c r="AE567">
        <v>39</v>
      </c>
      <c r="AF567">
        <v>0</v>
      </c>
      <c r="AG567">
        <v>0</v>
      </c>
      <c r="AH567">
        <v>0</v>
      </c>
      <c r="AI567">
        <v>6.56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6</v>
      </c>
      <c r="AT567">
        <v>0.1</v>
      </c>
      <c r="AU567" t="s">
        <v>6</v>
      </c>
      <c r="AV567">
        <v>0</v>
      </c>
      <c r="AW567">
        <v>2</v>
      </c>
      <c r="AX567">
        <v>16744572</v>
      </c>
      <c r="AY567">
        <v>1</v>
      </c>
      <c r="AZ567">
        <v>0</v>
      </c>
      <c r="BA567">
        <v>530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Y567*Source!I346</f>
        <v>1</v>
      </c>
      <c r="CY567">
        <f t="shared" si="90"/>
        <v>255.84</v>
      </c>
      <c r="CZ567">
        <f t="shared" si="91"/>
        <v>39</v>
      </c>
      <c r="DA567">
        <f t="shared" si="92"/>
        <v>6.56</v>
      </c>
      <c r="DB567">
        <f t="shared" si="85"/>
        <v>3.9</v>
      </c>
      <c r="DC567">
        <f t="shared" si="86"/>
        <v>0</v>
      </c>
    </row>
    <row r="568" spans="1:107" x14ac:dyDescent="0.2">
      <c r="A568">
        <f>ROW(Source!A346)</f>
        <v>346</v>
      </c>
      <c r="B568">
        <v>16742901</v>
      </c>
      <c r="C568">
        <v>16744543</v>
      </c>
      <c r="D568">
        <v>15238945</v>
      </c>
      <c r="E568">
        <v>1</v>
      </c>
      <c r="F568">
        <v>1</v>
      </c>
      <c r="G568">
        <v>1</v>
      </c>
      <c r="H568">
        <v>3</v>
      </c>
      <c r="I568" t="s">
        <v>796</v>
      </c>
      <c r="J568" t="s">
        <v>798</v>
      </c>
      <c r="K568" t="s">
        <v>797</v>
      </c>
      <c r="L568">
        <v>1354</v>
      </c>
      <c r="N568">
        <v>1010</v>
      </c>
      <c r="O568" t="s">
        <v>73</v>
      </c>
      <c r="P568" t="s">
        <v>73</v>
      </c>
      <c r="Q568">
        <v>1</v>
      </c>
      <c r="W568">
        <v>0</v>
      </c>
      <c r="X568">
        <v>-2112522711</v>
      </c>
      <c r="Y568">
        <v>1</v>
      </c>
      <c r="AA568">
        <v>535.36</v>
      </c>
      <c r="AB568">
        <v>0</v>
      </c>
      <c r="AC568">
        <v>0</v>
      </c>
      <c r="AD568">
        <v>0</v>
      </c>
      <c r="AE568">
        <v>81.61</v>
      </c>
      <c r="AF568">
        <v>0</v>
      </c>
      <c r="AG568">
        <v>0</v>
      </c>
      <c r="AH568">
        <v>0</v>
      </c>
      <c r="AI568">
        <v>6.56</v>
      </c>
      <c r="AJ568">
        <v>1</v>
      </c>
      <c r="AK568">
        <v>1</v>
      </c>
      <c r="AL568">
        <v>1</v>
      </c>
      <c r="AN568">
        <v>0</v>
      </c>
      <c r="AO568">
        <v>0</v>
      </c>
      <c r="AP568">
        <v>0</v>
      </c>
      <c r="AQ568">
        <v>0</v>
      </c>
      <c r="AR568">
        <v>0</v>
      </c>
      <c r="AS568" t="s">
        <v>6</v>
      </c>
      <c r="AT568">
        <v>1</v>
      </c>
      <c r="AU568" t="s">
        <v>6</v>
      </c>
      <c r="AV568">
        <v>0</v>
      </c>
      <c r="AW568">
        <v>1</v>
      </c>
      <c r="AX568">
        <v>-1</v>
      </c>
      <c r="AY568">
        <v>0</v>
      </c>
      <c r="AZ568">
        <v>0</v>
      </c>
      <c r="BA568" t="s">
        <v>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Y568*Source!I346</f>
        <v>10</v>
      </c>
      <c r="CY568">
        <f t="shared" si="90"/>
        <v>535.36</v>
      </c>
      <c r="CZ568">
        <f t="shared" si="91"/>
        <v>81.61</v>
      </c>
      <c r="DA568">
        <f t="shared" si="92"/>
        <v>6.56</v>
      </c>
      <c r="DB568">
        <f t="shared" si="85"/>
        <v>81.61</v>
      </c>
      <c r="DC568">
        <f t="shared" si="86"/>
        <v>0</v>
      </c>
    </row>
    <row r="569" spans="1:107" x14ac:dyDescent="0.2">
      <c r="A569">
        <f>ROW(Source!A346)</f>
        <v>346</v>
      </c>
      <c r="B569">
        <v>16742901</v>
      </c>
      <c r="C569">
        <v>16744543</v>
      </c>
      <c r="D569">
        <v>15164559</v>
      </c>
      <c r="E569">
        <v>17</v>
      </c>
      <c r="F569">
        <v>1</v>
      </c>
      <c r="G569">
        <v>1</v>
      </c>
      <c r="H569">
        <v>3</v>
      </c>
      <c r="I569" t="s">
        <v>1334</v>
      </c>
      <c r="J569" t="s">
        <v>6</v>
      </c>
      <c r="K569" t="s">
        <v>1335</v>
      </c>
      <c r="L569">
        <v>1374</v>
      </c>
      <c r="N569">
        <v>1013</v>
      </c>
      <c r="O569" t="s">
        <v>1336</v>
      </c>
      <c r="P569" t="s">
        <v>1336</v>
      </c>
      <c r="Q569">
        <v>1</v>
      </c>
      <c r="W569">
        <v>0</v>
      </c>
      <c r="X569">
        <v>-1731369543</v>
      </c>
      <c r="Y569">
        <v>0.31</v>
      </c>
      <c r="AA569">
        <v>1</v>
      </c>
      <c r="AB569">
        <v>0</v>
      </c>
      <c r="AC569">
        <v>0</v>
      </c>
      <c r="AD569">
        <v>0</v>
      </c>
      <c r="AE569">
        <v>1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0.31</v>
      </c>
      <c r="AU569" t="s">
        <v>6</v>
      </c>
      <c r="AV569">
        <v>0</v>
      </c>
      <c r="AW569">
        <v>2</v>
      </c>
      <c r="AX569">
        <v>16744573</v>
      </c>
      <c r="AY569">
        <v>1</v>
      </c>
      <c r="AZ569">
        <v>0</v>
      </c>
      <c r="BA569">
        <v>531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Y569*Source!I346</f>
        <v>3.1</v>
      </c>
      <c r="CY569">
        <f t="shared" si="90"/>
        <v>1</v>
      </c>
      <c r="CZ569">
        <f t="shared" si="91"/>
        <v>1</v>
      </c>
      <c r="DA569">
        <f t="shared" si="92"/>
        <v>1</v>
      </c>
      <c r="DB569">
        <f t="shared" si="85"/>
        <v>0.31</v>
      </c>
      <c r="DC569">
        <f t="shared" si="86"/>
        <v>0</v>
      </c>
    </row>
    <row r="570" spans="1:107" x14ac:dyDescent="0.2">
      <c r="A570">
        <f>ROW(Source!A348)</f>
        <v>348</v>
      </c>
      <c r="B570">
        <v>16742901</v>
      </c>
      <c r="C570">
        <v>16744575</v>
      </c>
      <c r="D570">
        <v>15446300</v>
      </c>
      <c r="E570">
        <v>1</v>
      </c>
      <c r="F570">
        <v>1</v>
      </c>
      <c r="G570">
        <v>1</v>
      </c>
      <c r="H570">
        <v>1</v>
      </c>
      <c r="I570" t="s">
        <v>1437</v>
      </c>
      <c r="J570" t="s">
        <v>6</v>
      </c>
      <c r="K570" t="s">
        <v>1438</v>
      </c>
      <c r="L570">
        <v>1191</v>
      </c>
      <c r="N570">
        <v>1013</v>
      </c>
      <c r="O570" t="s">
        <v>1287</v>
      </c>
      <c r="P570" t="s">
        <v>1287</v>
      </c>
      <c r="Q570">
        <v>1</v>
      </c>
      <c r="W570">
        <v>0</v>
      </c>
      <c r="X570">
        <v>912892513</v>
      </c>
      <c r="Y570">
        <v>1.1200000000000001</v>
      </c>
      <c r="AA570">
        <v>0</v>
      </c>
      <c r="AB570">
        <v>0</v>
      </c>
      <c r="AC570">
        <v>0</v>
      </c>
      <c r="AD570">
        <v>65.08</v>
      </c>
      <c r="AE570">
        <v>0</v>
      </c>
      <c r="AF570">
        <v>0</v>
      </c>
      <c r="AG570">
        <v>0</v>
      </c>
      <c r="AH570">
        <v>9.92</v>
      </c>
      <c r="AI570">
        <v>1</v>
      </c>
      <c r="AJ570">
        <v>1</v>
      </c>
      <c r="AK570">
        <v>1</v>
      </c>
      <c r="AL570">
        <v>6.56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6</v>
      </c>
      <c r="AT570">
        <v>1.1200000000000001</v>
      </c>
      <c r="AU570" t="s">
        <v>6</v>
      </c>
      <c r="AV570">
        <v>1</v>
      </c>
      <c r="AW570">
        <v>2</v>
      </c>
      <c r="AX570">
        <v>16744583</v>
      </c>
      <c r="AY570">
        <v>1</v>
      </c>
      <c r="AZ570">
        <v>0</v>
      </c>
      <c r="BA570">
        <v>532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Y570*Source!I348</f>
        <v>4.4800000000000004</v>
      </c>
      <c r="CY570">
        <f>AD570</f>
        <v>65.08</v>
      </c>
      <c r="CZ570">
        <f>AH570</f>
        <v>9.92</v>
      </c>
      <c r="DA570">
        <f>AL570</f>
        <v>6.56</v>
      </c>
      <c r="DB570">
        <f t="shared" si="85"/>
        <v>11.11</v>
      </c>
      <c r="DC570">
        <f t="shared" si="86"/>
        <v>0</v>
      </c>
    </row>
    <row r="571" spans="1:107" x14ac:dyDescent="0.2">
      <c r="A571">
        <f>ROW(Source!A348)</f>
        <v>348</v>
      </c>
      <c r="B571">
        <v>16742901</v>
      </c>
      <c r="C571">
        <v>16744575</v>
      </c>
      <c r="D571">
        <v>15169942</v>
      </c>
      <c r="E571">
        <v>1</v>
      </c>
      <c r="F571">
        <v>1</v>
      </c>
      <c r="G571">
        <v>1</v>
      </c>
      <c r="H571">
        <v>3</v>
      </c>
      <c r="I571" t="s">
        <v>1644</v>
      </c>
      <c r="J571" t="s">
        <v>1645</v>
      </c>
      <c r="K571" t="s">
        <v>1310</v>
      </c>
      <c r="L571">
        <v>1346</v>
      </c>
      <c r="N571">
        <v>1009</v>
      </c>
      <c r="O571" t="s">
        <v>341</v>
      </c>
      <c r="P571" t="s">
        <v>341</v>
      </c>
      <c r="Q571">
        <v>1</v>
      </c>
      <c r="W571">
        <v>0</v>
      </c>
      <c r="X571">
        <v>103900845</v>
      </c>
      <c r="Y571">
        <v>0.02</v>
      </c>
      <c r="AA571">
        <v>59.3</v>
      </c>
      <c r="AB571">
        <v>0</v>
      </c>
      <c r="AC571">
        <v>0</v>
      </c>
      <c r="AD571">
        <v>0</v>
      </c>
      <c r="AE571">
        <v>9.0399999999999991</v>
      </c>
      <c r="AF571">
        <v>0</v>
      </c>
      <c r="AG571">
        <v>0</v>
      </c>
      <c r="AH571">
        <v>0</v>
      </c>
      <c r="AI571">
        <v>6.56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6</v>
      </c>
      <c r="AT571">
        <v>0.02</v>
      </c>
      <c r="AU571" t="s">
        <v>6</v>
      </c>
      <c r="AV571">
        <v>0</v>
      </c>
      <c r="AW571">
        <v>2</v>
      </c>
      <c r="AX571">
        <v>16744584</v>
      </c>
      <c r="AY571">
        <v>1</v>
      </c>
      <c r="AZ571">
        <v>0</v>
      </c>
      <c r="BA571">
        <v>533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Y571*Source!I348</f>
        <v>0.08</v>
      </c>
      <c r="CY571">
        <f>AA571</f>
        <v>59.3</v>
      </c>
      <c r="CZ571">
        <f>AE571</f>
        <v>9.0399999999999991</v>
      </c>
      <c r="DA571">
        <f>AI571</f>
        <v>6.56</v>
      </c>
      <c r="DB571">
        <f t="shared" si="85"/>
        <v>0.18</v>
      </c>
      <c r="DC571">
        <f t="shared" si="86"/>
        <v>0</v>
      </c>
    </row>
    <row r="572" spans="1:107" x14ac:dyDescent="0.2">
      <c r="A572">
        <f>ROW(Source!A348)</f>
        <v>348</v>
      </c>
      <c r="B572">
        <v>16742901</v>
      </c>
      <c r="C572">
        <v>16744575</v>
      </c>
      <c r="D572">
        <v>15238967</v>
      </c>
      <c r="E572">
        <v>1</v>
      </c>
      <c r="F572">
        <v>1</v>
      </c>
      <c r="G572">
        <v>1</v>
      </c>
      <c r="H572">
        <v>3</v>
      </c>
      <c r="I572" t="s">
        <v>804</v>
      </c>
      <c r="J572" t="s">
        <v>806</v>
      </c>
      <c r="K572" t="s">
        <v>805</v>
      </c>
      <c r="L572">
        <v>1354</v>
      </c>
      <c r="N572">
        <v>1010</v>
      </c>
      <c r="O572" t="s">
        <v>73</v>
      </c>
      <c r="P572" t="s">
        <v>73</v>
      </c>
      <c r="Q572">
        <v>1</v>
      </c>
      <c r="W572">
        <v>0</v>
      </c>
      <c r="X572">
        <v>727481344</v>
      </c>
      <c r="Y572">
        <v>0.5</v>
      </c>
      <c r="AA572">
        <v>2810.3</v>
      </c>
      <c r="AB572">
        <v>0</v>
      </c>
      <c r="AC572">
        <v>0</v>
      </c>
      <c r="AD572">
        <v>0</v>
      </c>
      <c r="AE572">
        <v>428.4</v>
      </c>
      <c r="AF572">
        <v>0</v>
      </c>
      <c r="AG572">
        <v>0</v>
      </c>
      <c r="AH572">
        <v>0</v>
      </c>
      <c r="AI572">
        <v>6.56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6</v>
      </c>
      <c r="AT572">
        <v>0.5</v>
      </c>
      <c r="AU572" t="s">
        <v>6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Y572*Source!I348</f>
        <v>2</v>
      </c>
      <c r="CY572">
        <f>AA572</f>
        <v>2810.3</v>
      </c>
      <c r="CZ572">
        <f>AE572</f>
        <v>428.4</v>
      </c>
      <c r="DA572">
        <f>AI572</f>
        <v>6.56</v>
      </c>
      <c r="DB572">
        <f t="shared" si="85"/>
        <v>214.2</v>
      </c>
      <c r="DC572">
        <f t="shared" si="86"/>
        <v>0</v>
      </c>
    </row>
    <row r="573" spans="1:107" x14ac:dyDescent="0.2">
      <c r="A573">
        <f>ROW(Source!A348)</f>
        <v>348</v>
      </c>
      <c r="B573">
        <v>16742901</v>
      </c>
      <c r="C573">
        <v>16744575</v>
      </c>
      <c r="D573">
        <v>15238968</v>
      </c>
      <c r="E573">
        <v>1</v>
      </c>
      <c r="F573">
        <v>1</v>
      </c>
      <c r="G573">
        <v>1</v>
      </c>
      <c r="H573">
        <v>3</v>
      </c>
      <c r="I573" t="s">
        <v>808</v>
      </c>
      <c r="J573" t="s">
        <v>810</v>
      </c>
      <c r="K573" t="s">
        <v>809</v>
      </c>
      <c r="L573">
        <v>1354</v>
      </c>
      <c r="N573">
        <v>1010</v>
      </c>
      <c r="O573" t="s">
        <v>73</v>
      </c>
      <c r="P573" t="s">
        <v>73</v>
      </c>
      <c r="Q573">
        <v>1</v>
      </c>
      <c r="W573">
        <v>0</v>
      </c>
      <c r="X573">
        <v>-2075971747</v>
      </c>
      <c r="Y573">
        <v>0.5</v>
      </c>
      <c r="AA573">
        <v>2810.3</v>
      </c>
      <c r="AB573">
        <v>0</v>
      </c>
      <c r="AC573">
        <v>0</v>
      </c>
      <c r="AD573">
        <v>0</v>
      </c>
      <c r="AE573">
        <v>428.4</v>
      </c>
      <c r="AF573">
        <v>0</v>
      </c>
      <c r="AG573">
        <v>0</v>
      </c>
      <c r="AH573">
        <v>0</v>
      </c>
      <c r="AI573">
        <v>6.56</v>
      </c>
      <c r="AJ573">
        <v>1</v>
      </c>
      <c r="AK573">
        <v>1</v>
      </c>
      <c r="AL573">
        <v>1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6</v>
      </c>
      <c r="AT573">
        <v>0.5</v>
      </c>
      <c r="AU573" t="s">
        <v>6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6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Y573*Source!I348</f>
        <v>2</v>
      </c>
      <c r="CY573">
        <f>AA573</f>
        <v>2810.3</v>
      </c>
      <c r="CZ573">
        <f>AE573</f>
        <v>428.4</v>
      </c>
      <c r="DA573">
        <f>AI573</f>
        <v>6.56</v>
      </c>
      <c r="DB573">
        <f t="shared" si="85"/>
        <v>214.2</v>
      </c>
      <c r="DC573">
        <f t="shared" si="86"/>
        <v>0</v>
      </c>
    </row>
    <row r="574" spans="1:107" x14ac:dyDescent="0.2">
      <c r="A574">
        <f>ROW(Source!A348)</f>
        <v>348</v>
      </c>
      <c r="B574">
        <v>16742901</v>
      </c>
      <c r="C574">
        <v>16744575</v>
      </c>
      <c r="D574">
        <v>15164559</v>
      </c>
      <c r="E574">
        <v>17</v>
      </c>
      <c r="F574">
        <v>1</v>
      </c>
      <c r="G574">
        <v>1</v>
      </c>
      <c r="H574">
        <v>3</v>
      </c>
      <c r="I574" t="s">
        <v>1334</v>
      </c>
      <c r="J574" t="s">
        <v>6</v>
      </c>
      <c r="K574" t="s">
        <v>1335</v>
      </c>
      <c r="L574">
        <v>1374</v>
      </c>
      <c r="N574">
        <v>1013</v>
      </c>
      <c r="O574" t="s">
        <v>1336</v>
      </c>
      <c r="P574" t="s">
        <v>1336</v>
      </c>
      <c r="Q574">
        <v>1</v>
      </c>
      <c r="W574">
        <v>0</v>
      </c>
      <c r="X574">
        <v>-1731369543</v>
      </c>
      <c r="Y574">
        <v>0.22</v>
      </c>
      <c r="AA574">
        <v>1</v>
      </c>
      <c r="AB574">
        <v>0</v>
      </c>
      <c r="AC574">
        <v>0</v>
      </c>
      <c r="AD574">
        <v>0</v>
      </c>
      <c r="AE574">
        <v>1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0.22</v>
      </c>
      <c r="AU574" t="s">
        <v>6</v>
      </c>
      <c r="AV574">
        <v>0</v>
      </c>
      <c r="AW574">
        <v>2</v>
      </c>
      <c r="AX574">
        <v>16744585</v>
      </c>
      <c r="AY574">
        <v>1</v>
      </c>
      <c r="AZ574">
        <v>0</v>
      </c>
      <c r="BA574">
        <v>534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Y574*Source!I348</f>
        <v>0.88</v>
      </c>
      <c r="CY574">
        <f>AA574</f>
        <v>1</v>
      </c>
      <c r="CZ574">
        <f>AE574</f>
        <v>1</v>
      </c>
      <c r="DA574">
        <f>AI574</f>
        <v>1</v>
      </c>
      <c r="DB574">
        <f t="shared" si="85"/>
        <v>0.22</v>
      </c>
      <c r="DC574">
        <f t="shared" si="86"/>
        <v>0</v>
      </c>
    </row>
    <row r="575" spans="1:107" x14ac:dyDescent="0.2">
      <c r="A575">
        <f>ROW(Source!A351)</f>
        <v>351</v>
      </c>
      <c r="B575">
        <v>16742901</v>
      </c>
      <c r="C575">
        <v>16744588</v>
      </c>
      <c r="D575">
        <v>15430397</v>
      </c>
      <c r="E575">
        <v>1</v>
      </c>
      <c r="F575">
        <v>1</v>
      </c>
      <c r="G575">
        <v>1</v>
      </c>
      <c r="H575">
        <v>1</v>
      </c>
      <c r="I575" t="s">
        <v>1323</v>
      </c>
      <c r="J575" t="s">
        <v>6</v>
      </c>
      <c r="K575" t="s">
        <v>1324</v>
      </c>
      <c r="L575">
        <v>1191</v>
      </c>
      <c r="N575">
        <v>1013</v>
      </c>
      <c r="O575" t="s">
        <v>1287</v>
      </c>
      <c r="P575" t="s">
        <v>1287</v>
      </c>
      <c r="Q575">
        <v>1</v>
      </c>
      <c r="W575">
        <v>0</v>
      </c>
      <c r="X575">
        <v>-1081351934</v>
      </c>
      <c r="Y575">
        <v>8.56</v>
      </c>
      <c r="AA575">
        <v>0</v>
      </c>
      <c r="AB575">
        <v>0</v>
      </c>
      <c r="AC575">
        <v>0</v>
      </c>
      <c r="AD575">
        <v>61.66</v>
      </c>
      <c r="AE575">
        <v>0</v>
      </c>
      <c r="AF575">
        <v>0</v>
      </c>
      <c r="AG575">
        <v>0</v>
      </c>
      <c r="AH575">
        <v>9.4</v>
      </c>
      <c r="AI575">
        <v>1</v>
      </c>
      <c r="AJ575">
        <v>1</v>
      </c>
      <c r="AK575">
        <v>1</v>
      </c>
      <c r="AL575">
        <v>6.56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6</v>
      </c>
      <c r="AT575">
        <v>8.56</v>
      </c>
      <c r="AU575" t="s">
        <v>6</v>
      </c>
      <c r="AV575">
        <v>1</v>
      </c>
      <c r="AW575">
        <v>2</v>
      </c>
      <c r="AX575">
        <v>16744602</v>
      </c>
      <c r="AY575">
        <v>1</v>
      </c>
      <c r="AZ575">
        <v>0</v>
      </c>
      <c r="BA575">
        <v>535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Y575*Source!I351</f>
        <v>2.996</v>
      </c>
      <c r="CY575">
        <f>AD575</f>
        <v>61.66</v>
      </c>
      <c r="CZ575">
        <f>AH575</f>
        <v>9.4</v>
      </c>
      <c r="DA575">
        <f>AL575</f>
        <v>6.56</v>
      </c>
      <c r="DB575">
        <f t="shared" si="85"/>
        <v>80.459999999999994</v>
      </c>
      <c r="DC575">
        <f t="shared" si="86"/>
        <v>0</v>
      </c>
    </row>
    <row r="576" spans="1:107" x14ac:dyDescent="0.2">
      <c r="A576">
        <f>ROW(Source!A351)</f>
        <v>351</v>
      </c>
      <c r="B576">
        <v>16742901</v>
      </c>
      <c r="C576">
        <v>16744588</v>
      </c>
      <c r="D576">
        <v>15430395</v>
      </c>
      <c r="E576">
        <v>1</v>
      </c>
      <c r="F576">
        <v>1</v>
      </c>
      <c r="G576">
        <v>1</v>
      </c>
      <c r="H576">
        <v>1</v>
      </c>
      <c r="I576" t="s">
        <v>1293</v>
      </c>
      <c r="J576" t="s">
        <v>6</v>
      </c>
      <c r="K576" t="s">
        <v>1294</v>
      </c>
      <c r="L576">
        <v>1191</v>
      </c>
      <c r="N576">
        <v>1013</v>
      </c>
      <c r="O576" t="s">
        <v>1287</v>
      </c>
      <c r="P576" t="s">
        <v>1287</v>
      </c>
      <c r="Q576">
        <v>1</v>
      </c>
      <c r="W576">
        <v>0</v>
      </c>
      <c r="X576">
        <v>-1417349443</v>
      </c>
      <c r="Y576">
        <v>2.27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6.56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2.27</v>
      </c>
      <c r="AU576" t="s">
        <v>6</v>
      </c>
      <c r="AV576">
        <v>2</v>
      </c>
      <c r="AW576">
        <v>2</v>
      </c>
      <c r="AX576">
        <v>16744603</v>
      </c>
      <c r="AY576">
        <v>1</v>
      </c>
      <c r="AZ576">
        <v>0</v>
      </c>
      <c r="BA576">
        <v>536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Y576*Source!I351</f>
        <v>0.79449999999999998</v>
      </c>
      <c r="CY576">
        <f>AD576</f>
        <v>0</v>
      </c>
      <c r="CZ576">
        <f>AH576</f>
        <v>0</v>
      </c>
      <c r="DA576">
        <f>AL576</f>
        <v>1</v>
      </c>
      <c r="DB576">
        <f t="shared" si="85"/>
        <v>0</v>
      </c>
      <c r="DC576">
        <f t="shared" si="86"/>
        <v>0</v>
      </c>
    </row>
    <row r="577" spans="1:107" x14ac:dyDescent="0.2">
      <c r="A577">
        <f>ROW(Source!A351)</f>
        <v>351</v>
      </c>
      <c r="B577">
        <v>16742901</v>
      </c>
      <c r="C577">
        <v>16744588</v>
      </c>
      <c r="D577">
        <v>15247680</v>
      </c>
      <c r="E577">
        <v>1</v>
      </c>
      <c r="F577">
        <v>1</v>
      </c>
      <c r="G577">
        <v>1</v>
      </c>
      <c r="H577">
        <v>2</v>
      </c>
      <c r="I577" t="s">
        <v>1295</v>
      </c>
      <c r="J577" t="s">
        <v>1296</v>
      </c>
      <c r="K577" t="s">
        <v>1297</v>
      </c>
      <c r="L577">
        <v>1368</v>
      </c>
      <c r="N577">
        <v>1011</v>
      </c>
      <c r="O577" t="s">
        <v>1298</v>
      </c>
      <c r="P577" t="s">
        <v>1298</v>
      </c>
      <c r="Q577">
        <v>1</v>
      </c>
      <c r="W577">
        <v>0</v>
      </c>
      <c r="X577">
        <v>-1718674368</v>
      </c>
      <c r="Y577">
        <v>0.1</v>
      </c>
      <c r="AA577">
        <v>0</v>
      </c>
      <c r="AB577">
        <v>734.65</v>
      </c>
      <c r="AC577">
        <v>13.5</v>
      </c>
      <c r="AD577">
        <v>0</v>
      </c>
      <c r="AE577">
        <v>0</v>
      </c>
      <c r="AF577">
        <v>111.99</v>
      </c>
      <c r="AG577">
        <v>13.5</v>
      </c>
      <c r="AH577">
        <v>0</v>
      </c>
      <c r="AI577">
        <v>1</v>
      </c>
      <c r="AJ577">
        <v>6.56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6</v>
      </c>
      <c r="AT577">
        <v>0.1</v>
      </c>
      <c r="AU577" t="s">
        <v>6</v>
      </c>
      <c r="AV577">
        <v>0</v>
      </c>
      <c r="AW577">
        <v>2</v>
      </c>
      <c r="AX577">
        <v>16744604</v>
      </c>
      <c r="AY577">
        <v>1</v>
      </c>
      <c r="AZ577">
        <v>0</v>
      </c>
      <c r="BA577">
        <v>537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Y577*Source!I351</f>
        <v>3.4999999999999996E-2</v>
      </c>
      <c r="CY577">
        <f>AB577</f>
        <v>734.65</v>
      </c>
      <c r="CZ577">
        <f>AF577</f>
        <v>111.99</v>
      </c>
      <c r="DA577">
        <f>AJ577</f>
        <v>6.56</v>
      </c>
      <c r="DB577">
        <f t="shared" si="85"/>
        <v>11.2</v>
      </c>
      <c r="DC577">
        <f t="shared" si="86"/>
        <v>1.35</v>
      </c>
    </row>
    <row r="578" spans="1:107" x14ac:dyDescent="0.2">
      <c r="A578">
        <f>ROW(Source!A351)</f>
        <v>351</v>
      </c>
      <c r="B578">
        <v>16742901</v>
      </c>
      <c r="C578">
        <v>16744588</v>
      </c>
      <c r="D578">
        <v>15247962</v>
      </c>
      <c r="E578">
        <v>1</v>
      </c>
      <c r="F578">
        <v>1</v>
      </c>
      <c r="G578">
        <v>1</v>
      </c>
      <c r="H578">
        <v>2</v>
      </c>
      <c r="I578" t="s">
        <v>1714</v>
      </c>
      <c r="J578" t="s">
        <v>1715</v>
      </c>
      <c r="K578" t="s">
        <v>1716</v>
      </c>
      <c r="L578">
        <v>1368</v>
      </c>
      <c r="N578">
        <v>1011</v>
      </c>
      <c r="O578" t="s">
        <v>1298</v>
      </c>
      <c r="P578" t="s">
        <v>1298</v>
      </c>
      <c r="Q578">
        <v>1</v>
      </c>
      <c r="W578">
        <v>0</v>
      </c>
      <c r="X578">
        <v>68519795</v>
      </c>
      <c r="Y578">
        <v>2.0699999999999998</v>
      </c>
      <c r="AA578">
        <v>0</v>
      </c>
      <c r="AB578">
        <v>194.18</v>
      </c>
      <c r="AC578">
        <v>10.06</v>
      </c>
      <c r="AD578">
        <v>0</v>
      </c>
      <c r="AE578">
        <v>0</v>
      </c>
      <c r="AF578">
        <v>29.6</v>
      </c>
      <c r="AG578">
        <v>10.06</v>
      </c>
      <c r="AH578">
        <v>0</v>
      </c>
      <c r="AI578">
        <v>1</v>
      </c>
      <c r="AJ578">
        <v>6.56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6</v>
      </c>
      <c r="AT578">
        <v>2.0699999999999998</v>
      </c>
      <c r="AU578" t="s">
        <v>6</v>
      </c>
      <c r="AV578">
        <v>0</v>
      </c>
      <c r="AW578">
        <v>2</v>
      </c>
      <c r="AX578">
        <v>16744605</v>
      </c>
      <c r="AY578">
        <v>1</v>
      </c>
      <c r="AZ578">
        <v>0</v>
      </c>
      <c r="BA578">
        <v>538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Y578*Source!I351</f>
        <v>0.72449999999999992</v>
      </c>
      <c r="CY578">
        <f>AB578</f>
        <v>194.18</v>
      </c>
      <c r="CZ578">
        <f>AF578</f>
        <v>29.6</v>
      </c>
      <c r="DA578">
        <f>AJ578</f>
        <v>6.56</v>
      </c>
      <c r="DB578">
        <f t="shared" si="85"/>
        <v>61.27</v>
      </c>
      <c r="DC578">
        <f t="shared" si="86"/>
        <v>20.82</v>
      </c>
    </row>
    <row r="579" spans="1:107" x14ac:dyDescent="0.2">
      <c r="A579">
        <f>ROW(Source!A351)</f>
        <v>351</v>
      </c>
      <c r="B579">
        <v>16742901</v>
      </c>
      <c r="C579">
        <v>16744588</v>
      </c>
      <c r="D579">
        <v>15249073</v>
      </c>
      <c r="E579">
        <v>1</v>
      </c>
      <c r="F579">
        <v>1</v>
      </c>
      <c r="G579">
        <v>1</v>
      </c>
      <c r="H579">
        <v>2</v>
      </c>
      <c r="I579" t="s">
        <v>1299</v>
      </c>
      <c r="J579" t="s">
        <v>1300</v>
      </c>
      <c r="K579" t="s">
        <v>1301</v>
      </c>
      <c r="L579">
        <v>1368</v>
      </c>
      <c r="N579">
        <v>1011</v>
      </c>
      <c r="O579" t="s">
        <v>1298</v>
      </c>
      <c r="P579" t="s">
        <v>1298</v>
      </c>
      <c r="Q579">
        <v>1</v>
      </c>
      <c r="W579">
        <v>0</v>
      </c>
      <c r="X579">
        <v>1372534845</v>
      </c>
      <c r="Y579">
        <v>0.1</v>
      </c>
      <c r="AA579">
        <v>0</v>
      </c>
      <c r="AB579">
        <v>431.06</v>
      </c>
      <c r="AC579">
        <v>11.6</v>
      </c>
      <c r="AD579">
        <v>0</v>
      </c>
      <c r="AE579">
        <v>0</v>
      </c>
      <c r="AF579">
        <v>65.709999999999994</v>
      </c>
      <c r="AG579">
        <v>11.6</v>
      </c>
      <c r="AH579">
        <v>0</v>
      </c>
      <c r="AI579">
        <v>1</v>
      </c>
      <c r="AJ579">
        <v>6.56</v>
      </c>
      <c r="AK579">
        <v>1</v>
      </c>
      <c r="AL579">
        <v>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6</v>
      </c>
      <c r="AT579">
        <v>0.1</v>
      </c>
      <c r="AU579" t="s">
        <v>6</v>
      </c>
      <c r="AV579">
        <v>0</v>
      </c>
      <c r="AW579">
        <v>2</v>
      </c>
      <c r="AX579">
        <v>16744606</v>
      </c>
      <c r="AY579">
        <v>1</v>
      </c>
      <c r="AZ579">
        <v>0</v>
      </c>
      <c r="BA579">
        <v>539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Y579*Source!I351</f>
        <v>3.4999999999999996E-2</v>
      </c>
      <c r="CY579">
        <f>AB579</f>
        <v>431.06</v>
      </c>
      <c r="CZ579">
        <f>AF579</f>
        <v>65.709999999999994</v>
      </c>
      <c r="DA579">
        <f>AJ579</f>
        <v>6.56</v>
      </c>
      <c r="DB579">
        <f t="shared" si="85"/>
        <v>6.57</v>
      </c>
      <c r="DC579">
        <f t="shared" si="86"/>
        <v>1.1599999999999999</v>
      </c>
    </row>
    <row r="580" spans="1:107" x14ac:dyDescent="0.2">
      <c r="A580">
        <f>ROW(Source!A351)</f>
        <v>351</v>
      </c>
      <c r="B580">
        <v>16742901</v>
      </c>
      <c r="C580">
        <v>16744588</v>
      </c>
      <c r="D580">
        <v>15249377</v>
      </c>
      <c r="E580">
        <v>1</v>
      </c>
      <c r="F580">
        <v>1</v>
      </c>
      <c r="G580">
        <v>1</v>
      </c>
      <c r="H580">
        <v>2</v>
      </c>
      <c r="I580" t="s">
        <v>1302</v>
      </c>
      <c r="J580" t="s">
        <v>1303</v>
      </c>
      <c r="K580" t="s">
        <v>1304</v>
      </c>
      <c r="L580">
        <v>1368</v>
      </c>
      <c r="N580">
        <v>1011</v>
      </c>
      <c r="O580" t="s">
        <v>1298</v>
      </c>
      <c r="P580" t="s">
        <v>1298</v>
      </c>
      <c r="Q580">
        <v>1</v>
      </c>
      <c r="W580">
        <v>0</v>
      </c>
      <c r="X580">
        <v>-353815937</v>
      </c>
      <c r="Y580">
        <v>1.93</v>
      </c>
      <c r="AA580">
        <v>0</v>
      </c>
      <c r="AB580">
        <v>53.14</v>
      </c>
      <c r="AC580">
        <v>0</v>
      </c>
      <c r="AD580">
        <v>0</v>
      </c>
      <c r="AE580">
        <v>0</v>
      </c>
      <c r="AF580">
        <v>8.1</v>
      </c>
      <c r="AG580">
        <v>0</v>
      </c>
      <c r="AH580">
        <v>0</v>
      </c>
      <c r="AI580">
        <v>1</v>
      </c>
      <c r="AJ580">
        <v>6.56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1.93</v>
      </c>
      <c r="AU580" t="s">
        <v>6</v>
      </c>
      <c r="AV580">
        <v>0</v>
      </c>
      <c r="AW580">
        <v>2</v>
      </c>
      <c r="AX580">
        <v>16744607</v>
      </c>
      <c r="AY580">
        <v>1</v>
      </c>
      <c r="AZ580">
        <v>0</v>
      </c>
      <c r="BA580">
        <v>540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Y580*Source!I351</f>
        <v>0.67549999999999999</v>
      </c>
      <c r="CY580">
        <f>AB580</f>
        <v>53.14</v>
      </c>
      <c r="CZ580">
        <f>AF580</f>
        <v>8.1</v>
      </c>
      <c r="DA580">
        <f>AJ580</f>
        <v>6.56</v>
      </c>
      <c r="DB580">
        <f t="shared" si="85"/>
        <v>15.63</v>
      </c>
      <c r="DC580">
        <f t="shared" si="86"/>
        <v>0</v>
      </c>
    </row>
    <row r="581" spans="1:107" x14ac:dyDescent="0.2">
      <c r="A581">
        <f>ROW(Source!A351)</f>
        <v>351</v>
      </c>
      <c r="B581">
        <v>16742901</v>
      </c>
      <c r="C581">
        <v>16744588</v>
      </c>
      <c r="D581">
        <v>15168752</v>
      </c>
      <c r="E581">
        <v>1</v>
      </c>
      <c r="F581">
        <v>1</v>
      </c>
      <c r="G581">
        <v>1</v>
      </c>
      <c r="H581">
        <v>3</v>
      </c>
      <c r="I581" t="s">
        <v>1325</v>
      </c>
      <c r="J581" t="s">
        <v>1326</v>
      </c>
      <c r="K581" t="s">
        <v>1327</v>
      </c>
      <c r="L581">
        <v>1346</v>
      </c>
      <c r="N581">
        <v>1009</v>
      </c>
      <c r="O581" t="s">
        <v>341</v>
      </c>
      <c r="P581" t="s">
        <v>341</v>
      </c>
      <c r="Q581">
        <v>1</v>
      </c>
      <c r="W581">
        <v>0</v>
      </c>
      <c r="X581">
        <v>586013393</v>
      </c>
      <c r="Y581">
        <v>2.14</v>
      </c>
      <c r="AA581">
        <v>69.34</v>
      </c>
      <c r="AB581">
        <v>0</v>
      </c>
      <c r="AC581">
        <v>0</v>
      </c>
      <c r="AD581">
        <v>0</v>
      </c>
      <c r="AE581">
        <v>10.57</v>
      </c>
      <c r="AF581">
        <v>0</v>
      </c>
      <c r="AG581">
        <v>0</v>
      </c>
      <c r="AH581">
        <v>0</v>
      </c>
      <c r="AI581">
        <v>6.56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6</v>
      </c>
      <c r="AT581">
        <v>2.14</v>
      </c>
      <c r="AU581" t="s">
        <v>6</v>
      </c>
      <c r="AV581">
        <v>0</v>
      </c>
      <c r="AW581">
        <v>2</v>
      </c>
      <c r="AX581">
        <v>16744608</v>
      </c>
      <c r="AY581">
        <v>1</v>
      </c>
      <c r="AZ581">
        <v>0</v>
      </c>
      <c r="BA581">
        <v>541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Y581*Source!I351</f>
        <v>0.749</v>
      </c>
      <c r="CY581">
        <f t="shared" ref="CY581:CY587" si="93">AA581</f>
        <v>69.34</v>
      </c>
      <c r="CZ581">
        <f t="shared" ref="CZ581:CZ587" si="94">AE581</f>
        <v>10.57</v>
      </c>
      <c r="DA581">
        <f t="shared" ref="DA581:DA587" si="95">AI581</f>
        <v>6.56</v>
      </c>
      <c r="DB581">
        <f t="shared" si="85"/>
        <v>22.62</v>
      </c>
      <c r="DC581">
        <f t="shared" si="86"/>
        <v>0</v>
      </c>
    </row>
    <row r="582" spans="1:107" x14ac:dyDescent="0.2">
      <c r="A582">
        <f>ROW(Source!A351)</f>
        <v>351</v>
      </c>
      <c r="B582">
        <v>16742901</v>
      </c>
      <c r="C582">
        <v>16744588</v>
      </c>
      <c r="D582">
        <v>15169942</v>
      </c>
      <c r="E582">
        <v>1</v>
      </c>
      <c r="F582">
        <v>1</v>
      </c>
      <c r="G582">
        <v>1</v>
      </c>
      <c r="H582">
        <v>3</v>
      </c>
      <c r="I582" t="s">
        <v>1644</v>
      </c>
      <c r="J582" t="s">
        <v>1645</v>
      </c>
      <c r="K582" t="s">
        <v>1310</v>
      </c>
      <c r="L582">
        <v>1346</v>
      </c>
      <c r="N582">
        <v>1009</v>
      </c>
      <c r="O582" t="s">
        <v>341</v>
      </c>
      <c r="P582" t="s">
        <v>341</v>
      </c>
      <c r="Q582">
        <v>1</v>
      </c>
      <c r="W582">
        <v>0</v>
      </c>
      <c r="X582">
        <v>103900845</v>
      </c>
      <c r="Y582">
        <v>1.25</v>
      </c>
      <c r="AA582">
        <v>59.3</v>
      </c>
      <c r="AB582">
        <v>0</v>
      </c>
      <c r="AC582">
        <v>0</v>
      </c>
      <c r="AD582">
        <v>0</v>
      </c>
      <c r="AE582">
        <v>9.0399999999999991</v>
      </c>
      <c r="AF582">
        <v>0</v>
      </c>
      <c r="AG582">
        <v>0</v>
      </c>
      <c r="AH582">
        <v>0</v>
      </c>
      <c r="AI582">
        <v>6.56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6</v>
      </c>
      <c r="AT582">
        <v>1.25</v>
      </c>
      <c r="AU582" t="s">
        <v>6</v>
      </c>
      <c r="AV582">
        <v>0</v>
      </c>
      <c r="AW582">
        <v>2</v>
      </c>
      <c r="AX582">
        <v>16744609</v>
      </c>
      <c r="AY582">
        <v>1</v>
      </c>
      <c r="AZ582">
        <v>0</v>
      </c>
      <c r="BA582">
        <v>542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Y582*Source!I351</f>
        <v>0.4375</v>
      </c>
      <c r="CY582">
        <f t="shared" si="93"/>
        <v>59.3</v>
      </c>
      <c r="CZ582">
        <f t="shared" si="94"/>
        <v>9.0399999999999991</v>
      </c>
      <c r="DA582">
        <f t="shared" si="95"/>
        <v>6.56</v>
      </c>
      <c r="DB582">
        <f t="shared" si="85"/>
        <v>11.3</v>
      </c>
      <c r="DC582">
        <f t="shared" si="86"/>
        <v>0</v>
      </c>
    </row>
    <row r="583" spans="1:107" x14ac:dyDescent="0.2">
      <c r="A583">
        <f>ROW(Source!A351)</f>
        <v>351</v>
      </c>
      <c r="B583">
        <v>16742901</v>
      </c>
      <c r="C583">
        <v>16744588</v>
      </c>
      <c r="D583">
        <v>15170074</v>
      </c>
      <c r="E583">
        <v>1</v>
      </c>
      <c r="F583">
        <v>1</v>
      </c>
      <c r="G583">
        <v>1</v>
      </c>
      <c r="H583">
        <v>3</v>
      </c>
      <c r="I583" t="s">
        <v>1655</v>
      </c>
      <c r="J583" t="s">
        <v>1656</v>
      </c>
      <c r="K583" t="s">
        <v>1657</v>
      </c>
      <c r="L583">
        <v>1355</v>
      </c>
      <c r="N583">
        <v>1010</v>
      </c>
      <c r="O583" t="s">
        <v>843</v>
      </c>
      <c r="P583" t="s">
        <v>843</v>
      </c>
      <c r="Q583">
        <v>100</v>
      </c>
      <c r="W583">
        <v>0</v>
      </c>
      <c r="X583">
        <v>1794244060</v>
      </c>
      <c r="Y583">
        <v>0.3</v>
      </c>
      <c r="AA583">
        <v>564.16</v>
      </c>
      <c r="AB583">
        <v>0</v>
      </c>
      <c r="AC583">
        <v>0</v>
      </c>
      <c r="AD583">
        <v>0</v>
      </c>
      <c r="AE583">
        <v>86</v>
      </c>
      <c r="AF583">
        <v>0</v>
      </c>
      <c r="AG583">
        <v>0</v>
      </c>
      <c r="AH583">
        <v>0</v>
      </c>
      <c r="AI583">
        <v>6.56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6</v>
      </c>
      <c r="AT583">
        <v>0.3</v>
      </c>
      <c r="AU583" t="s">
        <v>6</v>
      </c>
      <c r="AV583">
        <v>0</v>
      </c>
      <c r="AW583">
        <v>2</v>
      </c>
      <c r="AX583">
        <v>16744610</v>
      </c>
      <c r="AY583">
        <v>1</v>
      </c>
      <c r="AZ583">
        <v>0</v>
      </c>
      <c r="BA583">
        <v>543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Y583*Source!I351</f>
        <v>0.105</v>
      </c>
      <c r="CY583">
        <f t="shared" si="93"/>
        <v>564.16</v>
      </c>
      <c r="CZ583">
        <f t="shared" si="94"/>
        <v>86</v>
      </c>
      <c r="DA583">
        <f t="shared" si="95"/>
        <v>6.56</v>
      </c>
      <c r="DB583">
        <f t="shared" si="85"/>
        <v>25.8</v>
      </c>
      <c r="DC583">
        <f t="shared" si="86"/>
        <v>0</v>
      </c>
    </row>
    <row r="584" spans="1:107" x14ac:dyDescent="0.2">
      <c r="A584">
        <f>ROW(Source!A351)</f>
        <v>351</v>
      </c>
      <c r="B584">
        <v>16742901</v>
      </c>
      <c r="C584">
        <v>16744588</v>
      </c>
      <c r="D584">
        <v>15217313</v>
      </c>
      <c r="E584">
        <v>1</v>
      </c>
      <c r="F584">
        <v>1</v>
      </c>
      <c r="G584">
        <v>1</v>
      </c>
      <c r="H584">
        <v>3</v>
      </c>
      <c r="I584" t="s">
        <v>1717</v>
      </c>
      <c r="J584" t="s">
        <v>1718</v>
      </c>
      <c r="K584" t="s">
        <v>1719</v>
      </c>
      <c r="L584">
        <v>1354</v>
      </c>
      <c r="N584">
        <v>1010</v>
      </c>
      <c r="O584" t="s">
        <v>73</v>
      </c>
      <c r="P584" t="s">
        <v>73</v>
      </c>
      <c r="Q584">
        <v>1</v>
      </c>
      <c r="W584">
        <v>0</v>
      </c>
      <c r="X584">
        <v>365674879</v>
      </c>
      <c r="Y584">
        <v>30</v>
      </c>
      <c r="AA584">
        <v>69.14</v>
      </c>
      <c r="AB584">
        <v>0</v>
      </c>
      <c r="AC584">
        <v>0</v>
      </c>
      <c r="AD584">
        <v>0</v>
      </c>
      <c r="AE584">
        <v>10.54</v>
      </c>
      <c r="AF584">
        <v>0</v>
      </c>
      <c r="AG584">
        <v>0</v>
      </c>
      <c r="AH584">
        <v>0</v>
      </c>
      <c r="AI584">
        <v>6.56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30</v>
      </c>
      <c r="AU584" t="s">
        <v>6</v>
      </c>
      <c r="AV584">
        <v>0</v>
      </c>
      <c r="AW584">
        <v>2</v>
      </c>
      <c r="AX584">
        <v>16744611</v>
      </c>
      <c r="AY584">
        <v>1</v>
      </c>
      <c r="AZ584">
        <v>0</v>
      </c>
      <c r="BA584">
        <v>544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Y584*Source!I351</f>
        <v>10.5</v>
      </c>
      <c r="CY584">
        <f t="shared" si="93"/>
        <v>69.14</v>
      </c>
      <c r="CZ584">
        <f t="shared" si="94"/>
        <v>10.54</v>
      </c>
      <c r="DA584">
        <f t="shared" si="95"/>
        <v>6.56</v>
      </c>
      <c r="DB584">
        <f t="shared" si="85"/>
        <v>316.2</v>
      </c>
      <c r="DC584">
        <f t="shared" si="86"/>
        <v>0</v>
      </c>
    </row>
    <row r="585" spans="1:107" x14ac:dyDescent="0.2">
      <c r="A585">
        <f>ROW(Source!A351)</f>
        <v>351</v>
      </c>
      <c r="B585">
        <v>16742901</v>
      </c>
      <c r="C585">
        <v>16744588</v>
      </c>
      <c r="D585">
        <v>15218624</v>
      </c>
      <c r="E585">
        <v>1</v>
      </c>
      <c r="F585">
        <v>1</v>
      </c>
      <c r="G585">
        <v>1</v>
      </c>
      <c r="H585">
        <v>3</v>
      </c>
      <c r="I585" t="s">
        <v>816</v>
      </c>
      <c r="J585" t="s">
        <v>818</v>
      </c>
      <c r="K585" t="s">
        <v>817</v>
      </c>
      <c r="L585">
        <v>1354</v>
      </c>
      <c r="N585">
        <v>1010</v>
      </c>
      <c r="O585" t="s">
        <v>73</v>
      </c>
      <c r="P585" t="s">
        <v>73</v>
      </c>
      <c r="Q585">
        <v>1</v>
      </c>
      <c r="W585">
        <v>0</v>
      </c>
      <c r="X585">
        <v>1131365880</v>
      </c>
      <c r="Y585">
        <v>40</v>
      </c>
      <c r="AA585">
        <v>409.34</v>
      </c>
      <c r="AB585">
        <v>0</v>
      </c>
      <c r="AC585">
        <v>0</v>
      </c>
      <c r="AD585">
        <v>0</v>
      </c>
      <c r="AE585">
        <v>62.4</v>
      </c>
      <c r="AF585">
        <v>0</v>
      </c>
      <c r="AG585">
        <v>0</v>
      </c>
      <c r="AH585">
        <v>0</v>
      </c>
      <c r="AI585">
        <v>6.56</v>
      </c>
      <c r="AJ585">
        <v>1</v>
      </c>
      <c r="AK585">
        <v>1</v>
      </c>
      <c r="AL585">
        <v>1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6</v>
      </c>
      <c r="AT585">
        <v>40</v>
      </c>
      <c r="AU585" t="s">
        <v>6</v>
      </c>
      <c r="AV585">
        <v>0</v>
      </c>
      <c r="AW585">
        <v>1</v>
      </c>
      <c r="AX585">
        <v>-1</v>
      </c>
      <c r="AY585">
        <v>0</v>
      </c>
      <c r="AZ585">
        <v>0</v>
      </c>
      <c r="BA585" t="s">
        <v>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Y585*Source!I351</f>
        <v>14</v>
      </c>
      <c r="CY585">
        <f t="shared" si="93"/>
        <v>409.34</v>
      </c>
      <c r="CZ585">
        <f t="shared" si="94"/>
        <v>62.4</v>
      </c>
      <c r="DA585">
        <f t="shared" si="95"/>
        <v>6.56</v>
      </c>
      <c r="DB585">
        <f t="shared" si="85"/>
        <v>2496</v>
      </c>
      <c r="DC585">
        <f t="shared" si="86"/>
        <v>0</v>
      </c>
    </row>
    <row r="586" spans="1:107" x14ac:dyDescent="0.2">
      <c r="A586">
        <f>ROW(Source!A351)</f>
        <v>351</v>
      </c>
      <c r="B586">
        <v>16742901</v>
      </c>
      <c r="C586">
        <v>16744588</v>
      </c>
      <c r="D586">
        <v>15219265</v>
      </c>
      <c r="E586">
        <v>1</v>
      </c>
      <c r="F586">
        <v>1</v>
      </c>
      <c r="G586">
        <v>1</v>
      </c>
      <c r="H586">
        <v>3</v>
      </c>
      <c r="I586" t="s">
        <v>1720</v>
      </c>
      <c r="J586" t="s">
        <v>1721</v>
      </c>
      <c r="K586" t="s">
        <v>1722</v>
      </c>
      <c r="L586">
        <v>1354</v>
      </c>
      <c r="N586">
        <v>1010</v>
      </c>
      <c r="O586" t="s">
        <v>73</v>
      </c>
      <c r="P586" t="s">
        <v>73</v>
      </c>
      <c r="Q586">
        <v>1</v>
      </c>
      <c r="W586">
        <v>0</v>
      </c>
      <c r="X586">
        <v>1761059010</v>
      </c>
      <c r="Y586">
        <v>6</v>
      </c>
      <c r="AA586">
        <v>32.799999999999997</v>
      </c>
      <c r="AB586">
        <v>0</v>
      </c>
      <c r="AC586">
        <v>0</v>
      </c>
      <c r="AD586">
        <v>0</v>
      </c>
      <c r="AE586">
        <v>5</v>
      </c>
      <c r="AF586">
        <v>0</v>
      </c>
      <c r="AG586">
        <v>0</v>
      </c>
      <c r="AH586">
        <v>0</v>
      </c>
      <c r="AI586">
        <v>6.56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6</v>
      </c>
      <c r="AT586">
        <v>6</v>
      </c>
      <c r="AU586" t="s">
        <v>6</v>
      </c>
      <c r="AV586">
        <v>0</v>
      </c>
      <c r="AW586">
        <v>2</v>
      </c>
      <c r="AX586">
        <v>16744612</v>
      </c>
      <c r="AY586">
        <v>1</v>
      </c>
      <c r="AZ586">
        <v>0</v>
      </c>
      <c r="BA586">
        <v>545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Y586*Source!I351</f>
        <v>2.0999999999999996</v>
      </c>
      <c r="CY586">
        <f t="shared" si="93"/>
        <v>32.799999999999997</v>
      </c>
      <c r="CZ586">
        <f t="shared" si="94"/>
        <v>5</v>
      </c>
      <c r="DA586">
        <f t="shared" si="95"/>
        <v>6.56</v>
      </c>
      <c r="DB586">
        <f t="shared" si="85"/>
        <v>30</v>
      </c>
      <c r="DC586">
        <f t="shared" si="86"/>
        <v>0</v>
      </c>
    </row>
    <row r="587" spans="1:107" x14ac:dyDescent="0.2">
      <c r="A587">
        <f>ROW(Source!A351)</f>
        <v>351</v>
      </c>
      <c r="B587">
        <v>16742901</v>
      </c>
      <c r="C587">
        <v>16744588</v>
      </c>
      <c r="D587">
        <v>15164559</v>
      </c>
      <c r="E587">
        <v>17</v>
      </c>
      <c r="F587">
        <v>1</v>
      </c>
      <c r="G587">
        <v>1</v>
      </c>
      <c r="H587">
        <v>3</v>
      </c>
      <c r="I587" t="s">
        <v>1334</v>
      </c>
      <c r="J587" t="s">
        <v>6</v>
      </c>
      <c r="K587" t="s">
        <v>1335</v>
      </c>
      <c r="L587">
        <v>1374</v>
      </c>
      <c r="N587">
        <v>1013</v>
      </c>
      <c r="O587" t="s">
        <v>1336</v>
      </c>
      <c r="P587" t="s">
        <v>1336</v>
      </c>
      <c r="Q587">
        <v>1</v>
      </c>
      <c r="W587">
        <v>0</v>
      </c>
      <c r="X587">
        <v>-1731369543</v>
      </c>
      <c r="Y587">
        <v>1.61</v>
      </c>
      <c r="AA587">
        <v>1</v>
      </c>
      <c r="AB587">
        <v>0</v>
      </c>
      <c r="AC587">
        <v>0</v>
      </c>
      <c r="AD587">
        <v>0</v>
      </c>
      <c r="AE587">
        <v>1</v>
      </c>
      <c r="AF587">
        <v>0</v>
      </c>
      <c r="AG587">
        <v>0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6</v>
      </c>
      <c r="AT587">
        <v>1.61</v>
      </c>
      <c r="AU587" t="s">
        <v>6</v>
      </c>
      <c r="AV587">
        <v>0</v>
      </c>
      <c r="AW587">
        <v>2</v>
      </c>
      <c r="AX587">
        <v>16744613</v>
      </c>
      <c r="AY587">
        <v>1</v>
      </c>
      <c r="AZ587">
        <v>0</v>
      </c>
      <c r="BA587">
        <v>546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Y587*Source!I351</f>
        <v>0.5635</v>
      </c>
      <c r="CY587">
        <f t="shared" si="93"/>
        <v>1</v>
      </c>
      <c r="CZ587">
        <f t="shared" si="94"/>
        <v>1</v>
      </c>
      <c r="DA587">
        <f t="shared" si="95"/>
        <v>1</v>
      </c>
      <c r="DB587">
        <f t="shared" si="85"/>
        <v>1.61</v>
      </c>
      <c r="DC587">
        <f t="shared" si="86"/>
        <v>0</v>
      </c>
    </row>
    <row r="588" spans="1:107" x14ac:dyDescent="0.2">
      <c r="A588">
        <f>ROW(Source!A353)</f>
        <v>353</v>
      </c>
      <c r="B588">
        <v>16742901</v>
      </c>
      <c r="C588">
        <v>16744615</v>
      </c>
      <c r="D588">
        <v>15436556</v>
      </c>
      <c r="E588">
        <v>1</v>
      </c>
      <c r="F588">
        <v>1</v>
      </c>
      <c r="G588">
        <v>1</v>
      </c>
      <c r="H588">
        <v>1</v>
      </c>
      <c r="I588" t="s">
        <v>1490</v>
      </c>
      <c r="J588" t="s">
        <v>6</v>
      </c>
      <c r="K588" t="s">
        <v>1491</v>
      </c>
      <c r="L588">
        <v>1191</v>
      </c>
      <c r="N588">
        <v>1013</v>
      </c>
      <c r="O588" t="s">
        <v>1287</v>
      </c>
      <c r="P588" t="s">
        <v>1287</v>
      </c>
      <c r="Q588">
        <v>1</v>
      </c>
      <c r="W588">
        <v>0</v>
      </c>
      <c r="X588">
        <v>1069510174</v>
      </c>
      <c r="Y588">
        <v>13.41</v>
      </c>
      <c r="AA588">
        <v>0</v>
      </c>
      <c r="AB588">
        <v>0</v>
      </c>
      <c r="AC588">
        <v>0</v>
      </c>
      <c r="AD588">
        <v>63.11</v>
      </c>
      <c r="AE588">
        <v>0</v>
      </c>
      <c r="AF588">
        <v>0</v>
      </c>
      <c r="AG588">
        <v>0</v>
      </c>
      <c r="AH588">
        <v>9.6199999999999992</v>
      </c>
      <c r="AI588">
        <v>1</v>
      </c>
      <c r="AJ588">
        <v>1</v>
      </c>
      <c r="AK588">
        <v>1</v>
      </c>
      <c r="AL588">
        <v>6.56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13.41</v>
      </c>
      <c r="AU588" t="s">
        <v>6</v>
      </c>
      <c r="AV588">
        <v>1</v>
      </c>
      <c r="AW588">
        <v>2</v>
      </c>
      <c r="AX588">
        <v>16744629</v>
      </c>
      <c r="AY588">
        <v>1</v>
      </c>
      <c r="AZ588">
        <v>0</v>
      </c>
      <c r="BA588">
        <v>547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Y588*Source!I353</f>
        <v>15.35445</v>
      </c>
      <c r="CY588">
        <f>AD588</f>
        <v>63.11</v>
      </c>
      <c r="CZ588">
        <f>AH588</f>
        <v>9.6199999999999992</v>
      </c>
      <c r="DA588">
        <f>AL588</f>
        <v>6.56</v>
      </c>
      <c r="DB588">
        <f t="shared" si="85"/>
        <v>129</v>
      </c>
      <c r="DC588">
        <f t="shared" si="86"/>
        <v>0</v>
      </c>
    </row>
    <row r="589" spans="1:107" x14ac:dyDescent="0.2">
      <c r="A589">
        <f>ROW(Source!A353)</f>
        <v>353</v>
      </c>
      <c r="B589">
        <v>16742901</v>
      </c>
      <c r="C589">
        <v>16744615</v>
      </c>
      <c r="D589">
        <v>15430395</v>
      </c>
      <c r="E589">
        <v>1</v>
      </c>
      <c r="F589">
        <v>1</v>
      </c>
      <c r="G589">
        <v>1</v>
      </c>
      <c r="H589">
        <v>1</v>
      </c>
      <c r="I589" t="s">
        <v>1293</v>
      </c>
      <c r="J589" t="s">
        <v>6</v>
      </c>
      <c r="K589" t="s">
        <v>1294</v>
      </c>
      <c r="L589">
        <v>1191</v>
      </c>
      <c r="N589">
        <v>1013</v>
      </c>
      <c r="O589" t="s">
        <v>1287</v>
      </c>
      <c r="P589" t="s">
        <v>1287</v>
      </c>
      <c r="Q589">
        <v>1</v>
      </c>
      <c r="W589">
        <v>0</v>
      </c>
      <c r="X589">
        <v>-1417349443</v>
      </c>
      <c r="Y589">
        <v>4.58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6.56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6</v>
      </c>
      <c r="AT589">
        <v>4.58</v>
      </c>
      <c r="AU589" t="s">
        <v>6</v>
      </c>
      <c r="AV589">
        <v>2</v>
      </c>
      <c r="AW589">
        <v>2</v>
      </c>
      <c r="AX589">
        <v>16744630</v>
      </c>
      <c r="AY589">
        <v>1</v>
      </c>
      <c r="AZ589">
        <v>0</v>
      </c>
      <c r="BA589">
        <v>548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Y589*Source!I353</f>
        <v>5.2441000000000004</v>
      </c>
      <c r="CY589">
        <f>AD589</f>
        <v>0</v>
      </c>
      <c r="CZ589">
        <f>AH589</f>
        <v>0</v>
      </c>
      <c r="DA589">
        <f>AL589</f>
        <v>1</v>
      </c>
      <c r="DB589">
        <f t="shared" si="85"/>
        <v>0</v>
      </c>
      <c r="DC589">
        <f t="shared" si="86"/>
        <v>0</v>
      </c>
    </row>
    <row r="590" spans="1:107" x14ac:dyDescent="0.2">
      <c r="A590">
        <f>ROW(Source!A353)</f>
        <v>353</v>
      </c>
      <c r="B590">
        <v>16742901</v>
      </c>
      <c r="C590">
        <v>16744615</v>
      </c>
      <c r="D590">
        <v>15247680</v>
      </c>
      <c r="E590">
        <v>1</v>
      </c>
      <c r="F590">
        <v>1</v>
      </c>
      <c r="G590">
        <v>1</v>
      </c>
      <c r="H590">
        <v>2</v>
      </c>
      <c r="I590" t="s">
        <v>1295</v>
      </c>
      <c r="J590" t="s">
        <v>1296</v>
      </c>
      <c r="K590" t="s">
        <v>1297</v>
      </c>
      <c r="L590">
        <v>1368</v>
      </c>
      <c r="N590">
        <v>1011</v>
      </c>
      <c r="O590" t="s">
        <v>1298</v>
      </c>
      <c r="P590" t="s">
        <v>1298</v>
      </c>
      <c r="Q590">
        <v>1</v>
      </c>
      <c r="W590">
        <v>0</v>
      </c>
      <c r="X590">
        <v>-1718674368</v>
      </c>
      <c r="Y590">
        <v>0.2</v>
      </c>
      <c r="AA590">
        <v>0</v>
      </c>
      <c r="AB590">
        <v>734.65</v>
      </c>
      <c r="AC590">
        <v>13.5</v>
      </c>
      <c r="AD590">
        <v>0</v>
      </c>
      <c r="AE590">
        <v>0</v>
      </c>
      <c r="AF590">
        <v>111.99</v>
      </c>
      <c r="AG590">
        <v>13.5</v>
      </c>
      <c r="AH590">
        <v>0</v>
      </c>
      <c r="AI590">
        <v>1</v>
      </c>
      <c r="AJ590">
        <v>6.56</v>
      </c>
      <c r="AK590">
        <v>1</v>
      </c>
      <c r="AL590">
        <v>1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6</v>
      </c>
      <c r="AT590">
        <v>0.2</v>
      </c>
      <c r="AU590" t="s">
        <v>6</v>
      </c>
      <c r="AV590">
        <v>0</v>
      </c>
      <c r="AW590">
        <v>2</v>
      </c>
      <c r="AX590">
        <v>16744631</v>
      </c>
      <c r="AY590">
        <v>1</v>
      </c>
      <c r="AZ590">
        <v>0</v>
      </c>
      <c r="BA590">
        <v>549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Y590*Source!I353</f>
        <v>0.22900000000000001</v>
      </c>
      <c r="CY590">
        <f>AB590</f>
        <v>734.65</v>
      </c>
      <c r="CZ590">
        <f>AF590</f>
        <v>111.99</v>
      </c>
      <c r="DA590">
        <f>AJ590</f>
        <v>6.56</v>
      </c>
      <c r="DB590">
        <f t="shared" si="85"/>
        <v>22.4</v>
      </c>
      <c r="DC590">
        <f t="shared" si="86"/>
        <v>2.7</v>
      </c>
    </row>
    <row r="591" spans="1:107" x14ac:dyDescent="0.2">
      <c r="A591">
        <f>ROW(Source!A353)</f>
        <v>353</v>
      </c>
      <c r="B591">
        <v>16742901</v>
      </c>
      <c r="C591">
        <v>16744615</v>
      </c>
      <c r="D591">
        <v>15247814</v>
      </c>
      <c r="E591">
        <v>1</v>
      </c>
      <c r="F591">
        <v>1</v>
      </c>
      <c r="G591">
        <v>1</v>
      </c>
      <c r="H591">
        <v>2</v>
      </c>
      <c r="I591" t="s">
        <v>1723</v>
      </c>
      <c r="J591" t="s">
        <v>1724</v>
      </c>
      <c r="K591" t="s">
        <v>1725</v>
      </c>
      <c r="L591">
        <v>1368</v>
      </c>
      <c r="N591">
        <v>1011</v>
      </c>
      <c r="O591" t="s">
        <v>1298</v>
      </c>
      <c r="P591" t="s">
        <v>1298</v>
      </c>
      <c r="Q591">
        <v>1</v>
      </c>
      <c r="W591">
        <v>0</v>
      </c>
      <c r="X591">
        <v>-1692889495</v>
      </c>
      <c r="Y591">
        <v>3.13</v>
      </c>
      <c r="AA591">
        <v>0</v>
      </c>
      <c r="AB591">
        <v>5.9</v>
      </c>
      <c r="AC591">
        <v>0</v>
      </c>
      <c r="AD591">
        <v>0</v>
      </c>
      <c r="AE591">
        <v>0</v>
      </c>
      <c r="AF591">
        <v>0.9</v>
      </c>
      <c r="AG591">
        <v>0</v>
      </c>
      <c r="AH591">
        <v>0</v>
      </c>
      <c r="AI591">
        <v>1</v>
      </c>
      <c r="AJ591">
        <v>6.56</v>
      </c>
      <c r="AK591">
        <v>1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6</v>
      </c>
      <c r="AT591">
        <v>3.13</v>
      </c>
      <c r="AU591" t="s">
        <v>6</v>
      </c>
      <c r="AV591">
        <v>0</v>
      </c>
      <c r="AW591">
        <v>2</v>
      </c>
      <c r="AX591">
        <v>16744632</v>
      </c>
      <c r="AY591">
        <v>1</v>
      </c>
      <c r="AZ591">
        <v>0</v>
      </c>
      <c r="BA591">
        <v>550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Y591*Source!I353</f>
        <v>3.58385</v>
      </c>
      <c r="CY591">
        <f>AB591</f>
        <v>5.9</v>
      </c>
      <c r="CZ591">
        <f>AF591</f>
        <v>0.9</v>
      </c>
      <c r="DA591">
        <f>AJ591</f>
        <v>6.56</v>
      </c>
      <c r="DB591">
        <f t="shared" ref="DB591:DB654" si="96">ROUND(ROUND(AT591*CZ591,2),2)</f>
        <v>2.82</v>
      </c>
      <c r="DC591">
        <f t="shared" ref="DC591:DC654" si="97">ROUND(ROUND(AT591*AG591,2),2)</f>
        <v>0</v>
      </c>
    </row>
    <row r="592" spans="1:107" x14ac:dyDescent="0.2">
      <c r="A592">
        <f>ROW(Source!A353)</f>
        <v>353</v>
      </c>
      <c r="B592">
        <v>16742901</v>
      </c>
      <c r="C592">
        <v>16744615</v>
      </c>
      <c r="D592">
        <v>15247879</v>
      </c>
      <c r="E592">
        <v>1</v>
      </c>
      <c r="F592">
        <v>1</v>
      </c>
      <c r="G592">
        <v>1</v>
      </c>
      <c r="H592">
        <v>2</v>
      </c>
      <c r="I592" t="s">
        <v>1726</v>
      </c>
      <c r="J592" t="s">
        <v>1727</v>
      </c>
      <c r="K592" t="s">
        <v>1728</v>
      </c>
      <c r="L592">
        <v>1368</v>
      </c>
      <c r="N592">
        <v>1011</v>
      </c>
      <c r="O592" t="s">
        <v>1298</v>
      </c>
      <c r="P592" t="s">
        <v>1298</v>
      </c>
      <c r="Q592">
        <v>1</v>
      </c>
      <c r="W592">
        <v>0</v>
      </c>
      <c r="X592">
        <v>941837819</v>
      </c>
      <c r="Y592">
        <v>3.13</v>
      </c>
      <c r="AA592">
        <v>0</v>
      </c>
      <c r="AB592">
        <v>21.52</v>
      </c>
      <c r="AC592">
        <v>0</v>
      </c>
      <c r="AD592">
        <v>0</v>
      </c>
      <c r="AE592">
        <v>0</v>
      </c>
      <c r="AF592">
        <v>3.28</v>
      </c>
      <c r="AG592">
        <v>0</v>
      </c>
      <c r="AH592">
        <v>0</v>
      </c>
      <c r="AI592">
        <v>1</v>
      </c>
      <c r="AJ592">
        <v>6.56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3.13</v>
      </c>
      <c r="AU592" t="s">
        <v>6</v>
      </c>
      <c r="AV592">
        <v>0</v>
      </c>
      <c r="AW592">
        <v>2</v>
      </c>
      <c r="AX592">
        <v>16744633</v>
      </c>
      <c r="AY592">
        <v>1</v>
      </c>
      <c r="AZ592">
        <v>0</v>
      </c>
      <c r="BA592">
        <v>551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Y592*Source!I353</f>
        <v>3.58385</v>
      </c>
      <c r="CY592">
        <f>AB592</f>
        <v>21.52</v>
      </c>
      <c r="CZ592">
        <f>AF592</f>
        <v>3.28</v>
      </c>
      <c r="DA592">
        <f>AJ592</f>
        <v>6.56</v>
      </c>
      <c r="DB592">
        <f t="shared" si="96"/>
        <v>10.27</v>
      </c>
      <c r="DC592">
        <f t="shared" si="97"/>
        <v>0</v>
      </c>
    </row>
    <row r="593" spans="1:107" x14ac:dyDescent="0.2">
      <c r="A593">
        <f>ROW(Source!A353)</f>
        <v>353</v>
      </c>
      <c r="B593">
        <v>16742901</v>
      </c>
      <c r="C593">
        <v>16744615</v>
      </c>
      <c r="D593">
        <v>15248014</v>
      </c>
      <c r="E593">
        <v>1</v>
      </c>
      <c r="F593">
        <v>1</v>
      </c>
      <c r="G593">
        <v>1</v>
      </c>
      <c r="H593">
        <v>2</v>
      </c>
      <c r="I593" t="s">
        <v>1729</v>
      </c>
      <c r="J593" t="s">
        <v>1730</v>
      </c>
      <c r="K593" t="s">
        <v>1731</v>
      </c>
      <c r="L593">
        <v>1368</v>
      </c>
      <c r="N593">
        <v>1011</v>
      </c>
      <c r="O593" t="s">
        <v>1298</v>
      </c>
      <c r="P593" t="s">
        <v>1298</v>
      </c>
      <c r="Q593">
        <v>1</v>
      </c>
      <c r="W593">
        <v>0</v>
      </c>
      <c r="X593">
        <v>1599745326</v>
      </c>
      <c r="Y593">
        <v>4.18</v>
      </c>
      <c r="AA593">
        <v>0</v>
      </c>
      <c r="AB593">
        <v>936.11</v>
      </c>
      <c r="AC593">
        <v>13.5</v>
      </c>
      <c r="AD593">
        <v>0</v>
      </c>
      <c r="AE593">
        <v>0</v>
      </c>
      <c r="AF593">
        <v>142.69999999999999</v>
      </c>
      <c r="AG593">
        <v>13.5</v>
      </c>
      <c r="AH593">
        <v>0</v>
      </c>
      <c r="AI593">
        <v>1</v>
      </c>
      <c r="AJ593">
        <v>6.56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6</v>
      </c>
      <c r="AT593">
        <v>4.18</v>
      </c>
      <c r="AU593" t="s">
        <v>6</v>
      </c>
      <c r="AV593">
        <v>0</v>
      </c>
      <c r="AW593">
        <v>2</v>
      </c>
      <c r="AX593">
        <v>16744634</v>
      </c>
      <c r="AY593">
        <v>1</v>
      </c>
      <c r="AZ593">
        <v>0</v>
      </c>
      <c r="BA593">
        <v>552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Y593*Source!I353</f>
        <v>4.7860999999999994</v>
      </c>
      <c r="CY593">
        <f>AB593</f>
        <v>936.11</v>
      </c>
      <c r="CZ593">
        <f>AF593</f>
        <v>142.69999999999999</v>
      </c>
      <c r="DA593">
        <f>AJ593</f>
        <v>6.56</v>
      </c>
      <c r="DB593">
        <f t="shared" si="96"/>
        <v>596.49</v>
      </c>
      <c r="DC593">
        <f t="shared" si="97"/>
        <v>56.43</v>
      </c>
    </row>
    <row r="594" spans="1:107" x14ac:dyDescent="0.2">
      <c r="A594">
        <f>ROW(Source!A353)</f>
        <v>353</v>
      </c>
      <c r="B594">
        <v>16742901</v>
      </c>
      <c r="C594">
        <v>16744615</v>
      </c>
      <c r="D594">
        <v>15249073</v>
      </c>
      <c r="E594">
        <v>1</v>
      </c>
      <c r="F594">
        <v>1</v>
      </c>
      <c r="G594">
        <v>1</v>
      </c>
      <c r="H594">
        <v>2</v>
      </c>
      <c r="I594" t="s">
        <v>1299</v>
      </c>
      <c r="J594" t="s">
        <v>1300</v>
      </c>
      <c r="K594" t="s">
        <v>1301</v>
      </c>
      <c r="L594">
        <v>1368</v>
      </c>
      <c r="N594">
        <v>1011</v>
      </c>
      <c r="O594" t="s">
        <v>1298</v>
      </c>
      <c r="P594" t="s">
        <v>1298</v>
      </c>
      <c r="Q594">
        <v>1</v>
      </c>
      <c r="W594">
        <v>0</v>
      </c>
      <c r="X594">
        <v>1372534845</v>
      </c>
      <c r="Y594">
        <v>0.2</v>
      </c>
      <c r="AA594">
        <v>0</v>
      </c>
      <c r="AB594">
        <v>431.06</v>
      </c>
      <c r="AC594">
        <v>11.6</v>
      </c>
      <c r="AD594">
        <v>0</v>
      </c>
      <c r="AE594">
        <v>0</v>
      </c>
      <c r="AF594">
        <v>65.709999999999994</v>
      </c>
      <c r="AG594">
        <v>11.6</v>
      </c>
      <c r="AH594">
        <v>0</v>
      </c>
      <c r="AI594">
        <v>1</v>
      </c>
      <c r="AJ594">
        <v>6.56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6</v>
      </c>
      <c r="AT594">
        <v>0.2</v>
      </c>
      <c r="AU594" t="s">
        <v>6</v>
      </c>
      <c r="AV594">
        <v>0</v>
      </c>
      <c r="AW594">
        <v>2</v>
      </c>
      <c r="AX594">
        <v>16744635</v>
      </c>
      <c r="AY594">
        <v>1</v>
      </c>
      <c r="AZ594">
        <v>0</v>
      </c>
      <c r="BA594">
        <v>553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Y594*Source!I353</f>
        <v>0.22900000000000001</v>
      </c>
      <c r="CY594">
        <f>AB594</f>
        <v>431.06</v>
      </c>
      <c r="CZ594">
        <f>AF594</f>
        <v>65.709999999999994</v>
      </c>
      <c r="DA594">
        <f>AJ594</f>
        <v>6.56</v>
      </c>
      <c r="DB594">
        <f t="shared" si="96"/>
        <v>13.14</v>
      </c>
      <c r="DC594">
        <f t="shared" si="97"/>
        <v>2.3199999999999998</v>
      </c>
    </row>
    <row r="595" spans="1:107" x14ac:dyDescent="0.2">
      <c r="A595">
        <f>ROW(Source!A353)</f>
        <v>353</v>
      </c>
      <c r="B595">
        <v>16742901</v>
      </c>
      <c r="C595">
        <v>16744615</v>
      </c>
      <c r="D595">
        <v>15167600</v>
      </c>
      <c r="E595">
        <v>1</v>
      </c>
      <c r="F595">
        <v>1</v>
      </c>
      <c r="G595">
        <v>1</v>
      </c>
      <c r="H595">
        <v>3</v>
      </c>
      <c r="I595" t="s">
        <v>1675</v>
      </c>
      <c r="J595" t="s">
        <v>1676</v>
      </c>
      <c r="K595" t="s">
        <v>1677</v>
      </c>
      <c r="L595">
        <v>1308</v>
      </c>
      <c r="N595">
        <v>1003</v>
      </c>
      <c r="O595" t="s">
        <v>34</v>
      </c>
      <c r="P595" t="s">
        <v>34</v>
      </c>
      <c r="Q595">
        <v>100</v>
      </c>
      <c r="W595">
        <v>0</v>
      </c>
      <c r="X595">
        <v>568244124</v>
      </c>
      <c r="Y595">
        <v>2.4500000000000001E-2</v>
      </c>
      <c r="AA595">
        <v>787.2</v>
      </c>
      <c r="AB595">
        <v>0</v>
      </c>
      <c r="AC595">
        <v>0</v>
      </c>
      <c r="AD595">
        <v>0</v>
      </c>
      <c r="AE595">
        <v>120</v>
      </c>
      <c r="AF595">
        <v>0</v>
      </c>
      <c r="AG595">
        <v>0</v>
      </c>
      <c r="AH595">
        <v>0</v>
      </c>
      <c r="AI595">
        <v>6.56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6</v>
      </c>
      <c r="AT595">
        <v>2.4500000000000001E-2</v>
      </c>
      <c r="AU595" t="s">
        <v>6</v>
      </c>
      <c r="AV595">
        <v>0</v>
      </c>
      <c r="AW595">
        <v>2</v>
      </c>
      <c r="AX595">
        <v>16744636</v>
      </c>
      <c r="AY595">
        <v>1</v>
      </c>
      <c r="AZ595">
        <v>0</v>
      </c>
      <c r="BA595">
        <v>554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Y595*Source!I353</f>
        <v>2.8052500000000001E-2</v>
      </c>
      <c r="CY595">
        <f>AA595</f>
        <v>787.2</v>
      </c>
      <c r="CZ595">
        <f>AE595</f>
        <v>120</v>
      </c>
      <c r="DA595">
        <f>AI595</f>
        <v>6.56</v>
      </c>
      <c r="DB595">
        <f t="shared" si="96"/>
        <v>2.94</v>
      </c>
      <c r="DC595">
        <f t="shared" si="97"/>
        <v>0</v>
      </c>
    </row>
    <row r="596" spans="1:107" x14ac:dyDescent="0.2">
      <c r="A596">
        <f>ROW(Source!A353)</f>
        <v>353</v>
      </c>
      <c r="B596">
        <v>16742901</v>
      </c>
      <c r="C596">
        <v>16744615</v>
      </c>
      <c r="D596">
        <v>15195042</v>
      </c>
      <c r="E596">
        <v>1</v>
      </c>
      <c r="F596">
        <v>1</v>
      </c>
      <c r="G596">
        <v>1</v>
      </c>
      <c r="H596">
        <v>3</v>
      </c>
      <c r="I596" t="s">
        <v>1732</v>
      </c>
      <c r="J596" t="s">
        <v>1733</v>
      </c>
      <c r="K596" t="s">
        <v>1734</v>
      </c>
      <c r="L596">
        <v>1346</v>
      </c>
      <c r="N596">
        <v>1009</v>
      </c>
      <c r="O596" t="s">
        <v>341</v>
      </c>
      <c r="P596" t="s">
        <v>341</v>
      </c>
      <c r="Q596">
        <v>1</v>
      </c>
      <c r="W596">
        <v>0</v>
      </c>
      <c r="X596">
        <v>1391681712</v>
      </c>
      <c r="Y596">
        <v>0.5</v>
      </c>
      <c r="AA596">
        <v>446.41</v>
      </c>
      <c r="AB596">
        <v>0</v>
      </c>
      <c r="AC596">
        <v>0</v>
      </c>
      <c r="AD596">
        <v>0</v>
      </c>
      <c r="AE596">
        <v>68.05</v>
      </c>
      <c r="AF596">
        <v>0</v>
      </c>
      <c r="AG596">
        <v>0</v>
      </c>
      <c r="AH596">
        <v>0</v>
      </c>
      <c r="AI596">
        <v>6.56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0.5</v>
      </c>
      <c r="AU596" t="s">
        <v>6</v>
      </c>
      <c r="AV596">
        <v>0</v>
      </c>
      <c r="AW596">
        <v>2</v>
      </c>
      <c r="AX596">
        <v>16744637</v>
      </c>
      <c r="AY596">
        <v>1</v>
      </c>
      <c r="AZ596">
        <v>0</v>
      </c>
      <c r="BA596">
        <v>555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Y596*Source!I353</f>
        <v>0.57250000000000001</v>
      </c>
      <c r="CY596">
        <f>AA596</f>
        <v>446.41</v>
      </c>
      <c r="CZ596">
        <f>AE596</f>
        <v>68.05</v>
      </c>
      <c r="DA596">
        <f>AI596</f>
        <v>6.56</v>
      </c>
      <c r="DB596">
        <f t="shared" si="96"/>
        <v>34.03</v>
      </c>
      <c r="DC596">
        <f t="shared" si="97"/>
        <v>0</v>
      </c>
    </row>
    <row r="597" spans="1:107" x14ac:dyDescent="0.2">
      <c r="A597">
        <f>ROW(Source!A353)</f>
        <v>353</v>
      </c>
      <c r="B597">
        <v>16742901</v>
      </c>
      <c r="C597">
        <v>16744615</v>
      </c>
      <c r="D597">
        <v>15203871</v>
      </c>
      <c r="E597">
        <v>1</v>
      </c>
      <c r="F597">
        <v>1</v>
      </c>
      <c r="G597">
        <v>1</v>
      </c>
      <c r="H597">
        <v>3</v>
      </c>
      <c r="I597" t="s">
        <v>1735</v>
      </c>
      <c r="J597" t="s">
        <v>1736</v>
      </c>
      <c r="K597" t="s">
        <v>1737</v>
      </c>
      <c r="L597">
        <v>1348</v>
      </c>
      <c r="N597">
        <v>1009</v>
      </c>
      <c r="O597" t="s">
        <v>100</v>
      </c>
      <c r="P597" t="s">
        <v>100</v>
      </c>
      <c r="Q597">
        <v>1000</v>
      </c>
      <c r="W597">
        <v>0</v>
      </c>
      <c r="X597">
        <v>-108263514</v>
      </c>
      <c r="Y597">
        <v>2.8800000000000002E-3</v>
      </c>
      <c r="AA597">
        <v>51344.46</v>
      </c>
      <c r="AB597">
        <v>0</v>
      </c>
      <c r="AC597">
        <v>0</v>
      </c>
      <c r="AD597">
        <v>0</v>
      </c>
      <c r="AE597">
        <v>7826.9</v>
      </c>
      <c r="AF597">
        <v>0</v>
      </c>
      <c r="AG597">
        <v>0</v>
      </c>
      <c r="AH597">
        <v>0</v>
      </c>
      <c r="AI597">
        <v>6.56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2.8800000000000002E-3</v>
      </c>
      <c r="AU597" t="s">
        <v>6</v>
      </c>
      <c r="AV597">
        <v>0</v>
      </c>
      <c r="AW597">
        <v>2</v>
      </c>
      <c r="AX597">
        <v>16744638</v>
      </c>
      <c r="AY597">
        <v>1</v>
      </c>
      <c r="AZ597">
        <v>0</v>
      </c>
      <c r="BA597">
        <v>556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Y597*Source!I353</f>
        <v>3.2976000000000004E-3</v>
      </c>
      <c r="CY597">
        <f>AA597</f>
        <v>51344.46</v>
      </c>
      <c r="CZ597">
        <f>AE597</f>
        <v>7826.9</v>
      </c>
      <c r="DA597">
        <f>AI597</f>
        <v>6.56</v>
      </c>
      <c r="DB597">
        <f t="shared" si="96"/>
        <v>22.54</v>
      </c>
      <c r="DC597">
        <f t="shared" si="97"/>
        <v>0</v>
      </c>
    </row>
    <row r="598" spans="1:107" x14ac:dyDescent="0.2">
      <c r="A598">
        <f>ROW(Source!A353)</f>
        <v>353</v>
      </c>
      <c r="B598">
        <v>16742901</v>
      </c>
      <c r="C598">
        <v>16744615</v>
      </c>
      <c r="D598">
        <v>15223476</v>
      </c>
      <c r="E598">
        <v>1</v>
      </c>
      <c r="F598">
        <v>1</v>
      </c>
      <c r="G598">
        <v>1</v>
      </c>
      <c r="H598">
        <v>3</v>
      </c>
      <c r="I598" t="s">
        <v>824</v>
      </c>
      <c r="J598" t="s">
        <v>826</v>
      </c>
      <c r="K598" t="s">
        <v>825</v>
      </c>
      <c r="L598">
        <v>1477</v>
      </c>
      <c r="N598">
        <v>1013</v>
      </c>
      <c r="O598" t="s">
        <v>749</v>
      </c>
      <c r="P598" t="s">
        <v>751</v>
      </c>
      <c r="Q598">
        <v>1</v>
      </c>
      <c r="W598">
        <v>0</v>
      </c>
      <c r="X598">
        <v>-1143639220</v>
      </c>
      <c r="Y598">
        <v>0.1</v>
      </c>
      <c r="AA598">
        <v>953790.35</v>
      </c>
      <c r="AB598">
        <v>0</v>
      </c>
      <c r="AC598">
        <v>0</v>
      </c>
      <c r="AD598">
        <v>0</v>
      </c>
      <c r="AE598">
        <v>145394.87</v>
      </c>
      <c r="AF598">
        <v>0</v>
      </c>
      <c r="AG598">
        <v>0</v>
      </c>
      <c r="AH598">
        <v>0</v>
      </c>
      <c r="AI598">
        <v>6.56</v>
      </c>
      <c r="AJ598">
        <v>1</v>
      </c>
      <c r="AK598">
        <v>1</v>
      </c>
      <c r="AL598">
        <v>1</v>
      </c>
      <c r="AN598">
        <v>0</v>
      </c>
      <c r="AO598">
        <v>0</v>
      </c>
      <c r="AP598">
        <v>0</v>
      </c>
      <c r="AQ598">
        <v>0</v>
      </c>
      <c r="AR598">
        <v>0</v>
      </c>
      <c r="AS598" t="s">
        <v>6</v>
      </c>
      <c r="AT598">
        <v>0.1</v>
      </c>
      <c r="AU598" t="s">
        <v>6</v>
      </c>
      <c r="AV598">
        <v>0</v>
      </c>
      <c r="AW598">
        <v>1</v>
      </c>
      <c r="AX598">
        <v>-1</v>
      </c>
      <c r="AY598">
        <v>0</v>
      </c>
      <c r="AZ598">
        <v>0</v>
      </c>
      <c r="BA598" t="s">
        <v>6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Y598*Source!I353</f>
        <v>0.1145</v>
      </c>
      <c r="CY598">
        <f>AA598</f>
        <v>953790.35</v>
      </c>
      <c r="CZ598">
        <f>AE598</f>
        <v>145394.87</v>
      </c>
      <c r="DA598">
        <f>AI598</f>
        <v>6.56</v>
      </c>
      <c r="DB598">
        <f t="shared" si="96"/>
        <v>14539.49</v>
      </c>
      <c r="DC598">
        <f t="shared" si="97"/>
        <v>0</v>
      </c>
    </row>
    <row r="599" spans="1:107" x14ac:dyDescent="0.2">
      <c r="A599">
        <f>ROW(Source!A353)</f>
        <v>353</v>
      </c>
      <c r="B599">
        <v>16742901</v>
      </c>
      <c r="C599">
        <v>16744615</v>
      </c>
      <c r="D599">
        <v>15164559</v>
      </c>
      <c r="E599">
        <v>17</v>
      </c>
      <c r="F599">
        <v>1</v>
      </c>
      <c r="G599">
        <v>1</v>
      </c>
      <c r="H599">
        <v>3</v>
      </c>
      <c r="I599" t="s">
        <v>1334</v>
      </c>
      <c r="J599" t="s">
        <v>6</v>
      </c>
      <c r="K599" t="s">
        <v>1335</v>
      </c>
      <c r="L599">
        <v>1374</v>
      </c>
      <c r="N599">
        <v>1013</v>
      </c>
      <c r="O599" t="s">
        <v>1336</v>
      </c>
      <c r="P599" t="s">
        <v>1336</v>
      </c>
      <c r="Q599">
        <v>1</v>
      </c>
      <c r="W599">
        <v>0</v>
      </c>
      <c r="X599">
        <v>-1731369543</v>
      </c>
      <c r="Y599">
        <v>2.58</v>
      </c>
      <c r="AA599">
        <v>1</v>
      </c>
      <c r="AB599">
        <v>0</v>
      </c>
      <c r="AC599">
        <v>0</v>
      </c>
      <c r="AD599">
        <v>0</v>
      </c>
      <c r="AE599">
        <v>1</v>
      </c>
      <c r="AF599">
        <v>0</v>
      </c>
      <c r="AG599">
        <v>0</v>
      </c>
      <c r="AH599">
        <v>0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6</v>
      </c>
      <c r="AT599">
        <v>2.58</v>
      </c>
      <c r="AU599" t="s">
        <v>6</v>
      </c>
      <c r="AV599">
        <v>0</v>
      </c>
      <c r="AW599">
        <v>2</v>
      </c>
      <c r="AX599">
        <v>16744639</v>
      </c>
      <c r="AY599">
        <v>1</v>
      </c>
      <c r="AZ599">
        <v>0</v>
      </c>
      <c r="BA599">
        <v>557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Y599*Source!I353</f>
        <v>2.9540999999999999</v>
      </c>
      <c r="CY599">
        <f>AA599</f>
        <v>1</v>
      </c>
      <c r="CZ599">
        <f>AE599</f>
        <v>1</v>
      </c>
      <c r="DA599">
        <f>AI599</f>
        <v>1</v>
      </c>
      <c r="DB599">
        <f t="shared" si="96"/>
        <v>2.58</v>
      </c>
      <c r="DC599">
        <f t="shared" si="97"/>
        <v>0</v>
      </c>
    </row>
    <row r="600" spans="1:107" x14ac:dyDescent="0.2">
      <c r="A600">
        <f>ROW(Source!A389)</f>
        <v>389</v>
      </c>
      <c r="B600">
        <v>16742901</v>
      </c>
      <c r="C600">
        <v>16744641</v>
      </c>
      <c r="D600">
        <v>15435721</v>
      </c>
      <c r="E600">
        <v>1</v>
      </c>
      <c r="F600">
        <v>1</v>
      </c>
      <c r="G600">
        <v>1</v>
      </c>
      <c r="H600">
        <v>1</v>
      </c>
      <c r="I600" t="s">
        <v>1609</v>
      </c>
      <c r="J600" t="s">
        <v>6</v>
      </c>
      <c r="K600" t="s">
        <v>1610</v>
      </c>
      <c r="L600">
        <v>1191</v>
      </c>
      <c r="N600">
        <v>1013</v>
      </c>
      <c r="O600" t="s">
        <v>1287</v>
      </c>
      <c r="P600" t="s">
        <v>1287</v>
      </c>
      <c r="Q600">
        <v>1</v>
      </c>
      <c r="W600">
        <v>0</v>
      </c>
      <c r="X600">
        <v>1983201532</v>
      </c>
      <c r="Y600">
        <v>20.329999999999998</v>
      </c>
      <c r="AA600">
        <v>0</v>
      </c>
      <c r="AB600">
        <v>0</v>
      </c>
      <c r="AC600">
        <v>0</v>
      </c>
      <c r="AD600">
        <v>62.39</v>
      </c>
      <c r="AE600">
        <v>0</v>
      </c>
      <c r="AF600">
        <v>0</v>
      </c>
      <c r="AG600">
        <v>0</v>
      </c>
      <c r="AH600">
        <v>9.51</v>
      </c>
      <c r="AI600">
        <v>1</v>
      </c>
      <c r="AJ600">
        <v>1</v>
      </c>
      <c r="AK600">
        <v>1</v>
      </c>
      <c r="AL600">
        <v>6.56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20.329999999999998</v>
      </c>
      <c r="AU600" t="s">
        <v>6</v>
      </c>
      <c r="AV600">
        <v>1</v>
      </c>
      <c r="AW600">
        <v>2</v>
      </c>
      <c r="AX600">
        <v>16744650</v>
      </c>
      <c r="AY600">
        <v>1</v>
      </c>
      <c r="AZ600">
        <v>0</v>
      </c>
      <c r="BA600">
        <v>558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Y600*Source!I389</f>
        <v>16.263999999999999</v>
      </c>
      <c r="CY600">
        <f>AD600</f>
        <v>62.39</v>
      </c>
      <c r="CZ600">
        <f>AH600</f>
        <v>9.51</v>
      </c>
      <c r="DA600">
        <f>AL600</f>
        <v>6.56</v>
      </c>
      <c r="DB600">
        <f t="shared" si="96"/>
        <v>193.34</v>
      </c>
      <c r="DC600">
        <f t="shared" si="97"/>
        <v>0</v>
      </c>
    </row>
    <row r="601" spans="1:107" x14ac:dyDescent="0.2">
      <c r="A601">
        <f>ROW(Source!A389)</f>
        <v>389</v>
      </c>
      <c r="B601">
        <v>16742901</v>
      </c>
      <c r="C601">
        <v>16744641</v>
      </c>
      <c r="D601">
        <v>15430395</v>
      </c>
      <c r="E601">
        <v>1</v>
      </c>
      <c r="F601">
        <v>1</v>
      </c>
      <c r="G601">
        <v>1</v>
      </c>
      <c r="H601">
        <v>1</v>
      </c>
      <c r="I601" t="s">
        <v>1293</v>
      </c>
      <c r="J601" t="s">
        <v>6</v>
      </c>
      <c r="K601" t="s">
        <v>1294</v>
      </c>
      <c r="L601">
        <v>1191</v>
      </c>
      <c r="N601">
        <v>1013</v>
      </c>
      <c r="O601" t="s">
        <v>1287</v>
      </c>
      <c r="P601" t="s">
        <v>1287</v>
      </c>
      <c r="Q601">
        <v>1</v>
      </c>
      <c r="W601">
        <v>0</v>
      </c>
      <c r="X601">
        <v>-1417349443</v>
      </c>
      <c r="Y601">
        <v>0.01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1</v>
      </c>
      <c r="AJ601">
        <v>1</v>
      </c>
      <c r="AK601">
        <v>6.56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6</v>
      </c>
      <c r="AT601">
        <v>0.01</v>
      </c>
      <c r="AU601" t="s">
        <v>6</v>
      </c>
      <c r="AV601">
        <v>2</v>
      </c>
      <c r="AW601">
        <v>2</v>
      </c>
      <c r="AX601">
        <v>16744651</v>
      </c>
      <c r="AY601">
        <v>1</v>
      </c>
      <c r="AZ601">
        <v>0</v>
      </c>
      <c r="BA601">
        <v>559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Y601*Source!I389</f>
        <v>8.0000000000000002E-3</v>
      </c>
      <c r="CY601">
        <f>AD601</f>
        <v>0</v>
      </c>
      <c r="CZ601">
        <f>AH601</f>
        <v>0</v>
      </c>
      <c r="DA601">
        <f>AL601</f>
        <v>1</v>
      </c>
      <c r="DB601">
        <f t="shared" si="96"/>
        <v>0</v>
      </c>
      <c r="DC601">
        <f t="shared" si="97"/>
        <v>0</v>
      </c>
    </row>
    <row r="602" spans="1:107" x14ac:dyDescent="0.2">
      <c r="A602">
        <f>ROW(Source!A389)</f>
        <v>389</v>
      </c>
      <c r="B602">
        <v>16742901</v>
      </c>
      <c r="C602">
        <v>16744641</v>
      </c>
      <c r="D602">
        <v>15247974</v>
      </c>
      <c r="E602">
        <v>1</v>
      </c>
      <c r="F602">
        <v>1</v>
      </c>
      <c r="G602">
        <v>1</v>
      </c>
      <c r="H602">
        <v>2</v>
      </c>
      <c r="I602" t="s">
        <v>1314</v>
      </c>
      <c r="J602" t="s">
        <v>1315</v>
      </c>
      <c r="K602" t="s">
        <v>1316</v>
      </c>
      <c r="L602">
        <v>1368</v>
      </c>
      <c r="N602">
        <v>1011</v>
      </c>
      <c r="O602" t="s">
        <v>1298</v>
      </c>
      <c r="P602" t="s">
        <v>1298</v>
      </c>
      <c r="Q602">
        <v>1</v>
      </c>
      <c r="W602">
        <v>0</v>
      </c>
      <c r="X602">
        <v>1188625873</v>
      </c>
      <c r="Y602">
        <v>0.01</v>
      </c>
      <c r="AA602">
        <v>0</v>
      </c>
      <c r="AB602">
        <v>205.07</v>
      </c>
      <c r="AC602">
        <v>13.5</v>
      </c>
      <c r="AD602">
        <v>0</v>
      </c>
      <c r="AE602">
        <v>0</v>
      </c>
      <c r="AF602">
        <v>31.26</v>
      </c>
      <c r="AG602">
        <v>13.5</v>
      </c>
      <c r="AH602">
        <v>0</v>
      </c>
      <c r="AI602">
        <v>1</v>
      </c>
      <c r="AJ602">
        <v>6.56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6</v>
      </c>
      <c r="AT602">
        <v>0.01</v>
      </c>
      <c r="AU602" t="s">
        <v>6</v>
      </c>
      <c r="AV602">
        <v>0</v>
      </c>
      <c r="AW602">
        <v>2</v>
      </c>
      <c r="AX602">
        <v>16744652</v>
      </c>
      <c r="AY602">
        <v>1</v>
      </c>
      <c r="AZ602">
        <v>0</v>
      </c>
      <c r="BA602">
        <v>560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Y602*Source!I389</f>
        <v>8.0000000000000002E-3</v>
      </c>
      <c r="CY602">
        <f>AB602</f>
        <v>205.07</v>
      </c>
      <c r="CZ602">
        <f>AF602</f>
        <v>31.26</v>
      </c>
      <c r="DA602">
        <f>AJ602</f>
        <v>6.56</v>
      </c>
      <c r="DB602">
        <f t="shared" si="96"/>
        <v>0.31</v>
      </c>
      <c r="DC602">
        <f t="shared" si="97"/>
        <v>0.14000000000000001</v>
      </c>
    </row>
    <row r="603" spans="1:107" x14ac:dyDescent="0.2">
      <c r="A603">
        <f>ROW(Source!A389)</f>
        <v>389</v>
      </c>
      <c r="B603">
        <v>16742901</v>
      </c>
      <c r="C603">
        <v>16744641</v>
      </c>
      <c r="D603">
        <v>15170076</v>
      </c>
      <c r="E603">
        <v>1</v>
      </c>
      <c r="F603">
        <v>1</v>
      </c>
      <c r="G603">
        <v>1</v>
      </c>
      <c r="H603">
        <v>3</v>
      </c>
      <c r="I603" t="s">
        <v>1633</v>
      </c>
      <c r="J603" t="s">
        <v>1634</v>
      </c>
      <c r="K603" t="s">
        <v>1635</v>
      </c>
      <c r="L603">
        <v>1356</v>
      </c>
      <c r="N603">
        <v>1010</v>
      </c>
      <c r="O603" t="s">
        <v>306</v>
      </c>
      <c r="P603" t="s">
        <v>306</v>
      </c>
      <c r="Q603">
        <v>1000</v>
      </c>
      <c r="W603">
        <v>0</v>
      </c>
      <c r="X603">
        <v>1975348994</v>
      </c>
      <c r="Y603">
        <v>0.4</v>
      </c>
      <c r="AA603">
        <v>1180.8</v>
      </c>
      <c r="AB603">
        <v>0</v>
      </c>
      <c r="AC603">
        <v>0</v>
      </c>
      <c r="AD603">
        <v>0</v>
      </c>
      <c r="AE603">
        <v>180</v>
      </c>
      <c r="AF603">
        <v>0</v>
      </c>
      <c r="AG603">
        <v>0</v>
      </c>
      <c r="AH603">
        <v>0</v>
      </c>
      <c r="AI603">
        <v>6.56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6</v>
      </c>
      <c r="AT603">
        <v>0.4</v>
      </c>
      <c r="AU603" t="s">
        <v>6</v>
      </c>
      <c r="AV603">
        <v>0</v>
      </c>
      <c r="AW603">
        <v>2</v>
      </c>
      <c r="AX603">
        <v>16744653</v>
      </c>
      <c r="AY603">
        <v>1</v>
      </c>
      <c r="AZ603">
        <v>0</v>
      </c>
      <c r="BA603">
        <v>561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Y603*Source!I389</f>
        <v>0.32000000000000006</v>
      </c>
      <c r="CY603">
        <f>AA603</f>
        <v>1180.8</v>
      </c>
      <c r="CZ603">
        <f>AE603</f>
        <v>180</v>
      </c>
      <c r="DA603">
        <f>AI603</f>
        <v>6.56</v>
      </c>
      <c r="DB603">
        <f t="shared" si="96"/>
        <v>72</v>
      </c>
      <c r="DC603">
        <f t="shared" si="97"/>
        <v>0</v>
      </c>
    </row>
    <row r="604" spans="1:107" x14ac:dyDescent="0.2">
      <c r="A604">
        <f>ROW(Source!A389)</f>
        <v>389</v>
      </c>
      <c r="B604">
        <v>16742901</v>
      </c>
      <c r="C604">
        <v>16744641</v>
      </c>
      <c r="D604">
        <v>15170438</v>
      </c>
      <c r="E604">
        <v>1</v>
      </c>
      <c r="F604">
        <v>1</v>
      </c>
      <c r="G604">
        <v>1</v>
      </c>
      <c r="H604">
        <v>3</v>
      </c>
      <c r="I604" t="s">
        <v>1636</v>
      </c>
      <c r="J604" t="s">
        <v>1637</v>
      </c>
      <c r="K604" t="s">
        <v>1638</v>
      </c>
      <c r="L604">
        <v>1348</v>
      </c>
      <c r="N604">
        <v>1009</v>
      </c>
      <c r="O604" t="s">
        <v>100</v>
      </c>
      <c r="P604" t="s">
        <v>100</v>
      </c>
      <c r="Q604">
        <v>1000</v>
      </c>
      <c r="W604">
        <v>0</v>
      </c>
      <c r="X604">
        <v>-1755229539</v>
      </c>
      <c r="Y604">
        <v>1.4E-3</v>
      </c>
      <c r="AA604">
        <v>81540.800000000003</v>
      </c>
      <c r="AB604">
        <v>0</v>
      </c>
      <c r="AC604">
        <v>0</v>
      </c>
      <c r="AD604">
        <v>0</v>
      </c>
      <c r="AE604">
        <v>12430</v>
      </c>
      <c r="AF604">
        <v>0</v>
      </c>
      <c r="AG604">
        <v>0</v>
      </c>
      <c r="AH604">
        <v>0</v>
      </c>
      <c r="AI604">
        <v>6.56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1.4E-3</v>
      </c>
      <c r="AU604" t="s">
        <v>6</v>
      </c>
      <c r="AV604">
        <v>0</v>
      </c>
      <c r="AW604">
        <v>2</v>
      </c>
      <c r="AX604">
        <v>16744654</v>
      </c>
      <c r="AY604">
        <v>1</v>
      </c>
      <c r="AZ604">
        <v>0</v>
      </c>
      <c r="BA604">
        <v>562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Y604*Source!I389</f>
        <v>1.1200000000000001E-3</v>
      </c>
      <c r="CY604">
        <f>AA604</f>
        <v>81540.800000000003</v>
      </c>
      <c r="CZ604">
        <f>AE604</f>
        <v>12430</v>
      </c>
      <c r="DA604">
        <f>AI604</f>
        <v>6.56</v>
      </c>
      <c r="DB604">
        <f t="shared" si="96"/>
        <v>17.399999999999999</v>
      </c>
      <c r="DC604">
        <f t="shared" si="97"/>
        <v>0</v>
      </c>
    </row>
    <row r="605" spans="1:107" x14ac:dyDescent="0.2">
      <c r="A605">
        <f>ROW(Source!A389)</f>
        <v>389</v>
      </c>
      <c r="B605">
        <v>16742901</v>
      </c>
      <c r="C605">
        <v>16744641</v>
      </c>
      <c r="D605">
        <v>15218462</v>
      </c>
      <c r="E605">
        <v>1</v>
      </c>
      <c r="F605">
        <v>1</v>
      </c>
      <c r="G605">
        <v>1</v>
      </c>
      <c r="H605">
        <v>3</v>
      </c>
      <c r="I605" t="s">
        <v>833</v>
      </c>
      <c r="J605" t="s">
        <v>835</v>
      </c>
      <c r="K605" t="s">
        <v>834</v>
      </c>
      <c r="L605">
        <v>1308</v>
      </c>
      <c r="N605">
        <v>1003</v>
      </c>
      <c r="O605" t="s">
        <v>34</v>
      </c>
      <c r="P605" t="s">
        <v>34</v>
      </c>
      <c r="Q605">
        <v>100</v>
      </c>
      <c r="W605">
        <v>0</v>
      </c>
      <c r="X605">
        <v>-960028865</v>
      </c>
      <c r="Y605">
        <v>1</v>
      </c>
      <c r="AA605">
        <v>8921.6</v>
      </c>
      <c r="AB605">
        <v>0</v>
      </c>
      <c r="AC605">
        <v>0</v>
      </c>
      <c r="AD605">
        <v>0</v>
      </c>
      <c r="AE605">
        <v>1360</v>
      </c>
      <c r="AF605">
        <v>0</v>
      </c>
      <c r="AG605">
        <v>0</v>
      </c>
      <c r="AH605">
        <v>0</v>
      </c>
      <c r="AI605">
        <v>6.56</v>
      </c>
      <c r="AJ605">
        <v>1</v>
      </c>
      <c r="AK605">
        <v>1</v>
      </c>
      <c r="AL605">
        <v>1</v>
      </c>
      <c r="AN605">
        <v>0</v>
      </c>
      <c r="AO605">
        <v>0</v>
      </c>
      <c r="AP605">
        <v>0</v>
      </c>
      <c r="AQ605">
        <v>0</v>
      </c>
      <c r="AR605">
        <v>0</v>
      </c>
      <c r="AS605" t="s">
        <v>6</v>
      </c>
      <c r="AT605">
        <v>1</v>
      </c>
      <c r="AU605" t="s">
        <v>6</v>
      </c>
      <c r="AV605">
        <v>0</v>
      </c>
      <c r="AW605">
        <v>1</v>
      </c>
      <c r="AX605">
        <v>-1</v>
      </c>
      <c r="AY605">
        <v>0</v>
      </c>
      <c r="AZ605">
        <v>0</v>
      </c>
      <c r="BA605" t="s">
        <v>6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Y605*Source!I389</f>
        <v>0.8</v>
      </c>
      <c r="CY605">
        <f>AA605</f>
        <v>8921.6</v>
      </c>
      <c r="CZ605">
        <f>AE605</f>
        <v>1360</v>
      </c>
      <c r="DA605">
        <f>AI605</f>
        <v>6.56</v>
      </c>
      <c r="DB605">
        <f t="shared" si="96"/>
        <v>1360</v>
      </c>
      <c r="DC605">
        <f t="shared" si="97"/>
        <v>0</v>
      </c>
    </row>
    <row r="606" spans="1:107" x14ac:dyDescent="0.2">
      <c r="A606">
        <f>ROW(Source!A389)</f>
        <v>389</v>
      </c>
      <c r="B606">
        <v>16742901</v>
      </c>
      <c r="C606">
        <v>16744641</v>
      </c>
      <c r="D606">
        <v>15164559</v>
      </c>
      <c r="E606">
        <v>17</v>
      </c>
      <c r="F606">
        <v>1</v>
      </c>
      <c r="G606">
        <v>1</v>
      </c>
      <c r="H606">
        <v>3</v>
      </c>
      <c r="I606" t="s">
        <v>1334</v>
      </c>
      <c r="J606" t="s">
        <v>6</v>
      </c>
      <c r="K606" t="s">
        <v>1335</v>
      </c>
      <c r="L606">
        <v>1374</v>
      </c>
      <c r="N606">
        <v>1013</v>
      </c>
      <c r="O606" t="s">
        <v>1336</v>
      </c>
      <c r="P606" t="s">
        <v>1336</v>
      </c>
      <c r="Q606">
        <v>1</v>
      </c>
      <c r="W606">
        <v>0</v>
      </c>
      <c r="X606">
        <v>-1731369543</v>
      </c>
      <c r="Y606">
        <v>3.87</v>
      </c>
      <c r="AA606">
        <v>1</v>
      </c>
      <c r="AB606">
        <v>0</v>
      </c>
      <c r="AC606">
        <v>0</v>
      </c>
      <c r="AD606">
        <v>0</v>
      </c>
      <c r="AE606">
        <v>1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3.87</v>
      </c>
      <c r="AU606" t="s">
        <v>6</v>
      </c>
      <c r="AV606">
        <v>0</v>
      </c>
      <c r="AW606">
        <v>2</v>
      </c>
      <c r="AX606">
        <v>16744655</v>
      </c>
      <c r="AY606">
        <v>1</v>
      </c>
      <c r="AZ606">
        <v>0</v>
      </c>
      <c r="BA606">
        <v>563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Y606*Source!I389</f>
        <v>3.0960000000000001</v>
      </c>
      <c r="CY606">
        <f>AA606</f>
        <v>1</v>
      </c>
      <c r="CZ606">
        <f>AE606</f>
        <v>1</v>
      </c>
      <c r="DA606">
        <f>AI606</f>
        <v>1</v>
      </c>
      <c r="DB606">
        <f t="shared" si="96"/>
        <v>3.87</v>
      </c>
      <c r="DC606">
        <f t="shared" si="97"/>
        <v>0</v>
      </c>
    </row>
    <row r="607" spans="1:107" x14ac:dyDescent="0.2">
      <c r="A607">
        <f>ROW(Source!A391)</f>
        <v>391</v>
      </c>
      <c r="B607">
        <v>16742901</v>
      </c>
      <c r="C607">
        <v>16744657</v>
      </c>
      <c r="D607">
        <v>15446300</v>
      </c>
      <c r="E607">
        <v>1</v>
      </c>
      <c r="F607">
        <v>1</v>
      </c>
      <c r="G607">
        <v>1</v>
      </c>
      <c r="H607">
        <v>1</v>
      </c>
      <c r="I607" t="s">
        <v>1437</v>
      </c>
      <c r="J607" t="s">
        <v>6</v>
      </c>
      <c r="K607" t="s">
        <v>1438</v>
      </c>
      <c r="L607">
        <v>1191</v>
      </c>
      <c r="N607">
        <v>1013</v>
      </c>
      <c r="O607" t="s">
        <v>1287</v>
      </c>
      <c r="P607" t="s">
        <v>1287</v>
      </c>
      <c r="Q607">
        <v>1</v>
      </c>
      <c r="W607">
        <v>0</v>
      </c>
      <c r="X607">
        <v>912892513</v>
      </c>
      <c r="Y607">
        <v>34.56</v>
      </c>
      <c r="AA607">
        <v>0</v>
      </c>
      <c r="AB607">
        <v>0</v>
      </c>
      <c r="AC607">
        <v>0</v>
      </c>
      <c r="AD607">
        <v>65.08</v>
      </c>
      <c r="AE607">
        <v>0</v>
      </c>
      <c r="AF607">
        <v>0</v>
      </c>
      <c r="AG607">
        <v>0</v>
      </c>
      <c r="AH607">
        <v>9.92</v>
      </c>
      <c r="AI607">
        <v>1</v>
      </c>
      <c r="AJ607">
        <v>1</v>
      </c>
      <c r="AK607">
        <v>1</v>
      </c>
      <c r="AL607">
        <v>6.56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6</v>
      </c>
      <c r="AT607">
        <v>34.56</v>
      </c>
      <c r="AU607" t="s">
        <v>6</v>
      </c>
      <c r="AV607">
        <v>1</v>
      </c>
      <c r="AW607">
        <v>2</v>
      </c>
      <c r="AX607">
        <v>16744673</v>
      </c>
      <c r="AY607">
        <v>1</v>
      </c>
      <c r="AZ607">
        <v>0</v>
      </c>
      <c r="BA607">
        <v>564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Y607*Source!I391</f>
        <v>19.699200000000001</v>
      </c>
      <c r="CY607">
        <f>AD607</f>
        <v>65.08</v>
      </c>
      <c r="CZ607">
        <f>AH607</f>
        <v>9.92</v>
      </c>
      <c r="DA607">
        <f>AL607</f>
        <v>6.56</v>
      </c>
      <c r="DB607">
        <f t="shared" si="96"/>
        <v>342.84</v>
      </c>
      <c r="DC607">
        <f t="shared" si="97"/>
        <v>0</v>
      </c>
    </row>
    <row r="608" spans="1:107" x14ac:dyDescent="0.2">
      <c r="A608">
        <f>ROW(Source!A391)</f>
        <v>391</v>
      </c>
      <c r="B608">
        <v>16742901</v>
      </c>
      <c r="C608">
        <v>16744657</v>
      </c>
      <c r="D608">
        <v>15430395</v>
      </c>
      <c r="E608">
        <v>1</v>
      </c>
      <c r="F608">
        <v>1</v>
      </c>
      <c r="G608">
        <v>1</v>
      </c>
      <c r="H608">
        <v>1</v>
      </c>
      <c r="I608" t="s">
        <v>1293</v>
      </c>
      <c r="J608" t="s">
        <v>6</v>
      </c>
      <c r="K608" t="s">
        <v>1294</v>
      </c>
      <c r="L608">
        <v>1191</v>
      </c>
      <c r="N608">
        <v>1013</v>
      </c>
      <c r="O608" t="s">
        <v>1287</v>
      </c>
      <c r="P608" t="s">
        <v>1287</v>
      </c>
      <c r="Q608">
        <v>1</v>
      </c>
      <c r="W608">
        <v>0</v>
      </c>
      <c r="X608">
        <v>-1417349443</v>
      </c>
      <c r="Y608">
        <v>0.05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6.56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6</v>
      </c>
      <c r="AT608">
        <v>0.05</v>
      </c>
      <c r="AU608" t="s">
        <v>6</v>
      </c>
      <c r="AV608">
        <v>2</v>
      </c>
      <c r="AW608">
        <v>2</v>
      </c>
      <c r="AX608">
        <v>16744674</v>
      </c>
      <c r="AY608">
        <v>1</v>
      </c>
      <c r="AZ608">
        <v>0</v>
      </c>
      <c r="BA608">
        <v>565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Y608*Source!I391</f>
        <v>2.8499999999999998E-2</v>
      </c>
      <c r="CY608">
        <f>AD608</f>
        <v>0</v>
      </c>
      <c r="CZ608">
        <f>AH608</f>
        <v>0</v>
      </c>
      <c r="DA608">
        <f>AL608</f>
        <v>1</v>
      </c>
      <c r="DB608">
        <f t="shared" si="96"/>
        <v>0</v>
      </c>
      <c r="DC608">
        <f t="shared" si="97"/>
        <v>0</v>
      </c>
    </row>
    <row r="609" spans="1:107" x14ac:dyDescent="0.2">
      <c r="A609">
        <f>ROW(Source!A391)</f>
        <v>391</v>
      </c>
      <c r="B609">
        <v>16742901</v>
      </c>
      <c r="C609">
        <v>16744657</v>
      </c>
      <c r="D609">
        <v>15247680</v>
      </c>
      <c r="E609">
        <v>1</v>
      </c>
      <c r="F609">
        <v>1</v>
      </c>
      <c r="G609">
        <v>1</v>
      </c>
      <c r="H609">
        <v>2</v>
      </c>
      <c r="I609" t="s">
        <v>1295</v>
      </c>
      <c r="J609" t="s">
        <v>1296</v>
      </c>
      <c r="K609" t="s">
        <v>1297</v>
      </c>
      <c r="L609">
        <v>1368</v>
      </c>
      <c r="N609">
        <v>1011</v>
      </c>
      <c r="O609" t="s">
        <v>1298</v>
      </c>
      <c r="P609" t="s">
        <v>1298</v>
      </c>
      <c r="Q609">
        <v>1</v>
      </c>
      <c r="W609">
        <v>0</v>
      </c>
      <c r="X609">
        <v>-1718674368</v>
      </c>
      <c r="Y609">
        <v>0.03</v>
      </c>
      <c r="AA609">
        <v>0</v>
      </c>
      <c r="AB609">
        <v>734.65</v>
      </c>
      <c r="AC609">
        <v>13.5</v>
      </c>
      <c r="AD609">
        <v>0</v>
      </c>
      <c r="AE609">
        <v>0</v>
      </c>
      <c r="AF609">
        <v>111.99</v>
      </c>
      <c r="AG609">
        <v>13.5</v>
      </c>
      <c r="AH609">
        <v>0</v>
      </c>
      <c r="AI609">
        <v>1</v>
      </c>
      <c r="AJ609">
        <v>6.56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6</v>
      </c>
      <c r="AT609">
        <v>0.03</v>
      </c>
      <c r="AU609" t="s">
        <v>6</v>
      </c>
      <c r="AV609">
        <v>0</v>
      </c>
      <c r="AW609">
        <v>2</v>
      </c>
      <c r="AX609">
        <v>16744675</v>
      </c>
      <c r="AY609">
        <v>1</v>
      </c>
      <c r="AZ609">
        <v>0</v>
      </c>
      <c r="BA609">
        <v>566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Y609*Source!I391</f>
        <v>1.7099999999999997E-2</v>
      </c>
      <c r="CY609">
        <f>AB609</f>
        <v>734.65</v>
      </c>
      <c r="CZ609">
        <f>AF609</f>
        <v>111.99</v>
      </c>
      <c r="DA609">
        <f>AJ609</f>
        <v>6.56</v>
      </c>
      <c r="DB609">
        <f t="shared" si="96"/>
        <v>3.36</v>
      </c>
      <c r="DC609">
        <f t="shared" si="97"/>
        <v>0.41</v>
      </c>
    </row>
    <row r="610" spans="1:107" x14ac:dyDescent="0.2">
      <c r="A610">
        <f>ROW(Source!A391)</f>
        <v>391</v>
      </c>
      <c r="B610">
        <v>16742901</v>
      </c>
      <c r="C610">
        <v>16744657</v>
      </c>
      <c r="D610">
        <v>15249073</v>
      </c>
      <c r="E610">
        <v>1</v>
      </c>
      <c r="F610">
        <v>1</v>
      </c>
      <c r="G610">
        <v>1</v>
      </c>
      <c r="H610">
        <v>2</v>
      </c>
      <c r="I610" t="s">
        <v>1299</v>
      </c>
      <c r="J610" t="s">
        <v>1300</v>
      </c>
      <c r="K610" t="s">
        <v>1301</v>
      </c>
      <c r="L610">
        <v>1368</v>
      </c>
      <c r="N610">
        <v>1011</v>
      </c>
      <c r="O610" t="s">
        <v>1298</v>
      </c>
      <c r="P610" t="s">
        <v>1298</v>
      </c>
      <c r="Q610">
        <v>1</v>
      </c>
      <c r="W610">
        <v>0</v>
      </c>
      <c r="X610">
        <v>1372534845</v>
      </c>
      <c r="Y610">
        <v>0.02</v>
      </c>
      <c r="AA610">
        <v>0</v>
      </c>
      <c r="AB610">
        <v>431.06</v>
      </c>
      <c r="AC610">
        <v>11.6</v>
      </c>
      <c r="AD610">
        <v>0</v>
      </c>
      <c r="AE610">
        <v>0</v>
      </c>
      <c r="AF610">
        <v>65.709999999999994</v>
      </c>
      <c r="AG610">
        <v>11.6</v>
      </c>
      <c r="AH610">
        <v>0</v>
      </c>
      <c r="AI610">
        <v>1</v>
      </c>
      <c r="AJ610">
        <v>6.56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0.02</v>
      </c>
      <c r="AU610" t="s">
        <v>6</v>
      </c>
      <c r="AV610">
        <v>0</v>
      </c>
      <c r="AW610">
        <v>2</v>
      </c>
      <c r="AX610">
        <v>16744676</v>
      </c>
      <c r="AY610">
        <v>1</v>
      </c>
      <c r="AZ610">
        <v>0</v>
      </c>
      <c r="BA610">
        <v>567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Y610*Source!I391</f>
        <v>1.1399999999999999E-2</v>
      </c>
      <c r="CY610">
        <f>AB610</f>
        <v>431.06</v>
      </c>
      <c r="CZ610">
        <f>AF610</f>
        <v>65.709999999999994</v>
      </c>
      <c r="DA610">
        <f>AJ610</f>
        <v>6.56</v>
      </c>
      <c r="DB610">
        <f t="shared" si="96"/>
        <v>1.31</v>
      </c>
      <c r="DC610">
        <f t="shared" si="97"/>
        <v>0.23</v>
      </c>
    </row>
    <row r="611" spans="1:107" x14ac:dyDescent="0.2">
      <c r="A611">
        <f>ROW(Source!A391)</f>
        <v>391</v>
      </c>
      <c r="B611">
        <v>16742901</v>
      </c>
      <c r="C611">
        <v>16744657</v>
      </c>
      <c r="D611">
        <v>15167588</v>
      </c>
      <c r="E611">
        <v>1</v>
      </c>
      <c r="F611">
        <v>1</v>
      </c>
      <c r="G611">
        <v>1</v>
      </c>
      <c r="H611">
        <v>3</v>
      </c>
      <c r="I611" t="s">
        <v>1641</v>
      </c>
      <c r="J611" t="s">
        <v>1642</v>
      </c>
      <c r="K611" t="s">
        <v>1643</v>
      </c>
      <c r="L611">
        <v>1346</v>
      </c>
      <c r="N611">
        <v>1009</v>
      </c>
      <c r="O611" t="s">
        <v>341</v>
      </c>
      <c r="P611" t="s">
        <v>341</v>
      </c>
      <c r="Q611">
        <v>1</v>
      </c>
      <c r="W611">
        <v>0</v>
      </c>
      <c r="X611">
        <v>-1088866022</v>
      </c>
      <c r="Y611">
        <v>0.11</v>
      </c>
      <c r="AA611">
        <v>199.42</v>
      </c>
      <c r="AB611">
        <v>0</v>
      </c>
      <c r="AC611">
        <v>0</v>
      </c>
      <c r="AD611">
        <v>0</v>
      </c>
      <c r="AE611">
        <v>30.4</v>
      </c>
      <c r="AF611">
        <v>0</v>
      </c>
      <c r="AG611">
        <v>0</v>
      </c>
      <c r="AH611">
        <v>0</v>
      </c>
      <c r="AI611">
        <v>6.56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6</v>
      </c>
      <c r="AT611">
        <v>0.11</v>
      </c>
      <c r="AU611" t="s">
        <v>6</v>
      </c>
      <c r="AV611">
        <v>0</v>
      </c>
      <c r="AW611">
        <v>2</v>
      </c>
      <c r="AX611">
        <v>16744677</v>
      </c>
      <c r="AY611">
        <v>1</v>
      </c>
      <c r="AZ611">
        <v>0</v>
      </c>
      <c r="BA611">
        <v>568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Y611*Source!I391</f>
        <v>6.2699999999999992E-2</v>
      </c>
      <c r="CY611">
        <f t="shared" ref="CY611:CY617" si="98">AA611</f>
        <v>199.42</v>
      </c>
      <c r="CZ611">
        <f t="shared" ref="CZ611:CZ617" si="99">AE611</f>
        <v>30.4</v>
      </c>
      <c r="DA611">
        <f t="shared" ref="DA611:DA617" si="100">AI611</f>
        <v>6.56</v>
      </c>
      <c r="DB611">
        <f t="shared" si="96"/>
        <v>3.34</v>
      </c>
      <c r="DC611">
        <f t="shared" si="97"/>
        <v>0</v>
      </c>
    </row>
    <row r="612" spans="1:107" x14ac:dyDescent="0.2">
      <c r="A612">
        <f>ROW(Source!A391)</f>
        <v>391</v>
      </c>
      <c r="B612">
        <v>16742901</v>
      </c>
      <c r="C612">
        <v>16744657</v>
      </c>
      <c r="D612">
        <v>15170074</v>
      </c>
      <c r="E612">
        <v>1</v>
      </c>
      <c r="F612">
        <v>1</v>
      </c>
      <c r="G612">
        <v>1</v>
      </c>
      <c r="H612">
        <v>3</v>
      </c>
      <c r="I612" t="s">
        <v>1655</v>
      </c>
      <c r="J612" t="s">
        <v>1656</v>
      </c>
      <c r="K612" t="s">
        <v>1657</v>
      </c>
      <c r="L612">
        <v>1355</v>
      </c>
      <c r="N612">
        <v>1010</v>
      </c>
      <c r="O612" t="s">
        <v>843</v>
      </c>
      <c r="P612" t="s">
        <v>843</v>
      </c>
      <c r="Q612">
        <v>100</v>
      </c>
      <c r="W612">
        <v>0</v>
      </c>
      <c r="X612">
        <v>1794244060</v>
      </c>
      <c r="Y612">
        <v>1.02</v>
      </c>
      <c r="AA612">
        <v>564.16</v>
      </c>
      <c r="AB612">
        <v>0</v>
      </c>
      <c r="AC612">
        <v>0</v>
      </c>
      <c r="AD612">
        <v>0</v>
      </c>
      <c r="AE612">
        <v>86</v>
      </c>
      <c r="AF612">
        <v>0</v>
      </c>
      <c r="AG612">
        <v>0</v>
      </c>
      <c r="AH612">
        <v>0</v>
      </c>
      <c r="AI612">
        <v>6.56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6</v>
      </c>
      <c r="AT612">
        <v>1.02</v>
      </c>
      <c r="AU612" t="s">
        <v>6</v>
      </c>
      <c r="AV612">
        <v>0</v>
      </c>
      <c r="AW612">
        <v>2</v>
      </c>
      <c r="AX612">
        <v>16744678</v>
      </c>
      <c r="AY612">
        <v>1</v>
      </c>
      <c r="AZ612">
        <v>0</v>
      </c>
      <c r="BA612">
        <v>569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Y612*Source!I391</f>
        <v>0.58139999999999992</v>
      </c>
      <c r="CY612">
        <f t="shared" si="98"/>
        <v>564.16</v>
      </c>
      <c r="CZ612">
        <f t="shared" si="99"/>
        <v>86</v>
      </c>
      <c r="DA612">
        <f t="shared" si="100"/>
        <v>6.56</v>
      </c>
      <c r="DB612">
        <f t="shared" si="96"/>
        <v>87.72</v>
      </c>
      <c r="DC612">
        <f t="shared" si="97"/>
        <v>0</v>
      </c>
    </row>
    <row r="613" spans="1:107" x14ac:dyDescent="0.2">
      <c r="A613">
        <f>ROW(Source!A391)</f>
        <v>391</v>
      </c>
      <c r="B613">
        <v>16742901</v>
      </c>
      <c r="C613">
        <v>16744657</v>
      </c>
      <c r="D613">
        <v>15170434</v>
      </c>
      <c r="E613">
        <v>1</v>
      </c>
      <c r="F613">
        <v>1</v>
      </c>
      <c r="G613">
        <v>1</v>
      </c>
      <c r="H613">
        <v>3</v>
      </c>
      <c r="I613" t="s">
        <v>1658</v>
      </c>
      <c r="J613" t="s">
        <v>1659</v>
      </c>
      <c r="K613" t="s">
        <v>1660</v>
      </c>
      <c r="L613">
        <v>1348</v>
      </c>
      <c r="N613">
        <v>1009</v>
      </c>
      <c r="O613" t="s">
        <v>100</v>
      </c>
      <c r="P613" t="s">
        <v>100</v>
      </c>
      <c r="Q613">
        <v>1000</v>
      </c>
      <c r="W613">
        <v>0</v>
      </c>
      <c r="X613">
        <v>797358079</v>
      </c>
      <c r="Y613">
        <v>1.6000000000000001E-4</v>
      </c>
      <c r="AA613">
        <v>195488</v>
      </c>
      <c r="AB613">
        <v>0</v>
      </c>
      <c r="AC613">
        <v>0</v>
      </c>
      <c r="AD613">
        <v>0</v>
      </c>
      <c r="AE613">
        <v>29800</v>
      </c>
      <c r="AF613">
        <v>0</v>
      </c>
      <c r="AG613">
        <v>0</v>
      </c>
      <c r="AH613">
        <v>0</v>
      </c>
      <c r="AI613">
        <v>6.56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6</v>
      </c>
      <c r="AT613">
        <v>1.6000000000000001E-4</v>
      </c>
      <c r="AU613" t="s">
        <v>6</v>
      </c>
      <c r="AV613">
        <v>0</v>
      </c>
      <c r="AW613">
        <v>2</v>
      </c>
      <c r="AX613">
        <v>16744679</v>
      </c>
      <c r="AY613">
        <v>1</v>
      </c>
      <c r="AZ613">
        <v>0</v>
      </c>
      <c r="BA613">
        <v>570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Y613*Source!I391</f>
        <v>9.1199999999999994E-5</v>
      </c>
      <c r="CY613">
        <f t="shared" si="98"/>
        <v>195488</v>
      </c>
      <c r="CZ613">
        <f t="shared" si="99"/>
        <v>29800</v>
      </c>
      <c r="DA613">
        <f t="shared" si="100"/>
        <v>6.56</v>
      </c>
      <c r="DB613">
        <f t="shared" si="96"/>
        <v>4.7699999999999996</v>
      </c>
      <c r="DC613">
        <f t="shared" si="97"/>
        <v>0</v>
      </c>
    </row>
    <row r="614" spans="1:107" x14ac:dyDescent="0.2">
      <c r="A614">
        <f>ROW(Source!A391)</f>
        <v>391</v>
      </c>
      <c r="B614">
        <v>16742901</v>
      </c>
      <c r="C614">
        <v>16744657</v>
      </c>
      <c r="D614">
        <v>15170438</v>
      </c>
      <c r="E614">
        <v>1</v>
      </c>
      <c r="F614">
        <v>1</v>
      </c>
      <c r="G614">
        <v>1</v>
      </c>
      <c r="H614">
        <v>3</v>
      </c>
      <c r="I614" t="s">
        <v>1636</v>
      </c>
      <c r="J614" t="s">
        <v>1637</v>
      </c>
      <c r="K614" t="s">
        <v>1638</v>
      </c>
      <c r="L614">
        <v>1348</v>
      </c>
      <c r="N614">
        <v>1009</v>
      </c>
      <c r="O614" t="s">
        <v>100</v>
      </c>
      <c r="P614" t="s">
        <v>100</v>
      </c>
      <c r="Q614">
        <v>1000</v>
      </c>
      <c r="W614">
        <v>0</v>
      </c>
      <c r="X614">
        <v>-1755229539</v>
      </c>
      <c r="Y614">
        <v>2.9999999999999997E-4</v>
      </c>
      <c r="AA614">
        <v>81540.800000000003</v>
      </c>
      <c r="AB614">
        <v>0</v>
      </c>
      <c r="AC614">
        <v>0</v>
      </c>
      <c r="AD614">
        <v>0</v>
      </c>
      <c r="AE614">
        <v>12430</v>
      </c>
      <c r="AF614">
        <v>0</v>
      </c>
      <c r="AG614">
        <v>0</v>
      </c>
      <c r="AH614">
        <v>0</v>
      </c>
      <c r="AI614">
        <v>6.56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6</v>
      </c>
      <c r="AT614">
        <v>2.9999999999999997E-4</v>
      </c>
      <c r="AU614" t="s">
        <v>6</v>
      </c>
      <c r="AV614">
        <v>0</v>
      </c>
      <c r="AW614">
        <v>2</v>
      </c>
      <c r="AX614">
        <v>16744680</v>
      </c>
      <c r="AY614">
        <v>1</v>
      </c>
      <c r="AZ614">
        <v>0</v>
      </c>
      <c r="BA614">
        <v>571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Y614*Source!I391</f>
        <v>1.7099999999999998E-4</v>
      </c>
      <c r="CY614">
        <f t="shared" si="98"/>
        <v>81540.800000000003</v>
      </c>
      <c r="CZ614">
        <f t="shared" si="99"/>
        <v>12430</v>
      </c>
      <c r="DA614">
        <f t="shared" si="100"/>
        <v>6.56</v>
      </c>
      <c r="DB614">
        <f t="shared" si="96"/>
        <v>3.73</v>
      </c>
      <c r="DC614">
        <f t="shared" si="97"/>
        <v>0</v>
      </c>
    </row>
    <row r="615" spans="1:107" x14ac:dyDescent="0.2">
      <c r="A615">
        <f>ROW(Source!A391)</f>
        <v>391</v>
      </c>
      <c r="B615">
        <v>16742901</v>
      </c>
      <c r="C615">
        <v>16744657</v>
      </c>
      <c r="D615">
        <v>15220789</v>
      </c>
      <c r="E615">
        <v>1</v>
      </c>
      <c r="F615">
        <v>1</v>
      </c>
      <c r="G615">
        <v>1</v>
      </c>
      <c r="H615">
        <v>3</v>
      </c>
      <c r="I615" t="s">
        <v>841</v>
      </c>
      <c r="J615" t="s">
        <v>844</v>
      </c>
      <c r="K615" t="s">
        <v>842</v>
      </c>
      <c r="L615">
        <v>1355</v>
      </c>
      <c r="N615">
        <v>1010</v>
      </c>
      <c r="O615" t="s">
        <v>843</v>
      </c>
      <c r="P615" t="s">
        <v>843</v>
      </c>
      <c r="Q615">
        <v>100</v>
      </c>
      <c r="W615">
        <v>0</v>
      </c>
      <c r="X615">
        <v>833885235</v>
      </c>
      <c r="Y615">
        <v>0.91228100000000001</v>
      </c>
      <c r="AA615">
        <v>3785.12</v>
      </c>
      <c r="AB615">
        <v>0</v>
      </c>
      <c r="AC615">
        <v>0</v>
      </c>
      <c r="AD615">
        <v>0</v>
      </c>
      <c r="AE615">
        <v>577</v>
      </c>
      <c r="AF615">
        <v>0</v>
      </c>
      <c r="AG615">
        <v>0</v>
      </c>
      <c r="AH615">
        <v>0</v>
      </c>
      <c r="AI615">
        <v>6.56</v>
      </c>
      <c r="AJ615">
        <v>1</v>
      </c>
      <c r="AK615">
        <v>1</v>
      </c>
      <c r="AL615">
        <v>1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6</v>
      </c>
      <c r="AT615">
        <v>0.91228100000000001</v>
      </c>
      <c r="AU615" t="s">
        <v>6</v>
      </c>
      <c r="AV615">
        <v>0</v>
      </c>
      <c r="AW615">
        <v>1</v>
      </c>
      <c r="AX615">
        <v>-1</v>
      </c>
      <c r="AY615">
        <v>0</v>
      </c>
      <c r="AZ615">
        <v>0</v>
      </c>
      <c r="BA615" t="s">
        <v>6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Y615*Source!I391</f>
        <v>0.52000016999999998</v>
      </c>
      <c r="CY615">
        <f t="shared" si="98"/>
        <v>3785.12</v>
      </c>
      <c r="CZ615">
        <f t="shared" si="99"/>
        <v>577</v>
      </c>
      <c r="DA615">
        <f t="shared" si="100"/>
        <v>6.56</v>
      </c>
      <c r="DB615">
        <f t="shared" si="96"/>
        <v>526.39</v>
      </c>
      <c r="DC615">
        <f t="shared" si="97"/>
        <v>0</v>
      </c>
    </row>
    <row r="616" spans="1:107" x14ac:dyDescent="0.2">
      <c r="A616">
        <f>ROW(Source!A391)</f>
        <v>391</v>
      </c>
      <c r="B616">
        <v>16742901</v>
      </c>
      <c r="C616">
        <v>16744657</v>
      </c>
      <c r="D616">
        <v>15220792</v>
      </c>
      <c r="E616">
        <v>1</v>
      </c>
      <c r="F616">
        <v>1</v>
      </c>
      <c r="G616">
        <v>1</v>
      </c>
      <c r="H616">
        <v>3</v>
      </c>
      <c r="I616" t="s">
        <v>846</v>
      </c>
      <c r="J616" t="s">
        <v>848</v>
      </c>
      <c r="K616" t="s">
        <v>847</v>
      </c>
      <c r="L616">
        <v>1355</v>
      </c>
      <c r="N616">
        <v>1010</v>
      </c>
      <c r="O616" t="s">
        <v>843</v>
      </c>
      <c r="P616" t="s">
        <v>843</v>
      </c>
      <c r="Q616">
        <v>100</v>
      </c>
      <c r="W616">
        <v>0</v>
      </c>
      <c r="X616">
        <v>1906000849</v>
      </c>
      <c r="Y616">
        <v>8.7719000000000005E-2</v>
      </c>
      <c r="AA616">
        <v>5897.44</v>
      </c>
      <c r="AB616">
        <v>0</v>
      </c>
      <c r="AC616">
        <v>0</v>
      </c>
      <c r="AD616">
        <v>0</v>
      </c>
      <c r="AE616">
        <v>899</v>
      </c>
      <c r="AF616">
        <v>0</v>
      </c>
      <c r="AG616">
        <v>0</v>
      </c>
      <c r="AH616">
        <v>0</v>
      </c>
      <c r="AI616">
        <v>6.56</v>
      </c>
      <c r="AJ616">
        <v>1</v>
      </c>
      <c r="AK616">
        <v>1</v>
      </c>
      <c r="AL616">
        <v>1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6</v>
      </c>
      <c r="AT616">
        <v>8.7719000000000005E-2</v>
      </c>
      <c r="AU616" t="s">
        <v>6</v>
      </c>
      <c r="AV616">
        <v>0</v>
      </c>
      <c r="AW616">
        <v>1</v>
      </c>
      <c r="AX616">
        <v>-1</v>
      </c>
      <c r="AY616">
        <v>0</v>
      </c>
      <c r="AZ616">
        <v>0</v>
      </c>
      <c r="BA616" t="s">
        <v>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Y616*Source!I391</f>
        <v>4.9999830000000002E-2</v>
      </c>
      <c r="CY616">
        <f t="shared" si="98"/>
        <v>5897.44</v>
      </c>
      <c r="CZ616">
        <f t="shared" si="99"/>
        <v>899</v>
      </c>
      <c r="DA616">
        <f t="shared" si="100"/>
        <v>6.56</v>
      </c>
      <c r="DB616">
        <f t="shared" si="96"/>
        <v>78.86</v>
      </c>
      <c r="DC616">
        <f t="shared" si="97"/>
        <v>0</v>
      </c>
    </row>
    <row r="617" spans="1:107" x14ac:dyDescent="0.2">
      <c r="A617">
        <f>ROW(Source!A391)</f>
        <v>391</v>
      </c>
      <c r="B617">
        <v>16742901</v>
      </c>
      <c r="C617">
        <v>16744657</v>
      </c>
      <c r="D617">
        <v>15164559</v>
      </c>
      <c r="E617">
        <v>17</v>
      </c>
      <c r="F617">
        <v>1</v>
      </c>
      <c r="G617">
        <v>1</v>
      </c>
      <c r="H617">
        <v>3</v>
      </c>
      <c r="I617" t="s">
        <v>1334</v>
      </c>
      <c r="J617" t="s">
        <v>6</v>
      </c>
      <c r="K617" t="s">
        <v>1335</v>
      </c>
      <c r="L617">
        <v>1374</v>
      </c>
      <c r="N617">
        <v>1013</v>
      </c>
      <c r="O617" t="s">
        <v>1336</v>
      </c>
      <c r="P617" t="s">
        <v>1336</v>
      </c>
      <c r="Q617">
        <v>1</v>
      </c>
      <c r="W617">
        <v>0</v>
      </c>
      <c r="X617">
        <v>-1731369543</v>
      </c>
      <c r="Y617">
        <v>6.86</v>
      </c>
      <c r="AA617">
        <v>1</v>
      </c>
      <c r="AB617">
        <v>0</v>
      </c>
      <c r="AC617">
        <v>0</v>
      </c>
      <c r="AD617">
        <v>0</v>
      </c>
      <c r="AE617">
        <v>1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6.86</v>
      </c>
      <c r="AU617" t="s">
        <v>6</v>
      </c>
      <c r="AV617">
        <v>0</v>
      </c>
      <c r="AW617">
        <v>2</v>
      </c>
      <c r="AX617">
        <v>16744681</v>
      </c>
      <c r="AY617">
        <v>1</v>
      </c>
      <c r="AZ617">
        <v>0</v>
      </c>
      <c r="BA617">
        <v>572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Y617*Source!I391</f>
        <v>3.9101999999999997</v>
      </c>
      <c r="CY617">
        <f t="shared" si="98"/>
        <v>1</v>
      </c>
      <c r="CZ617">
        <f t="shared" si="99"/>
        <v>1</v>
      </c>
      <c r="DA617">
        <f t="shared" si="100"/>
        <v>1</v>
      </c>
      <c r="DB617">
        <f t="shared" si="96"/>
        <v>6.86</v>
      </c>
      <c r="DC617">
        <f t="shared" si="97"/>
        <v>0</v>
      </c>
    </row>
    <row r="618" spans="1:107" x14ac:dyDescent="0.2">
      <c r="A618">
        <f>ROW(Source!A394)</f>
        <v>394</v>
      </c>
      <c r="B618">
        <v>16742901</v>
      </c>
      <c r="C618">
        <v>16744685</v>
      </c>
      <c r="D618">
        <v>15446300</v>
      </c>
      <c r="E618">
        <v>1</v>
      </c>
      <c r="F618">
        <v>1</v>
      </c>
      <c r="G618">
        <v>1</v>
      </c>
      <c r="H618">
        <v>1</v>
      </c>
      <c r="I618" t="s">
        <v>1437</v>
      </c>
      <c r="J618" t="s">
        <v>6</v>
      </c>
      <c r="K618" t="s">
        <v>1438</v>
      </c>
      <c r="L618">
        <v>1191</v>
      </c>
      <c r="N618">
        <v>1013</v>
      </c>
      <c r="O618" t="s">
        <v>1287</v>
      </c>
      <c r="P618" t="s">
        <v>1287</v>
      </c>
      <c r="Q618">
        <v>1</v>
      </c>
      <c r="W618">
        <v>0</v>
      </c>
      <c r="X618">
        <v>912892513</v>
      </c>
      <c r="Y618">
        <v>60.88</v>
      </c>
      <c r="AA618">
        <v>0</v>
      </c>
      <c r="AB618">
        <v>0</v>
      </c>
      <c r="AC618">
        <v>0</v>
      </c>
      <c r="AD618">
        <v>65.08</v>
      </c>
      <c r="AE618">
        <v>0</v>
      </c>
      <c r="AF618">
        <v>0</v>
      </c>
      <c r="AG618">
        <v>0</v>
      </c>
      <c r="AH618">
        <v>9.92</v>
      </c>
      <c r="AI618">
        <v>1</v>
      </c>
      <c r="AJ618">
        <v>1</v>
      </c>
      <c r="AK618">
        <v>1</v>
      </c>
      <c r="AL618">
        <v>6.56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6</v>
      </c>
      <c r="AT618">
        <v>60.88</v>
      </c>
      <c r="AU618" t="s">
        <v>6</v>
      </c>
      <c r="AV618">
        <v>1</v>
      </c>
      <c r="AW618">
        <v>2</v>
      </c>
      <c r="AX618">
        <v>16744698</v>
      </c>
      <c r="AY618">
        <v>1</v>
      </c>
      <c r="AZ618">
        <v>0</v>
      </c>
      <c r="BA618">
        <v>573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Y618*Source!I394</f>
        <v>1.2176</v>
      </c>
      <c r="CY618">
        <f>AD618</f>
        <v>65.08</v>
      </c>
      <c r="CZ618">
        <f>AH618</f>
        <v>9.92</v>
      </c>
      <c r="DA618">
        <f>AL618</f>
        <v>6.56</v>
      </c>
      <c r="DB618">
        <f t="shared" si="96"/>
        <v>603.92999999999995</v>
      </c>
      <c r="DC618">
        <f t="shared" si="97"/>
        <v>0</v>
      </c>
    </row>
    <row r="619" spans="1:107" x14ac:dyDescent="0.2">
      <c r="A619">
        <f>ROW(Source!A394)</f>
        <v>394</v>
      </c>
      <c r="B619">
        <v>16742901</v>
      </c>
      <c r="C619">
        <v>16744685</v>
      </c>
      <c r="D619">
        <v>15430395</v>
      </c>
      <c r="E619">
        <v>1</v>
      </c>
      <c r="F619">
        <v>1</v>
      </c>
      <c r="G619">
        <v>1</v>
      </c>
      <c r="H619">
        <v>1</v>
      </c>
      <c r="I619" t="s">
        <v>1293</v>
      </c>
      <c r="J619" t="s">
        <v>6</v>
      </c>
      <c r="K619" t="s">
        <v>1294</v>
      </c>
      <c r="L619">
        <v>1191</v>
      </c>
      <c r="N619">
        <v>1013</v>
      </c>
      <c r="O619" t="s">
        <v>1287</v>
      </c>
      <c r="P619" t="s">
        <v>1287</v>
      </c>
      <c r="Q619">
        <v>1</v>
      </c>
      <c r="W619">
        <v>0</v>
      </c>
      <c r="X619">
        <v>-1417349443</v>
      </c>
      <c r="Y619">
        <v>0.16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6.56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6</v>
      </c>
      <c r="AT619">
        <v>0.16</v>
      </c>
      <c r="AU619" t="s">
        <v>6</v>
      </c>
      <c r="AV619">
        <v>2</v>
      </c>
      <c r="AW619">
        <v>2</v>
      </c>
      <c r="AX619">
        <v>16744699</v>
      </c>
      <c r="AY619">
        <v>1</v>
      </c>
      <c r="AZ619">
        <v>0</v>
      </c>
      <c r="BA619">
        <v>574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Y619*Source!I394</f>
        <v>3.2000000000000002E-3</v>
      </c>
      <c r="CY619">
        <f>AD619</f>
        <v>0</v>
      </c>
      <c r="CZ619">
        <f>AH619</f>
        <v>0</v>
      </c>
      <c r="DA619">
        <f>AL619</f>
        <v>1</v>
      </c>
      <c r="DB619">
        <f t="shared" si="96"/>
        <v>0</v>
      </c>
      <c r="DC619">
        <f t="shared" si="97"/>
        <v>0</v>
      </c>
    </row>
    <row r="620" spans="1:107" x14ac:dyDescent="0.2">
      <c r="A620">
        <f>ROW(Source!A394)</f>
        <v>394</v>
      </c>
      <c r="B620">
        <v>16742901</v>
      </c>
      <c r="C620">
        <v>16744685</v>
      </c>
      <c r="D620">
        <v>15247680</v>
      </c>
      <c r="E620">
        <v>1</v>
      </c>
      <c r="F620">
        <v>1</v>
      </c>
      <c r="G620">
        <v>1</v>
      </c>
      <c r="H620">
        <v>2</v>
      </c>
      <c r="I620" t="s">
        <v>1295</v>
      </c>
      <c r="J620" t="s">
        <v>1296</v>
      </c>
      <c r="K620" t="s">
        <v>1297</v>
      </c>
      <c r="L620">
        <v>1368</v>
      </c>
      <c r="N620">
        <v>1011</v>
      </c>
      <c r="O620" t="s">
        <v>1298</v>
      </c>
      <c r="P620" t="s">
        <v>1298</v>
      </c>
      <c r="Q620">
        <v>1</v>
      </c>
      <c r="W620">
        <v>0</v>
      </c>
      <c r="X620">
        <v>-1718674368</v>
      </c>
      <c r="Y620">
        <v>0.08</v>
      </c>
      <c r="AA620">
        <v>0</v>
      </c>
      <c r="AB620">
        <v>734.65</v>
      </c>
      <c r="AC620">
        <v>13.5</v>
      </c>
      <c r="AD620">
        <v>0</v>
      </c>
      <c r="AE620">
        <v>0</v>
      </c>
      <c r="AF620">
        <v>111.99</v>
      </c>
      <c r="AG620">
        <v>13.5</v>
      </c>
      <c r="AH620">
        <v>0</v>
      </c>
      <c r="AI620">
        <v>1</v>
      </c>
      <c r="AJ620">
        <v>6.56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6</v>
      </c>
      <c r="AT620">
        <v>0.08</v>
      </c>
      <c r="AU620" t="s">
        <v>6</v>
      </c>
      <c r="AV620">
        <v>0</v>
      </c>
      <c r="AW620">
        <v>2</v>
      </c>
      <c r="AX620">
        <v>16744700</v>
      </c>
      <c r="AY620">
        <v>1</v>
      </c>
      <c r="AZ620">
        <v>0</v>
      </c>
      <c r="BA620">
        <v>575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Y620*Source!I394</f>
        <v>1.6000000000000001E-3</v>
      </c>
      <c r="CY620">
        <f>AB620</f>
        <v>734.65</v>
      </c>
      <c r="CZ620">
        <f>AF620</f>
        <v>111.99</v>
      </c>
      <c r="DA620">
        <f>AJ620</f>
        <v>6.56</v>
      </c>
      <c r="DB620">
        <f t="shared" si="96"/>
        <v>8.9600000000000009</v>
      </c>
      <c r="DC620">
        <f t="shared" si="97"/>
        <v>1.08</v>
      </c>
    </row>
    <row r="621" spans="1:107" x14ac:dyDescent="0.2">
      <c r="A621">
        <f>ROW(Source!A394)</f>
        <v>394</v>
      </c>
      <c r="B621">
        <v>16742901</v>
      </c>
      <c r="C621">
        <v>16744685</v>
      </c>
      <c r="D621">
        <v>15249073</v>
      </c>
      <c r="E621">
        <v>1</v>
      </c>
      <c r="F621">
        <v>1</v>
      </c>
      <c r="G621">
        <v>1</v>
      </c>
      <c r="H621">
        <v>2</v>
      </c>
      <c r="I621" t="s">
        <v>1299</v>
      </c>
      <c r="J621" t="s">
        <v>1300</v>
      </c>
      <c r="K621" t="s">
        <v>1301</v>
      </c>
      <c r="L621">
        <v>1368</v>
      </c>
      <c r="N621">
        <v>1011</v>
      </c>
      <c r="O621" t="s">
        <v>1298</v>
      </c>
      <c r="P621" t="s">
        <v>1298</v>
      </c>
      <c r="Q621">
        <v>1</v>
      </c>
      <c r="W621">
        <v>0</v>
      </c>
      <c r="X621">
        <v>1372534845</v>
      </c>
      <c r="Y621">
        <v>0.08</v>
      </c>
      <c r="AA621">
        <v>0</v>
      </c>
      <c r="AB621">
        <v>431.06</v>
      </c>
      <c r="AC621">
        <v>11.6</v>
      </c>
      <c r="AD621">
        <v>0</v>
      </c>
      <c r="AE621">
        <v>0</v>
      </c>
      <c r="AF621">
        <v>65.709999999999994</v>
      </c>
      <c r="AG621">
        <v>11.6</v>
      </c>
      <c r="AH621">
        <v>0</v>
      </c>
      <c r="AI621">
        <v>1</v>
      </c>
      <c r="AJ621">
        <v>6.56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6</v>
      </c>
      <c r="AT621">
        <v>0.08</v>
      </c>
      <c r="AU621" t="s">
        <v>6</v>
      </c>
      <c r="AV621">
        <v>0</v>
      </c>
      <c r="AW621">
        <v>2</v>
      </c>
      <c r="AX621">
        <v>16744701</v>
      </c>
      <c r="AY621">
        <v>1</v>
      </c>
      <c r="AZ621">
        <v>0</v>
      </c>
      <c r="BA621">
        <v>576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Y621*Source!I394</f>
        <v>1.6000000000000001E-3</v>
      </c>
      <c r="CY621">
        <f>AB621</f>
        <v>431.06</v>
      </c>
      <c r="CZ621">
        <f>AF621</f>
        <v>65.709999999999994</v>
      </c>
      <c r="DA621">
        <f>AJ621</f>
        <v>6.56</v>
      </c>
      <c r="DB621">
        <f t="shared" si="96"/>
        <v>5.26</v>
      </c>
      <c r="DC621">
        <f t="shared" si="97"/>
        <v>0.93</v>
      </c>
    </row>
    <row r="622" spans="1:107" x14ac:dyDescent="0.2">
      <c r="A622">
        <f>ROW(Source!A394)</f>
        <v>394</v>
      </c>
      <c r="B622">
        <v>16742901</v>
      </c>
      <c r="C622">
        <v>16744685</v>
      </c>
      <c r="D622">
        <v>15249377</v>
      </c>
      <c r="E622">
        <v>1</v>
      </c>
      <c r="F622">
        <v>1</v>
      </c>
      <c r="G622">
        <v>1</v>
      </c>
      <c r="H622">
        <v>2</v>
      </c>
      <c r="I622" t="s">
        <v>1302</v>
      </c>
      <c r="J622" t="s">
        <v>1303</v>
      </c>
      <c r="K622" t="s">
        <v>1304</v>
      </c>
      <c r="L622">
        <v>1368</v>
      </c>
      <c r="N622">
        <v>1011</v>
      </c>
      <c r="O622" t="s">
        <v>1298</v>
      </c>
      <c r="P622" t="s">
        <v>1298</v>
      </c>
      <c r="Q622">
        <v>1</v>
      </c>
      <c r="W622">
        <v>0</v>
      </c>
      <c r="X622">
        <v>-353815937</v>
      </c>
      <c r="Y622">
        <v>2.97</v>
      </c>
      <c r="AA622">
        <v>0</v>
      </c>
      <c r="AB622">
        <v>53.14</v>
      </c>
      <c r="AC622">
        <v>0</v>
      </c>
      <c r="AD622">
        <v>0</v>
      </c>
      <c r="AE622">
        <v>0</v>
      </c>
      <c r="AF622">
        <v>8.1</v>
      </c>
      <c r="AG622">
        <v>0</v>
      </c>
      <c r="AH622">
        <v>0</v>
      </c>
      <c r="AI622">
        <v>1</v>
      </c>
      <c r="AJ622">
        <v>6.56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2.97</v>
      </c>
      <c r="AU622" t="s">
        <v>6</v>
      </c>
      <c r="AV622">
        <v>0</v>
      </c>
      <c r="AW622">
        <v>2</v>
      </c>
      <c r="AX622">
        <v>16744702</v>
      </c>
      <c r="AY622">
        <v>1</v>
      </c>
      <c r="AZ622">
        <v>0</v>
      </c>
      <c r="BA622">
        <v>577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Y622*Source!I394</f>
        <v>5.9400000000000008E-2</v>
      </c>
      <c r="CY622">
        <f>AB622</f>
        <v>53.14</v>
      </c>
      <c r="CZ622">
        <f>AF622</f>
        <v>8.1</v>
      </c>
      <c r="DA622">
        <f>AJ622</f>
        <v>6.56</v>
      </c>
      <c r="DB622">
        <f t="shared" si="96"/>
        <v>24.06</v>
      </c>
      <c r="DC622">
        <f t="shared" si="97"/>
        <v>0</v>
      </c>
    </row>
    <row r="623" spans="1:107" x14ac:dyDescent="0.2">
      <c r="A623">
        <f>ROW(Source!A394)</f>
        <v>394</v>
      </c>
      <c r="B623">
        <v>16742901</v>
      </c>
      <c r="C623">
        <v>16744685</v>
      </c>
      <c r="D623">
        <v>15168752</v>
      </c>
      <c r="E623">
        <v>1</v>
      </c>
      <c r="F623">
        <v>1</v>
      </c>
      <c r="G623">
        <v>1</v>
      </c>
      <c r="H623">
        <v>3</v>
      </c>
      <c r="I623" t="s">
        <v>1325</v>
      </c>
      <c r="J623" t="s">
        <v>1326</v>
      </c>
      <c r="K623" t="s">
        <v>1327</v>
      </c>
      <c r="L623">
        <v>1346</v>
      </c>
      <c r="N623">
        <v>1009</v>
      </c>
      <c r="O623" t="s">
        <v>341</v>
      </c>
      <c r="P623" t="s">
        <v>341</v>
      </c>
      <c r="Q623">
        <v>1</v>
      </c>
      <c r="W623">
        <v>0</v>
      </c>
      <c r="X623">
        <v>586013393</v>
      </c>
      <c r="Y623">
        <v>2.4E-2</v>
      </c>
      <c r="AA623">
        <v>69.34</v>
      </c>
      <c r="AB623">
        <v>0</v>
      </c>
      <c r="AC623">
        <v>0</v>
      </c>
      <c r="AD623">
        <v>0</v>
      </c>
      <c r="AE623">
        <v>10.57</v>
      </c>
      <c r="AF623">
        <v>0</v>
      </c>
      <c r="AG623">
        <v>0</v>
      </c>
      <c r="AH623">
        <v>0</v>
      </c>
      <c r="AI623">
        <v>6.56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6</v>
      </c>
      <c r="AT623">
        <v>2.4E-2</v>
      </c>
      <c r="AU623" t="s">
        <v>6</v>
      </c>
      <c r="AV623">
        <v>0</v>
      </c>
      <c r="AW623">
        <v>2</v>
      </c>
      <c r="AX623">
        <v>16744703</v>
      </c>
      <c r="AY623">
        <v>1</v>
      </c>
      <c r="AZ623">
        <v>0</v>
      </c>
      <c r="BA623">
        <v>578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Y623*Source!I394</f>
        <v>4.8000000000000001E-4</v>
      </c>
      <c r="CY623">
        <f t="shared" ref="CY623:CY628" si="101">AA623</f>
        <v>69.34</v>
      </c>
      <c r="CZ623">
        <f t="shared" ref="CZ623:CZ628" si="102">AE623</f>
        <v>10.57</v>
      </c>
      <c r="DA623">
        <f t="shared" ref="DA623:DA628" si="103">AI623</f>
        <v>6.56</v>
      </c>
      <c r="DB623">
        <f t="shared" si="96"/>
        <v>0.25</v>
      </c>
      <c r="DC623">
        <f t="shared" si="97"/>
        <v>0</v>
      </c>
    </row>
    <row r="624" spans="1:107" x14ac:dyDescent="0.2">
      <c r="A624">
        <f>ROW(Source!A394)</f>
        <v>394</v>
      </c>
      <c r="B624">
        <v>16742901</v>
      </c>
      <c r="C624">
        <v>16744685</v>
      </c>
      <c r="D624">
        <v>15169942</v>
      </c>
      <c r="E624">
        <v>1</v>
      </c>
      <c r="F624">
        <v>1</v>
      </c>
      <c r="G624">
        <v>1</v>
      </c>
      <c r="H624">
        <v>3</v>
      </c>
      <c r="I624" t="s">
        <v>1644</v>
      </c>
      <c r="J624" t="s">
        <v>1645</v>
      </c>
      <c r="K624" t="s">
        <v>1310</v>
      </c>
      <c r="L624">
        <v>1346</v>
      </c>
      <c r="N624">
        <v>1009</v>
      </c>
      <c r="O624" t="s">
        <v>341</v>
      </c>
      <c r="P624" t="s">
        <v>341</v>
      </c>
      <c r="Q624">
        <v>1</v>
      </c>
      <c r="W624">
        <v>0</v>
      </c>
      <c r="X624">
        <v>103900845</v>
      </c>
      <c r="Y624">
        <v>2.73</v>
      </c>
      <c r="AA624">
        <v>59.3</v>
      </c>
      <c r="AB624">
        <v>0</v>
      </c>
      <c r="AC624">
        <v>0</v>
      </c>
      <c r="AD624">
        <v>0</v>
      </c>
      <c r="AE624">
        <v>9.0399999999999991</v>
      </c>
      <c r="AF624">
        <v>0</v>
      </c>
      <c r="AG624">
        <v>0</v>
      </c>
      <c r="AH624">
        <v>0</v>
      </c>
      <c r="AI624">
        <v>6.56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6</v>
      </c>
      <c r="AT624">
        <v>2.73</v>
      </c>
      <c r="AU624" t="s">
        <v>6</v>
      </c>
      <c r="AV624">
        <v>0</v>
      </c>
      <c r="AW624">
        <v>2</v>
      </c>
      <c r="AX624">
        <v>16744704</v>
      </c>
      <c r="AY624">
        <v>1</v>
      </c>
      <c r="AZ624">
        <v>0</v>
      </c>
      <c r="BA624">
        <v>579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Y624*Source!I394</f>
        <v>5.4600000000000003E-2</v>
      </c>
      <c r="CY624">
        <f t="shared" si="101"/>
        <v>59.3</v>
      </c>
      <c r="CZ624">
        <f t="shared" si="102"/>
        <v>9.0399999999999991</v>
      </c>
      <c r="DA624">
        <f t="shared" si="103"/>
        <v>6.56</v>
      </c>
      <c r="DB624">
        <f t="shared" si="96"/>
        <v>24.68</v>
      </c>
      <c r="DC624">
        <f t="shared" si="97"/>
        <v>0</v>
      </c>
    </row>
    <row r="625" spans="1:107" x14ac:dyDescent="0.2">
      <c r="A625">
        <f>ROW(Source!A394)</f>
        <v>394</v>
      </c>
      <c r="B625">
        <v>16742901</v>
      </c>
      <c r="C625">
        <v>16744685</v>
      </c>
      <c r="D625">
        <v>15191488</v>
      </c>
      <c r="E625">
        <v>1</v>
      </c>
      <c r="F625">
        <v>1</v>
      </c>
      <c r="G625">
        <v>1</v>
      </c>
      <c r="H625">
        <v>3</v>
      </c>
      <c r="I625" t="s">
        <v>1646</v>
      </c>
      <c r="J625" t="s">
        <v>1647</v>
      </c>
      <c r="K625" t="s">
        <v>1648</v>
      </c>
      <c r="L625">
        <v>1348</v>
      </c>
      <c r="N625">
        <v>1009</v>
      </c>
      <c r="O625" t="s">
        <v>100</v>
      </c>
      <c r="P625" t="s">
        <v>100</v>
      </c>
      <c r="Q625">
        <v>1000</v>
      </c>
      <c r="W625">
        <v>0</v>
      </c>
      <c r="X625">
        <v>-1598896989</v>
      </c>
      <c r="Y625">
        <v>1.4E-2</v>
      </c>
      <c r="AA625">
        <v>32800</v>
      </c>
      <c r="AB625">
        <v>0</v>
      </c>
      <c r="AC625">
        <v>0</v>
      </c>
      <c r="AD625">
        <v>0</v>
      </c>
      <c r="AE625">
        <v>5000</v>
      </c>
      <c r="AF625">
        <v>0</v>
      </c>
      <c r="AG625">
        <v>0</v>
      </c>
      <c r="AH625">
        <v>0</v>
      </c>
      <c r="AI625">
        <v>6.56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6</v>
      </c>
      <c r="AT625">
        <v>1.4E-2</v>
      </c>
      <c r="AU625" t="s">
        <v>6</v>
      </c>
      <c r="AV625">
        <v>0</v>
      </c>
      <c r="AW625">
        <v>2</v>
      </c>
      <c r="AX625">
        <v>16744705</v>
      </c>
      <c r="AY625">
        <v>1</v>
      </c>
      <c r="AZ625">
        <v>0</v>
      </c>
      <c r="BA625">
        <v>580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Y625*Source!I394</f>
        <v>2.8000000000000003E-4</v>
      </c>
      <c r="CY625">
        <f t="shared" si="101"/>
        <v>32800</v>
      </c>
      <c r="CZ625">
        <f t="shared" si="102"/>
        <v>5000</v>
      </c>
      <c r="DA625">
        <f t="shared" si="103"/>
        <v>6.56</v>
      </c>
      <c r="DB625">
        <f t="shared" si="96"/>
        <v>70</v>
      </c>
      <c r="DC625">
        <f t="shared" si="97"/>
        <v>0</v>
      </c>
    </row>
    <row r="626" spans="1:107" x14ac:dyDescent="0.2">
      <c r="A626">
        <f>ROW(Source!A394)</f>
        <v>394</v>
      </c>
      <c r="B626">
        <v>16742901</v>
      </c>
      <c r="C626">
        <v>16744685</v>
      </c>
      <c r="D626">
        <v>15203871</v>
      </c>
      <c r="E626">
        <v>1</v>
      </c>
      <c r="F626">
        <v>1</v>
      </c>
      <c r="G626">
        <v>1</v>
      </c>
      <c r="H626">
        <v>3</v>
      </c>
      <c r="I626" t="s">
        <v>1735</v>
      </c>
      <c r="J626" t="s">
        <v>1736</v>
      </c>
      <c r="K626" t="s">
        <v>1737</v>
      </c>
      <c r="L626">
        <v>1348</v>
      </c>
      <c r="N626">
        <v>1009</v>
      </c>
      <c r="O626" t="s">
        <v>100</v>
      </c>
      <c r="P626" t="s">
        <v>100</v>
      </c>
      <c r="Q626">
        <v>1000</v>
      </c>
      <c r="W626">
        <v>0</v>
      </c>
      <c r="X626">
        <v>-108263514</v>
      </c>
      <c r="Y626">
        <v>2.7000000000000001E-3</v>
      </c>
      <c r="AA626">
        <v>51344.46</v>
      </c>
      <c r="AB626">
        <v>0</v>
      </c>
      <c r="AC626">
        <v>0</v>
      </c>
      <c r="AD626">
        <v>0</v>
      </c>
      <c r="AE626">
        <v>7826.9</v>
      </c>
      <c r="AF626">
        <v>0</v>
      </c>
      <c r="AG626">
        <v>0</v>
      </c>
      <c r="AH626">
        <v>0</v>
      </c>
      <c r="AI626">
        <v>6.56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6</v>
      </c>
      <c r="AT626">
        <v>2.7000000000000001E-3</v>
      </c>
      <c r="AU626" t="s">
        <v>6</v>
      </c>
      <c r="AV626">
        <v>0</v>
      </c>
      <c r="AW626">
        <v>2</v>
      </c>
      <c r="AX626">
        <v>16744706</v>
      </c>
      <c r="AY626">
        <v>1</v>
      </c>
      <c r="AZ626">
        <v>0</v>
      </c>
      <c r="BA626">
        <v>581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Y626*Source!I394</f>
        <v>5.4000000000000005E-5</v>
      </c>
      <c r="CY626">
        <f t="shared" si="101"/>
        <v>51344.46</v>
      </c>
      <c r="CZ626">
        <f t="shared" si="102"/>
        <v>7826.9</v>
      </c>
      <c r="DA626">
        <f t="shared" si="103"/>
        <v>6.56</v>
      </c>
      <c r="DB626">
        <f t="shared" si="96"/>
        <v>21.13</v>
      </c>
      <c r="DC626">
        <f t="shared" si="97"/>
        <v>0</v>
      </c>
    </row>
    <row r="627" spans="1:107" x14ac:dyDescent="0.2">
      <c r="A627">
        <f>ROW(Source!A394)</f>
        <v>394</v>
      </c>
      <c r="B627">
        <v>16742901</v>
      </c>
      <c r="C627">
        <v>16744685</v>
      </c>
      <c r="D627">
        <v>15220817</v>
      </c>
      <c r="E627">
        <v>1</v>
      </c>
      <c r="F627">
        <v>1</v>
      </c>
      <c r="G627">
        <v>1</v>
      </c>
      <c r="H627">
        <v>3</v>
      </c>
      <c r="I627" t="s">
        <v>854</v>
      </c>
      <c r="J627" t="s">
        <v>856</v>
      </c>
      <c r="K627" t="s">
        <v>855</v>
      </c>
      <c r="L627">
        <v>1355</v>
      </c>
      <c r="N627">
        <v>1010</v>
      </c>
      <c r="O627" t="s">
        <v>843</v>
      </c>
      <c r="P627" t="s">
        <v>843</v>
      </c>
      <c r="Q627">
        <v>100</v>
      </c>
      <c r="W627">
        <v>0</v>
      </c>
      <c r="X627">
        <v>1844490983</v>
      </c>
      <c r="Y627">
        <v>1</v>
      </c>
      <c r="AA627">
        <v>1988.53</v>
      </c>
      <c r="AB627">
        <v>0</v>
      </c>
      <c r="AC627">
        <v>0</v>
      </c>
      <c r="AD627">
        <v>0</v>
      </c>
      <c r="AE627">
        <v>303.13</v>
      </c>
      <c r="AF627">
        <v>0</v>
      </c>
      <c r="AG627">
        <v>0</v>
      </c>
      <c r="AH627">
        <v>0</v>
      </c>
      <c r="AI627">
        <v>6.56</v>
      </c>
      <c r="AJ627">
        <v>1</v>
      </c>
      <c r="AK627">
        <v>1</v>
      </c>
      <c r="AL627">
        <v>1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6</v>
      </c>
      <c r="AT627">
        <v>1</v>
      </c>
      <c r="AU627" t="s">
        <v>6</v>
      </c>
      <c r="AV627">
        <v>0</v>
      </c>
      <c r="AW627">
        <v>1</v>
      </c>
      <c r="AX627">
        <v>-1</v>
      </c>
      <c r="AY627">
        <v>0</v>
      </c>
      <c r="AZ627">
        <v>0</v>
      </c>
      <c r="BA627" t="s">
        <v>6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Y627*Source!I394</f>
        <v>0.02</v>
      </c>
      <c r="CY627">
        <f t="shared" si="101"/>
        <v>1988.53</v>
      </c>
      <c r="CZ627">
        <f t="shared" si="102"/>
        <v>303.13</v>
      </c>
      <c r="DA627">
        <f t="shared" si="103"/>
        <v>6.56</v>
      </c>
      <c r="DB627">
        <f t="shared" si="96"/>
        <v>303.13</v>
      </c>
      <c r="DC627">
        <f t="shared" si="97"/>
        <v>0</v>
      </c>
    </row>
    <row r="628" spans="1:107" x14ac:dyDescent="0.2">
      <c r="A628">
        <f>ROW(Source!A394)</f>
        <v>394</v>
      </c>
      <c r="B628">
        <v>16742901</v>
      </c>
      <c r="C628">
        <v>16744685</v>
      </c>
      <c r="D628">
        <v>15164559</v>
      </c>
      <c r="E628">
        <v>17</v>
      </c>
      <c r="F628">
        <v>1</v>
      </c>
      <c r="G628">
        <v>1</v>
      </c>
      <c r="H628">
        <v>3</v>
      </c>
      <c r="I628" t="s">
        <v>1334</v>
      </c>
      <c r="J628" t="s">
        <v>6</v>
      </c>
      <c r="K628" t="s">
        <v>1335</v>
      </c>
      <c r="L628">
        <v>1374</v>
      </c>
      <c r="N628">
        <v>1013</v>
      </c>
      <c r="O628" t="s">
        <v>1336</v>
      </c>
      <c r="P628" t="s">
        <v>1336</v>
      </c>
      <c r="Q628">
        <v>1</v>
      </c>
      <c r="W628">
        <v>0</v>
      </c>
      <c r="X628">
        <v>-1731369543</v>
      </c>
      <c r="Y628">
        <v>12.08</v>
      </c>
      <c r="AA628">
        <v>1</v>
      </c>
      <c r="AB628">
        <v>0</v>
      </c>
      <c r="AC628">
        <v>0</v>
      </c>
      <c r="AD628">
        <v>0</v>
      </c>
      <c r="AE628">
        <v>1</v>
      </c>
      <c r="AF628">
        <v>0</v>
      </c>
      <c r="AG628">
        <v>0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12.08</v>
      </c>
      <c r="AU628" t="s">
        <v>6</v>
      </c>
      <c r="AV628">
        <v>0</v>
      </c>
      <c r="AW628">
        <v>2</v>
      </c>
      <c r="AX628">
        <v>16744707</v>
      </c>
      <c r="AY628">
        <v>1</v>
      </c>
      <c r="AZ628">
        <v>0</v>
      </c>
      <c r="BA628">
        <v>582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Y628*Source!I394</f>
        <v>0.24160000000000001</v>
      </c>
      <c r="CY628">
        <f t="shared" si="101"/>
        <v>1</v>
      </c>
      <c r="CZ628">
        <f t="shared" si="102"/>
        <v>1</v>
      </c>
      <c r="DA628">
        <f t="shared" si="103"/>
        <v>1</v>
      </c>
      <c r="DB628">
        <f t="shared" si="96"/>
        <v>12.08</v>
      </c>
      <c r="DC628">
        <f t="shared" si="97"/>
        <v>0</v>
      </c>
    </row>
    <row r="629" spans="1:107" x14ac:dyDescent="0.2">
      <c r="A629">
        <f>ROW(Source!A396)</f>
        <v>396</v>
      </c>
      <c r="B629">
        <v>16742901</v>
      </c>
      <c r="C629">
        <v>16744709</v>
      </c>
      <c r="D629">
        <v>15430397</v>
      </c>
      <c r="E629">
        <v>1</v>
      </c>
      <c r="F629">
        <v>1</v>
      </c>
      <c r="G629">
        <v>1</v>
      </c>
      <c r="H629">
        <v>1</v>
      </c>
      <c r="I629" t="s">
        <v>1323</v>
      </c>
      <c r="J629" t="s">
        <v>6</v>
      </c>
      <c r="K629" t="s">
        <v>1324</v>
      </c>
      <c r="L629">
        <v>1191</v>
      </c>
      <c r="N629">
        <v>1013</v>
      </c>
      <c r="O629" t="s">
        <v>1287</v>
      </c>
      <c r="P629" t="s">
        <v>1287</v>
      </c>
      <c r="Q629">
        <v>1</v>
      </c>
      <c r="W629">
        <v>0</v>
      </c>
      <c r="X629">
        <v>-1081351934</v>
      </c>
      <c r="Y629">
        <v>3.76</v>
      </c>
      <c r="AA629">
        <v>0</v>
      </c>
      <c r="AB629">
        <v>0</v>
      </c>
      <c r="AC629">
        <v>0</v>
      </c>
      <c r="AD629">
        <v>61.66</v>
      </c>
      <c r="AE629">
        <v>0</v>
      </c>
      <c r="AF629">
        <v>0</v>
      </c>
      <c r="AG629">
        <v>0</v>
      </c>
      <c r="AH629">
        <v>9.4</v>
      </c>
      <c r="AI629">
        <v>1</v>
      </c>
      <c r="AJ629">
        <v>1</v>
      </c>
      <c r="AK629">
        <v>1</v>
      </c>
      <c r="AL629">
        <v>6.56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3.76</v>
      </c>
      <c r="AU629" t="s">
        <v>6</v>
      </c>
      <c r="AV629">
        <v>1</v>
      </c>
      <c r="AW629">
        <v>2</v>
      </c>
      <c r="AX629">
        <v>16744719</v>
      </c>
      <c r="AY629">
        <v>1</v>
      </c>
      <c r="AZ629">
        <v>0</v>
      </c>
      <c r="BA629">
        <v>583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Y629*Source!I396</f>
        <v>7.3695999999999993</v>
      </c>
      <c r="CY629">
        <f>AD629</f>
        <v>61.66</v>
      </c>
      <c r="CZ629">
        <f>AH629</f>
        <v>9.4</v>
      </c>
      <c r="DA629">
        <f>AL629</f>
        <v>6.56</v>
      </c>
      <c r="DB629">
        <f t="shared" si="96"/>
        <v>35.340000000000003</v>
      </c>
      <c r="DC629">
        <f t="shared" si="97"/>
        <v>0</v>
      </c>
    </row>
    <row r="630" spans="1:107" x14ac:dyDescent="0.2">
      <c r="A630">
        <f>ROW(Source!A396)</f>
        <v>396</v>
      </c>
      <c r="B630">
        <v>16742901</v>
      </c>
      <c r="C630">
        <v>16744709</v>
      </c>
      <c r="D630">
        <v>15430395</v>
      </c>
      <c r="E630">
        <v>1</v>
      </c>
      <c r="F630">
        <v>1</v>
      </c>
      <c r="G630">
        <v>1</v>
      </c>
      <c r="H630">
        <v>1</v>
      </c>
      <c r="I630" t="s">
        <v>1293</v>
      </c>
      <c r="J630" t="s">
        <v>6</v>
      </c>
      <c r="K630" t="s">
        <v>1294</v>
      </c>
      <c r="L630">
        <v>1191</v>
      </c>
      <c r="N630">
        <v>1013</v>
      </c>
      <c r="O630" t="s">
        <v>1287</v>
      </c>
      <c r="P630" t="s">
        <v>1287</v>
      </c>
      <c r="Q630">
        <v>1</v>
      </c>
      <c r="W630">
        <v>0</v>
      </c>
      <c r="X630">
        <v>-1417349443</v>
      </c>
      <c r="Y630">
        <v>0.02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6.56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6</v>
      </c>
      <c r="AT630">
        <v>0.02</v>
      </c>
      <c r="AU630" t="s">
        <v>6</v>
      </c>
      <c r="AV630">
        <v>2</v>
      </c>
      <c r="AW630">
        <v>2</v>
      </c>
      <c r="AX630">
        <v>16744720</v>
      </c>
      <c r="AY630">
        <v>1</v>
      </c>
      <c r="AZ630">
        <v>0</v>
      </c>
      <c r="BA630">
        <v>584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Y630*Source!I396</f>
        <v>3.9199999999999999E-2</v>
      </c>
      <c r="CY630">
        <f>AD630</f>
        <v>0</v>
      </c>
      <c r="CZ630">
        <f>AH630</f>
        <v>0</v>
      </c>
      <c r="DA630">
        <f>AL630</f>
        <v>1</v>
      </c>
      <c r="DB630">
        <f t="shared" si="96"/>
        <v>0</v>
      </c>
      <c r="DC630">
        <f t="shared" si="97"/>
        <v>0</v>
      </c>
    </row>
    <row r="631" spans="1:107" x14ac:dyDescent="0.2">
      <c r="A631">
        <f>ROW(Source!A396)</f>
        <v>396</v>
      </c>
      <c r="B631">
        <v>16742901</v>
      </c>
      <c r="C631">
        <v>16744709</v>
      </c>
      <c r="D631">
        <v>15247680</v>
      </c>
      <c r="E631">
        <v>1</v>
      </c>
      <c r="F631">
        <v>1</v>
      </c>
      <c r="G631">
        <v>1</v>
      </c>
      <c r="H631">
        <v>2</v>
      </c>
      <c r="I631" t="s">
        <v>1295</v>
      </c>
      <c r="J631" t="s">
        <v>1296</v>
      </c>
      <c r="K631" t="s">
        <v>1297</v>
      </c>
      <c r="L631">
        <v>1368</v>
      </c>
      <c r="N631">
        <v>1011</v>
      </c>
      <c r="O631" t="s">
        <v>1298</v>
      </c>
      <c r="P631" t="s">
        <v>1298</v>
      </c>
      <c r="Q631">
        <v>1</v>
      </c>
      <c r="W631">
        <v>0</v>
      </c>
      <c r="X631">
        <v>-1718674368</v>
      </c>
      <c r="Y631">
        <v>0.01</v>
      </c>
      <c r="AA631">
        <v>0</v>
      </c>
      <c r="AB631">
        <v>734.65</v>
      </c>
      <c r="AC631">
        <v>13.5</v>
      </c>
      <c r="AD631">
        <v>0</v>
      </c>
      <c r="AE631">
        <v>0</v>
      </c>
      <c r="AF631">
        <v>111.99</v>
      </c>
      <c r="AG631">
        <v>13.5</v>
      </c>
      <c r="AH631">
        <v>0</v>
      </c>
      <c r="AI631">
        <v>1</v>
      </c>
      <c r="AJ631">
        <v>6.56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0.01</v>
      </c>
      <c r="AU631" t="s">
        <v>6</v>
      </c>
      <c r="AV631">
        <v>0</v>
      </c>
      <c r="AW631">
        <v>2</v>
      </c>
      <c r="AX631">
        <v>16744721</v>
      </c>
      <c r="AY631">
        <v>1</v>
      </c>
      <c r="AZ631">
        <v>0</v>
      </c>
      <c r="BA631">
        <v>585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Y631*Source!I396</f>
        <v>1.9599999999999999E-2</v>
      </c>
      <c r="CY631">
        <f>AB631</f>
        <v>734.65</v>
      </c>
      <c r="CZ631">
        <f>AF631</f>
        <v>111.99</v>
      </c>
      <c r="DA631">
        <f>AJ631</f>
        <v>6.56</v>
      </c>
      <c r="DB631">
        <f t="shared" si="96"/>
        <v>1.1200000000000001</v>
      </c>
      <c r="DC631">
        <f t="shared" si="97"/>
        <v>0.14000000000000001</v>
      </c>
    </row>
    <row r="632" spans="1:107" x14ac:dyDescent="0.2">
      <c r="A632">
        <f>ROW(Source!A396)</f>
        <v>396</v>
      </c>
      <c r="B632">
        <v>16742901</v>
      </c>
      <c r="C632">
        <v>16744709</v>
      </c>
      <c r="D632">
        <v>15249073</v>
      </c>
      <c r="E632">
        <v>1</v>
      </c>
      <c r="F632">
        <v>1</v>
      </c>
      <c r="G632">
        <v>1</v>
      </c>
      <c r="H632">
        <v>2</v>
      </c>
      <c r="I632" t="s">
        <v>1299</v>
      </c>
      <c r="J632" t="s">
        <v>1300</v>
      </c>
      <c r="K632" t="s">
        <v>1301</v>
      </c>
      <c r="L632">
        <v>1368</v>
      </c>
      <c r="N632">
        <v>1011</v>
      </c>
      <c r="O632" t="s">
        <v>1298</v>
      </c>
      <c r="P632" t="s">
        <v>1298</v>
      </c>
      <c r="Q632">
        <v>1</v>
      </c>
      <c r="W632">
        <v>0</v>
      </c>
      <c r="X632">
        <v>1372534845</v>
      </c>
      <c r="Y632">
        <v>0.01</v>
      </c>
      <c r="AA632">
        <v>0</v>
      </c>
      <c r="AB632">
        <v>431.06</v>
      </c>
      <c r="AC632">
        <v>11.6</v>
      </c>
      <c r="AD632">
        <v>0</v>
      </c>
      <c r="AE632">
        <v>0</v>
      </c>
      <c r="AF632">
        <v>65.709999999999994</v>
      </c>
      <c r="AG632">
        <v>11.6</v>
      </c>
      <c r="AH632">
        <v>0</v>
      </c>
      <c r="AI632">
        <v>1</v>
      </c>
      <c r="AJ632">
        <v>6.56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6</v>
      </c>
      <c r="AT632">
        <v>0.01</v>
      </c>
      <c r="AU632" t="s">
        <v>6</v>
      </c>
      <c r="AV632">
        <v>0</v>
      </c>
      <c r="AW632">
        <v>2</v>
      </c>
      <c r="AX632">
        <v>16744722</v>
      </c>
      <c r="AY632">
        <v>1</v>
      </c>
      <c r="AZ632">
        <v>0</v>
      </c>
      <c r="BA632">
        <v>586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Y632*Source!I396</f>
        <v>1.9599999999999999E-2</v>
      </c>
      <c r="CY632">
        <f>AB632</f>
        <v>431.06</v>
      </c>
      <c r="CZ632">
        <f>AF632</f>
        <v>65.709999999999994</v>
      </c>
      <c r="DA632">
        <f>AJ632</f>
        <v>6.56</v>
      </c>
      <c r="DB632">
        <f t="shared" si="96"/>
        <v>0.66</v>
      </c>
      <c r="DC632">
        <f t="shared" si="97"/>
        <v>0.12</v>
      </c>
    </row>
    <row r="633" spans="1:107" x14ac:dyDescent="0.2">
      <c r="A633">
        <f>ROW(Source!A396)</f>
        <v>396</v>
      </c>
      <c r="B633">
        <v>16742901</v>
      </c>
      <c r="C633">
        <v>16744709</v>
      </c>
      <c r="D633">
        <v>15167588</v>
      </c>
      <c r="E633">
        <v>1</v>
      </c>
      <c r="F633">
        <v>1</v>
      </c>
      <c r="G633">
        <v>1</v>
      </c>
      <c r="H633">
        <v>3</v>
      </c>
      <c r="I633" t="s">
        <v>1641</v>
      </c>
      <c r="J633" t="s">
        <v>1642</v>
      </c>
      <c r="K633" t="s">
        <v>1643</v>
      </c>
      <c r="L633">
        <v>1346</v>
      </c>
      <c r="N633">
        <v>1009</v>
      </c>
      <c r="O633" t="s">
        <v>341</v>
      </c>
      <c r="P633" t="s">
        <v>341</v>
      </c>
      <c r="Q633">
        <v>1</v>
      </c>
      <c r="W633">
        <v>0</v>
      </c>
      <c r="X633">
        <v>-1088866022</v>
      </c>
      <c r="Y633">
        <v>0.16</v>
      </c>
      <c r="AA633">
        <v>199.42</v>
      </c>
      <c r="AB633">
        <v>0</v>
      </c>
      <c r="AC633">
        <v>0</v>
      </c>
      <c r="AD633">
        <v>0</v>
      </c>
      <c r="AE633">
        <v>30.4</v>
      </c>
      <c r="AF633">
        <v>0</v>
      </c>
      <c r="AG633">
        <v>0</v>
      </c>
      <c r="AH633">
        <v>0</v>
      </c>
      <c r="AI633">
        <v>6.56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6</v>
      </c>
      <c r="AT633">
        <v>0.16</v>
      </c>
      <c r="AU633" t="s">
        <v>6</v>
      </c>
      <c r="AV633">
        <v>0</v>
      </c>
      <c r="AW633">
        <v>2</v>
      </c>
      <c r="AX633">
        <v>16744723</v>
      </c>
      <c r="AY633">
        <v>1</v>
      </c>
      <c r="AZ633">
        <v>0</v>
      </c>
      <c r="BA633">
        <v>587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Y633*Source!I396</f>
        <v>0.31359999999999999</v>
      </c>
      <c r="CY633">
        <f>AA633</f>
        <v>199.42</v>
      </c>
      <c r="CZ633">
        <f>AE633</f>
        <v>30.4</v>
      </c>
      <c r="DA633">
        <f>AI633</f>
        <v>6.56</v>
      </c>
      <c r="DB633">
        <f t="shared" si="96"/>
        <v>4.8600000000000003</v>
      </c>
      <c r="DC633">
        <f t="shared" si="97"/>
        <v>0</v>
      </c>
    </row>
    <row r="634" spans="1:107" x14ac:dyDescent="0.2">
      <c r="A634">
        <f>ROW(Source!A396)</f>
        <v>396</v>
      </c>
      <c r="B634">
        <v>16742901</v>
      </c>
      <c r="C634">
        <v>16744709</v>
      </c>
      <c r="D634">
        <v>15167600</v>
      </c>
      <c r="E634">
        <v>1</v>
      </c>
      <c r="F634">
        <v>1</v>
      </c>
      <c r="G634">
        <v>1</v>
      </c>
      <c r="H634">
        <v>3</v>
      </c>
      <c r="I634" t="s">
        <v>1675</v>
      </c>
      <c r="J634" t="s">
        <v>1676</v>
      </c>
      <c r="K634" t="s">
        <v>1677</v>
      </c>
      <c r="L634">
        <v>1308</v>
      </c>
      <c r="N634">
        <v>1003</v>
      </c>
      <c r="O634" t="s">
        <v>34</v>
      </c>
      <c r="P634" t="s">
        <v>34</v>
      </c>
      <c r="Q634">
        <v>100</v>
      </c>
      <c r="W634">
        <v>0</v>
      </c>
      <c r="X634">
        <v>568244124</v>
      </c>
      <c r="Y634">
        <v>5.5E-2</v>
      </c>
      <c r="AA634">
        <v>787.2</v>
      </c>
      <c r="AB634">
        <v>0</v>
      </c>
      <c r="AC634">
        <v>0</v>
      </c>
      <c r="AD634">
        <v>0</v>
      </c>
      <c r="AE634">
        <v>120</v>
      </c>
      <c r="AF634">
        <v>0</v>
      </c>
      <c r="AG634">
        <v>0</v>
      </c>
      <c r="AH634">
        <v>0</v>
      </c>
      <c r="AI634">
        <v>6.56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5.5E-2</v>
      </c>
      <c r="AU634" t="s">
        <v>6</v>
      </c>
      <c r="AV634">
        <v>0</v>
      </c>
      <c r="AW634">
        <v>2</v>
      </c>
      <c r="AX634">
        <v>16744724</v>
      </c>
      <c r="AY634">
        <v>1</v>
      </c>
      <c r="AZ634">
        <v>0</v>
      </c>
      <c r="BA634">
        <v>588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Y634*Source!I396</f>
        <v>0.10779999999999999</v>
      </c>
      <c r="CY634">
        <f>AA634</f>
        <v>787.2</v>
      </c>
      <c r="CZ634">
        <f>AE634</f>
        <v>120</v>
      </c>
      <c r="DA634">
        <f>AI634</f>
        <v>6.56</v>
      </c>
      <c r="DB634">
        <f t="shared" si="96"/>
        <v>6.6</v>
      </c>
      <c r="DC634">
        <f t="shared" si="97"/>
        <v>0</v>
      </c>
    </row>
    <row r="635" spans="1:107" x14ac:dyDescent="0.2">
      <c r="A635">
        <f>ROW(Source!A396)</f>
        <v>396</v>
      </c>
      <c r="B635">
        <v>16742901</v>
      </c>
      <c r="C635">
        <v>16744709</v>
      </c>
      <c r="D635">
        <v>15203834</v>
      </c>
      <c r="E635">
        <v>1</v>
      </c>
      <c r="F635">
        <v>1</v>
      </c>
      <c r="G635">
        <v>1</v>
      </c>
      <c r="H635">
        <v>3</v>
      </c>
      <c r="I635" t="s">
        <v>1667</v>
      </c>
      <c r="J635" t="s">
        <v>1668</v>
      </c>
      <c r="K635" t="s">
        <v>403</v>
      </c>
      <c r="L635">
        <v>1346</v>
      </c>
      <c r="N635">
        <v>1009</v>
      </c>
      <c r="O635" t="s">
        <v>341</v>
      </c>
      <c r="P635" t="s">
        <v>341</v>
      </c>
      <c r="Q635">
        <v>1</v>
      </c>
      <c r="W635">
        <v>0</v>
      </c>
      <c r="X635">
        <v>210558753</v>
      </c>
      <c r="Y635">
        <v>0.05</v>
      </c>
      <c r="AA635">
        <v>187.62</v>
      </c>
      <c r="AB635">
        <v>0</v>
      </c>
      <c r="AC635">
        <v>0</v>
      </c>
      <c r="AD635">
        <v>0</v>
      </c>
      <c r="AE635">
        <v>28.6</v>
      </c>
      <c r="AF635">
        <v>0</v>
      </c>
      <c r="AG635">
        <v>0</v>
      </c>
      <c r="AH635">
        <v>0</v>
      </c>
      <c r="AI635">
        <v>6.56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6</v>
      </c>
      <c r="AT635">
        <v>0.05</v>
      </c>
      <c r="AU635" t="s">
        <v>6</v>
      </c>
      <c r="AV635">
        <v>0</v>
      </c>
      <c r="AW635">
        <v>2</v>
      </c>
      <c r="AX635">
        <v>16744725</v>
      </c>
      <c r="AY635">
        <v>1</v>
      </c>
      <c r="AZ635">
        <v>0</v>
      </c>
      <c r="BA635">
        <v>589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Y635*Source!I396</f>
        <v>9.8000000000000004E-2</v>
      </c>
      <c r="CY635">
        <f>AA635</f>
        <v>187.62</v>
      </c>
      <c r="CZ635">
        <f>AE635</f>
        <v>28.6</v>
      </c>
      <c r="DA635">
        <f>AI635</f>
        <v>6.56</v>
      </c>
      <c r="DB635">
        <f t="shared" si="96"/>
        <v>1.43</v>
      </c>
      <c r="DC635">
        <f t="shared" si="97"/>
        <v>0</v>
      </c>
    </row>
    <row r="636" spans="1:107" x14ac:dyDescent="0.2">
      <c r="A636">
        <f>ROW(Source!A396)</f>
        <v>396</v>
      </c>
      <c r="B636">
        <v>16742901</v>
      </c>
      <c r="C636">
        <v>16744709</v>
      </c>
      <c r="D636">
        <v>15223029</v>
      </c>
      <c r="E636">
        <v>1</v>
      </c>
      <c r="F636">
        <v>1</v>
      </c>
      <c r="G636">
        <v>1</v>
      </c>
      <c r="H636">
        <v>3</v>
      </c>
      <c r="I636" t="s">
        <v>862</v>
      </c>
      <c r="J636" t="s">
        <v>864</v>
      </c>
      <c r="K636" t="s">
        <v>863</v>
      </c>
      <c r="L636">
        <v>1477</v>
      </c>
      <c r="N636">
        <v>1013</v>
      </c>
      <c r="O636" t="s">
        <v>749</v>
      </c>
      <c r="P636" t="s">
        <v>751</v>
      </c>
      <c r="Q636">
        <v>1</v>
      </c>
      <c r="W636">
        <v>0</v>
      </c>
      <c r="X636">
        <v>559331636</v>
      </c>
      <c r="Y636">
        <v>0.1</v>
      </c>
      <c r="AA636">
        <v>45397.89</v>
      </c>
      <c r="AB636">
        <v>0</v>
      </c>
      <c r="AC636">
        <v>0</v>
      </c>
      <c r="AD636">
        <v>0</v>
      </c>
      <c r="AE636">
        <v>6920.41</v>
      </c>
      <c r="AF636">
        <v>0</v>
      </c>
      <c r="AG636">
        <v>0</v>
      </c>
      <c r="AH636">
        <v>0</v>
      </c>
      <c r="AI636">
        <v>6.56</v>
      </c>
      <c r="AJ636">
        <v>1</v>
      </c>
      <c r="AK636">
        <v>1</v>
      </c>
      <c r="AL636">
        <v>1</v>
      </c>
      <c r="AN636">
        <v>0</v>
      </c>
      <c r="AO636">
        <v>0</v>
      </c>
      <c r="AP636">
        <v>0</v>
      </c>
      <c r="AQ636">
        <v>0</v>
      </c>
      <c r="AR636">
        <v>0</v>
      </c>
      <c r="AS636" t="s">
        <v>6</v>
      </c>
      <c r="AT636">
        <v>0.1</v>
      </c>
      <c r="AU636" t="s">
        <v>6</v>
      </c>
      <c r="AV636">
        <v>0</v>
      </c>
      <c r="AW636">
        <v>1</v>
      </c>
      <c r="AX636">
        <v>-1</v>
      </c>
      <c r="AY636">
        <v>0</v>
      </c>
      <c r="AZ636">
        <v>0</v>
      </c>
      <c r="BA636" t="s">
        <v>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Y636*Source!I396</f>
        <v>0.19600000000000001</v>
      </c>
      <c r="CY636">
        <f>AA636</f>
        <v>45397.89</v>
      </c>
      <c r="CZ636">
        <f>AE636</f>
        <v>6920.41</v>
      </c>
      <c r="DA636">
        <f>AI636</f>
        <v>6.56</v>
      </c>
      <c r="DB636">
        <f t="shared" si="96"/>
        <v>692.04</v>
      </c>
      <c r="DC636">
        <f t="shared" si="97"/>
        <v>0</v>
      </c>
    </row>
    <row r="637" spans="1:107" x14ac:dyDescent="0.2">
      <c r="A637">
        <f>ROW(Source!A396)</f>
        <v>396</v>
      </c>
      <c r="B637">
        <v>16742901</v>
      </c>
      <c r="C637">
        <v>16744709</v>
      </c>
      <c r="D637">
        <v>15164559</v>
      </c>
      <c r="E637">
        <v>17</v>
      </c>
      <c r="F637">
        <v>1</v>
      </c>
      <c r="G637">
        <v>1</v>
      </c>
      <c r="H637">
        <v>3</v>
      </c>
      <c r="I637" t="s">
        <v>1334</v>
      </c>
      <c r="J637" t="s">
        <v>6</v>
      </c>
      <c r="K637" t="s">
        <v>1335</v>
      </c>
      <c r="L637">
        <v>1374</v>
      </c>
      <c r="N637">
        <v>1013</v>
      </c>
      <c r="O637" t="s">
        <v>1336</v>
      </c>
      <c r="P637" t="s">
        <v>1336</v>
      </c>
      <c r="Q637">
        <v>1</v>
      </c>
      <c r="W637">
        <v>0</v>
      </c>
      <c r="X637">
        <v>-1731369543</v>
      </c>
      <c r="Y637">
        <v>0.71</v>
      </c>
      <c r="AA637">
        <v>1</v>
      </c>
      <c r="AB637">
        <v>0</v>
      </c>
      <c r="AC637">
        <v>0</v>
      </c>
      <c r="AD637">
        <v>0</v>
      </c>
      <c r="AE637">
        <v>1</v>
      </c>
      <c r="AF637">
        <v>0</v>
      </c>
      <c r="AG637">
        <v>0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6</v>
      </c>
      <c r="AT637">
        <v>0.71</v>
      </c>
      <c r="AU637" t="s">
        <v>6</v>
      </c>
      <c r="AV637">
        <v>0</v>
      </c>
      <c r="AW637">
        <v>2</v>
      </c>
      <c r="AX637">
        <v>16744726</v>
      </c>
      <c r="AY637">
        <v>1</v>
      </c>
      <c r="AZ637">
        <v>0</v>
      </c>
      <c r="BA637">
        <v>590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Y637*Source!I396</f>
        <v>1.3915999999999999</v>
      </c>
      <c r="CY637">
        <f>AA637</f>
        <v>1</v>
      </c>
      <c r="CZ637">
        <f>AE637</f>
        <v>1</v>
      </c>
      <c r="DA637">
        <f>AI637</f>
        <v>1</v>
      </c>
      <c r="DB637">
        <f t="shared" si="96"/>
        <v>0.71</v>
      </c>
      <c r="DC637">
        <f t="shared" si="97"/>
        <v>0</v>
      </c>
    </row>
    <row r="638" spans="1:107" x14ac:dyDescent="0.2">
      <c r="A638">
        <f>ROW(Source!A398)</f>
        <v>398</v>
      </c>
      <c r="B638">
        <v>16742901</v>
      </c>
      <c r="C638">
        <v>16744728</v>
      </c>
      <c r="D638">
        <v>15438286</v>
      </c>
      <c r="E638">
        <v>1</v>
      </c>
      <c r="F638">
        <v>1</v>
      </c>
      <c r="G638">
        <v>1</v>
      </c>
      <c r="H638">
        <v>1</v>
      </c>
      <c r="I638" t="s">
        <v>1451</v>
      </c>
      <c r="J638" t="s">
        <v>6</v>
      </c>
      <c r="K638" t="s">
        <v>1452</v>
      </c>
      <c r="L638">
        <v>1191</v>
      </c>
      <c r="N638">
        <v>1013</v>
      </c>
      <c r="O638" t="s">
        <v>1287</v>
      </c>
      <c r="P638" t="s">
        <v>1287</v>
      </c>
      <c r="Q638">
        <v>1</v>
      </c>
      <c r="W638">
        <v>0</v>
      </c>
      <c r="X638">
        <v>-1027537862</v>
      </c>
      <c r="Y638">
        <v>15.2</v>
      </c>
      <c r="AA638">
        <v>0</v>
      </c>
      <c r="AB638">
        <v>0</v>
      </c>
      <c r="AC638">
        <v>0</v>
      </c>
      <c r="AD638">
        <v>60.22</v>
      </c>
      <c r="AE638">
        <v>0</v>
      </c>
      <c r="AF638">
        <v>0</v>
      </c>
      <c r="AG638">
        <v>0</v>
      </c>
      <c r="AH638">
        <v>9.18</v>
      </c>
      <c r="AI638">
        <v>1</v>
      </c>
      <c r="AJ638">
        <v>1</v>
      </c>
      <c r="AK638">
        <v>1</v>
      </c>
      <c r="AL638">
        <v>6.56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6</v>
      </c>
      <c r="AT638">
        <v>15.2</v>
      </c>
      <c r="AU638" t="s">
        <v>6</v>
      </c>
      <c r="AV638">
        <v>1</v>
      </c>
      <c r="AW638">
        <v>2</v>
      </c>
      <c r="AX638">
        <v>16744733</v>
      </c>
      <c r="AY638">
        <v>1</v>
      </c>
      <c r="AZ638">
        <v>0</v>
      </c>
      <c r="BA638">
        <v>591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Y638*Source!I398</f>
        <v>18.391999999999999</v>
      </c>
      <c r="CY638">
        <f>AD638</f>
        <v>60.22</v>
      </c>
      <c r="CZ638">
        <f>AH638</f>
        <v>9.18</v>
      </c>
      <c r="DA638">
        <f>AL638</f>
        <v>6.56</v>
      </c>
      <c r="DB638">
        <f t="shared" si="96"/>
        <v>139.54</v>
      </c>
      <c r="DC638">
        <f t="shared" si="97"/>
        <v>0</v>
      </c>
    </row>
    <row r="639" spans="1:107" x14ac:dyDescent="0.2">
      <c r="A639">
        <f>ROW(Source!A398)</f>
        <v>398</v>
      </c>
      <c r="B639">
        <v>16742901</v>
      </c>
      <c r="C639">
        <v>16744728</v>
      </c>
      <c r="D639">
        <v>15170155</v>
      </c>
      <c r="E639">
        <v>1</v>
      </c>
      <c r="F639">
        <v>1</v>
      </c>
      <c r="G639">
        <v>1</v>
      </c>
      <c r="H639">
        <v>3</v>
      </c>
      <c r="I639" t="s">
        <v>1661</v>
      </c>
      <c r="J639" t="s">
        <v>1662</v>
      </c>
      <c r="K639" t="s">
        <v>1663</v>
      </c>
      <c r="L639">
        <v>1355</v>
      </c>
      <c r="N639">
        <v>1010</v>
      </c>
      <c r="O639" t="s">
        <v>843</v>
      </c>
      <c r="P639" t="s">
        <v>843</v>
      </c>
      <c r="Q639">
        <v>100</v>
      </c>
      <c r="W639">
        <v>0</v>
      </c>
      <c r="X639">
        <v>1135215184</v>
      </c>
      <c r="Y639">
        <v>1.75</v>
      </c>
      <c r="AA639">
        <v>52.48</v>
      </c>
      <c r="AB639">
        <v>0</v>
      </c>
      <c r="AC639">
        <v>0</v>
      </c>
      <c r="AD639">
        <v>0</v>
      </c>
      <c r="AE639">
        <v>8</v>
      </c>
      <c r="AF639">
        <v>0</v>
      </c>
      <c r="AG639">
        <v>0</v>
      </c>
      <c r="AH639">
        <v>0</v>
      </c>
      <c r="AI639">
        <v>6.56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1.75</v>
      </c>
      <c r="AU639" t="s">
        <v>6</v>
      </c>
      <c r="AV639">
        <v>0</v>
      </c>
      <c r="AW639">
        <v>2</v>
      </c>
      <c r="AX639">
        <v>16744734</v>
      </c>
      <c r="AY639">
        <v>1</v>
      </c>
      <c r="AZ639">
        <v>0</v>
      </c>
      <c r="BA639">
        <v>592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Y639*Source!I398</f>
        <v>2.1174999999999997</v>
      </c>
      <c r="CY639">
        <f>AA639</f>
        <v>52.48</v>
      </c>
      <c r="CZ639">
        <f>AE639</f>
        <v>8</v>
      </c>
      <c r="DA639">
        <f>AI639</f>
        <v>6.56</v>
      </c>
      <c r="DB639">
        <f t="shared" si="96"/>
        <v>14</v>
      </c>
      <c r="DC639">
        <f t="shared" si="97"/>
        <v>0</v>
      </c>
    </row>
    <row r="640" spans="1:107" x14ac:dyDescent="0.2">
      <c r="A640">
        <f>ROW(Source!A398)</f>
        <v>398</v>
      </c>
      <c r="B640">
        <v>16742901</v>
      </c>
      <c r="C640">
        <v>16744728</v>
      </c>
      <c r="D640">
        <v>15233333</v>
      </c>
      <c r="E640">
        <v>1</v>
      </c>
      <c r="F640">
        <v>1</v>
      </c>
      <c r="G640">
        <v>1</v>
      </c>
      <c r="H640">
        <v>3</v>
      </c>
      <c r="I640" t="s">
        <v>738</v>
      </c>
      <c r="J640" t="s">
        <v>741</v>
      </c>
      <c r="K640" t="s">
        <v>739</v>
      </c>
      <c r="L640">
        <v>1302</v>
      </c>
      <c r="N640">
        <v>1003</v>
      </c>
      <c r="O640" t="s">
        <v>740</v>
      </c>
      <c r="P640" t="s">
        <v>740</v>
      </c>
      <c r="Q640">
        <v>10</v>
      </c>
      <c r="W640">
        <v>0</v>
      </c>
      <c r="X640">
        <v>-819900352</v>
      </c>
      <c r="Y640">
        <v>10</v>
      </c>
      <c r="AA640">
        <v>105.68</v>
      </c>
      <c r="AB640">
        <v>0</v>
      </c>
      <c r="AC640">
        <v>0</v>
      </c>
      <c r="AD640">
        <v>0</v>
      </c>
      <c r="AE640">
        <v>16.11</v>
      </c>
      <c r="AF640">
        <v>0</v>
      </c>
      <c r="AG640">
        <v>0</v>
      </c>
      <c r="AH640">
        <v>0</v>
      </c>
      <c r="AI640">
        <v>6.56</v>
      </c>
      <c r="AJ640">
        <v>1</v>
      </c>
      <c r="AK640">
        <v>1</v>
      </c>
      <c r="AL640">
        <v>1</v>
      </c>
      <c r="AN640">
        <v>0</v>
      </c>
      <c r="AO640">
        <v>0</v>
      </c>
      <c r="AP640">
        <v>0</v>
      </c>
      <c r="AQ640">
        <v>0</v>
      </c>
      <c r="AR640">
        <v>0</v>
      </c>
      <c r="AS640" t="s">
        <v>6</v>
      </c>
      <c r="AT640">
        <v>10</v>
      </c>
      <c r="AU640" t="s">
        <v>6</v>
      </c>
      <c r="AV640">
        <v>0</v>
      </c>
      <c r="AW640">
        <v>1</v>
      </c>
      <c r="AX640">
        <v>-1</v>
      </c>
      <c r="AY640">
        <v>0</v>
      </c>
      <c r="AZ640">
        <v>0</v>
      </c>
      <c r="BA640" t="s">
        <v>6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Y640*Source!I398</f>
        <v>12.1</v>
      </c>
      <c r="CY640">
        <f>AA640</f>
        <v>105.68</v>
      </c>
      <c r="CZ640">
        <f>AE640</f>
        <v>16.11</v>
      </c>
      <c r="DA640">
        <f>AI640</f>
        <v>6.56</v>
      </c>
      <c r="DB640">
        <f t="shared" si="96"/>
        <v>161.1</v>
      </c>
      <c r="DC640">
        <f t="shared" si="97"/>
        <v>0</v>
      </c>
    </row>
    <row r="641" spans="1:107" x14ac:dyDescent="0.2">
      <c r="A641">
        <f>ROW(Source!A398)</f>
        <v>398</v>
      </c>
      <c r="B641">
        <v>16742901</v>
      </c>
      <c r="C641">
        <v>16744728</v>
      </c>
      <c r="D641">
        <v>15164559</v>
      </c>
      <c r="E641">
        <v>17</v>
      </c>
      <c r="F641">
        <v>1</v>
      </c>
      <c r="G641">
        <v>1</v>
      </c>
      <c r="H641">
        <v>3</v>
      </c>
      <c r="I641" t="s">
        <v>1334</v>
      </c>
      <c r="J641" t="s">
        <v>6</v>
      </c>
      <c r="K641" t="s">
        <v>1335</v>
      </c>
      <c r="L641">
        <v>1374</v>
      </c>
      <c r="N641">
        <v>1013</v>
      </c>
      <c r="O641" t="s">
        <v>1336</v>
      </c>
      <c r="P641" t="s">
        <v>1336</v>
      </c>
      <c r="Q641">
        <v>1</v>
      </c>
      <c r="W641">
        <v>0</v>
      </c>
      <c r="X641">
        <v>-1731369543</v>
      </c>
      <c r="Y641">
        <v>2.79</v>
      </c>
      <c r="AA641">
        <v>1</v>
      </c>
      <c r="AB641">
        <v>0</v>
      </c>
      <c r="AC641">
        <v>0</v>
      </c>
      <c r="AD641">
        <v>0</v>
      </c>
      <c r="AE641">
        <v>1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2.79</v>
      </c>
      <c r="AU641" t="s">
        <v>6</v>
      </c>
      <c r="AV641">
        <v>0</v>
      </c>
      <c r="AW641">
        <v>2</v>
      </c>
      <c r="AX641">
        <v>16744735</v>
      </c>
      <c r="AY641">
        <v>1</v>
      </c>
      <c r="AZ641">
        <v>0</v>
      </c>
      <c r="BA641">
        <v>593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Y641*Source!I398</f>
        <v>3.3759000000000001</v>
      </c>
      <c r="CY641">
        <f>AA641</f>
        <v>1</v>
      </c>
      <c r="CZ641">
        <f>AE641</f>
        <v>1</v>
      </c>
      <c r="DA641">
        <f>AI641</f>
        <v>1</v>
      </c>
      <c r="DB641">
        <f t="shared" si="96"/>
        <v>2.79</v>
      </c>
      <c r="DC641">
        <f t="shared" si="97"/>
        <v>0</v>
      </c>
    </row>
    <row r="642" spans="1:107" x14ac:dyDescent="0.2">
      <c r="A642">
        <f>ROW(Source!A400)</f>
        <v>400</v>
      </c>
      <c r="B642">
        <v>16742901</v>
      </c>
      <c r="C642">
        <v>16744737</v>
      </c>
      <c r="D642">
        <v>15430397</v>
      </c>
      <c r="E642">
        <v>1</v>
      </c>
      <c r="F642">
        <v>1</v>
      </c>
      <c r="G642">
        <v>1</v>
      </c>
      <c r="H642">
        <v>1</v>
      </c>
      <c r="I642" t="s">
        <v>1323</v>
      </c>
      <c r="J642" t="s">
        <v>6</v>
      </c>
      <c r="K642" t="s">
        <v>1324</v>
      </c>
      <c r="L642">
        <v>1191</v>
      </c>
      <c r="N642">
        <v>1013</v>
      </c>
      <c r="O642" t="s">
        <v>1287</v>
      </c>
      <c r="P642" t="s">
        <v>1287</v>
      </c>
      <c r="Q642">
        <v>1</v>
      </c>
      <c r="W642">
        <v>0</v>
      </c>
      <c r="X642">
        <v>-1081351934</v>
      </c>
      <c r="Y642">
        <v>6.29</v>
      </c>
      <c r="AA642">
        <v>0</v>
      </c>
      <c r="AB642">
        <v>0</v>
      </c>
      <c r="AC642">
        <v>0</v>
      </c>
      <c r="AD642">
        <v>61.66</v>
      </c>
      <c r="AE642">
        <v>0</v>
      </c>
      <c r="AF642">
        <v>0</v>
      </c>
      <c r="AG642">
        <v>0</v>
      </c>
      <c r="AH642">
        <v>9.4</v>
      </c>
      <c r="AI642">
        <v>1</v>
      </c>
      <c r="AJ642">
        <v>1</v>
      </c>
      <c r="AK642">
        <v>1</v>
      </c>
      <c r="AL642">
        <v>6.56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6</v>
      </c>
      <c r="AT642">
        <v>6.29</v>
      </c>
      <c r="AU642" t="s">
        <v>6</v>
      </c>
      <c r="AV642">
        <v>1</v>
      </c>
      <c r="AW642">
        <v>2</v>
      </c>
      <c r="AX642">
        <v>16744749</v>
      </c>
      <c r="AY642">
        <v>1</v>
      </c>
      <c r="AZ642">
        <v>0</v>
      </c>
      <c r="BA642">
        <v>594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Y642*Source!I400</f>
        <v>8.3028000000000013</v>
      </c>
      <c r="CY642">
        <f>AD642</f>
        <v>61.66</v>
      </c>
      <c r="CZ642">
        <f>AH642</f>
        <v>9.4</v>
      </c>
      <c r="DA642">
        <f>AL642</f>
        <v>6.56</v>
      </c>
      <c r="DB642">
        <f t="shared" si="96"/>
        <v>59.13</v>
      </c>
      <c r="DC642">
        <f t="shared" si="97"/>
        <v>0</v>
      </c>
    </row>
    <row r="643" spans="1:107" x14ac:dyDescent="0.2">
      <c r="A643">
        <f>ROW(Source!A400)</f>
        <v>400</v>
      </c>
      <c r="B643">
        <v>16742901</v>
      </c>
      <c r="C643">
        <v>16744737</v>
      </c>
      <c r="D643">
        <v>15430395</v>
      </c>
      <c r="E643">
        <v>1</v>
      </c>
      <c r="F643">
        <v>1</v>
      </c>
      <c r="G643">
        <v>1</v>
      </c>
      <c r="H643">
        <v>1</v>
      </c>
      <c r="I643" t="s">
        <v>1293</v>
      </c>
      <c r="J643" t="s">
        <v>6</v>
      </c>
      <c r="K643" t="s">
        <v>1294</v>
      </c>
      <c r="L643">
        <v>1191</v>
      </c>
      <c r="N643">
        <v>1013</v>
      </c>
      <c r="O643" t="s">
        <v>1287</v>
      </c>
      <c r="P643" t="s">
        <v>1287</v>
      </c>
      <c r="Q643">
        <v>1</v>
      </c>
      <c r="W643">
        <v>0</v>
      </c>
      <c r="X643">
        <v>-1417349443</v>
      </c>
      <c r="Y643">
        <v>0.06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6.56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0.06</v>
      </c>
      <c r="AU643" t="s">
        <v>6</v>
      </c>
      <c r="AV643">
        <v>2</v>
      </c>
      <c r="AW643">
        <v>2</v>
      </c>
      <c r="AX643">
        <v>16744750</v>
      </c>
      <c r="AY643">
        <v>1</v>
      </c>
      <c r="AZ643">
        <v>0</v>
      </c>
      <c r="BA643">
        <v>595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Y643*Source!I400</f>
        <v>7.9200000000000007E-2</v>
      </c>
      <c r="CY643">
        <f>AD643</f>
        <v>0</v>
      </c>
      <c r="CZ643">
        <f>AH643</f>
        <v>0</v>
      </c>
      <c r="DA643">
        <f>AL643</f>
        <v>1</v>
      </c>
      <c r="DB643">
        <f t="shared" si="96"/>
        <v>0</v>
      </c>
      <c r="DC643">
        <f t="shared" si="97"/>
        <v>0</v>
      </c>
    </row>
    <row r="644" spans="1:107" x14ac:dyDescent="0.2">
      <c r="A644">
        <f>ROW(Source!A400)</f>
        <v>400</v>
      </c>
      <c r="B644">
        <v>16742901</v>
      </c>
      <c r="C644">
        <v>16744737</v>
      </c>
      <c r="D644">
        <v>15247680</v>
      </c>
      <c r="E644">
        <v>1</v>
      </c>
      <c r="F644">
        <v>1</v>
      </c>
      <c r="G644">
        <v>1</v>
      </c>
      <c r="H644">
        <v>2</v>
      </c>
      <c r="I644" t="s">
        <v>1295</v>
      </c>
      <c r="J644" t="s">
        <v>1296</v>
      </c>
      <c r="K644" t="s">
        <v>1297</v>
      </c>
      <c r="L644">
        <v>1368</v>
      </c>
      <c r="N644">
        <v>1011</v>
      </c>
      <c r="O644" t="s">
        <v>1298</v>
      </c>
      <c r="P644" t="s">
        <v>1298</v>
      </c>
      <c r="Q644">
        <v>1</v>
      </c>
      <c r="W644">
        <v>0</v>
      </c>
      <c r="X644">
        <v>-1718674368</v>
      </c>
      <c r="Y644">
        <v>0.03</v>
      </c>
      <c r="AA644">
        <v>0</v>
      </c>
      <c r="AB644">
        <v>734.65</v>
      </c>
      <c r="AC644">
        <v>13.5</v>
      </c>
      <c r="AD644">
        <v>0</v>
      </c>
      <c r="AE644">
        <v>0</v>
      </c>
      <c r="AF644">
        <v>111.99</v>
      </c>
      <c r="AG644">
        <v>13.5</v>
      </c>
      <c r="AH644">
        <v>0</v>
      </c>
      <c r="AI644">
        <v>1</v>
      </c>
      <c r="AJ644">
        <v>6.56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6</v>
      </c>
      <c r="AT644">
        <v>0.03</v>
      </c>
      <c r="AU644" t="s">
        <v>6</v>
      </c>
      <c r="AV644">
        <v>0</v>
      </c>
      <c r="AW644">
        <v>2</v>
      </c>
      <c r="AX644">
        <v>16744751</v>
      </c>
      <c r="AY644">
        <v>1</v>
      </c>
      <c r="AZ644">
        <v>0</v>
      </c>
      <c r="BA644">
        <v>596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Y644*Source!I400</f>
        <v>3.9600000000000003E-2</v>
      </c>
      <c r="CY644">
        <f>AB644</f>
        <v>734.65</v>
      </c>
      <c r="CZ644">
        <f>AF644</f>
        <v>111.99</v>
      </c>
      <c r="DA644">
        <f>AJ644</f>
        <v>6.56</v>
      </c>
      <c r="DB644">
        <f t="shared" si="96"/>
        <v>3.36</v>
      </c>
      <c r="DC644">
        <f t="shared" si="97"/>
        <v>0.41</v>
      </c>
    </row>
    <row r="645" spans="1:107" x14ac:dyDescent="0.2">
      <c r="A645">
        <f>ROW(Source!A400)</f>
        <v>400</v>
      </c>
      <c r="B645">
        <v>16742901</v>
      </c>
      <c r="C645">
        <v>16744737</v>
      </c>
      <c r="D645">
        <v>15249073</v>
      </c>
      <c r="E645">
        <v>1</v>
      </c>
      <c r="F645">
        <v>1</v>
      </c>
      <c r="G645">
        <v>1</v>
      </c>
      <c r="H645">
        <v>2</v>
      </c>
      <c r="I645" t="s">
        <v>1299</v>
      </c>
      <c r="J645" t="s">
        <v>1300</v>
      </c>
      <c r="K645" t="s">
        <v>1301</v>
      </c>
      <c r="L645">
        <v>1368</v>
      </c>
      <c r="N645">
        <v>1011</v>
      </c>
      <c r="O645" t="s">
        <v>1298</v>
      </c>
      <c r="P645" t="s">
        <v>1298</v>
      </c>
      <c r="Q645">
        <v>1</v>
      </c>
      <c r="W645">
        <v>0</v>
      </c>
      <c r="X645">
        <v>1372534845</v>
      </c>
      <c r="Y645">
        <v>0.03</v>
      </c>
      <c r="AA645">
        <v>0</v>
      </c>
      <c r="AB645">
        <v>431.06</v>
      </c>
      <c r="AC645">
        <v>11.6</v>
      </c>
      <c r="AD645">
        <v>0</v>
      </c>
      <c r="AE645">
        <v>0</v>
      </c>
      <c r="AF645">
        <v>65.709999999999994</v>
      </c>
      <c r="AG645">
        <v>11.6</v>
      </c>
      <c r="AH645">
        <v>0</v>
      </c>
      <c r="AI645">
        <v>1</v>
      </c>
      <c r="AJ645">
        <v>6.56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6</v>
      </c>
      <c r="AT645">
        <v>0.03</v>
      </c>
      <c r="AU645" t="s">
        <v>6</v>
      </c>
      <c r="AV645">
        <v>0</v>
      </c>
      <c r="AW645">
        <v>2</v>
      </c>
      <c r="AX645">
        <v>16744752</v>
      </c>
      <c r="AY645">
        <v>1</v>
      </c>
      <c r="AZ645">
        <v>0</v>
      </c>
      <c r="BA645">
        <v>597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Y645*Source!I400</f>
        <v>3.9600000000000003E-2</v>
      </c>
      <c r="CY645">
        <f>AB645</f>
        <v>431.06</v>
      </c>
      <c r="CZ645">
        <f>AF645</f>
        <v>65.709999999999994</v>
      </c>
      <c r="DA645">
        <f>AJ645</f>
        <v>6.56</v>
      </c>
      <c r="DB645">
        <f t="shared" si="96"/>
        <v>1.97</v>
      </c>
      <c r="DC645">
        <f t="shared" si="97"/>
        <v>0.35</v>
      </c>
    </row>
    <row r="646" spans="1:107" x14ac:dyDescent="0.2">
      <c r="A646">
        <f>ROW(Source!A400)</f>
        <v>400</v>
      </c>
      <c r="B646">
        <v>16742901</v>
      </c>
      <c r="C646">
        <v>16744737</v>
      </c>
      <c r="D646">
        <v>15167588</v>
      </c>
      <c r="E646">
        <v>1</v>
      </c>
      <c r="F646">
        <v>1</v>
      </c>
      <c r="G646">
        <v>1</v>
      </c>
      <c r="H646">
        <v>3</v>
      </c>
      <c r="I646" t="s">
        <v>1641</v>
      </c>
      <c r="J646" t="s">
        <v>1642</v>
      </c>
      <c r="K646" t="s">
        <v>1643</v>
      </c>
      <c r="L646">
        <v>1346</v>
      </c>
      <c r="N646">
        <v>1009</v>
      </c>
      <c r="O646" t="s">
        <v>341</v>
      </c>
      <c r="P646" t="s">
        <v>341</v>
      </c>
      <c r="Q646">
        <v>1</v>
      </c>
      <c r="W646">
        <v>0</v>
      </c>
      <c r="X646">
        <v>-1088866022</v>
      </c>
      <c r="Y646">
        <v>0.32</v>
      </c>
      <c r="AA646">
        <v>199.42</v>
      </c>
      <c r="AB646">
        <v>0</v>
      </c>
      <c r="AC646">
        <v>0</v>
      </c>
      <c r="AD646">
        <v>0</v>
      </c>
      <c r="AE646">
        <v>30.4</v>
      </c>
      <c r="AF646">
        <v>0</v>
      </c>
      <c r="AG646">
        <v>0</v>
      </c>
      <c r="AH646">
        <v>0</v>
      </c>
      <c r="AI646">
        <v>6.56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0.32</v>
      </c>
      <c r="AU646" t="s">
        <v>6</v>
      </c>
      <c r="AV646">
        <v>0</v>
      </c>
      <c r="AW646">
        <v>2</v>
      </c>
      <c r="AX646">
        <v>16744753</v>
      </c>
      <c r="AY646">
        <v>1</v>
      </c>
      <c r="AZ646">
        <v>0</v>
      </c>
      <c r="BA646">
        <v>598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Y646*Source!I400</f>
        <v>0.42240000000000005</v>
      </c>
      <c r="CY646">
        <f t="shared" ref="CY646:CY652" si="104">AA646</f>
        <v>199.42</v>
      </c>
      <c r="CZ646">
        <f t="shared" ref="CZ646:CZ652" si="105">AE646</f>
        <v>30.4</v>
      </c>
      <c r="DA646">
        <f t="shared" ref="DA646:DA652" si="106">AI646</f>
        <v>6.56</v>
      </c>
      <c r="DB646">
        <f t="shared" si="96"/>
        <v>9.73</v>
      </c>
      <c r="DC646">
        <f t="shared" si="97"/>
        <v>0</v>
      </c>
    </row>
    <row r="647" spans="1:107" x14ac:dyDescent="0.2">
      <c r="A647">
        <f>ROW(Source!A400)</f>
        <v>400</v>
      </c>
      <c r="B647">
        <v>16742901</v>
      </c>
      <c r="C647">
        <v>16744737</v>
      </c>
      <c r="D647">
        <v>15167867</v>
      </c>
      <c r="E647">
        <v>1</v>
      </c>
      <c r="F647">
        <v>1</v>
      </c>
      <c r="G647">
        <v>1</v>
      </c>
      <c r="H647">
        <v>3</v>
      </c>
      <c r="I647" t="s">
        <v>1664</v>
      </c>
      <c r="J647" t="s">
        <v>1665</v>
      </c>
      <c r="K647" t="s">
        <v>1666</v>
      </c>
      <c r="L647">
        <v>1348</v>
      </c>
      <c r="N647">
        <v>1009</v>
      </c>
      <c r="O647" t="s">
        <v>100</v>
      </c>
      <c r="P647" t="s">
        <v>100</v>
      </c>
      <c r="Q647">
        <v>1000</v>
      </c>
      <c r="W647">
        <v>0</v>
      </c>
      <c r="X647">
        <v>1012095217</v>
      </c>
      <c r="Y647">
        <v>1.0499999999999999E-3</v>
      </c>
      <c r="AA647">
        <v>11939.2</v>
      </c>
      <c r="AB647">
        <v>0</v>
      </c>
      <c r="AC647">
        <v>0</v>
      </c>
      <c r="AD647">
        <v>0</v>
      </c>
      <c r="AE647">
        <v>1820</v>
      </c>
      <c r="AF647">
        <v>0</v>
      </c>
      <c r="AG647">
        <v>0</v>
      </c>
      <c r="AH647">
        <v>0</v>
      </c>
      <c r="AI647">
        <v>6.56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6</v>
      </c>
      <c r="AT647">
        <v>1.0499999999999999E-3</v>
      </c>
      <c r="AU647" t="s">
        <v>6</v>
      </c>
      <c r="AV647">
        <v>0</v>
      </c>
      <c r="AW647">
        <v>2</v>
      </c>
      <c r="AX647">
        <v>16744754</v>
      </c>
      <c r="AY647">
        <v>1</v>
      </c>
      <c r="AZ647">
        <v>0</v>
      </c>
      <c r="BA647">
        <v>599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Y647*Source!I400</f>
        <v>1.3860000000000001E-3</v>
      </c>
      <c r="CY647">
        <f t="shared" si="104"/>
        <v>11939.2</v>
      </c>
      <c r="CZ647">
        <f t="shared" si="105"/>
        <v>1820</v>
      </c>
      <c r="DA647">
        <f t="shared" si="106"/>
        <v>6.56</v>
      </c>
      <c r="DB647">
        <f t="shared" si="96"/>
        <v>1.91</v>
      </c>
      <c r="DC647">
        <f t="shared" si="97"/>
        <v>0</v>
      </c>
    </row>
    <row r="648" spans="1:107" x14ac:dyDescent="0.2">
      <c r="A648">
        <f>ROW(Source!A400)</f>
        <v>400</v>
      </c>
      <c r="B648">
        <v>16742901</v>
      </c>
      <c r="C648">
        <v>16744737</v>
      </c>
      <c r="D648">
        <v>15203834</v>
      </c>
      <c r="E648">
        <v>1</v>
      </c>
      <c r="F648">
        <v>1</v>
      </c>
      <c r="G648">
        <v>1</v>
      </c>
      <c r="H648">
        <v>3</v>
      </c>
      <c r="I648" t="s">
        <v>1667</v>
      </c>
      <c r="J648" t="s">
        <v>1668</v>
      </c>
      <c r="K648" t="s">
        <v>403</v>
      </c>
      <c r="L648">
        <v>1346</v>
      </c>
      <c r="N648">
        <v>1009</v>
      </c>
      <c r="O648" t="s">
        <v>341</v>
      </c>
      <c r="P648" t="s">
        <v>341</v>
      </c>
      <c r="Q648">
        <v>1</v>
      </c>
      <c r="W648">
        <v>0</v>
      </c>
      <c r="X648">
        <v>210558753</v>
      </c>
      <c r="Y648">
        <v>0.02</v>
      </c>
      <c r="AA648">
        <v>187.62</v>
      </c>
      <c r="AB648">
        <v>0</v>
      </c>
      <c r="AC648">
        <v>0</v>
      </c>
      <c r="AD648">
        <v>0</v>
      </c>
      <c r="AE648">
        <v>28.6</v>
      </c>
      <c r="AF648">
        <v>0</v>
      </c>
      <c r="AG648">
        <v>0</v>
      </c>
      <c r="AH648">
        <v>0</v>
      </c>
      <c r="AI648">
        <v>6.56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6</v>
      </c>
      <c r="AT648">
        <v>0.02</v>
      </c>
      <c r="AU648" t="s">
        <v>6</v>
      </c>
      <c r="AV648">
        <v>0</v>
      </c>
      <c r="AW648">
        <v>2</v>
      </c>
      <c r="AX648">
        <v>16744755</v>
      </c>
      <c r="AY648">
        <v>1</v>
      </c>
      <c r="AZ648">
        <v>0</v>
      </c>
      <c r="BA648">
        <v>600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Y648*Source!I400</f>
        <v>2.6400000000000003E-2</v>
      </c>
      <c r="CY648">
        <f t="shared" si="104"/>
        <v>187.62</v>
      </c>
      <c r="CZ648">
        <f t="shared" si="105"/>
        <v>28.6</v>
      </c>
      <c r="DA648">
        <f t="shared" si="106"/>
        <v>6.56</v>
      </c>
      <c r="DB648">
        <f t="shared" si="96"/>
        <v>0.56999999999999995</v>
      </c>
      <c r="DC648">
        <f t="shared" si="97"/>
        <v>0</v>
      </c>
    </row>
    <row r="649" spans="1:107" x14ac:dyDescent="0.2">
      <c r="A649">
        <f>ROW(Source!A400)</f>
        <v>400</v>
      </c>
      <c r="B649">
        <v>16742901</v>
      </c>
      <c r="C649">
        <v>16744737</v>
      </c>
      <c r="D649">
        <v>15217529</v>
      </c>
      <c r="E649">
        <v>1</v>
      </c>
      <c r="F649">
        <v>1</v>
      </c>
      <c r="G649">
        <v>1</v>
      </c>
      <c r="H649">
        <v>3</v>
      </c>
      <c r="I649" t="s">
        <v>1738</v>
      </c>
      <c r="J649" t="s">
        <v>1739</v>
      </c>
      <c r="K649" t="s">
        <v>1740</v>
      </c>
      <c r="L649">
        <v>1355</v>
      </c>
      <c r="N649">
        <v>1010</v>
      </c>
      <c r="O649" t="s">
        <v>843</v>
      </c>
      <c r="P649" t="s">
        <v>843</v>
      </c>
      <c r="Q649">
        <v>100</v>
      </c>
      <c r="W649">
        <v>0</v>
      </c>
      <c r="X649">
        <v>-1427219203</v>
      </c>
      <c r="Y649">
        <v>0.05</v>
      </c>
      <c r="AA649">
        <v>938.08</v>
      </c>
      <c r="AB649">
        <v>0</v>
      </c>
      <c r="AC649">
        <v>0</v>
      </c>
      <c r="AD649">
        <v>0</v>
      </c>
      <c r="AE649">
        <v>143</v>
      </c>
      <c r="AF649">
        <v>0</v>
      </c>
      <c r="AG649">
        <v>0</v>
      </c>
      <c r="AH649">
        <v>0</v>
      </c>
      <c r="AI649">
        <v>6.56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6</v>
      </c>
      <c r="AT649">
        <v>0.05</v>
      </c>
      <c r="AU649" t="s">
        <v>6</v>
      </c>
      <c r="AV649">
        <v>0</v>
      </c>
      <c r="AW649">
        <v>2</v>
      </c>
      <c r="AX649">
        <v>16744756</v>
      </c>
      <c r="AY649">
        <v>1</v>
      </c>
      <c r="AZ649">
        <v>0</v>
      </c>
      <c r="BA649">
        <v>601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Y649*Source!I400</f>
        <v>6.6000000000000003E-2</v>
      </c>
      <c r="CY649">
        <f t="shared" si="104"/>
        <v>938.08</v>
      </c>
      <c r="CZ649">
        <f t="shared" si="105"/>
        <v>143</v>
      </c>
      <c r="DA649">
        <f t="shared" si="106"/>
        <v>6.56</v>
      </c>
      <c r="DB649">
        <f t="shared" si="96"/>
        <v>7.15</v>
      </c>
      <c r="DC649">
        <f t="shared" si="97"/>
        <v>0</v>
      </c>
    </row>
    <row r="650" spans="1:107" x14ac:dyDescent="0.2">
      <c r="A650">
        <f>ROW(Source!A400)</f>
        <v>400</v>
      </c>
      <c r="B650">
        <v>16742901</v>
      </c>
      <c r="C650">
        <v>16744737</v>
      </c>
      <c r="D650">
        <v>15217579</v>
      </c>
      <c r="E650">
        <v>1</v>
      </c>
      <c r="F650">
        <v>1</v>
      </c>
      <c r="G650">
        <v>1</v>
      </c>
      <c r="H650">
        <v>3</v>
      </c>
      <c r="I650" t="s">
        <v>1741</v>
      </c>
      <c r="J650" t="s">
        <v>1742</v>
      </c>
      <c r="K650" t="s">
        <v>1743</v>
      </c>
      <c r="L650">
        <v>1356</v>
      </c>
      <c r="N650">
        <v>1010</v>
      </c>
      <c r="O650" t="s">
        <v>306</v>
      </c>
      <c r="P650" t="s">
        <v>306</v>
      </c>
      <c r="Q650">
        <v>1000</v>
      </c>
      <c r="W650">
        <v>0</v>
      </c>
      <c r="X650">
        <v>2033598199</v>
      </c>
      <c r="Y650">
        <v>1.2200000000000001E-2</v>
      </c>
      <c r="AA650">
        <v>1155.94</v>
      </c>
      <c r="AB650">
        <v>0</v>
      </c>
      <c r="AC650">
        <v>0</v>
      </c>
      <c r="AD650">
        <v>0</v>
      </c>
      <c r="AE650">
        <v>176.21</v>
      </c>
      <c r="AF650">
        <v>0</v>
      </c>
      <c r="AG650">
        <v>0</v>
      </c>
      <c r="AH650">
        <v>0</v>
      </c>
      <c r="AI650">
        <v>6.56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6</v>
      </c>
      <c r="AT650">
        <v>1.2200000000000001E-2</v>
      </c>
      <c r="AU650" t="s">
        <v>6</v>
      </c>
      <c r="AV650">
        <v>0</v>
      </c>
      <c r="AW650">
        <v>2</v>
      </c>
      <c r="AX650">
        <v>16744757</v>
      </c>
      <c r="AY650">
        <v>1</v>
      </c>
      <c r="AZ650">
        <v>0</v>
      </c>
      <c r="BA650">
        <v>602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Y650*Source!I400</f>
        <v>1.6104E-2</v>
      </c>
      <c r="CY650">
        <f t="shared" si="104"/>
        <v>1155.94</v>
      </c>
      <c r="CZ650">
        <f t="shared" si="105"/>
        <v>176.21</v>
      </c>
      <c r="DA650">
        <f t="shared" si="106"/>
        <v>6.56</v>
      </c>
      <c r="DB650">
        <f t="shared" si="96"/>
        <v>2.15</v>
      </c>
      <c r="DC650">
        <f t="shared" si="97"/>
        <v>0</v>
      </c>
    </row>
    <row r="651" spans="1:107" x14ac:dyDescent="0.2">
      <c r="A651">
        <f>ROW(Source!A400)</f>
        <v>400</v>
      </c>
      <c r="B651">
        <v>16742901</v>
      </c>
      <c r="C651">
        <v>16744737</v>
      </c>
      <c r="D651">
        <v>15223029</v>
      </c>
      <c r="E651">
        <v>1</v>
      </c>
      <c r="F651">
        <v>1</v>
      </c>
      <c r="G651">
        <v>1</v>
      </c>
      <c r="H651">
        <v>3</v>
      </c>
      <c r="I651" t="s">
        <v>862</v>
      </c>
      <c r="J651" t="s">
        <v>864</v>
      </c>
      <c r="K651" t="s">
        <v>863</v>
      </c>
      <c r="L651">
        <v>1477</v>
      </c>
      <c r="N651">
        <v>1013</v>
      </c>
      <c r="O651" t="s">
        <v>749</v>
      </c>
      <c r="P651" t="s">
        <v>751</v>
      </c>
      <c r="Q651">
        <v>1</v>
      </c>
      <c r="W651">
        <v>0</v>
      </c>
      <c r="X651">
        <v>559331636</v>
      </c>
      <c r="Y651">
        <v>0.1</v>
      </c>
      <c r="AA651">
        <v>45397.89</v>
      </c>
      <c r="AB651">
        <v>0</v>
      </c>
      <c r="AC651">
        <v>0</v>
      </c>
      <c r="AD651">
        <v>0</v>
      </c>
      <c r="AE651">
        <v>6920.41</v>
      </c>
      <c r="AF651">
        <v>0</v>
      </c>
      <c r="AG651">
        <v>0</v>
      </c>
      <c r="AH651">
        <v>0</v>
      </c>
      <c r="AI651">
        <v>6.56</v>
      </c>
      <c r="AJ651">
        <v>1</v>
      </c>
      <c r="AK651">
        <v>1</v>
      </c>
      <c r="AL651">
        <v>1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6</v>
      </c>
      <c r="AT651">
        <v>0.1</v>
      </c>
      <c r="AU651" t="s">
        <v>6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6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Y651*Source!I400</f>
        <v>0.13200000000000001</v>
      </c>
      <c r="CY651">
        <f t="shared" si="104"/>
        <v>45397.89</v>
      </c>
      <c r="CZ651">
        <f t="shared" si="105"/>
        <v>6920.41</v>
      </c>
      <c r="DA651">
        <f t="shared" si="106"/>
        <v>6.56</v>
      </c>
      <c r="DB651">
        <f t="shared" si="96"/>
        <v>692.04</v>
      </c>
      <c r="DC651">
        <f t="shared" si="97"/>
        <v>0</v>
      </c>
    </row>
    <row r="652" spans="1:107" x14ac:dyDescent="0.2">
      <c r="A652">
        <f>ROW(Source!A400)</f>
        <v>400</v>
      </c>
      <c r="B652">
        <v>16742901</v>
      </c>
      <c r="C652">
        <v>16744737</v>
      </c>
      <c r="D652">
        <v>15164559</v>
      </c>
      <c r="E652">
        <v>17</v>
      </c>
      <c r="F652">
        <v>1</v>
      </c>
      <c r="G652">
        <v>1</v>
      </c>
      <c r="H652">
        <v>3</v>
      </c>
      <c r="I652" t="s">
        <v>1334</v>
      </c>
      <c r="J652" t="s">
        <v>6</v>
      </c>
      <c r="K652" t="s">
        <v>1335</v>
      </c>
      <c r="L652">
        <v>1374</v>
      </c>
      <c r="N652">
        <v>1013</v>
      </c>
      <c r="O652" t="s">
        <v>1336</v>
      </c>
      <c r="P652" t="s">
        <v>1336</v>
      </c>
      <c r="Q652">
        <v>1</v>
      </c>
      <c r="W652">
        <v>0</v>
      </c>
      <c r="X652">
        <v>-1731369543</v>
      </c>
      <c r="Y652">
        <v>1.18</v>
      </c>
      <c r="AA652">
        <v>1</v>
      </c>
      <c r="AB652">
        <v>0</v>
      </c>
      <c r="AC652">
        <v>0</v>
      </c>
      <c r="AD652">
        <v>0</v>
      </c>
      <c r="AE652">
        <v>1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1.18</v>
      </c>
      <c r="AU652" t="s">
        <v>6</v>
      </c>
      <c r="AV652">
        <v>0</v>
      </c>
      <c r="AW652">
        <v>2</v>
      </c>
      <c r="AX652">
        <v>16744758</v>
      </c>
      <c r="AY652">
        <v>1</v>
      </c>
      <c r="AZ652">
        <v>0</v>
      </c>
      <c r="BA652">
        <v>603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Y652*Source!I400</f>
        <v>1.5576000000000001</v>
      </c>
      <c r="CY652">
        <f t="shared" si="104"/>
        <v>1</v>
      </c>
      <c r="CZ652">
        <f t="shared" si="105"/>
        <v>1</v>
      </c>
      <c r="DA652">
        <f t="shared" si="106"/>
        <v>1</v>
      </c>
      <c r="DB652">
        <f t="shared" si="96"/>
        <v>1.18</v>
      </c>
      <c r="DC652">
        <f t="shared" si="97"/>
        <v>0</v>
      </c>
    </row>
    <row r="653" spans="1:107" x14ac:dyDescent="0.2">
      <c r="A653">
        <f>ROW(Source!A402)</f>
        <v>402</v>
      </c>
      <c r="B653">
        <v>16742901</v>
      </c>
      <c r="C653">
        <v>16744760</v>
      </c>
      <c r="D653">
        <v>15430397</v>
      </c>
      <c r="E653">
        <v>1</v>
      </c>
      <c r="F653">
        <v>1</v>
      </c>
      <c r="G653">
        <v>1</v>
      </c>
      <c r="H653">
        <v>1</v>
      </c>
      <c r="I653" t="s">
        <v>1323</v>
      </c>
      <c r="J653" t="s">
        <v>6</v>
      </c>
      <c r="K653" t="s">
        <v>1324</v>
      </c>
      <c r="L653">
        <v>1191</v>
      </c>
      <c r="N653">
        <v>1013</v>
      </c>
      <c r="O653" t="s">
        <v>1287</v>
      </c>
      <c r="P653" t="s">
        <v>1287</v>
      </c>
      <c r="Q653">
        <v>1</v>
      </c>
      <c r="W653">
        <v>0</v>
      </c>
      <c r="X653">
        <v>-1081351934</v>
      </c>
      <c r="Y653">
        <v>8.56</v>
      </c>
      <c r="AA653">
        <v>0</v>
      </c>
      <c r="AB653">
        <v>0</v>
      </c>
      <c r="AC653">
        <v>0</v>
      </c>
      <c r="AD653">
        <v>61.66</v>
      </c>
      <c r="AE653">
        <v>0</v>
      </c>
      <c r="AF653">
        <v>0</v>
      </c>
      <c r="AG653">
        <v>0</v>
      </c>
      <c r="AH653">
        <v>9.4</v>
      </c>
      <c r="AI653">
        <v>1</v>
      </c>
      <c r="AJ653">
        <v>1</v>
      </c>
      <c r="AK653">
        <v>1</v>
      </c>
      <c r="AL653">
        <v>6.56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6</v>
      </c>
      <c r="AT653">
        <v>8.56</v>
      </c>
      <c r="AU653" t="s">
        <v>6</v>
      </c>
      <c r="AV653">
        <v>1</v>
      </c>
      <c r="AW653">
        <v>2</v>
      </c>
      <c r="AX653">
        <v>16744774</v>
      </c>
      <c r="AY653">
        <v>1</v>
      </c>
      <c r="AZ653">
        <v>0</v>
      </c>
      <c r="BA653">
        <v>604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Y653*Source!I402</f>
        <v>5.8208000000000011</v>
      </c>
      <c r="CY653">
        <f>AD653</f>
        <v>61.66</v>
      </c>
      <c r="CZ653">
        <f>AH653</f>
        <v>9.4</v>
      </c>
      <c r="DA653">
        <f>AL653</f>
        <v>6.56</v>
      </c>
      <c r="DB653">
        <f t="shared" si="96"/>
        <v>80.459999999999994</v>
      </c>
      <c r="DC653">
        <f t="shared" si="97"/>
        <v>0</v>
      </c>
    </row>
    <row r="654" spans="1:107" x14ac:dyDescent="0.2">
      <c r="A654">
        <f>ROW(Source!A402)</f>
        <v>402</v>
      </c>
      <c r="B654">
        <v>16742901</v>
      </c>
      <c r="C654">
        <v>16744760</v>
      </c>
      <c r="D654">
        <v>15430395</v>
      </c>
      <c r="E654">
        <v>1</v>
      </c>
      <c r="F654">
        <v>1</v>
      </c>
      <c r="G654">
        <v>1</v>
      </c>
      <c r="H654">
        <v>1</v>
      </c>
      <c r="I654" t="s">
        <v>1293</v>
      </c>
      <c r="J654" t="s">
        <v>6</v>
      </c>
      <c r="K654" t="s">
        <v>1294</v>
      </c>
      <c r="L654">
        <v>1191</v>
      </c>
      <c r="N654">
        <v>1013</v>
      </c>
      <c r="O654" t="s">
        <v>1287</v>
      </c>
      <c r="P654" t="s">
        <v>1287</v>
      </c>
      <c r="Q654">
        <v>1</v>
      </c>
      <c r="W654">
        <v>0</v>
      </c>
      <c r="X654">
        <v>-1417349443</v>
      </c>
      <c r="Y654">
        <v>2.27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1</v>
      </c>
      <c r="AJ654">
        <v>1</v>
      </c>
      <c r="AK654">
        <v>6.56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6</v>
      </c>
      <c r="AT654">
        <v>2.27</v>
      </c>
      <c r="AU654" t="s">
        <v>6</v>
      </c>
      <c r="AV654">
        <v>2</v>
      </c>
      <c r="AW654">
        <v>2</v>
      </c>
      <c r="AX654">
        <v>16744775</v>
      </c>
      <c r="AY654">
        <v>1</v>
      </c>
      <c r="AZ654">
        <v>0</v>
      </c>
      <c r="BA654">
        <v>605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Y654*Source!I402</f>
        <v>1.5436000000000001</v>
      </c>
      <c r="CY654">
        <f>AD654</f>
        <v>0</v>
      </c>
      <c r="CZ654">
        <f>AH654</f>
        <v>0</v>
      </c>
      <c r="DA654">
        <f>AL654</f>
        <v>1</v>
      </c>
      <c r="DB654">
        <f t="shared" si="96"/>
        <v>0</v>
      </c>
      <c r="DC654">
        <f t="shared" si="97"/>
        <v>0</v>
      </c>
    </row>
    <row r="655" spans="1:107" x14ac:dyDescent="0.2">
      <c r="A655">
        <f>ROW(Source!A402)</f>
        <v>402</v>
      </c>
      <c r="B655">
        <v>16742901</v>
      </c>
      <c r="C655">
        <v>16744760</v>
      </c>
      <c r="D655">
        <v>15247680</v>
      </c>
      <c r="E655">
        <v>1</v>
      </c>
      <c r="F655">
        <v>1</v>
      </c>
      <c r="G655">
        <v>1</v>
      </c>
      <c r="H655">
        <v>2</v>
      </c>
      <c r="I655" t="s">
        <v>1295</v>
      </c>
      <c r="J655" t="s">
        <v>1296</v>
      </c>
      <c r="K655" t="s">
        <v>1297</v>
      </c>
      <c r="L655">
        <v>1368</v>
      </c>
      <c r="N655">
        <v>1011</v>
      </c>
      <c r="O655" t="s">
        <v>1298</v>
      </c>
      <c r="P655" t="s">
        <v>1298</v>
      </c>
      <c r="Q655">
        <v>1</v>
      </c>
      <c r="W655">
        <v>0</v>
      </c>
      <c r="X655">
        <v>-1718674368</v>
      </c>
      <c r="Y655">
        <v>0.1</v>
      </c>
      <c r="AA655">
        <v>0</v>
      </c>
      <c r="AB655">
        <v>734.65</v>
      </c>
      <c r="AC655">
        <v>13.5</v>
      </c>
      <c r="AD655">
        <v>0</v>
      </c>
      <c r="AE655">
        <v>0</v>
      </c>
      <c r="AF655">
        <v>111.99</v>
      </c>
      <c r="AG655">
        <v>13.5</v>
      </c>
      <c r="AH655">
        <v>0</v>
      </c>
      <c r="AI655">
        <v>1</v>
      </c>
      <c r="AJ655">
        <v>6.56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6</v>
      </c>
      <c r="AT655">
        <v>0.1</v>
      </c>
      <c r="AU655" t="s">
        <v>6</v>
      </c>
      <c r="AV655">
        <v>0</v>
      </c>
      <c r="AW655">
        <v>2</v>
      </c>
      <c r="AX655">
        <v>16744776</v>
      </c>
      <c r="AY655">
        <v>1</v>
      </c>
      <c r="AZ655">
        <v>0</v>
      </c>
      <c r="BA655">
        <v>606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Y655*Source!I402</f>
        <v>6.8000000000000005E-2</v>
      </c>
      <c r="CY655">
        <f>AB655</f>
        <v>734.65</v>
      </c>
      <c r="CZ655">
        <f>AF655</f>
        <v>111.99</v>
      </c>
      <c r="DA655">
        <f>AJ655</f>
        <v>6.56</v>
      </c>
      <c r="DB655">
        <f t="shared" ref="DB655:DB718" si="107">ROUND(ROUND(AT655*CZ655,2),2)</f>
        <v>11.2</v>
      </c>
      <c r="DC655">
        <f t="shared" ref="DC655:DC718" si="108">ROUND(ROUND(AT655*AG655,2),2)</f>
        <v>1.35</v>
      </c>
    </row>
    <row r="656" spans="1:107" x14ac:dyDescent="0.2">
      <c r="A656">
        <f>ROW(Source!A402)</f>
        <v>402</v>
      </c>
      <c r="B656">
        <v>16742901</v>
      </c>
      <c r="C656">
        <v>16744760</v>
      </c>
      <c r="D656">
        <v>15247962</v>
      </c>
      <c r="E656">
        <v>1</v>
      </c>
      <c r="F656">
        <v>1</v>
      </c>
      <c r="G656">
        <v>1</v>
      </c>
      <c r="H656">
        <v>2</v>
      </c>
      <c r="I656" t="s">
        <v>1714</v>
      </c>
      <c r="J656" t="s">
        <v>1715</v>
      </c>
      <c r="K656" t="s">
        <v>1716</v>
      </c>
      <c r="L656">
        <v>1368</v>
      </c>
      <c r="N656">
        <v>1011</v>
      </c>
      <c r="O656" t="s">
        <v>1298</v>
      </c>
      <c r="P656" t="s">
        <v>1298</v>
      </c>
      <c r="Q656">
        <v>1</v>
      </c>
      <c r="W656">
        <v>0</v>
      </c>
      <c r="X656">
        <v>-1099504201</v>
      </c>
      <c r="Y656">
        <v>2.0699999999999998</v>
      </c>
      <c r="AA656">
        <v>0</v>
      </c>
      <c r="AB656">
        <v>194.18</v>
      </c>
      <c r="AC656">
        <v>10.06</v>
      </c>
      <c r="AD656">
        <v>0</v>
      </c>
      <c r="AE656">
        <v>0</v>
      </c>
      <c r="AF656">
        <v>29.6</v>
      </c>
      <c r="AG656">
        <v>10.06</v>
      </c>
      <c r="AH656">
        <v>0</v>
      </c>
      <c r="AI656">
        <v>1</v>
      </c>
      <c r="AJ656">
        <v>6.56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6</v>
      </c>
      <c r="AT656">
        <v>2.0699999999999998</v>
      </c>
      <c r="AU656" t="s">
        <v>6</v>
      </c>
      <c r="AV656">
        <v>0</v>
      </c>
      <c r="AW656">
        <v>2</v>
      </c>
      <c r="AX656">
        <v>16744777</v>
      </c>
      <c r="AY656">
        <v>1</v>
      </c>
      <c r="AZ656">
        <v>0</v>
      </c>
      <c r="BA656">
        <v>607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Y656*Source!I402</f>
        <v>1.4076</v>
      </c>
      <c r="CY656">
        <f>AB656</f>
        <v>194.18</v>
      </c>
      <c r="CZ656">
        <f>AF656</f>
        <v>29.6</v>
      </c>
      <c r="DA656">
        <f>AJ656</f>
        <v>6.56</v>
      </c>
      <c r="DB656">
        <f t="shared" si="107"/>
        <v>61.27</v>
      </c>
      <c r="DC656">
        <f t="shared" si="108"/>
        <v>20.82</v>
      </c>
    </row>
    <row r="657" spans="1:107" x14ac:dyDescent="0.2">
      <c r="A657">
        <f>ROW(Source!A402)</f>
        <v>402</v>
      </c>
      <c r="B657">
        <v>16742901</v>
      </c>
      <c r="C657">
        <v>16744760</v>
      </c>
      <c r="D657">
        <v>15249073</v>
      </c>
      <c r="E657">
        <v>1</v>
      </c>
      <c r="F657">
        <v>1</v>
      </c>
      <c r="G657">
        <v>1</v>
      </c>
      <c r="H657">
        <v>2</v>
      </c>
      <c r="I657" t="s">
        <v>1299</v>
      </c>
      <c r="J657" t="s">
        <v>1300</v>
      </c>
      <c r="K657" t="s">
        <v>1301</v>
      </c>
      <c r="L657">
        <v>1368</v>
      </c>
      <c r="N657">
        <v>1011</v>
      </c>
      <c r="O657" t="s">
        <v>1298</v>
      </c>
      <c r="P657" t="s">
        <v>1298</v>
      </c>
      <c r="Q657">
        <v>1</v>
      </c>
      <c r="W657">
        <v>0</v>
      </c>
      <c r="X657">
        <v>1372534845</v>
      </c>
      <c r="Y657">
        <v>0.1</v>
      </c>
      <c r="AA657">
        <v>0</v>
      </c>
      <c r="AB657">
        <v>431.06</v>
      </c>
      <c r="AC657">
        <v>11.6</v>
      </c>
      <c r="AD657">
        <v>0</v>
      </c>
      <c r="AE657">
        <v>0</v>
      </c>
      <c r="AF657">
        <v>65.709999999999994</v>
      </c>
      <c r="AG657">
        <v>11.6</v>
      </c>
      <c r="AH657">
        <v>0</v>
      </c>
      <c r="AI657">
        <v>1</v>
      </c>
      <c r="AJ657">
        <v>6.56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6</v>
      </c>
      <c r="AT657">
        <v>0.1</v>
      </c>
      <c r="AU657" t="s">
        <v>6</v>
      </c>
      <c r="AV657">
        <v>0</v>
      </c>
      <c r="AW657">
        <v>2</v>
      </c>
      <c r="AX657">
        <v>16744778</v>
      </c>
      <c r="AY657">
        <v>1</v>
      </c>
      <c r="AZ657">
        <v>0</v>
      </c>
      <c r="BA657">
        <v>608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Y657*Source!I402</f>
        <v>6.8000000000000005E-2</v>
      </c>
      <c r="CY657">
        <f>AB657</f>
        <v>431.06</v>
      </c>
      <c r="CZ657">
        <f>AF657</f>
        <v>65.709999999999994</v>
      </c>
      <c r="DA657">
        <f>AJ657</f>
        <v>6.56</v>
      </c>
      <c r="DB657">
        <f t="shared" si="107"/>
        <v>6.57</v>
      </c>
      <c r="DC657">
        <f t="shared" si="108"/>
        <v>1.1599999999999999</v>
      </c>
    </row>
    <row r="658" spans="1:107" x14ac:dyDescent="0.2">
      <c r="A658">
        <f>ROW(Source!A402)</f>
        <v>402</v>
      </c>
      <c r="B658">
        <v>16742901</v>
      </c>
      <c r="C658">
        <v>16744760</v>
      </c>
      <c r="D658">
        <v>15249377</v>
      </c>
      <c r="E658">
        <v>1</v>
      </c>
      <c r="F658">
        <v>1</v>
      </c>
      <c r="G658">
        <v>1</v>
      </c>
      <c r="H658">
        <v>2</v>
      </c>
      <c r="I658" t="s">
        <v>1302</v>
      </c>
      <c r="J658" t="s">
        <v>1303</v>
      </c>
      <c r="K658" t="s">
        <v>1304</v>
      </c>
      <c r="L658">
        <v>1368</v>
      </c>
      <c r="N658">
        <v>1011</v>
      </c>
      <c r="O658" t="s">
        <v>1298</v>
      </c>
      <c r="P658" t="s">
        <v>1298</v>
      </c>
      <c r="Q658">
        <v>1</v>
      </c>
      <c r="W658">
        <v>0</v>
      </c>
      <c r="X658">
        <v>-353815937</v>
      </c>
      <c r="Y658">
        <v>1.93</v>
      </c>
      <c r="AA658">
        <v>0</v>
      </c>
      <c r="AB658">
        <v>53.14</v>
      </c>
      <c r="AC658">
        <v>0</v>
      </c>
      <c r="AD658">
        <v>0</v>
      </c>
      <c r="AE658">
        <v>0</v>
      </c>
      <c r="AF658">
        <v>8.1</v>
      </c>
      <c r="AG658">
        <v>0</v>
      </c>
      <c r="AH658">
        <v>0</v>
      </c>
      <c r="AI658">
        <v>1</v>
      </c>
      <c r="AJ658">
        <v>6.56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1.93</v>
      </c>
      <c r="AU658" t="s">
        <v>6</v>
      </c>
      <c r="AV658">
        <v>0</v>
      </c>
      <c r="AW658">
        <v>2</v>
      </c>
      <c r="AX658">
        <v>16744779</v>
      </c>
      <c r="AY658">
        <v>1</v>
      </c>
      <c r="AZ658">
        <v>0</v>
      </c>
      <c r="BA658">
        <v>609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Y658*Source!I402</f>
        <v>1.3124</v>
      </c>
      <c r="CY658">
        <f>AB658</f>
        <v>53.14</v>
      </c>
      <c r="CZ658">
        <f>AF658</f>
        <v>8.1</v>
      </c>
      <c r="DA658">
        <f>AJ658</f>
        <v>6.56</v>
      </c>
      <c r="DB658">
        <f t="shared" si="107"/>
        <v>15.63</v>
      </c>
      <c r="DC658">
        <f t="shared" si="108"/>
        <v>0</v>
      </c>
    </row>
    <row r="659" spans="1:107" x14ac:dyDescent="0.2">
      <c r="A659">
        <f>ROW(Source!A402)</f>
        <v>402</v>
      </c>
      <c r="B659">
        <v>16742901</v>
      </c>
      <c r="C659">
        <v>16744760</v>
      </c>
      <c r="D659">
        <v>15168752</v>
      </c>
      <c r="E659">
        <v>1</v>
      </c>
      <c r="F659">
        <v>1</v>
      </c>
      <c r="G659">
        <v>1</v>
      </c>
      <c r="H659">
        <v>3</v>
      </c>
      <c r="I659" t="s">
        <v>1325</v>
      </c>
      <c r="J659" t="s">
        <v>1326</v>
      </c>
      <c r="K659" t="s">
        <v>1327</v>
      </c>
      <c r="L659">
        <v>1346</v>
      </c>
      <c r="N659">
        <v>1009</v>
      </c>
      <c r="O659" t="s">
        <v>341</v>
      </c>
      <c r="P659" t="s">
        <v>341</v>
      </c>
      <c r="Q659">
        <v>1</v>
      </c>
      <c r="W659">
        <v>0</v>
      </c>
      <c r="X659">
        <v>586013393</v>
      </c>
      <c r="Y659">
        <v>2.14</v>
      </c>
      <c r="AA659">
        <v>69.34</v>
      </c>
      <c r="AB659">
        <v>0</v>
      </c>
      <c r="AC659">
        <v>0</v>
      </c>
      <c r="AD659">
        <v>0</v>
      </c>
      <c r="AE659">
        <v>10.57</v>
      </c>
      <c r="AF659">
        <v>0</v>
      </c>
      <c r="AG659">
        <v>0</v>
      </c>
      <c r="AH659">
        <v>0</v>
      </c>
      <c r="AI659">
        <v>6.56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6</v>
      </c>
      <c r="AT659">
        <v>2.14</v>
      </c>
      <c r="AU659" t="s">
        <v>6</v>
      </c>
      <c r="AV659">
        <v>0</v>
      </c>
      <c r="AW659">
        <v>2</v>
      </c>
      <c r="AX659">
        <v>16744780</v>
      </c>
      <c r="AY659">
        <v>1</v>
      </c>
      <c r="AZ659">
        <v>0</v>
      </c>
      <c r="BA659">
        <v>610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Y659*Source!I402</f>
        <v>1.4552000000000003</v>
      </c>
      <c r="CY659">
        <f t="shared" ref="CY659:CY665" si="109">AA659</f>
        <v>69.34</v>
      </c>
      <c r="CZ659">
        <f t="shared" ref="CZ659:CZ665" si="110">AE659</f>
        <v>10.57</v>
      </c>
      <c r="DA659">
        <f t="shared" ref="DA659:DA665" si="111">AI659</f>
        <v>6.56</v>
      </c>
      <c r="DB659">
        <f t="shared" si="107"/>
        <v>22.62</v>
      </c>
      <c r="DC659">
        <f t="shared" si="108"/>
        <v>0</v>
      </c>
    </row>
    <row r="660" spans="1:107" x14ac:dyDescent="0.2">
      <c r="A660">
        <f>ROW(Source!A402)</f>
        <v>402</v>
      </c>
      <c r="B660">
        <v>16742901</v>
      </c>
      <c r="C660">
        <v>16744760</v>
      </c>
      <c r="D660">
        <v>15169942</v>
      </c>
      <c r="E660">
        <v>1</v>
      </c>
      <c r="F660">
        <v>1</v>
      </c>
      <c r="G660">
        <v>1</v>
      </c>
      <c r="H660">
        <v>3</v>
      </c>
      <c r="I660" t="s">
        <v>1644</v>
      </c>
      <c r="J660" t="s">
        <v>1645</v>
      </c>
      <c r="K660" t="s">
        <v>1310</v>
      </c>
      <c r="L660">
        <v>1346</v>
      </c>
      <c r="N660">
        <v>1009</v>
      </c>
      <c r="O660" t="s">
        <v>341</v>
      </c>
      <c r="P660" t="s">
        <v>341</v>
      </c>
      <c r="Q660">
        <v>1</v>
      </c>
      <c r="W660">
        <v>0</v>
      </c>
      <c r="X660">
        <v>103900845</v>
      </c>
      <c r="Y660">
        <v>1.25</v>
      </c>
      <c r="AA660">
        <v>59.3</v>
      </c>
      <c r="AB660">
        <v>0</v>
      </c>
      <c r="AC660">
        <v>0</v>
      </c>
      <c r="AD660">
        <v>0</v>
      </c>
      <c r="AE660">
        <v>9.0399999999999991</v>
      </c>
      <c r="AF660">
        <v>0</v>
      </c>
      <c r="AG660">
        <v>0</v>
      </c>
      <c r="AH660">
        <v>0</v>
      </c>
      <c r="AI660">
        <v>6.56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1.25</v>
      </c>
      <c r="AU660" t="s">
        <v>6</v>
      </c>
      <c r="AV660">
        <v>0</v>
      </c>
      <c r="AW660">
        <v>2</v>
      </c>
      <c r="AX660">
        <v>16744781</v>
      </c>
      <c r="AY660">
        <v>1</v>
      </c>
      <c r="AZ660">
        <v>0</v>
      </c>
      <c r="BA660">
        <v>611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Y660*Source!I402</f>
        <v>0.85000000000000009</v>
      </c>
      <c r="CY660">
        <f t="shared" si="109"/>
        <v>59.3</v>
      </c>
      <c r="CZ660">
        <f t="shared" si="110"/>
        <v>9.0399999999999991</v>
      </c>
      <c r="DA660">
        <f t="shared" si="111"/>
        <v>6.56</v>
      </c>
      <c r="DB660">
        <f t="shared" si="107"/>
        <v>11.3</v>
      </c>
      <c r="DC660">
        <f t="shared" si="108"/>
        <v>0</v>
      </c>
    </row>
    <row r="661" spans="1:107" x14ac:dyDescent="0.2">
      <c r="A661">
        <f>ROW(Source!A402)</f>
        <v>402</v>
      </c>
      <c r="B661">
        <v>16742901</v>
      </c>
      <c r="C661">
        <v>16744760</v>
      </c>
      <c r="D661">
        <v>15170074</v>
      </c>
      <c r="E661">
        <v>1</v>
      </c>
      <c r="F661">
        <v>1</v>
      </c>
      <c r="G661">
        <v>1</v>
      </c>
      <c r="H661">
        <v>3</v>
      </c>
      <c r="I661" t="s">
        <v>1655</v>
      </c>
      <c r="J661" t="s">
        <v>1656</v>
      </c>
      <c r="K661" t="s">
        <v>1657</v>
      </c>
      <c r="L661">
        <v>1355</v>
      </c>
      <c r="N661">
        <v>1010</v>
      </c>
      <c r="O661" t="s">
        <v>843</v>
      </c>
      <c r="P661" t="s">
        <v>843</v>
      </c>
      <c r="Q661">
        <v>100</v>
      </c>
      <c r="W661">
        <v>0</v>
      </c>
      <c r="X661">
        <v>1794244060</v>
      </c>
      <c r="Y661">
        <v>0.3</v>
      </c>
      <c r="AA661">
        <v>564.16</v>
      </c>
      <c r="AB661">
        <v>0</v>
      </c>
      <c r="AC661">
        <v>0</v>
      </c>
      <c r="AD661">
        <v>0</v>
      </c>
      <c r="AE661">
        <v>86</v>
      </c>
      <c r="AF661">
        <v>0</v>
      </c>
      <c r="AG661">
        <v>0</v>
      </c>
      <c r="AH661">
        <v>0</v>
      </c>
      <c r="AI661">
        <v>6.56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6</v>
      </c>
      <c r="AT661">
        <v>0.3</v>
      </c>
      <c r="AU661" t="s">
        <v>6</v>
      </c>
      <c r="AV661">
        <v>0</v>
      </c>
      <c r="AW661">
        <v>2</v>
      </c>
      <c r="AX661">
        <v>16744782</v>
      </c>
      <c r="AY661">
        <v>1</v>
      </c>
      <c r="AZ661">
        <v>0</v>
      </c>
      <c r="BA661">
        <v>612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Y661*Source!I402</f>
        <v>0.20400000000000001</v>
      </c>
      <c r="CY661">
        <f t="shared" si="109"/>
        <v>564.16</v>
      </c>
      <c r="CZ661">
        <f t="shared" si="110"/>
        <v>86</v>
      </c>
      <c r="DA661">
        <f t="shared" si="111"/>
        <v>6.56</v>
      </c>
      <c r="DB661">
        <f t="shared" si="107"/>
        <v>25.8</v>
      </c>
      <c r="DC661">
        <f t="shared" si="108"/>
        <v>0</v>
      </c>
    </row>
    <row r="662" spans="1:107" x14ac:dyDescent="0.2">
      <c r="A662">
        <f>ROW(Source!A402)</f>
        <v>402</v>
      </c>
      <c r="B662">
        <v>16742901</v>
      </c>
      <c r="C662">
        <v>16744760</v>
      </c>
      <c r="D662">
        <v>15217313</v>
      </c>
      <c r="E662">
        <v>1</v>
      </c>
      <c r="F662">
        <v>1</v>
      </c>
      <c r="G662">
        <v>1</v>
      </c>
      <c r="H662">
        <v>3</v>
      </c>
      <c r="I662" t="s">
        <v>1717</v>
      </c>
      <c r="J662" t="s">
        <v>1718</v>
      </c>
      <c r="K662" t="s">
        <v>1719</v>
      </c>
      <c r="L662">
        <v>1354</v>
      </c>
      <c r="N662">
        <v>1010</v>
      </c>
      <c r="O662" t="s">
        <v>73</v>
      </c>
      <c r="P662" t="s">
        <v>73</v>
      </c>
      <c r="Q662">
        <v>1</v>
      </c>
      <c r="W662">
        <v>0</v>
      </c>
      <c r="X662">
        <v>365674879</v>
      </c>
      <c r="Y662">
        <v>30</v>
      </c>
      <c r="AA662">
        <v>69.14</v>
      </c>
      <c r="AB662">
        <v>0</v>
      </c>
      <c r="AC662">
        <v>0</v>
      </c>
      <c r="AD662">
        <v>0</v>
      </c>
      <c r="AE662">
        <v>10.54</v>
      </c>
      <c r="AF662">
        <v>0</v>
      </c>
      <c r="AG662">
        <v>0</v>
      </c>
      <c r="AH662">
        <v>0</v>
      </c>
      <c r="AI662">
        <v>6.56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30</v>
      </c>
      <c r="AU662" t="s">
        <v>6</v>
      </c>
      <c r="AV662">
        <v>0</v>
      </c>
      <c r="AW662">
        <v>2</v>
      </c>
      <c r="AX662">
        <v>16744783</v>
      </c>
      <c r="AY662">
        <v>1</v>
      </c>
      <c r="AZ662">
        <v>0</v>
      </c>
      <c r="BA662">
        <v>613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Y662*Source!I402</f>
        <v>20.400000000000002</v>
      </c>
      <c r="CY662">
        <f t="shared" si="109"/>
        <v>69.14</v>
      </c>
      <c r="CZ662">
        <f t="shared" si="110"/>
        <v>10.54</v>
      </c>
      <c r="DA662">
        <f t="shared" si="111"/>
        <v>6.56</v>
      </c>
      <c r="DB662">
        <f t="shared" si="107"/>
        <v>316.2</v>
      </c>
      <c r="DC662">
        <f t="shared" si="108"/>
        <v>0</v>
      </c>
    </row>
    <row r="663" spans="1:107" x14ac:dyDescent="0.2">
      <c r="A663">
        <f>ROW(Source!A402)</f>
        <v>402</v>
      </c>
      <c r="B663">
        <v>16742901</v>
      </c>
      <c r="C663">
        <v>16744760</v>
      </c>
      <c r="D663">
        <v>15218624</v>
      </c>
      <c r="E663">
        <v>1</v>
      </c>
      <c r="F663">
        <v>1</v>
      </c>
      <c r="G663">
        <v>1</v>
      </c>
      <c r="H663">
        <v>3</v>
      </c>
      <c r="I663" t="s">
        <v>816</v>
      </c>
      <c r="J663" t="s">
        <v>818</v>
      </c>
      <c r="K663" t="s">
        <v>817</v>
      </c>
      <c r="L663">
        <v>1354</v>
      </c>
      <c r="N663">
        <v>1010</v>
      </c>
      <c r="O663" t="s">
        <v>73</v>
      </c>
      <c r="P663" t="s">
        <v>73</v>
      </c>
      <c r="Q663">
        <v>1</v>
      </c>
      <c r="W663">
        <v>0</v>
      </c>
      <c r="X663">
        <v>1131365880</v>
      </c>
      <c r="Y663">
        <v>39.705882000000003</v>
      </c>
      <c r="AA663">
        <v>409.34</v>
      </c>
      <c r="AB663">
        <v>0</v>
      </c>
      <c r="AC663">
        <v>0</v>
      </c>
      <c r="AD663">
        <v>0</v>
      </c>
      <c r="AE663">
        <v>62.4</v>
      </c>
      <c r="AF663">
        <v>0</v>
      </c>
      <c r="AG663">
        <v>0</v>
      </c>
      <c r="AH663">
        <v>0</v>
      </c>
      <c r="AI663">
        <v>6.56</v>
      </c>
      <c r="AJ663">
        <v>1</v>
      </c>
      <c r="AK663">
        <v>1</v>
      </c>
      <c r="AL663">
        <v>1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6</v>
      </c>
      <c r="AT663">
        <v>39.705882000000003</v>
      </c>
      <c r="AU663" t="s">
        <v>6</v>
      </c>
      <c r="AV663">
        <v>0</v>
      </c>
      <c r="AW663">
        <v>1</v>
      </c>
      <c r="AX663">
        <v>-1</v>
      </c>
      <c r="AY663">
        <v>0</v>
      </c>
      <c r="AZ663">
        <v>0</v>
      </c>
      <c r="BA663" t="s">
        <v>6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Y663*Source!I402</f>
        <v>26.999999760000005</v>
      </c>
      <c r="CY663">
        <f t="shared" si="109"/>
        <v>409.34</v>
      </c>
      <c r="CZ663">
        <f t="shared" si="110"/>
        <v>62.4</v>
      </c>
      <c r="DA663">
        <f t="shared" si="111"/>
        <v>6.56</v>
      </c>
      <c r="DB663">
        <f t="shared" si="107"/>
        <v>2477.65</v>
      </c>
      <c r="DC663">
        <f t="shared" si="108"/>
        <v>0</v>
      </c>
    </row>
    <row r="664" spans="1:107" x14ac:dyDescent="0.2">
      <c r="A664">
        <f>ROW(Source!A402)</f>
        <v>402</v>
      </c>
      <c r="B664">
        <v>16742901</v>
      </c>
      <c r="C664">
        <v>16744760</v>
      </c>
      <c r="D664">
        <v>15219265</v>
      </c>
      <c r="E664">
        <v>1</v>
      </c>
      <c r="F664">
        <v>1</v>
      </c>
      <c r="G664">
        <v>1</v>
      </c>
      <c r="H664">
        <v>3</v>
      </c>
      <c r="I664" t="s">
        <v>1720</v>
      </c>
      <c r="J664" t="s">
        <v>1721</v>
      </c>
      <c r="K664" t="s">
        <v>1722</v>
      </c>
      <c r="L664">
        <v>1354</v>
      </c>
      <c r="N664">
        <v>1010</v>
      </c>
      <c r="O664" t="s">
        <v>73</v>
      </c>
      <c r="P664" t="s">
        <v>73</v>
      </c>
      <c r="Q664">
        <v>1</v>
      </c>
      <c r="W664">
        <v>0</v>
      </c>
      <c r="X664">
        <v>1761059010</v>
      </c>
      <c r="Y664">
        <v>6</v>
      </c>
      <c r="AA664">
        <v>32.799999999999997</v>
      </c>
      <c r="AB664">
        <v>0</v>
      </c>
      <c r="AC664">
        <v>0</v>
      </c>
      <c r="AD664">
        <v>0</v>
      </c>
      <c r="AE664">
        <v>5</v>
      </c>
      <c r="AF664">
        <v>0</v>
      </c>
      <c r="AG664">
        <v>0</v>
      </c>
      <c r="AH664">
        <v>0</v>
      </c>
      <c r="AI664">
        <v>6.56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6</v>
      </c>
      <c r="AU664" t="s">
        <v>6</v>
      </c>
      <c r="AV664">
        <v>0</v>
      </c>
      <c r="AW664">
        <v>2</v>
      </c>
      <c r="AX664">
        <v>16744784</v>
      </c>
      <c r="AY664">
        <v>1</v>
      </c>
      <c r="AZ664">
        <v>0</v>
      </c>
      <c r="BA664">
        <v>614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Y664*Source!I402</f>
        <v>4.08</v>
      </c>
      <c r="CY664">
        <f t="shared" si="109"/>
        <v>32.799999999999997</v>
      </c>
      <c r="CZ664">
        <f t="shared" si="110"/>
        <v>5</v>
      </c>
      <c r="DA664">
        <f t="shared" si="111"/>
        <v>6.56</v>
      </c>
      <c r="DB664">
        <f t="shared" si="107"/>
        <v>30</v>
      </c>
      <c r="DC664">
        <f t="shared" si="108"/>
        <v>0</v>
      </c>
    </row>
    <row r="665" spans="1:107" x14ac:dyDescent="0.2">
      <c r="A665">
        <f>ROW(Source!A402)</f>
        <v>402</v>
      </c>
      <c r="B665">
        <v>16742901</v>
      </c>
      <c r="C665">
        <v>16744760</v>
      </c>
      <c r="D665">
        <v>15164559</v>
      </c>
      <c r="E665">
        <v>17</v>
      </c>
      <c r="F665">
        <v>1</v>
      </c>
      <c r="G665">
        <v>1</v>
      </c>
      <c r="H665">
        <v>3</v>
      </c>
      <c r="I665" t="s">
        <v>1334</v>
      </c>
      <c r="J665" t="s">
        <v>6</v>
      </c>
      <c r="K665" t="s">
        <v>1335</v>
      </c>
      <c r="L665">
        <v>1374</v>
      </c>
      <c r="N665">
        <v>1013</v>
      </c>
      <c r="O665" t="s">
        <v>1336</v>
      </c>
      <c r="P665" t="s">
        <v>1336</v>
      </c>
      <c r="Q665">
        <v>1</v>
      </c>
      <c r="W665">
        <v>0</v>
      </c>
      <c r="X665">
        <v>-1731369543</v>
      </c>
      <c r="Y665">
        <v>1.61</v>
      </c>
      <c r="AA665">
        <v>1</v>
      </c>
      <c r="AB665">
        <v>0</v>
      </c>
      <c r="AC665">
        <v>0</v>
      </c>
      <c r="AD665">
        <v>0</v>
      </c>
      <c r="AE665">
        <v>1</v>
      </c>
      <c r="AF665">
        <v>0</v>
      </c>
      <c r="AG665">
        <v>0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6</v>
      </c>
      <c r="AT665">
        <v>1.61</v>
      </c>
      <c r="AU665" t="s">
        <v>6</v>
      </c>
      <c r="AV665">
        <v>0</v>
      </c>
      <c r="AW665">
        <v>2</v>
      </c>
      <c r="AX665">
        <v>16744785</v>
      </c>
      <c r="AY665">
        <v>1</v>
      </c>
      <c r="AZ665">
        <v>0</v>
      </c>
      <c r="BA665">
        <v>615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Y665*Source!I402</f>
        <v>1.0948000000000002</v>
      </c>
      <c r="CY665">
        <f t="shared" si="109"/>
        <v>1</v>
      </c>
      <c r="CZ665">
        <f t="shared" si="110"/>
        <v>1</v>
      </c>
      <c r="DA665">
        <f t="shared" si="111"/>
        <v>1</v>
      </c>
      <c r="DB665">
        <f t="shared" si="107"/>
        <v>1.61</v>
      </c>
      <c r="DC665">
        <f t="shared" si="108"/>
        <v>0</v>
      </c>
    </row>
    <row r="666" spans="1:107" x14ac:dyDescent="0.2">
      <c r="A666">
        <f>ROW(Source!A404)</f>
        <v>404</v>
      </c>
      <c r="B666">
        <v>16742901</v>
      </c>
      <c r="C666">
        <v>16744787</v>
      </c>
      <c r="D666">
        <v>15430397</v>
      </c>
      <c r="E666">
        <v>1</v>
      </c>
      <c r="F666">
        <v>1</v>
      </c>
      <c r="G666">
        <v>1</v>
      </c>
      <c r="H666">
        <v>1</v>
      </c>
      <c r="I666" t="s">
        <v>1323</v>
      </c>
      <c r="J666" t="s">
        <v>6</v>
      </c>
      <c r="K666" t="s">
        <v>1324</v>
      </c>
      <c r="L666">
        <v>1191</v>
      </c>
      <c r="N666">
        <v>1013</v>
      </c>
      <c r="O666" t="s">
        <v>1287</v>
      </c>
      <c r="P666" t="s">
        <v>1287</v>
      </c>
      <c r="Q666">
        <v>1</v>
      </c>
      <c r="W666">
        <v>0</v>
      </c>
      <c r="X666">
        <v>-1081351934</v>
      </c>
      <c r="Y666">
        <v>2.06</v>
      </c>
      <c r="AA666">
        <v>0</v>
      </c>
      <c r="AB666">
        <v>0</v>
      </c>
      <c r="AC666">
        <v>0</v>
      </c>
      <c r="AD666">
        <v>61.66</v>
      </c>
      <c r="AE666">
        <v>0</v>
      </c>
      <c r="AF666">
        <v>0</v>
      </c>
      <c r="AG666">
        <v>0</v>
      </c>
      <c r="AH666">
        <v>9.4</v>
      </c>
      <c r="AI666">
        <v>1</v>
      </c>
      <c r="AJ666">
        <v>1</v>
      </c>
      <c r="AK666">
        <v>1</v>
      </c>
      <c r="AL666">
        <v>6.56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2.06</v>
      </c>
      <c r="AU666" t="s">
        <v>6</v>
      </c>
      <c r="AV666">
        <v>1</v>
      </c>
      <c r="AW666">
        <v>2</v>
      </c>
      <c r="AX666">
        <v>16744798</v>
      </c>
      <c r="AY666">
        <v>1</v>
      </c>
      <c r="AZ666">
        <v>0</v>
      </c>
      <c r="BA666">
        <v>616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Y666*Source!I404</f>
        <v>3.5019999999999998</v>
      </c>
      <c r="CY666">
        <f>AD666</f>
        <v>61.66</v>
      </c>
      <c r="CZ666">
        <f>AH666</f>
        <v>9.4</v>
      </c>
      <c r="DA666">
        <f>AL666</f>
        <v>6.56</v>
      </c>
      <c r="DB666">
        <f t="shared" si="107"/>
        <v>19.36</v>
      </c>
      <c r="DC666">
        <f t="shared" si="108"/>
        <v>0</v>
      </c>
    </row>
    <row r="667" spans="1:107" x14ac:dyDescent="0.2">
      <c r="A667">
        <f>ROW(Source!A404)</f>
        <v>404</v>
      </c>
      <c r="B667">
        <v>16742901</v>
      </c>
      <c r="C667">
        <v>16744787</v>
      </c>
      <c r="D667">
        <v>15430395</v>
      </c>
      <c r="E667">
        <v>1</v>
      </c>
      <c r="F667">
        <v>1</v>
      </c>
      <c r="G667">
        <v>1</v>
      </c>
      <c r="H667">
        <v>1</v>
      </c>
      <c r="I667" t="s">
        <v>1293</v>
      </c>
      <c r="J667" t="s">
        <v>6</v>
      </c>
      <c r="K667" t="s">
        <v>1294</v>
      </c>
      <c r="L667">
        <v>1191</v>
      </c>
      <c r="N667">
        <v>1013</v>
      </c>
      <c r="O667" t="s">
        <v>1287</v>
      </c>
      <c r="P667" t="s">
        <v>1287</v>
      </c>
      <c r="Q667">
        <v>1</v>
      </c>
      <c r="W667">
        <v>0</v>
      </c>
      <c r="X667">
        <v>-1417349443</v>
      </c>
      <c r="Y667">
        <v>0.04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6.56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6</v>
      </c>
      <c r="AT667">
        <v>0.04</v>
      </c>
      <c r="AU667" t="s">
        <v>6</v>
      </c>
      <c r="AV667">
        <v>2</v>
      </c>
      <c r="AW667">
        <v>2</v>
      </c>
      <c r="AX667">
        <v>16744799</v>
      </c>
      <c r="AY667">
        <v>1</v>
      </c>
      <c r="AZ667">
        <v>0</v>
      </c>
      <c r="BA667">
        <v>617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Y667*Source!I404</f>
        <v>6.8000000000000005E-2</v>
      </c>
      <c r="CY667">
        <f>AD667</f>
        <v>0</v>
      </c>
      <c r="CZ667">
        <f>AH667</f>
        <v>0</v>
      </c>
      <c r="DA667">
        <f>AL667</f>
        <v>1</v>
      </c>
      <c r="DB667">
        <f t="shared" si="107"/>
        <v>0</v>
      </c>
      <c r="DC667">
        <f t="shared" si="108"/>
        <v>0</v>
      </c>
    </row>
    <row r="668" spans="1:107" x14ac:dyDescent="0.2">
      <c r="A668">
        <f>ROW(Source!A404)</f>
        <v>404</v>
      </c>
      <c r="B668">
        <v>16742901</v>
      </c>
      <c r="C668">
        <v>16744787</v>
      </c>
      <c r="D668">
        <v>15247680</v>
      </c>
      <c r="E668">
        <v>1</v>
      </c>
      <c r="F668">
        <v>1</v>
      </c>
      <c r="G668">
        <v>1</v>
      </c>
      <c r="H668">
        <v>2</v>
      </c>
      <c r="I668" t="s">
        <v>1295</v>
      </c>
      <c r="J668" t="s">
        <v>1296</v>
      </c>
      <c r="K668" t="s">
        <v>1297</v>
      </c>
      <c r="L668">
        <v>1368</v>
      </c>
      <c r="N668">
        <v>1011</v>
      </c>
      <c r="O668" t="s">
        <v>1298</v>
      </c>
      <c r="P668" t="s">
        <v>1298</v>
      </c>
      <c r="Q668">
        <v>1</v>
      </c>
      <c r="W668">
        <v>0</v>
      </c>
      <c r="X668">
        <v>-1718674368</v>
      </c>
      <c r="Y668">
        <v>0.02</v>
      </c>
      <c r="AA668">
        <v>0</v>
      </c>
      <c r="AB668">
        <v>734.65</v>
      </c>
      <c r="AC668">
        <v>13.5</v>
      </c>
      <c r="AD668">
        <v>0</v>
      </c>
      <c r="AE668">
        <v>0</v>
      </c>
      <c r="AF668">
        <v>111.99</v>
      </c>
      <c r="AG668">
        <v>13.5</v>
      </c>
      <c r="AH668">
        <v>0</v>
      </c>
      <c r="AI668">
        <v>1</v>
      </c>
      <c r="AJ668">
        <v>6.56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0.02</v>
      </c>
      <c r="AU668" t="s">
        <v>6</v>
      </c>
      <c r="AV668">
        <v>0</v>
      </c>
      <c r="AW668">
        <v>2</v>
      </c>
      <c r="AX668">
        <v>16744800</v>
      </c>
      <c r="AY668">
        <v>1</v>
      </c>
      <c r="AZ668">
        <v>0</v>
      </c>
      <c r="BA668">
        <v>618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Y668*Source!I404</f>
        <v>3.4000000000000002E-2</v>
      </c>
      <c r="CY668">
        <f>AB668</f>
        <v>734.65</v>
      </c>
      <c r="CZ668">
        <f>AF668</f>
        <v>111.99</v>
      </c>
      <c r="DA668">
        <f>AJ668</f>
        <v>6.56</v>
      </c>
      <c r="DB668">
        <f t="shared" si="107"/>
        <v>2.2400000000000002</v>
      </c>
      <c r="DC668">
        <f t="shared" si="108"/>
        <v>0.27</v>
      </c>
    </row>
    <row r="669" spans="1:107" x14ac:dyDescent="0.2">
      <c r="A669">
        <f>ROW(Source!A404)</f>
        <v>404</v>
      </c>
      <c r="B669">
        <v>16742901</v>
      </c>
      <c r="C669">
        <v>16744787</v>
      </c>
      <c r="D669">
        <v>15249073</v>
      </c>
      <c r="E669">
        <v>1</v>
      </c>
      <c r="F669">
        <v>1</v>
      </c>
      <c r="G669">
        <v>1</v>
      </c>
      <c r="H669">
        <v>2</v>
      </c>
      <c r="I669" t="s">
        <v>1299</v>
      </c>
      <c r="J669" t="s">
        <v>1300</v>
      </c>
      <c r="K669" t="s">
        <v>1301</v>
      </c>
      <c r="L669">
        <v>1368</v>
      </c>
      <c r="N669">
        <v>1011</v>
      </c>
      <c r="O669" t="s">
        <v>1298</v>
      </c>
      <c r="P669" t="s">
        <v>1298</v>
      </c>
      <c r="Q669">
        <v>1</v>
      </c>
      <c r="W669">
        <v>0</v>
      </c>
      <c r="X669">
        <v>1372534845</v>
      </c>
      <c r="Y669">
        <v>0.02</v>
      </c>
      <c r="AA669">
        <v>0</v>
      </c>
      <c r="AB669">
        <v>431.06</v>
      </c>
      <c r="AC669">
        <v>11.6</v>
      </c>
      <c r="AD669">
        <v>0</v>
      </c>
      <c r="AE669">
        <v>0</v>
      </c>
      <c r="AF669">
        <v>65.709999999999994</v>
      </c>
      <c r="AG669">
        <v>11.6</v>
      </c>
      <c r="AH669">
        <v>0</v>
      </c>
      <c r="AI669">
        <v>1</v>
      </c>
      <c r="AJ669">
        <v>6.56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6</v>
      </c>
      <c r="AT669">
        <v>0.02</v>
      </c>
      <c r="AU669" t="s">
        <v>6</v>
      </c>
      <c r="AV669">
        <v>0</v>
      </c>
      <c r="AW669">
        <v>2</v>
      </c>
      <c r="AX669">
        <v>16744801</v>
      </c>
      <c r="AY669">
        <v>1</v>
      </c>
      <c r="AZ669">
        <v>0</v>
      </c>
      <c r="BA669">
        <v>619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Y669*Source!I404</f>
        <v>3.4000000000000002E-2</v>
      </c>
      <c r="CY669">
        <f>AB669</f>
        <v>431.06</v>
      </c>
      <c r="CZ669">
        <f>AF669</f>
        <v>65.709999999999994</v>
      </c>
      <c r="DA669">
        <f>AJ669</f>
        <v>6.56</v>
      </c>
      <c r="DB669">
        <f t="shared" si="107"/>
        <v>1.31</v>
      </c>
      <c r="DC669">
        <f t="shared" si="108"/>
        <v>0.23</v>
      </c>
    </row>
    <row r="670" spans="1:107" x14ac:dyDescent="0.2">
      <c r="A670">
        <f>ROW(Source!A404)</f>
        <v>404</v>
      </c>
      <c r="B670">
        <v>16742901</v>
      </c>
      <c r="C670">
        <v>16744787</v>
      </c>
      <c r="D670">
        <v>15167588</v>
      </c>
      <c r="E670">
        <v>1</v>
      </c>
      <c r="F670">
        <v>1</v>
      </c>
      <c r="G670">
        <v>1</v>
      </c>
      <c r="H670">
        <v>3</v>
      </c>
      <c r="I670" t="s">
        <v>1641</v>
      </c>
      <c r="J670" t="s">
        <v>1642</v>
      </c>
      <c r="K670" t="s">
        <v>1643</v>
      </c>
      <c r="L670">
        <v>1346</v>
      </c>
      <c r="N670">
        <v>1009</v>
      </c>
      <c r="O670" t="s">
        <v>341</v>
      </c>
      <c r="P670" t="s">
        <v>341</v>
      </c>
      <c r="Q670">
        <v>1</v>
      </c>
      <c r="W670">
        <v>0</v>
      </c>
      <c r="X670">
        <v>-1088866022</v>
      </c>
      <c r="Y670">
        <v>0.16</v>
      </c>
      <c r="AA670">
        <v>199.42</v>
      </c>
      <c r="AB670">
        <v>0</v>
      </c>
      <c r="AC670">
        <v>0</v>
      </c>
      <c r="AD670">
        <v>0</v>
      </c>
      <c r="AE670">
        <v>30.4</v>
      </c>
      <c r="AF670">
        <v>0</v>
      </c>
      <c r="AG670">
        <v>0</v>
      </c>
      <c r="AH670">
        <v>0</v>
      </c>
      <c r="AI670">
        <v>6.56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0.16</v>
      </c>
      <c r="AU670" t="s">
        <v>6</v>
      </c>
      <c r="AV670">
        <v>0</v>
      </c>
      <c r="AW670">
        <v>2</v>
      </c>
      <c r="AX670">
        <v>16744802</v>
      </c>
      <c r="AY670">
        <v>1</v>
      </c>
      <c r="AZ670">
        <v>0</v>
      </c>
      <c r="BA670">
        <v>620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Y670*Source!I404</f>
        <v>0.27200000000000002</v>
      </c>
      <c r="CY670">
        <f t="shared" ref="CY670:CY675" si="112">AA670</f>
        <v>199.42</v>
      </c>
      <c r="CZ670">
        <f t="shared" ref="CZ670:CZ675" si="113">AE670</f>
        <v>30.4</v>
      </c>
      <c r="DA670">
        <f t="shared" ref="DA670:DA675" si="114">AI670</f>
        <v>6.56</v>
      </c>
      <c r="DB670">
        <f t="shared" si="107"/>
        <v>4.8600000000000003</v>
      </c>
      <c r="DC670">
        <f t="shared" si="108"/>
        <v>0</v>
      </c>
    </row>
    <row r="671" spans="1:107" x14ac:dyDescent="0.2">
      <c r="A671">
        <f>ROW(Source!A404)</f>
        <v>404</v>
      </c>
      <c r="B671">
        <v>16742901</v>
      </c>
      <c r="C671">
        <v>16744787</v>
      </c>
      <c r="D671">
        <v>15167600</v>
      </c>
      <c r="E671">
        <v>1</v>
      </c>
      <c r="F671">
        <v>1</v>
      </c>
      <c r="G671">
        <v>1</v>
      </c>
      <c r="H671">
        <v>3</v>
      </c>
      <c r="I671" t="s">
        <v>1675</v>
      </c>
      <c r="J671" t="s">
        <v>1676</v>
      </c>
      <c r="K671" t="s">
        <v>1677</v>
      </c>
      <c r="L671">
        <v>1308</v>
      </c>
      <c r="N671">
        <v>1003</v>
      </c>
      <c r="O671" t="s">
        <v>34</v>
      </c>
      <c r="P671" t="s">
        <v>34</v>
      </c>
      <c r="Q671">
        <v>100</v>
      </c>
      <c r="W671">
        <v>0</v>
      </c>
      <c r="X671">
        <v>568244124</v>
      </c>
      <c r="Y671">
        <v>5.5E-2</v>
      </c>
      <c r="AA671">
        <v>787.2</v>
      </c>
      <c r="AB671">
        <v>0</v>
      </c>
      <c r="AC671">
        <v>0</v>
      </c>
      <c r="AD671">
        <v>0</v>
      </c>
      <c r="AE671">
        <v>120</v>
      </c>
      <c r="AF671">
        <v>0</v>
      </c>
      <c r="AG671">
        <v>0</v>
      </c>
      <c r="AH671">
        <v>0</v>
      </c>
      <c r="AI671">
        <v>6.56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6</v>
      </c>
      <c r="AT671">
        <v>5.5E-2</v>
      </c>
      <c r="AU671" t="s">
        <v>6</v>
      </c>
      <c r="AV671">
        <v>0</v>
      </c>
      <c r="AW671">
        <v>2</v>
      </c>
      <c r="AX671">
        <v>16744803</v>
      </c>
      <c r="AY671">
        <v>1</v>
      </c>
      <c r="AZ671">
        <v>0</v>
      </c>
      <c r="BA671">
        <v>621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Y671*Source!I404</f>
        <v>9.35E-2</v>
      </c>
      <c r="CY671">
        <f t="shared" si="112"/>
        <v>787.2</v>
      </c>
      <c r="CZ671">
        <f t="shared" si="113"/>
        <v>120</v>
      </c>
      <c r="DA671">
        <f t="shared" si="114"/>
        <v>6.56</v>
      </c>
      <c r="DB671">
        <f t="shared" si="107"/>
        <v>6.6</v>
      </c>
      <c r="DC671">
        <f t="shared" si="108"/>
        <v>0</v>
      </c>
    </row>
    <row r="672" spans="1:107" x14ac:dyDescent="0.2">
      <c r="A672">
        <f>ROW(Source!A404)</f>
        <v>404</v>
      </c>
      <c r="B672">
        <v>16742901</v>
      </c>
      <c r="C672">
        <v>16744787</v>
      </c>
      <c r="D672">
        <v>15203834</v>
      </c>
      <c r="E672">
        <v>1</v>
      </c>
      <c r="F672">
        <v>1</v>
      </c>
      <c r="G672">
        <v>1</v>
      </c>
      <c r="H672">
        <v>3</v>
      </c>
      <c r="I672" t="s">
        <v>1667</v>
      </c>
      <c r="J672" t="s">
        <v>1668</v>
      </c>
      <c r="K672" t="s">
        <v>403</v>
      </c>
      <c r="L672">
        <v>1346</v>
      </c>
      <c r="N672">
        <v>1009</v>
      </c>
      <c r="O672" t="s">
        <v>341</v>
      </c>
      <c r="P672" t="s">
        <v>341</v>
      </c>
      <c r="Q672">
        <v>1</v>
      </c>
      <c r="W672">
        <v>0</v>
      </c>
      <c r="X672">
        <v>210558753</v>
      </c>
      <c r="Y672">
        <v>0.05</v>
      </c>
      <c r="AA672">
        <v>187.62</v>
      </c>
      <c r="AB672">
        <v>0</v>
      </c>
      <c r="AC672">
        <v>0</v>
      </c>
      <c r="AD672">
        <v>0</v>
      </c>
      <c r="AE672">
        <v>28.6</v>
      </c>
      <c r="AF672">
        <v>0</v>
      </c>
      <c r="AG672">
        <v>0</v>
      </c>
      <c r="AH672">
        <v>0</v>
      </c>
      <c r="AI672">
        <v>6.56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6</v>
      </c>
      <c r="AT672">
        <v>0.05</v>
      </c>
      <c r="AU672" t="s">
        <v>6</v>
      </c>
      <c r="AV672">
        <v>0</v>
      </c>
      <c r="AW672">
        <v>2</v>
      </c>
      <c r="AX672">
        <v>16744804</v>
      </c>
      <c r="AY672">
        <v>1</v>
      </c>
      <c r="AZ672">
        <v>0</v>
      </c>
      <c r="BA672">
        <v>622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Y672*Source!I404</f>
        <v>8.5000000000000006E-2</v>
      </c>
      <c r="CY672">
        <f t="shared" si="112"/>
        <v>187.62</v>
      </c>
      <c r="CZ672">
        <f t="shared" si="113"/>
        <v>28.6</v>
      </c>
      <c r="DA672">
        <f t="shared" si="114"/>
        <v>6.56</v>
      </c>
      <c r="DB672">
        <f t="shared" si="107"/>
        <v>1.43</v>
      </c>
      <c r="DC672">
        <f t="shared" si="108"/>
        <v>0</v>
      </c>
    </row>
    <row r="673" spans="1:107" x14ac:dyDescent="0.2">
      <c r="A673">
        <f>ROW(Source!A404)</f>
        <v>404</v>
      </c>
      <c r="B673">
        <v>16742901</v>
      </c>
      <c r="C673">
        <v>16744787</v>
      </c>
      <c r="D673">
        <v>15223030</v>
      </c>
      <c r="E673">
        <v>1</v>
      </c>
      <c r="F673">
        <v>1</v>
      </c>
      <c r="G673">
        <v>1</v>
      </c>
      <c r="H673">
        <v>3</v>
      </c>
      <c r="I673" t="s">
        <v>879</v>
      </c>
      <c r="J673" t="s">
        <v>881</v>
      </c>
      <c r="K673" t="s">
        <v>880</v>
      </c>
      <c r="L673">
        <v>1477</v>
      </c>
      <c r="N673">
        <v>1013</v>
      </c>
      <c r="O673" t="s">
        <v>749</v>
      </c>
      <c r="P673" t="s">
        <v>751</v>
      </c>
      <c r="Q673">
        <v>1</v>
      </c>
      <c r="W673">
        <v>0</v>
      </c>
      <c r="X673">
        <v>1020096475</v>
      </c>
      <c r="Y673">
        <v>3.1175999999999999E-2</v>
      </c>
      <c r="AA673">
        <v>67543.92</v>
      </c>
      <c r="AB673">
        <v>0</v>
      </c>
      <c r="AC673">
        <v>0</v>
      </c>
      <c r="AD673">
        <v>0</v>
      </c>
      <c r="AE673">
        <v>10296.33</v>
      </c>
      <c r="AF673">
        <v>0</v>
      </c>
      <c r="AG673">
        <v>0</v>
      </c>
      <c r="AH673">
        <v>0</v>
      </c>
      <c r="AI673">
        <v>6.56</v>
      </c>
      <c r="AJ673">
        <v>1</v>
      </c>
      <c r="AK673">
        <v>1</v>
      </c>
      <c r="AL673">
        <v>1</v>
      </c>
      <c r="AN673">
        <v>0</v>
      </c>
      <c r="AO673">
        <v>0</v>
      </c>
      <c r="AP673">
        <v>0</v>
      </c>
      <c r="AQ673">
        <v>0</v>
      </c>
      <c r="AR673">
        <v>0</v>
      </c>
      <c r="AS673" t="s">
        <v>6</v>
      </c>
      <c r="AT673">
        <v>3.1175999999999999E-2</v>
      </c>
      <c r="AU673" t="s">
        <v>6</v>
      </c>
      <c r="AV673">
        <v>0</v>
      </c>
      <c r="AW673">
        <v>1</v>
      </c>
      <c r="AX673">
        <v>-1</v>
      </c>
      <c r="AY673">
        <v>0</v>
      </c>
      <c r="AZ673">
        <v>0</v>
      </c>
      <c r="BA673" t="s">
        <v>6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Y673*Source!I404</f>
        <v>5.2999199999999996E-2</v>
      </c>
      <c r="CY673">
        <f t="shared" si="112"/>
        <v>67543.92</v>
      </c>
      <c r="CZ673">
        <f t="shared" si="113"/>
        <v>10296.33</v>
      </c>
      <c r="DA673">
        <f t="shared" si="114"/>
        <v>6.56</v>
      </c>
      <c r="DB673">
        <f t="shared" si="107"/>
        <v>321</v>
      </c>
      <c r="DC673">
        <f t="shared" si="108"/>
        <v>0</v>
      </c>
    </row>
    <row r="674" spans="1:107" x14ac:dyDescent="0.2">
      <c r="A674">
        <f>ROW(Source!A404)</f>
        <v>404</v>
      </c>
      <c r="B674">
        <v>16742901</v>
      </c>
      <c r="C674">
        <v>16744787</v>
      </c>
      <c r="D674">
        <v>15223054</v>
      </c>
      <c r="E674">
        <v>1</v>
      </c>
      <c r="F674">
        <v>1</v>
      </c>
      <c r="G674">
        <v>1</v>
      </c>
      <c r="H674">
        <v>3</v>
      </c>
      <c r="I674" t="s">
        <v>883</v>
      </c>
      <c r="J674" t="s">
        <v>885</v>
      </c>
      <c r="K674" t="s">
        <v>884</v>
      </c>
      <c r="L674">
        <v>1477</v>
      </c>
      <c r="N674">
        <v>1013</v>
      </c>
      <c r="O674" t="s">
        <v>749</v>
      </c>
      <c r="P674" t="s">
        <v>751</v>
      </c>
      <c r="Q674">
        <v>1</v>
      </c>
      <c r="W674">
        <v>0</v>
      </c>
      <c r="X674">
        <v>-1909897882</v>
      </c>
      <c r="Y674">
        <v>6.8823999999999996E-2</v>
      </c>
      <c r="AA674">
        <v>118393.9</v>
      </c>
      <c r="AB674">
        <v>0</v>
      </c>
      <c r="AC674">
        <v>0</v>
      </c>
      <c r="AD674">
        <v>0</v>
      </c>
      <c r="AE674">
        <v>18047.849999999999</v>
      </c>
      <c r="AF674">
        <v>0</v>
      </c>
      <c r="AG674">
        <v>0</v>
      </c>
      <c r="AH674">
        <v>0</v>
      </c>
      <c r="AI674">
        <v>6.56</v>
      </c>
      <c r="AJ674">
        <v>1</v>
      </c>
      <c r="AK674">
        <v>1</v>
      </c>
      <c r="AL674">
        <v>1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6</v>
      </c>
      <c r="AT674">
        <v>6.8823999999999996E-2</v>
      </c>
      <c r="AU674" t="s">
        <v>6</v>
      </c>
      <c r="AV674">
        <v>0</v>
      </c>
      <c r="AW674">
        <v>1</v>
      </c>
      <c r="AX674">
        <v>-1</v>
      </c>
      <c r="AY674">
        <v>0</v>
      </c>
      <c r="AZ674">
        <v>0</v>
      </c>
      <c r="BA674" t="s">
        <v>6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Y674*Source!I404</f>
        <v>0.11700079999999999</v>
      </c>
      <c r="CY674">
        <f t="shared" si="112"/>
        <v>118393.9</v>
      </c>
      <c r="CZ674">
        <f t="shared" si="113"/>
        <v>18047.849999999999</v>
      </c>
      <c r="DA674">
        <f t="shared" si="114"/>
        <v>6.56</v>
      </c>
      <c r="DB674">
        <f t="shared" si="107"/>
        <v>1242.1300000000001</v>
      </c>
      <c r="DC674">
        <f t="shared" si="108"/>
        <v>0</v>
      </c>
    </row>
    <row r="675" spans="1:107" x14ac:dyDescent="0.2">
      <c r="A675">
        <f>ROW(Source!A404)</f>
        <v>404</v>
      </c>
      <c r="B675">
        <v>16742901</v>
      </c>
      <c r="C675">
        <v>16744787</v>
      </c>
      <c r="D675">
        <v>15164559</v>
      </c>
      <c r="E675">
        <v>17</v>
      </c>
      <c r="F675">
        <v>1</v>
      </c>
      <c r="G675">
        <v>1</v>
      </c>
      <c r="H675">
        <v>3</v>
      </c>
      <c r="I675" t="s">
        <v>1334</v>
      </c>
      <c r="J675" t="s">
        <v>6</v>
      </c>
      <c r="K675" t="s">
        <v>1335</v>
      </c>
      <c r="L675">
        <v>1374</v>
      </c>
      <c r="N675">
        <v>1013</v>
      </c>
      <c r="O675" t="s">
        <v>1336</v>
      </c>
      <c r="P675" t="s">
        <v>1336</v>
      </c>
      <c r="Q675">
        <v>1</v>
      </c>
      <c r="W675">
        <v>0</v>
      </c>
      <c r="X675">
        <v>-1731369543</v>
      </c>
      <c r="Y675">
        <v>0.39</v>
      </c>
      <c r="AA675">
        <v>1</v>
      </c>
      <c r="AB675">
        <v>0</v>
      </c>
      <c r="AC675">
        <v>0</v>
      </c>
      <c r="AD675">
        <v>0</v>
      </c>
      <c r="AE675">
        <v>1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6</v>
      </c>
      <c r="AT675">
        <v>0.39</v>
      </c>
      <c r="AU675" t="s">
        <v>6</v>
      </c>
      <c r="AV675">
        <v>0</v>
      </c>
      <c r="AW675">
        <v>2</v>
      </c>
      <c r="AX675">
        <v>16744805</v>
      </c>
      <c r="AY675">
        <v>1</v>
      </c>
      <c r="AZ675">
        <v>0</v>
      </c>
      <c r="BA675">
        <v>623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Y675*Source!I404</f>
        <v>0.66300000000000003</v>
      </c>
      <c r="CY675">
        <f t="shared" si="112"/>
        <v>1</v>
      </c>
      <c r="CZ675">
        <f t="shared" si="113"/>
        <v>1</v>
      </c>
      <c r="DA675">
        <f t="shared" si="114"/>
        <v>1</v>
      </c>
      <c r="DB675">
        <f t="shared" si="107"/>
        <v>0.39</v>
      </c>
      <c r="DC675">
        <f t="shared" si="108"/>
        <v>0</v>
      </c>
    </row>
    <row r="676" spans="1:107" x14ac:dyDescent="0.2">
      <c r="A676">
        <f>ROW(Source!A407)</f>
        <v>407</v>
      </c>
      <c r="B676">
        <v>16742901</v>
      </c>
      <c r="C676">
        <v>16744808</v>
      </c>
      <c r="D676">
        <v>15430397</v>
      </c>
      <c r="E676">
        <v>1</v>
      </c>
      <c r="F676">
        <v>1</v>
      </c>
      <c r="G676">
        <v>1</v>
      </c>
      <c r="H676">
        <v>1</v>
      </c>
      <c r="I676" t="s">
        <v>1323</v>
      </c>
      <c r="J676" t="s">
        <v>6</v>
      </c>
      <c r="K676" t="s">
        <v>1324</v>
      </c>
      <c r="L676">
        <v>1191</v>
      </c>
      <c r="N676">
        <v>1013</v>
      </c>
      <c r="O676" t="s">
        <v>1287</v>
      </c>
      <c r="P676" t="s">
        <v>1287</v>
      </c>
      <c r="Q676">
        <v>1</v>
      </c>
      <c r="W676">
        <v>0</v>
      </c>
      <c r="X676">
        <v>-1081351934</v>
      </c>
      <c r="Y676">
        <v>4.09</v>
      </c>
      <c r="AA676">
        <v>0</v>
      </c>
      <c r="AB676">
        <v>0</v>
      </c>
      <c r="AC676">
        <v>0</v>
      </c>
      <c r="AD676">
        <v>61.66</v>
      </c>
      <c r="AE676">
        <v>0</v>
      </c>
      <c r="AF676">
        <v>0</v>
      </c>
      <c r="AG676">
        <v>0</v>
      </c>
      <c r="AH676">
        <v>9.4</v>
      </c>
      <c r="AI676">
        <v>1</v>
      </c>
      <c r="AJ676">
        <v>1</v>
      </c>
      <c r="AK676">
        <v>1</v>
      </c>
      <c r="AL676">
        <v>6.56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6</v>
      </c>
      <c r="AT676">
        <v>4.09</v>
      </c>
      <c r="AU676" t="s">
        <v>6</v>
      </c>
      <c r="AV676">
        <v>1</v>
      </c>
      <c r="AW676">
        <v>2</v>
      </c>
      <c r="AX676">
        <v>16744818</v>
      </c>
      <c r="AY676">
        <v>1</v>
      </c>
      <c r="AZ676">
        <v>0</v>
      </c>
      <c r="BA676">
        <v>624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Y676*Source!I407</f>
        <v>1.5951</v>
      </c>
      <c r="CY676">
        <f>AD676</f>
        <v>61.66</v>
      </c>
      <c r="CZ676">
        <f>AH676</f>
        <v>9.4</v>
      </c>
      <c r="DA676">
        <f>AL676</f>
        <v>6.56</v>
      </c>
      <c r="DB676">
        <f t="shared" si="107"/>
        <v>38.450000000000003</v>
      </c>
      <c r="DC676">
        <f t="shared" si="108"/>
        <v>0</v>
      </c>
    </row>
    <row r="677" spans="1:107" x14ac:dyDescent="0.2">
      <c r="A677">
        <f>ROW(Source!A407)</f>
        <v>407</v>
      </c>
      <c r="B677">
        <v>16742901</v>
      </c>
      <c r="C677">
        <v>16744808</v>
      </c>
      <c r="D677">
        <v>15430395</v>
      </c>
      <c r="E677">
        <v>1</v>
      </c>
      <c r="F677">
        <v>1</v>
      </c>
      <c r="G677">
        <v>1</v>
      </c>
      <c r="H677">
        <v>1</v>
      </c>
      <c r="I677" t="s">
        <v>1293</v>
      </c>
      <c r="J677" t="s">
        <v>6</v>
      </c>
      <c r="K677" t="s">
        <v>1294</v>
      </c>
      <c r="L677">
        <v>1191</v>
      </c>
      <c r="N677">
        <v>1013</v>
      </c>
      <c r="O677" t="s">
        <v>1287</v>
      </c>
      <c r="P677" t="s">
        <v>1287</v>
      </c>
      <c r="Q677">
        <v>1</v>
      </c>
      <c r="W677">
        <v>0</v>
      </c>
      <c r="X677">
        <v>-1417349443</v>
      </c>
      <c r="Y677">
        <v>0.36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6.56</v>
      </c>
      <c r="AL677">
        <v>1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6</v>
      </c>
      <c r="AT677">
        <v>0.36</v>
      </c>
      <c r="AU677" t="s">
        <v>6</v>
      </c>
      <c r="AV677">
        <v>2</v>
      </c>
      <c r="AW677">
        <v>2</v>
      </c>
      <c r="AX677">
        <v>16744819</v>
      </c>
      <c r="AY677">
        <v>1</v>
      </c>
      <c r="AZ677">
        <v>0</v>
      </c>
      <c r="BA677">
        <v>625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Y677*Source!I407</f>
        <v>0.1404</v>
      </c>
      <c r="CY677">
        <f>AD677</f>
        <v>0</v>
      </c>
      <c r="CZ677">
        <f>AH677</f>
        <v>0</v>
      </c>
      <c r="DA677">
        <f>AL677</f>
        <v>1</v>
      </c>
      <c r="DB677">
        <f t="shared" si="107"/>
        <v>0</v>
      </c>
      <c r="DC677">
        <f t="shared" si="108"/>
        <v>0</v>
      </c>
    </row>
    <row r="678" spans="1:107" x14ac:dyDescent="0.2">
      <c r="A678">
        <f>ROW(Source!A407)</f>
        <v>407</v>
      </c>
      <c r="B678">
        <v>16742901</v>
      </c>
      <c r="C678">
        <v>16744808</v>
      </c>
      <c r="D678">
        <v>15247680</v>
      </c>
      <c r="E678">
        <v>1</v>
      </c>
      <c r="F678">
        <v>1</v>
      </c>
      <c r="G678">
        <v>1</v>
      </c>
      <c r="H678">
        <v>2</v>
      </c>
      <c r="I678" t="s">
        <v>1295</v>
      </c>
      <c r="J678" t="s">
        <v>1296</v>
      </c>
      <c r="K678" t="s">
        <v>1297</v>
      </c>
      <c r="L678">
        <v>1368</v>
      </c>
      <c r="N678">
        <v>1011</v>
      </c>
      <c r="O678" t="s">
        <v>1298</v>
      </c>
      <c r="P678" t="s">
        <v>1298</v>
      </c>
      <c r="Q678">
        <v>1</v>
      </c>
      <c r="W678">
        <v>0</v>
      </c>
      <c r="X678">
        <v>-1718674368</v>
      </c>
      <c r="Y678">
        <v>0.18</v>
      </c>
      <c r="AA678">
        <v>0</v>
      </c>
      <c r="AB678">
        <v>734.65</v>
      </c>
      <c r="AC678">
        <v>13.5</v>
      </c>
      <c r="AD678">
        <v>0</v>
      </c>
      <c r="AE678">
        <v>0</v>
      </c>
      <c r="AF678">
        <v>111.99</v>
      </c>
      <c r="AG678">
        <v>13.5</v>
      </c>
      <c r="AH678">
        <v>0</v>
      </c>
      <c r="AI678">
        <v>1</v>
      </c>
      <c r="AJ678">
        <v>6.56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0.18</v>
      </c>
      <c r="AU678" t="s">
        <v>6</v>
      </c>
      <c r="AV678">
        <v>0</v>
      </c>
      <c r="AW678">
        <v>2</v>
      </c>
      <c r="AX678">
        <v>16744820</v>
      </c>
      <c r="AY678">
        <v>1</v>
      </c>
      <c r="AZ678">
        <v>0</v>
      </c>
      <c r="BA678">
        <v>626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Y678*Source!I407</f>
        <v>7.0199999999999999E-2</v>
      </c>
      <c r="CY678">
        <f>AB678</f>
        <v>734.65</v>
      </c>
      <c r="CZ678">
        <f>AF678</f>
        <v>111.99</v>
      </c>
      <c r="DA678">
        <f>AJ678</f>
        <v>6.56</v>
      </c>
      <c r="DB678">
        <f t="shared" si="107"/>
        <v>20.16</v>
      </c>
      <c r="DC678">
        <f t="shared" si="108"/>
        <v>2.4300000000000002</v>
      </c>
    </row>
    <row r="679" spans="1:107" x14ac:dyDescent="0.2">
      <c r="A679">
        <f>ROW(Source!A407)</f>
        <v>407</v>
      </c>
      <c r="B679">
        <v>16742901</v>
      </c>
      <c r="C679">
        <v>16744808</v>
      </c>
      <c r="D679">
        <v>15249073</v>
      </c>
      <c r="E679">
        <v>1</v>
      </c>
      <c r="F679">
        <v>1</v>
      </c>
      <c r="G679">
        <v>1</v>
      </c>
      <c r="H679">
        <v>2</v>
      </c>
      <c r="I679" t="s">
        <v>1299</v>
      </c>
      <c r="J679" t="s">
        <v>1300</v>
      </c>
      <c r="K679" t="s">
        <v>1301</v>
      </c>
      <c r="L679">
        <v>1368</v>
      </c>
      <c r="N679">
        <v>1011</v>
      </c>
      <c r="O679" t="s">
        <v>1298</v>
      </c>
      <c r="P679" t="s">
        <v>1298</v>
      </c>
      <c r="Q679">
        <v>1</v>
      </c>
      <c r="W679">
        <v>0</v>
      </c>
      <c r="X679">
        <v>1372534845</v>
      </c>
      <c r="Y679">
        <v>0.18</v>
      </c>
      <c r="AA679">
        <v>0</v>
      </c>
      <c r="AB679">
        <v>431.06</v>
      </c>
      <c r="AC679">
        <v>11.6</v>
      </c>
      <c r="AD679">
        <v>0</v>
      </c>
      <c r="AE679">
        <v>0</v>
      </c>
      <c r="AF679">
        <v>65.709999999999994</v>
      </c>
      <c r="AG679">
        <v>11.6</v>
      </c>
      <c r="AH679">
        <v>0</v>
      </c>
      <c r="AI679">
        <v>1</v>
      </c>
      <c r="AJ679">
        <v>6.56</v>
      </c>
      <c r="AK679">
        <v>1</v>
      </c>
      <c r="AL679">
        <v>1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6</v>
      </c>
      <c r="AT679">
        <v>0.18</v>
      </c>
      <c r="AU679" t="s">
        <v>6</v>
      </c>
      <c r="AV679">
        <v>0</v>
      </c>
      <c r="AW679">
        <v>2</v>
      </c>
      <c r="AX679">
        <v>16744821</v>
      </c>
      <c r="AY679">
        <v>1</v>
      </c>
      <c r="AZ679">
        <v>0</v>
      </c>
      <c r="BA679">
        <v>627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Y679*Source!I407</f>
        <v>7.0199999999999999E-2</v>
      </c>
      <c r="CY679">
        <f>AB679</f>
        <v>431.06</v>
      </c>
      <c r="CZ679">
        <f>AF679</f>
        <v>65.709999999999994</v>
      </c>
      <c r="DA679">
        <f>AJ679</f>
        <v>6.56</v>
      </c>
      <c r="DB679">
        <f t="shared" si="107"/>
        <v>11.83</v>
      </c>
      <c r="DC679">
        <f t="shared" si="108"/>
        <v>2.09</v>
      </c>
    </row>
    <row r="680" spans="1:107" x14ac:dyDescent="0.2">
      <c r="A680">
        <f>ROW(Source!A407)</f>
        <v>407</v>
      </c>
      <c r="B680">
        <v>16742901</v>
      </c>
      <c r="C680">
        <v>16744808</v>
      </c>
      <c r="D680">
        <v>15167588</v>
      </c>
      <c r="E680">
        <v>1</v>
      </c>
      <c r="F680">
        <v>1</v>
      </c>
      <c r="G680">
        <v>1</v>
      </c>
      <c r="H680">
        <v>3</v>
      </c>
      <c r="I680" t="s">
        <v>1641</v>
      </c>
      <c r="J680" t="s">
        <v>1642</v>
      </c>
      <c r="K680" t="s">
        <v>1643</v>
      </c>
      <c r="L680">
        <v>1346</v>
      </c>
      <c r="N680">
        <v>1009</v>
      </c>
      <c r="O680" t="s">
        <v>341</v>
      </c>
      <c r="P680" t="s">
        <v>341</v>
      </c>
      <c r="Q680">
        <v>1</v>
      </c>
      <c r="W680">
        <v>0</v>
      </c>
      <c r="X680">
        <v>-1088866022</v>
      </c>
      <c r="Y680">
        <v>0.16</v>
      </c>
      <c r="AA680">
        <v>199.42</v>
      </c>
      <c r="AB680">
        <v>0</v>
      </c>
      <c r="AC680">
        <v>0</v>
      </c>
      <c r="AD680">
        <v>0</v>
      </c>
      <c r="AE680">
        <v>30.4</v>
      </c>
      <c r="AF680">
        <v>0</v>
      </c>
      <c r="AG680">
        <v>0</v>
      </c>
      <c r="AH680">
        <v>0</v>
      </c>
      <c r="AI680">
        <v>6.56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6</v>
      </c>
      <c r="AT680">
        <v>0.16</v>
      </c>
      <c r="AU680" t="s">
        <v>6</v>
      </c>
      <c r="AV680">
        <v>0</v>
      </c>
      <c r="AW680">
        <v>2</v>
      </c>
      <c r="AX680">
        <v>16744822</v>
      </c>
      <c r="AY680">
        <v>1</v>
      </c>
      <c r="AZ680">
        <v>0</v>
      </c>
      <c r="BA680">
        <v>628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Y680*Source!I407</f>
        <v>6.2400000000000004E-2</v>
      </c>
      <c r="CY680">
        <f>AA680</f>
        <v>199.42</v>
      </c>
      <c r="CZ680">
        <f>AE680</f>
        <v>30.4</v>
      </c>
      <c r="DA680">
        <f>AI680</f>
        <v>6.56</v>
      </c>
      <c r="DB680">
        <f t="shared" si="107"/>
        <v>4.8600000000000003</v>
      </c>
      <c r="DC680">
        <f t="shared" si="108"/>
        <v>0</v>
      </c>
    </row>
    <row r="681" spans="1:107" x14ac:dyDescent="0.2">
      <c r="A681">
        <f>ROW(Source!A407)</f>
        <v>407</v>
      </c>
      <c r="B681">
        <v>16742901</v>
      </c>
      <c r="C681">
        <v>16744808</v>
      </c>
      <c r="D681">
        <v>15167600</v>
      </c>
      <c r="E681">
        <v>1</v>
      </c>
      <c r="F681">
        <v>1</v>
      </c>
      <c r="G681">
        <v>1</v>
      </c>
      <c r="H681">
        <v>3</v>
      </c>
      <c r="I681" t="s">
        <v>1675</v>
      </c>
      <c r="J681" t="s">
        <v>1676</v>
      </c>
      <c r="K681" t="s">
        <v>1677</v>
      </c>
      <c r="L681">
        <v>1308</v>
      </c>
      <c r="N681">
        <v>1003</v>
      </c>
      <c r="O681" t="s">
        <v>34</v>
      </c>
      <c r="P681" t="s">
        <v>34</v>
      </c>
      <c r="Q681">
        <v>100</v>
      </c>
      <c r="W681">
        <v>0</v>
      </c>
      <c r="X681">
        <v>568244124</v>
      </c>
      <c r="Y681">
        <v>7.0000000000000007E-2</v>
      </c>
      <c r="AA681">
        <v>787.2</v>
      </c>
      <c r="AB681">
        <v>0</v>
      </c>
      <c r="AC681">
        <v>0</v>
      </c>
      <c r="AD681">
        <v>0</v>
      </c>
      <c r="AE681">
        <v>120</v>
      </c>
      <c r="AF681">
        <v>0</v>
      </c>
      <c r="AG681">
        <v>0</v>
      </c>
      <c r="AH681">
        <v>0</v>
      </c>
      <c r="AI681">
        <v>6.56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6</v>
      </c>
      <c r="AT681">
        <v>7.0000000000000007E-2</v>
      </c>
      <c r="AU681" t="s">
        <v>6</v>
      </c>
      <c r="AV681">
        <v>0</v>
      </c>
      <c r="AW681">
        <v>2</v>
      </c>
      <c r="AX681">
        <v>16744823</v>
      </c>
      <c r="AY681">
        <v>1</v>
      </c>
      <c r="AZ681">
        <v>0</v>
      </c>
      <c r="BA681">
        <v>629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Y681*Source!I407</f>
        <v>2.7300000000000005E-2</v>
      </c>
      <c r="CY681">
        <f>AA681</f>
        <v>787.2</v>
      </c>
      <c r="CZ681">
        <f>AE681</f>
        <v>120</v>
      </c>
      <c r="DA681">
        <f>AI681</f>
        <v>6.56</v>
      </c>
      <c r="DB681">
        <f t="shared" si="107"/>
        <v>8.4</v>
      </c>
      <c r="DC681">
        <f t="shared" si="108"/>
        <v>0</v>
      </c>
    </row>
    <row r="682" spans="1:107" x14ac:dyDescent="0.2">
      <c r="A682">
        <f>ROW(Source!A407)</f>
        <v>407</v>
      </c>
      <c r="B682">
        <v>16742901</v>
      </c>
      <c r="C682">
        <v>16744808</v>
      </c>
      <c r="D682">
        <v>15203834</v>
      </c>
      <c r="E682">
        <v>1</v>
      </c>
      <c r="F682">
        <v>1</v>
      </c>
      <c r="G682">
        <v>1</v>
      </c>
      <c r="H682">
        <v>3</v>
      </c>
      <c r="I682" t="s">
        <v>1667</v>
      </c>
      <c r="J682" t="s">
        <v>1668</v>
      </c>
      <c r="K682" t="s">
        <v>403</v>
      </c>
      <c r="L682">
        <v>1346</v>
      </c>
      <c r="N682">
        <v>1009</v>
      </c>
      <c r="O682" t="s">
        <v>341</v>
      </c>
      <c r="P682" t="s">
        <v>341</v>
      </c>
      <c r="Q682">
        <v>1</v>
      </c>
      <c r="W682">
        <v>0</v>
      </c>
      <c r="X682">
        <v>210558753</v>
      </c>
      <c r="Y682">
        <v>0.05</v>
      </c>
      <c r="AA682">
        <v>187.62</v>
      </c>
      <c r="AB682">
        <v>0</v>
      </c>
      <c r="AC682">
        <v>0</v>
      </c>
      <c r="AD682">
        <v>0</v>
      </c>
      <c r="AE682">
        <v>28.6</v>
      </c>
      <c r="AF682">
        <v>0</v>
      </c>
      <c r="AG682">
        <v>0</v>
      </c>
      <c r="AH682">
        <v>0</v>
      </c>
      <c r="AI682">
        <v>6.56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0.05</v>
      </c>
      <c r="AU682" t="s">
        <v>6</v>
      </c>
      <c r="AV682">
        <v>0</v>
      </c>
      <c r="AW682">
        <v>2</v>
      </c>
      <c r="AX682">
        <v>16744824</v>
      </c>
      <c r="AY682">
        <v>1</v>
      </c>
      <c r="AZ682">
        <v>0</v>
      </c>
      <c r="BA682">
        <v>630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Y682*Source!I407</f>
        <v>1.9500000000000003E-2</v>
      </c>
      <c r="CY682">
        <f>AA682</f>
        <v>187.62</v>
      </c>
      <c r="CZ682">
        <f>AE682</f>
        <v>28.6</v>
      </c>
      <c r="DA682">
        <f>AI682</f>
        <v>6.56</v>
      </c>
      <c r="DB682">
        <f t="shared" si="107"/>
        <v>1.43</v>
      </c>
      <c r="DC682">
        <f t="shared" si="108"/>
        <v>0</v>
      </c>
    </row>
    <row r="683" spans="1:107" x14ac:dyDescent="0.2">
      <c r="A683">
        <f>ROW(Source!A407)</f>
        <v>407</v>
      </c>
      <c r="B683">
        <v>16742901</v>
      </c>
      <c r="C683">
        <v>16744808</v>
      </c>
      <c r="D683">
        <v>15223057</v>
      </c>
      <c r="E683">
        <v>1</v>
      </c>
      <c r="F683">
        <v>1</v>
      </c>
      <c r="G683">
        <v>1</v>
      </c>
      <c r="H683">
        <v>3</v>
      </c>
      <c r="I683" t="s">
        <v>891</v>
      </c>
      <c r="J683" t="s">
        <v>893</v>
      </c>
      <c r="K683" t="s">
        <v>892</v>
      </c>
      <c r="L683">
        <v>1477</v>
      </c>
      <c r="N683">
        <v>1013</v>
      </c>
      <c r="O683" t="s">
        <v>749</v>
      </c>
      <c r="P683" t="s">
        <v>751</v>
      </c>
      <c r="Q683">
        <v>1</v>
      </c>
      <c r="W683">
        <v>0</v>
      </c>
      <c r="X683">
        <v>-210408592</v>
      </c>
      <c r="Y683">
        <v>0.1</v>
      </c>
      <c r="AA683">
        <v>454670.12</v>
      </c>
      <c r="AB683">
        <v>0</v>
      </c>
      <c r="AC683">
        <v>0</v>
      </c>
      <c r="AD683">
        <v>0</v>
      </c>
      <c r="AE683">
        <v>69309.47</v>
      </c>
      <c r="AF683">
        <v>0</v>
      </c>
      <c r="AG683">
        <v>0</v>
      </c>
      <c r="AH683">
        <v>0</v>
      </c>
      <c r="AI683">
        <v>6.56</v>
      </c>
      <c r="AJ683">
        <v>1</v>
      </c>
      <c r="AK683">
        <v>1</v>
      </c>
      <c r="AL683">
        <v>1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6</v>
      </c>
      <c r="AT683">
        <v>0.1</v>
      </c>
      <c r="AU683" t="s">
        <v>6</v>
      </c>
      <c r="AV683">
        <v>0</v>
      </c>
      <c r="AW683">
        <v>1</v>
      </c>
      <c r="AX683">
        <v>-1</v>
      </c>
      <c r="AY683">
        <v>0</v>
      </c>
      <c r="AZ683">
        <v>0</v>
      </c>
      <c r="BA683" t="s">
        <v>6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Y683*Source!I407</f>
        <v>3.9000000000000007E-2</v>
      </c>
      <c r="CY683">
        <f>AA683</f>
        <v>454670.12</v>
      </c>
      <c r="CZ683">
        <f>AE683</f>
        <v>69309.47</v>
      </c>
      <c r="DA683">
        <f>AI683</f>
        <v>6.56</v>
      </c>
      <c r="DB683">
        <f t="shared" si="107"/>
        <v>6930.95</v>
      </c>
      <c r="DC683">
        <f t="shared" si="108"/>
        <v>0</v>
      </c>
    </row>
    <row r="684" spans="1:107" x14ac:dyDescent="0.2">
      <c r="A684">
        <f>ROW(Source!A407)</f>
        <v>407</v>
      </c>
      <c r="B684">
        <v>16742901</v>
      </c>
      <c r="C684">
        <v>16744808</v>
      </c>
      <c r="D684">
        <v>15164559</v>
      </c>
      <c r="E684">
        <v>17</v>
      </c>
      <c r="F684">
        <v>1</v>
      </c>
      <c r="G684">
        <v>1</v>
      </c>
      <c r="H684">
        <v>3</v>
      </c>
      <c r="I684" t="s">
        <v>1334</v>
      </c>
      <c r="J684" t="s">
        <v>6</v>
      </c>
      <c r="K684" t="s">
        <v>1335</v>
      </c>
      <c r="L684">
        <v>1374</v>
      </c>
      <c r="N684">
        <v>1013</v>
      </c>
      <c r="O684" t="s">
        <v>1336</v>
      </c>
      <c r="P684" t="s">
        <v>1336</v>
      </c>
      <c r="Q684">
        <v>1</v>
      </c>
      <c r="W684">
        <v>0</v>
      </c>
      <c r="X684">
        <v>-1731369543</v>
      </c>
      <c r="Y684">
        <v>0.77</v>
      </c>
      <c r="AA684">
        <v>1</v>
      </c>
      <c r="AB684">
        <v>0</v>
      </c>
      <c r="AC684">
        <v>0</v>
      </c>
      <c r="AD684">
        <v>0</v>
      </c>
      <c r="AE684">
        <v>1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6</v>
      </c>
      <c r="AT684">
        <v>0.77</v>
      </c>
      <c r="AU684" t="s">
        <v>6</v>
      </c>
      <c r="AV684">
        <v>0</v>
      </c>
      <c r="AW684">
        <v>2</v>
      </c>
      <c r="AX684">
        <v>16744825</v>
      </c>
      <c r="AY684">
        <v>1</v>
      </c>
      <c r="AZ684">
        <v>0</v>
      </c>
      <c r="BA684">
        <v>631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Y684*Source!I407</f>
        <v>0.30030000000000001</v>
      </c>
      <c r="CY684">
        <f>AA684</f>
        <v>1</v>
      </c>
      <c r="CZ684">
        <f>AE684</f>
        <v>1</v>
      </c>
      <c r="DA684">
        <f>AI684</f>
        <v>1</v>
      </c>
      <c r="DB684">
        <f t="shared" si="107"/>
        <v>0.77</v>
      </c>
      <c r="DC684">
        <f t="shared" si="108"/>
        <v>0</v>
      </c>
    </row>
    <row r="685" spans="1:107" x14ac:dyDescent="0.2">
      <c r="A685">
        <f>ROW(Source!A409)</f>
        <v>409</v>
      </c>
      <c r="B685">
        <v>16742901</v>
      </c>
      <c r="C685">
        <v>16744827</v>
      </c>
      <c r="D685">
        <v>15430397</v>
      </c>
      <c r="E685">
        <v>1</v>
      </c>
      <c r="F685">
        <v>1</v>
      </c>
      <c r="G685">
        <v>1</v>
      </c>
      <c r="H685">
        <v>1</v>
      </c>
      <c r="I685" t="s">
        <v>1323</v>
      </c>
      <c r="J685" t="s">
        <v>6</v>
      </c>
      <c r="K685" t="s">
        <v>1324</v>
      </c>
      <c r="L685">
        <v>1191</v>
      </c>
      <c r="N685">
        <v>1013</v>
      </c>
      <c r="O685" t="s">
        <v>1287</v>
      </c>
      <c r="P685" t="s">
        <v>1287</v>
      </c>
      <c r="Q685">
        <v>1</v>
      </c>
      <c r="W685">
        <v>0</v>
      </c>
      <c r="X685">
        <v>-1081351934</v>
      </c>
      <c r="Y685">
        <v>5.64</v>
      </c>
      <c r="AA685">
        <v>0</v>
      </c>
      <c r="AB685">
        <v>0</v>
      </c>
      <c r="AC685">
        <v>0</v>
      </c>
      <c r="AD685">
        <v>61.66</v>
      </c>
      <c r="AE685">
        <v>0</v>
      </c>
      <c r="AF685">
        <v>0</v>
      </c>
      <c r="AG685">
        <v>0</v>
      </c>
      <c r="AH685">
        <v>9.4</v>
      </c>
      <c r="AI685">
        <v>1</v>
      </c>
      <c r="AJ685">
        <v>1</v>
      </c>
      <c r="AK685">
        <v>1</v>
      </c>
      <c r="AL685">
        <v>6.56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6</v>
      </c>
      <c r="AT685">
        <v>5.64</v>
      </c>
      <c r="AU685" t="s">
        <v>6</v>
      </c>
      <c r="AV685">
        <v>1</v>
      </c>
      <c r="AW685">
        <v>2</v>
      </c>
      <c r="AX685">
        <v>16744838</v>
      </c>
      <c r="AY685">
        <v>1</v>
      </c>
      <c r="AZ685">
        <v>0</v>
      </c>
      <c r="BA685">
        <v>632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Y685*Source!I409</f>
        <v>3.8351999999999999</v>
      </c>
      <c r="CY685">
        <f>AD685</f>
        <v>61.66</v>
      </c>
      <c r="CZ685">
        <f>AH685</f>
        <v>9.4</v>
      </c>
      <c r="DA685">
        <f>AL685</f>
        <v>6.56</v>
      </c>
      <c r="DB685">
        <f t="shared" si="107"/>
        <v>53.02</v>
      </c>
      <c r="DC685">
        <f t="shared" si="108"/>
        <v>0</v>
      </c>
    </row>
    <row r="686" spans="1:107" x14ac:dyDescent="0.2">
      <c r="A686">
        <f>ROW(Source!A409)</f>
        <v>409</v>
      </c>
      <c r="B686">
        <v>16742901</v>
      </c>
      <c r="C686">
        <v>16744827</v>
      </c>
      <c r="D686">
        <v>15430395</v>
      </c>
      <c r="E686">
        <v>1</v>
      </c>
      <c r="F686">
        <v>1</v>
      </c>
      <c r="G686">
        <v>1</v>
      </c>
      <c r="H686">
        <v>1</v>
      </c>
      <c r="I686" t="s">
        <v>1293</v>
      </c>
      <c r="J686" t="s">
        <v>6</v>
      </c>
      <c r="K686" t="s">
        <v>1294</v>
      </c>
      <c r="L686">
        <v>1191</v>
      </c>
      <c r="N686">
        <v>1013</v>
      </c>
      <c r="O686" t="s">
        <v>1287</v>
      </c>
      <c r="P686" t="s">
        <v>1287</v>
      </c>
      <c r="Q686">
        <v>1</v>
      </c>
      <c r="W686">
        <v>0</v>
      </c>
      <c r="X686">
        <v>-1417349443</v>
      </c>
      <c r="Y686">
        <v>0.52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6.56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0.52</v>
      </c>
      <c r="AU686" t="s">
        <v>6</v>
      </c>
      <c r="AV686">
        <v>2</v>
      </c>
      <c r="AW686">
        <v>2</v>
      </c>
      <c r="AX686">
        <v>16744839</v>
      </c>
      <c r="AY686">
        <v>1</v>
      </c>
      <c r="AZ686">
        <v>0</v>
      </c>
      <c r="BA686">
        <v>633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Y686*Source!I409</f>
        <v>0.35360000000000003</v>
      </c>
      <c r="CY686">
        <f>AD686</f>
        <v>0</v>
      </c>
      <c r="CZ686">
        <f>AH686</f>
        <v>0</v>
      </c>
      <c r="DA686">
        <f>AL686</f>
        <v>1</v>
      </c>
      <c r="DB686">
        <f t="shared" si="107"/>
        <v>0</v>
      </c>
      <c r="DC686">
        <f t="shared" si="108"/>
        <v>0</v>
      </c>
    </row>
    <row r="687" spans="1:107" x14ac:dyDescent="0.2">
      <c r="A687">
        <f>ROW(Source!A409)</f>
        <v>409</v>
      </c>
      <c r="B687">
        <v>16742901</v>
      </c>
      <c r="C687">
        <v>16744827</v>
      </c>
      <c r="D687">
        <v>15247680</v>
      </c>
      <c r="E687">
        <v>1</v>
      </c>
      <c r="F687">
        <v>1</v>
      </c>
      <c r="G687">
        <v>1</v>
      </c>
      <c r="H687">
        <v>2</v>
      </c>
      <c r="I687" t="s">
        <v>1295</v>
      </c>
      <c r="J687" t="s">
        <v>1296</v>
      </c>
      <c r="K687" t="s">
        <v>1297</v>
      </c>
      <c r="L687">
        <v>1368</v>
      </c>
      <c r="N687">
        <v>1011</v>
      </c>
      <c r="O687" t="s">
        <v>1298</v>
      </c>
      <c r="P687" t="s">
        <v>1298</v>
      </c>
      <c r="Q687">
        <v>1</v>
      </c>
      <c r="W687">
        <v>0</v>
      </c>
      <c r="X687">
        <v>-1718674368</v>
      </c>
      <c r="Y687">
        <v>0.26</v>
      </c>
      <c r="AA687">
        <v>0</v>
      </c>
      <c r="AB687">
        <v>734.65</v>
      </c>
      <c r="AC687">
        <v>13.5</v>
      </c>
      <c r="AD687">
        <v>0</v>
      </c>
      <c r="AE687">
        <v>0</v>
      </c>
      <c r="AF687">
        <v>111.99</v>
      </c>
      <c r="AG687">
        <v>13.5</v>
      </c>
      <c r="AH687">
        <v>0</v>
      </c>
      <c r="AI687">
        <v>1</v>
      </c>
      <c r="AJ687">
        <v>6.56</v>
      </c>
      <c r="AK687">
        <v>1</v>
      </c>
      <c r="AL687">
        <v>1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6</v>
      </c>
      <c r="AT687">
        <v>0.26</v>
      </c>
      <c r="AU687" t="s">
        <v>6</v>
      </c>
      <c r="AV687">
        <v>0</v>
      </c>
      <c r="AW687">
        <v>2</v>
      </c>
      <c r="AX687">
        <v>16744840</v>
      </c>
      <c r="AY687">
        <v>1</v>
      </c>
      <c r="AZ687">
        <v>0</v>
      </c>
      <c r="BA687">
        <v>634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Y687*Source!I409</f>
        <v>0.17680000000000001</v>
      </c>
      <c r="CY687">
        <f>AB687</f>
        <v>734.65</v>
      </c>
      <c r="CZ687">
        <f>AF687</f>
        <v>111.99</v>
      </c>
      <c r="DA687">
        <f>AJ687</f>
        <v>6.56</v>
      </c>
      <c r="DB687">
        <f t="shared" si="107"/>
        <v>29.12</v>
      </c>
      <c r="DC687">
        <f t="shared" si="108"/>
        <v>3.51</v>
      </c>
    </row>
    <row r="688" spans="1:107" x14ac:dyDescent="0.2">
      <c r="A688">
        <f>ROW(Source!A409)</f>
        <v>409</v>
      </c>
      <c r="B688">
        <v>16742901</v>
      </c>
      <c r="C688">
        <v>16744827</v>
      </c>
      <c r="D688">
        <v>15249073</v>
      </c>
      <c r="E688">
        <v>1</v>
      </c>
      <c r="F688">
        <v>1</v>
      </c>
      <c r="G688">
        <v>1</v>
      </c>
      <c r="H688">
        <v>2</v>
      </c>
      <c r="I688" t="s">
        <v>1299</v>
      </c>
      <c r="J688" t="s">
        <v>1300</v>
      </c>
      <c r="K688" t="s">
        <v>1301</v>
      </c>
      <c r="L688">
        <v>1368</v>
      </c>
      <c r="N688">
        <v>1011</v>
      </c>
      <c r="O688" t="s">
        <v>1298</v>
      </c>
      <c r="P688" t="s">
        <v>1298</v>
      </c>
      <c r="Q688">
        <v>1</v>
      </c>
      <c r="W688">
        <v>0</v>
      </c>
      <c r="X688">
        <v>1372534845</v>
      </c>
      <c r="Y688">
        <v>0.26</v>
      </c>
      <c r="AA688">
        <v>0</v>
      </c>
      <c r="AB688">
        <v>431.06</v>
      </c>
      <c r="AC688">
        <v>11.6</v>
      </c>
      <c r="AD688">
        <v>0</v>
      </c>
      <c r="AE688">
        <v>0</v>
      </c>
      <c r="AF688">
        <v>65.709999999999994</v>
      </c>
      <c r="AG688">
        <v>11.6</v>
      </c>
      <c r="AH688">
        <v>0</v>
      </c>
      <c r="AI688">
        <v>1</v>
      </c>
      <c r="AJ688">
        <v>6.56</v>
      </c>
      <c r="AK688">
        <v>1</v>
      </c>
      <c r="AL688">
        <v>1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6</v>
      </c>
      <c r="AT688">
        <v>0.26</v>
      </c>
      <c r="AU688" t="s">
        <v>6</v>
      </c>
      <c r="AV688">
        <v>0</v>
      </c>
      <c r="AW688">
        <v>2</v>
      </c>
      <c r="AX688">
        <v>16744841</v>
      </c>
      <c r="AY688">
        <v>1</v>
      </c>
      <c r="AZ688">
        <v>0</v>
      </c>
      <c r="BA688">
        <v>635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Y688*Source!I409</f>
        <v>0.17680000000000001</v>
      </c>
      <c r="CY688">
        <f>AB688</f>
        <v>431.06</v>
      </c>
      <c r="CZ688">
        <f>AF688</f>
        <v>65.709999999999994</v>
      </c>
      <c r="DA688">
        <f>AJ688</f>
        <v>6.56</v>
      </c>
      <c r="DB688">
        <f t="shared" si="107"/>
        <v>17.079999999999998</v>
      </c>
      <c r="DC688">
        <f t="shared" si="108"/>
        <v>3.02</v>
      </c>
    </row>
    <row r="689" spans="1:107" x14ac:dyDescent="0.2">
      <c r="A689">
        <f>ROW(Source!A409)</f>
        <v>409</v>
      </c>
      <c r="B689">
        <v>16742901</v>
      </c>
      <c r="C689">
        <v>16744827</v>
      </c>
      <c r="D689">
        <v>15167588</v>
      </c>
      <c r="E689">
        <v>1</v>
      </c>
      <c r="F689">
        <v>1</v>
      </c>
      <c r="G689">
        <v>1</v>
      </c>
      <c r="H689">
        <v>3</v>
      </c>
      <c r="I689" t="s">
        <v>1641</v>
      </c>
      <c r="J689" t="s">
        <v>1642</v>
      </c>
      <c r="K689" t="s">
        <v>1643</v>
      </c>
      <c r="L689">
        <v>1346</v>
      </c>
      <c r="N689">
        <v>1009</v>
      </c>
      <c r="O689" t="s">
        <v>341</v>
      </c>
      <c r="P689" t="s">
        <v>341</v>
      </c>
      <c r="Q689">
        <v>1</v>
      </c>
      <c r="W689">
        <v>0</v>
      </c>
      <c r="X689">
        <v>-1088866022</v>
      </c>
      <c r="Y689">
        <v>0.16</v>
      </c>
      <c r="AA689">
        <v>199.42</v>
      </c>
      <c r="AB689">
        <v>0</v>
      </c>
      <c r="AC689">
        <v>0</v>
      </c>
      <c r="AD689">
        <v>0</v>
      </c>
      <c r="AE689">
        <v>30.4</v>
      </c>
      <c r="AF689">
        <v>0</v>
      </c>
      <c r="AG689">
        <v>0</v>
      </c>
      <c r="AH689">
        <v>0</v>
      </c>
      <c r="AI689">
        <v>6.56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0.16</v>
      </c>
      <c r="AU689" t="s">
        <v>6</v>
      </c>
      <c r="AV689">
        <v>0</v>
      </c>
      <c r="AW689">
        <v>2</v>
      </c>
      <c r="AX689">
        <v>16744842</v>
      </c>
      <c r="AY689">
        <v>1</v>
      </c>
      <c r="AZ689">
        <v>0</v>
      </c>
      <c r="BA689">
        <v>636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Y689*Source!I409</f>
        <v>0.10880000000000001</v>
      </c>
      <c r="CY689">
        <f>AA689</f>
        <v>199.42</v>
      </c>
      <c r="CZ689">
        <f>AE689</f>
        <v>30.4</v>
      </c>
      <c r="DA689">
        <f>AI689</f>
        <v>6.56</v>
      </c>
      <c r="DB689">
        <f t="shared" si="107"/>
        <v>4.8600000000000003</v>
      </c>
      <c r="DC689">
        <f t="shared" si="108"/>
        <v>0</v>
      </c>
    </row>
    <row r="690" spans="1:107" x14ac:dyDescent="0.2">
      <c r="A690">
        <f>ROW(Source!A409)</f>
        <v>409</v>
      </c>
      <c r="B690">
        <v>16742901</v>
      </c>
      <c r="C690">
        <v>16744827</v>
      </c>
      <c r="D690">
        <v>15167600</v>
      </c>
      <c r="E690">
        <v>1</v>
      </c>
      <c r="F690">
        <v>1</v>
      </c>
      <c r="G690">
        <v>1</v>
      </c>
      <c r="H690">
        <v>3</v>
      </c>
      <c r="I690" t="s">
        <v>1675</v>
      </c>
      <c r="J690" t="s">
        <v>1676</v>
      </c>
      <c r="K690" t="s">
        <v>1677</v>
      </c>
      <c r="L690">
        <v>1308</v>
      </c>
      <c r="N690">
        <v>1003</v>
      </c>
      <c r="O690" t="s">
        <v>34</v>
      </c>
      <c r="P690" t="s">
        <v>34</v>
      </c>
      <c r="Q690">
        <v>100</v>
      </c>
      <c r="W690">
        <v>0</v>
      </c>
      <c r="X690">
        <v>568244124</v>
      </c>
      <c r="Y690">
        <v>0.13</v>
      </c>
      <c r="AA690">
        <v>787.2</v>
      </c>
      <c r="AB690">
        <v>0</v>
      </c>
      <c r="AC690">
        <v>0</v>
      </c>
      <c r="AD690">
        <v>0</v>
      </c>
      <c r="AE690">
        <v>120</v>
      </c>
      <c r="AF690">
        <v>0</v>
      </c>
      <c r="AG690">
        <v>0</v>
      </c>
      <c r="AH690">
        <v>0</v>
      </c>
      <c r="AI690">
        <v>6.56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0.13</v>
      </c>
      <c r="AU690" t="s">
        <v>6</v>
      </c>
      <c r="AV690">
        <v>0</v>
      </c>
      <c r="AW690">
        <v>2</v>
      </c>
      <c r="AX690">
        <v>16744843</v>
      </c>
      <c r="AY690">
        <v>1</v>
      </c>
      <c r="AZ690">
        <v>0</v>
      </c>
      <c r="BA690">
        <v>637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Y690*Source!I409</f>
        <v>8.8400000000000006E-2</v>
      </c>
      <c r="CY690">
        <f>AA690</f>
        <v>787.2</v>
      </c>
      <c r="CZ690">
        <f>AE690</f>
        <v>120</v>
      </c>
      <c r="DA690">
        <f>AI690</f>
        <v>6.56</v>
      </c>
      <c r="DB690">
        <f t="shared" si="107"/>
        <v>15.6</v>
      </c>
      <c r="DC690">
        <f t="shared" si="108"/>
        <v>0</v>
      </c>
    </row>
    <row r="691" spans="1:107" x14ac:dyDescent="0.2">
      <c r="A691">
        <f>ROW(Source!A409)</f>
        <v>409</v>
      </c>
      <c r="B691">
        <v>16742901</v>
      </c>
      <c r="C691">
        <v>16744827</v>
      </c>
      <c r="D691">
        <v>15203834</v>
      </c>
      <c r="E691">
        <v>1</v>
      </c>
      <c r="F691">
        <v>1</v>
      </c>
      <c r="G691">
        <v>1</v>
      </c>
      <c r="H691">
        <v>3</v>
      </c>
      <c r="I691" t="s">
        <v>1667</v>
      </c>
      <c r="J691" t="s">
        <v>1668</v>
      </c>
      <c r="K691" t="s">
        <v>403</v>
      </c>
      <c r="L691">
        <v>1346</v>
      </c>
      <c r="N691">
        <v>1009</v>
      </c>
      <c r="O691" t="s">
        <v>341</v>
      </c>
      <c r="P691" t="s">
        <v>341</v>
      </c>
      <c r="Q691">
        <v>1</v>
      </c>
      <c r="W691">
        <v>0</v>
      </c>
      <c r="X691">
        <v>210558753</v>
      </c>
      <c r="Y691">
        <v>0.05</v>
      </c>
      <c r="AA691">
        <v>187.62</v>
      </c>
      <c r="AB691">
        <v>0</v>
      </c>
      <c r="AC691">
        <v>0</v>
      </c>
      <c r="AD691">
        <v>0</v>
      </c>
      <c r="AE691">
        <v>28.6</v>
      </c>
      <c r="AF691">
        <v>0</v>
      </c>
      <c r="AG691">
        <v>0</v>
      </c>
      <c r="AH691">
        <v>0</v>
      </c>
      <c r="AI691">
        <v>6.56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6</v>
      </c>
      <c r="AT691">
        <v>0.05</v>
      </c>
      <c r="AU691" t="s">
        <v>6</v>
      </c>
      <c r="AV691">
        <v>0</v>
      </c>
      <c r="AW691">
        <v>2</v>
      </c>
      <c r="AX691">
        <v>16744844</v>
      </c>
      <c r="AY691">
        <v>1</v>
      </c>
      <c r="AZ691">
        <v>0</v>
      </c>
      <c r="BA691">
        <v>638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Y691*Source!I409</f>
        <v>3.4000000000000002E-2</v>
      </c>
      <c r="CY691">
        <f>AA691</f>
        <v>187.62</v>
      </c>
      <c r="CZ691">
        <f>AE691</f>
        <v>28.6</v>
      </c>
      <c r="DA691">
        <f>AI691</f>
        <v>6.56</v>
      </c>
      <c r="DB691">
        <f t="shared" si="107"/>
        <v>1.43</v>
      </c>
      <c r="DC691">
        <f t="shared" si="108"/>
        <v>0</v>
      </c>
    </row>
    <row r="692" spans="1:107" x14ac:dyDescent="0.2">
      <c r="A692">
        <f>ROW(Source!A409)</f>
        <v>409</v>
      </c>
      <c r="B692">
        <v>16742901</v>
      </c>
      <c r="C692">
        <v>16744827</v>
      </c>
      <c r="D692">
        <v>15223061</v>
      </c>
      <c r="E692">
        <v>1</v>
      </c>
      <c r="F692">
        <v>1</v>
      </c>
      <c r="G692">
        <v>1</v>
      </c>
      <c r="H692">
        <v>3</v>
      </c>
      <c r="I692" t="s">
        <v>899</v>
      </c>
      <c r="J692" t="s">
        <v>901</v>
      </c>
      <c r="K692" t="s">
        <v>900</v>
      </c>
      <c r="L692">
        <v>1477</v>
      </c>
      <c r="N692">
        <v>1013</v>
      </c>
      <c r="O692" t="s">
        <v>749</v>
      </c>
      <c r="P692" t="s">
        <v>751</v>
      </c>
      <c r="Q692">
        <v>1</v>
      </c>
      <c r="W692">
        <v>0</v>
      </c>
      <c r="X692">
        <v>-2046187651</v>
      </c>
      <c r="Y692">
        <v>0.1</v>
      </c>
      <c r="AA692">
        <v>1779010.93</v>
      </c>
      <c r="AB692">
        <v>0</v>
      </c>
      <c r="AC692">
        <v>0</v>
      </c>
      <c r="AD692">
        <v>0</v>
      </c>
      <c r="AE692">
        <v>271190.69</v>
      </c>
      <c r="AF692">
        <v>0</v>
      </c>
      <c r="AG692">
        <v>0</v>
      </c>
      <c r="AH692">
        <v>0</v>
      </c>
      <c r="AI692">
        <v>6.56</v>
      </c>
      <c r="AJ692">
        <v>1</v>
      </c>
      <c r="AK692">
        <v>1</v>
      </c>
      <c r="AL692">
        <v>1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6</v>
      </c>
      <c r="AT692">
        <v>0.1</v>
      </c>
      <c r="AU692" t="s">
        <v>6</v>
      </c>
      <c r="AV692">
        <v>0</v>
      </c>
      <c r="AW692">
        <v>1</v>
      </c>
      <c r="AX692">
        <v>-1</v>
      </c>
      <c r="AY692">
        <v>0</v>
      </c>
      <c r="AZ692">
        <v>0</v>
      </c>
      <c r="BA692" t="s">
        <v>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Y692*Source!I409</f>
        <v>6.8000000000000005E-2</v>
      </c>
      <c r="CY692">
        <f>AA692</f>
        <v>1779010.93</v>
      </c>
      <c r="CZ692">
        <f>AE692</f>
        <v>271190.69</v>
      </c>
      <c r="DA692">
        <f>AI692</f>
        <v>6.56</v>
      </c>
      <c r="DB692">
        <f t="shared" si="107"/>
        <v>27119.07</v>
      </c>
      <c r="DC692">
        <f t="shared" si="108"/>
        <v>0</v>
      </c>
    </row>
    <row r="693" spans="1:107" x14ac:dyDescent="0.2">
      <c r="A693">
        <f>ROW(Source!A409)</f>
        <v>409</v>
      </c>
      <c r="B693">
        <v>16742901</v>
      </c>
      <c r="C693">
        <v>16744827</v>
      </c>
      <c r="D693">
        <v>15164559</v>
      </c>
      <c r="E693">
        <v>17</v>
      </c>
      <c r="F693">
        <v>1</v>
      </c>
      <c r="G693">
        <v>1</v>
      </c>
      <c r="H693">
        <v>3</v>
      </c>
      <c r="I693" t="s">
        <v>1334</v>
      </c>
      <c r="J693" t="s">
        <v>6</v>
      </c>
      <c r="K693" t="s">
        <v>1335</v>
      </c>
      <c r="L693">
        <v>1374</v>
      </c>
      <c r="N693">
        <v>1013</v>
      </c>
      <c r="O693" t="s">
        <v>1336</v>
      </c>
      <c r="P693" t="s">
        <v>1336</v>
      </c>
      <c r="Q693">
        <v>1</v>
      </c>
      <c r="W693">
        <v>0</v>
      </c>
      <c r="X693">
        <v>-1731369543</v>
      </c>
      <c r="Y693">
        <v>1.06</v>
      </c>
      <c r="AA693">
        <v>1</v>
      </c>
      <c r="AB693">
        <v>0</v>
      </c>
      <c r="AC693">
        <v>0</v>
      </c>
      <c r="AD693">
        <v>0</v>
      </c>
      <c r="AE693">
        <v>1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1.06</v>
      </c>
      <c r="AU693" t="s">
        <v>6</v>
      </c>
      <c r="AV693">
        <v>0</v>
      </c>
      <c r="AW693">
        <v>2</v>
      </c>
      <c r="AX693">
        <v>16744845</v>
      </c>
      <c r="AY693">
        <v>1</v>
      </c>
      <c r="AZ693">
        <v>0</v>
      </c>
      <c r="BA693">
        <v>639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Y693*Source!I409</f>
        <v>0.72080000000000011</v>
      </c>
      <c r="CY693">
        <f>AA693</f>
        <v>1</v>
      </c>
      <c r="CZ693">
        <f>AE693</f>
        <v>1</v>
      </c>
      <c r="DA693">
        <f>AI693</f>
        <v>1</v>
      </c>
      <c r="DB693">
        <f t="shared" si="107"/>
        <v>1.06</v>
      </c>
      <c r="DC693">
        <f t="shared" si="108"/>
        <v>0</v>
      </c>
    </row>
    <row r="694" spans="1:107" x14ac:dyDescent="0.2">
      <c r="A694">
        <f>ROW(Source!A411)</f>
        <v>411</v>
      </c>
      <c r="B694">
        <v>16742901</v>
      </c>
      <c r="C694">
        <v>16744849</v>
      </c>
      <c r="D694">
        <v>15446300</v>
      </c>
      <c r="E694">
        <v>1</v>
      </c>
      <c r="F694">
        <v>1</v>
      </c>
      <c r="G694">
        <v>1</v>
      </c>
      <c r="H694">
        <v>1</v>
      </c>
      <c r="I694" t="s">
        <v>1437</v>
      </c>
      <c r="J694" t="s">
        <v>6</v>
      </c>
      <c r="K694" t="s">
        <v>1438</v>
      </c>
      <c r="L694">
        <v>1191</v>
      </c>
      <c r="N694">
        <v>1013</v>
      </c>
      <c r="O694" t="s">
        <v>1287</v>
      </c>
      <c r="P694" t="s">
        <v>1287</v>
      </c>
      <c r="Q694">
        <v>1</v>
      </c>
      <c r="W694">
        <v>0</v>
      </c>
      <c r="X694">
        <v>912892513</v>
      </c>
      <c r="Y694">
        <v>2.56</v>
      </c>
      <c r="AA694">
        <v>0</v>
      </c>
      <c r="AB694">
        <v>0</v>
      </c>
      <c r="AC694">
        <v>0</v>
      </c>
      <c r="AD694">
        <v>65.08</v>
      </c>
      <c r="AE694">
        <v>0</v>
      </c>
      <c r="AF694">
        <v>0</v>
      </c>
      <c r="AG694">
        <v>0</v>
      </c>
      <c r="AH694">
        <v>9.92</v>
      </c>
      <c r="AI694">
        <v>1</v>
      </c>
      <c r="AJ694">
        <v>1</v>
      </c>
      <c r="AK694">
        <v>1</v>
      </c>
      <c r="AL694">
        <v>6.56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6</v>
      </c>
      <c r="AT694">
        <v>2.56</v>
      </c>
      <c r="AU694" t="s">
        <v>6</v>
      </c>
      <c r="AV694">
        <v>1</v>
      </c>
      <c r="AW694">
        <v>2</v>
      </c>
      <c r="AX694">
        <v>16744864</v>
      </c>
      <c r="AY694">
        <v>1</v>
      </c>
      <c r="AZ694">
        <v>0</v>
      </c>
      <c r="BA694">
        <v>640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Y694*Source!I411</f>
        <v>10.24</v>
      </c>
      <c r="CY694">
        <f>AD694</f>
        <v>65.08</v>
      </c>
      <c r="CZ694">
        <f>AH694</f>
        <v>9.92</v>
      </c>
      <c r="DA694">
        <f>AL694</f>
        <v>6.56</v>
      </c>
      <c r="DB694">
        <f t="shared" si="107"/>
        <v>25.4</v>
      </c>
      <c r="DC694">
        <f t="shared" si="108"/>
        <v>0</v>
      </c>
    </row>
    <row r="695" spans="1:107" x14ac:dyDescent="0.2">
      <c r="A695">
        <f>ROW(Source!A411)</f>
        <v>411</v>
      </c>
      <c r="B695">
        <v>16742901</v>
      </c>
      <c r="C695">
        <v>16744849</v>
      </c>
      <c r="D695">
        <v>15430395</v>
      </c>
      <c r="E695">
        <v>1</v>
      </c>
      <c r="F695">
        <v>1</v>
      </c>
      <c r="G695">
        <v>1</v>
      </c>
      <c r="H695">
        <v>1</v>
      </c>
      <c r="I695" t="s">
        <v>1293</v>
      </c>
      <c r="J695" t="s">
        <v>6</v>
      </c>
      <c r="K695" t="s">
        <v>1294</v>
      </c>
      <c r="L695">
        <v>1191</v>
      </c>
      <c r="N695">
        <v>1013</v>
      </c>
      <c r="O695" t="s">
        <v>1287</v>
      </c>
      <c r="P695" t="s">
        <v>1287</v>
      </c>
      <c r="Q695">
        <v>1</v>
      </c>
      <c r="W695">
        <v>0</v>
      </c>
      <c r="X695">
        <v>-1417349443</v>
      </c>
      <c r="Y695">
        <v>0.02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6.56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0.02</v>
      </c>
      <c r="AU695" t="s">
        <v>6</v>
      </c>
      <c r="AV695">
        <v>2</v>
      </c>
      <c r="AW695">
        <v>2</v>
      </c>
      <c r="AX695">
        <v>16744865</v>
      </c>
      <c r="AY695">
        <v>1</v>
      </c>
      <c r="AZ695">
        <v>0</v>
      </c>
      <c r="BA695">
        <v>641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Y695*Source!I411</f>
        <v>0.08</v>
      </c>
      <c r="CY695">
        <f>AD695</f>
        <v>0</v>
      </c>
      <c r="CZ695">
        <f>AH695</f>
        <v>0</v>
      </c>
      <c r="DA695">
        <f>AL695</f>
        <v>1</v>
      </c>
      <c r="DB695">
        <f t="shared" si="107"/>
        <v>0</v>
      </c>
      <c r="DC695">
        <f t="shared" si="108"/>
        <v>0</v>
      </c>
    </row>
    <row r="696" spans="1:107" x14ac:dyDescent="0.2">
      <c r="A696">
        <f>ROW(Source!A411)</f>
        <v>411</v>
      </c>
      <c r="B696">
        <v>16742901</v>
      </c>
      <c r="C696">
        <v>16744849</v>
      </c>
      <c r="D696">
        <v>15247680</v>
      </c>
      <c r="E696">
        <v>1</v>
      </c>
      <c r="F696">
        <v>1</v>
      </c>
      <c r="G696">
        <v>1</v>
      </c>
      <c r="H696">
        <v>2</v>
      </c>
      <c r="I696" t="s">
        <v>1295</v>
      </c>
      <c r="J696" t="s">
        <v>1296</v>
      </c>
      <c r="K696" t="s">
        <v>1297</v>
      </c>
      <c r="L696">
        <v>1368</v>
      </c>
      <c r="N696">
        <v>1011</v>
      </c>
      <c r="O696" t="s">
        <v>1298</v>
      </c>
      <c r="P696" t="s">
        <v>1298</v>
      </c>
      <c r="Q696">
        <v>1</v>
      </c>
      <c r="W696">
        <v>0</v>
      </c>
      <c r="X696">
        <v>-1718674368</v>
      </c>
      <c r="Y696">
        <v>0.01</v>
      </c>
      <c r="AA696">
        <v>0</v>
      </c>
      <c r="AB696">
        <v>734.65</v>
      </c>
      <c r="AC696">
        <v>13.5</v>
      </c>
      <c r="AD696">
        <v>0</v>
      </c>
      <c r="AE696">
        <v>0</v>
      </c>
      <c r="AF696">
        <v>111.99</v>
      </c>
      <c r="AG696">
        <v>13.5</v>
      </c>
      <c r="AH696">
        <v>0</v>
      </c>
      <c r="AI696">
        <v>1</v>
      </c>
      <c r="AJ696">
        <v>6.56</v>
      </c>
      <c r="AK696">
        <v>1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6</v>
      </c>
      <c r="AT696">
        <v>0.01</v>
      </c>
      <c r="AU696" t="s">
        <v>6</v>
      </c>
      <c r="AV696">
        <v>0</v>
      </c>
      <c r="AW696">
        <v>2</v>
      </c>
      <c r="AX696">
        <v>16744866</v>
      </c>
      <c r="AY696">
        <v>1</v>
      </c>
      <c r="AZ696">
        <v>0</v>
      </c>
      <c r="BA696">
        <v>642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Y696*Source!I411</f>
        <v>0.04</v>
      </c>
      <c r="CY696">
        <f>AB696</f>
        <v>734.65</v>
      </c>
      <c r="CZ696">
        <f>AF696</f>
        <v>111.99</v>
      </c>
      <c r="DA696">
        <f>AJ696</f>
        <v>6.56</v>
      </c>
      <c r="DB696">
        <f t="shared" si="107"/>
        <v>1.1200000000000001</v>
      </c>
      <c r="DC696">
        <f t="shared" si="108"/>
        <v>0.14000000000000001</v>
      </c>
    </row>
    <row r="697" spans="1:107" x14ac:dyDescent="0.2">
      <c r="A697">
        <f>ROW(Source!A411)</f>
        <v>411</v>
      </c>
      <c r="B697">
        <v>16742901</v>
      </c>
      <c r="C697">
        <v>16744849</v>
      </c>
      <c r="D697">
        <v>15249073</v>
      </c>
      <c r="E697">
        <v>1</v>
      </c>
      <c r="F697">
        <v>1</v>
      </c>
      <c r="G697">
        <v>1</v>
      </c>
      <c r="H697">
        <v>2</v>
      </c>
      <c r="I697" t="s">
        <v>1299</v>
      </c>
      <c r="J697" t="s">
        <v>1300</v>
      </c>
      <c r="K697" t="s">
        <v>1301</v>
      </c>
      <c r="L697">
        <v>1368</v>
      </c>
      <c r="N697">
        <v>1011</v>
      </c>
      <c r="O697" t="s">
        <v>1298</v>
      </c>
      <c r="P697" t="s">
        <v>1298</v>
      </c>
      <c r="Q697">
        <v>1</v>
      </c>
      <c r="W697">
        <v>0</v>
      </c>
      <c r="X697">
        <v>1372534845</v>
      </c>
      <c r="Y697">
        <v>0.01</v>
      </c>
      <c r="AA697">
        <v>0</v>
      </c>
      <c r="AB697">
        <v>431.06</v>
      </c>
      <c r="AC697">
        <v>11.6</v>
      </c>
      <c r="AD697">
        <v>0</v>
      </c>
      <c r="AE697">
        <v>0</v>
      </c>
      <c r="AF697">
        <v>65.709999999999994</v>
      </c>
      <c r="AG697">
        <v>11.6</v>
      </c>
      <c r="AH697">
        <v>0</v>
      </c>
      <c r="AI697">
        <v>1</v>
      </c>
      <c r="AJ697">
        <v>6.56</v>
      </c>
      <c r="AK697">
        <v>1</v>
      </c>
      <c r="AL697">
        <v>1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6</v>
      </c>
      <c r="AT697">
        <v>0.01</v>
      </c>
      <c r="AU697" t="s">
        <v>6</v>
      </c>
      <c r="AV697">
        <v>0</v>
      </c>
      <c r="AW697">
        <v>2</v>
      </c>
      <c r="AX697">
        <v>16744867</v>
      </c>
      <c r="AY697">
        <v>1</v>
      </c>
      <c r="AZ697">
        <v>0</v>
      </c>
      <c r="BA697">
        <v>643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Y697*Source!I411</f>
        <v>0.04</v>
      </c>
      <c r="CY697">
        <f>AB697</f>
        <v>431.06</v>
      </c>
      <c r="CZ697">
        <f>AF697</f>
        <v>65.709999999999994</v>
      </c>
      <c r="DA697">
        <f>AJ697</f>
        <v>6.56</v>
      </c>
      <c r="DB697">
        <f t="shared" si="107"/>
        <v>0.66</v>
      </c>
      <c r="DC697">
        <f t="shared" si="108"/>
        <v>0.12</v>
      </c>
    </row>
    <row r="698" spans="1:107" x14ac:dyDescent="0.2">
      <c r="A698">
        <f>ROW(Source!A411)</f>
        <v>411</v>
      </c>
      <c r="B698">
        <v>16742901</v>
      </c>
      <c r="C698">
        <v>16744849</v>
      </c>
      <c r="D698">
        <v>15167588</v>
      </c>
      <c r="E698">
        <v>1</v>
      </c>
      <c r="F698">
        <v>1</v>
      </c>
      <c r="G698">
        <v>1</v>
      </c>
      <c r="H698">
        <v>3</v>
      </c>
      <c r="I698" t="s">
        <v>1641</v>
      </c>
      <c r="J698" t="s">
        <v>1642</v>
      </c>
      <c r="K698" t="s">
        <v>1643</v>
      </c>
      <c r="L698">
        <v>1346</v>
      </c>
      <c r="N698">
        <v>1009</v>
      </c>
      <c r="O698" t="s">
        <v>341</v>
      </c>
      <c r="P698" t="s">
        <v>341</v>
      </c>
      <c r="Q698">
        <v>1</v>
      </c>
      <c r="W698">
        <v>0</v>
      </c>
      <c r="X698">
        <v>-1088866022</v>
      </c>
      <c r="Y698">
        <v>1.6E-2</v>
      </c>
      <c r="AA698">
        <v>199.42</v>
      </c>
      <c r="AB698">
        <v>0</v>
      </c>
      <c r="AC698">
        <v>0</v>
      </c>
      <c r="AD698">
        <v>0</v>
      </c>
      <c r="AE698">
        <v>30.4</v>
      </c>
      <c r="AF698">
        <v>0</v>
      </c>
      <c r="AG698">
        <v>0</v>
      </c>
      <c r="AH698">
        <v>0</v>
      </c>
      <c r="AI698">
        <v>6.56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1.6E-2</v>
      </c>
      <c r="AU698" t="s">
        <v>6</v>
      </c>
      <c r="AV698">
        <v>0</v>
      </c>
      <c r="AW698">
        <v>2</v>
      </c>
      <c r="AX698">
        <v>16744868</v>
      </c>
      <c r="AY698">
        <v>1</v>
      </c>
      <c r="AZ698">
        <v>0</v>
      </c>
      <c r="BA698">
        <v>644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Y698*Source!I411</f>
        <v>6.4000000000000001E-2</v>
      </c>
      <c r="CY698">
        <f t="shared" ref="CY698:CY706" si="115">AA698</f>
        <v>199.42</v>
      </c>
      <c r="CZ698">
        <f t="shared" ref="CZ698:CZ706" si="116">AE698</f>
        <v>30.4</v>
      </c>
      <c r="DA698">
        <f t="shared" ref="DA698:DA706" si="117">AI698</f>
        <v>6.56</v>
      </c>
      <c r="DB698">
        <f t="shared" si="107"/>
        <v>0.49</v>
      </c>
      <c r="DC698">
        <f t="shared" si="108"/>
        <v>0</v>
      </c>
    </row>
    <row r="699" spans="1:107" x14ac:dyDescent="0.2">
      <c r="A699">
        <f>ROW(Source!A411)</f>
        <v>411</v>
      </c>
      <c r="B699">
        <v>16742901</v>
      </c>
      <c r="C699">
        <v>16744849</v>
      </c>
      <c r="D699">
        <v>15170074</v>
      </c>
      <c r="E699">
        <v>1</v>
      </c>
      <c r="F699">
        <v>1</v>
      </c>
      <c r="G699">
        <v>1</v>
      </c>
      <c r="H699">
        <v>3</v>
      </c>
      <c r="I699" t="s">
        <v>1655</v>
      </c>
      <c r="J699" t="s">
        <v>1656</v>
      </c>
      <c r="K699" t="s">
        <v>1657</v>
      </c>
      <c r="L699">
        <v>1355</v>
      </c>
      <c r="N699">
        <v>1010</v>
      </c>
      <c r="O699" t="s">
        <v>843</v>
      </c>
      <c r="P699" t="s">
        <v>843</v>
      </c>
      <c r="Q699">
        <v>100</v>
      </c>
      <c r="W699">
        <v>0</v>
      </c>
      <c r="X699">
        <v>1794244060</v>
      </c>
      <c r="Y699">
        <v>4.1000000000000002E-2</v>
      </c>
      <c r="AA699">
        <v>564.16</v>
      </c>
      <c r="AB699">
        <v>0</v>
      </c>
      <c r="AC699">
        <v>0</v>
      </c>
      <c r="AD699">
        <v>0</v>
      </c>
      <c r="AE699">
        <v>86</v>
      </c>
      <c r="AF699">
        <v>0</v>
      </c>
      <c r="AG699">
        <v>0</v>
      </c>
      <c r="AH699">
        <v>0</v>
      </c>
      <c r="AI699">
        <v>6.56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4.1000000000000002E-2</v>
      </c>
      <c r="AU699" t="s">
        <v>6</v>
      </c>
      <c r="AV699">
        <v>0</v>
      </c>
      <c r="AW699">
        <v>2</v>
      </c>
      <c r="AX699">
        <v>16744869</v>
      </c>
      <c r="AY699">
        <v>1</v>
      </c>
      <c r="AZ699">
        <v>0</v>
      </c>
      <c r="BA699">
        <v>645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Y699*Source!I411</f>
        <v>0.16400000000000001</v>
      </c>
      <c r="CY699">
        <f t="shared" si="115"/>
        <v>564.16</v>
      </c>
      <c r="CZ699">
        <f t="shared" si="116"/>
        <v>86</v>
      </c>
      <c r="DA699">
        <f t="shared" si="117"/>
        <v>6.56</v>
      </c>
      <c r="DB699">
        <f t="shared" si="107"/>
        <v>3.53</v>
      </c>
      <c r="DC699">
        <f t="shared" si="108"/>
        <v>0</v>
      </c>
    </row>
    <row r="700" spans="1:107" x14ac:dyDescent="0.2">
      <c r="A700">
        <f>ROW(Source!A411)</f>
        <v>411</v>
      </c>
      <c r="B700">
        <v>16742901</v>
      </c>
      <c r="C700">
        <v>16744849</v>
      </c>
      <c r="D700">
        <v>15203834</v>
      </c>
      <c r="E700">
        <v>1</v>
      </c>
      <c r="F700">
        <v>1</v>
      </c>
      <c r="G700">
        <v>1</v>
      </c>
      <c r="H700">
        <v>3</v>
      </c>
      <c r="I700" t="s">
        <v>1667</v>
      </c>
      <c r="J700" t="s">
        <v>1668</v>
      </c>
      <c r="K700" t="s">
        <v>403</v>
      </c>
      <c r="L700">
        <v>1346</v>
      </c>
      <c r="N700">
        <v>1009</v>
      </c>
      <c r="O700" t="s">
        <v>341</v>
      </c>
      <c r="P700" t="s">
        <v>341</v>
      </c>
      <c r="Q700">
        <v>1</v>
      </c>
      <c r="W700">
        <v>0</v>
      </c>
      <c r="X700">
        <v>210558753</v>
      </c>
      <c r="Y700">
        <v>0.1</v>
      </c>
      <c r="AA700">
        <v>187.62</v>
      </c>
      <c r="AB700">
        <v>0</v>
      </c>
      <c r="AC700">
        <v>0</v>
      </c>
      <c r="AD700">
        <v>0</v>
      </c>
      <c r="AE700">
        <v>28.6</v>
      </c>
      <c r="AF700">
        <v>0</v>
      </c>
      <c r="AG700">
        <v>0</v>
      </c>
      <c r="AH700">
        <v>0</v>
      </c>
      <c r="AI700">
        <v>6.56</v>
      </c>
      <c r="AJ700">
        <v>1</v>
      </c>
      <c r="AK700">
        <v>1</v>
      </c>
      <c r="AL700">
        <v>1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6</v>
      </c>
      <c r="AT700">
        <v>0.1</v>
      </c>
      <c r="AU700" t="s">
        <v>6</v>
      </c>
      <c r="AV700">
        <v>0</v>
      </c>
      <c r="AW700">
        <v>2</v>
      </c>
      <c r="AX700">
        <v>16744870</v>
      </c>
      <c r="AY700">
        <v>1</v>
      </c>
      <c r="AZ700">
        <v>0</v>
      </c>
      <c r="BA700">
        <v>646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Y700*Source!I411</f>
        <v>0.4</v>
      </c>
      <c r="CY700">
        <f t="shared" si="115"/>
        <v>187.62</v>
      </c>
      <c r="CZ700">
        <f t="shared" si="116"/>
        <v>28.6</v>
      </c>
      <c r="DA700">
        <f t="shared" si="117"/>
        <v>6.56</v>
      </c>
      <c r="DB700">
        <f t="shared" si="107"/>
        <v>2.86</v>
      </c>
      <c r="DC700">
        <f t="shared" si="108"/>
        <v>0</v>
      </c>
    </row>
    <row r="701" spans="1:107" x14ac:dyDescent="0.2">
      <c r="A701">
        <f>ROW(Source!A411)</f>
        <v>411</v>
      </c>
      <c r="B701">
        <v>16742901</v>
      </c>
      <c r="C701">
        <v>16744849</v>
      </c>
      <c r="D701">
        <v>15217463</v>
      </c>
      <c r="E701">
        <v>1</v>
      </c>
      <c r="F701">
        <v>1</v>
      </c>
      <c r="G701">
        <v>1</v>
      </c>
      <c r="H701">
        <v>3</v>
      </c>
      <c r="I701" t="s">
        <v>1711</v>
      </c>
      <c r="J701" t="s">
        <v>1712</v>
      </c>
      <c r="K701" t="s">
        <v>1713</v>
      </c>
      <c r="L701">
        <v>1358</v>
      </c>
      <c r="N701">
        <v>1010</v>
      </c>
      <c r="O701" t="s">
        <v>723</v>
      </c>
      <c r="P701" t="s">
        <v>723</v>
      </c>
      <c r="Q701">
        <v>10</v>
      </c>
      <c r="W701">
        <v>0</v>
      </c>
      <c r="X701">
        <v>1386890308</v>
      </c>
      <c r="Y701">
        <v>0.1</v>
      </c>
      <c r="AA701">
        <v>255.84</v>
      </c>
      <c r="AB701">
        <v>0</v>
      </c>
      <c r="AC701">
        <v>0</v>
      </c>
      <c r="AD701">
        <v>0</v>
      </c>
      <c r="AE701">
        <v>39</v>
      </c>
      <c r="AF701">
        <v>0</v>
      </c>
      <c r="AG701">
        <v>0</v>
      </c>
      <c r="AH701">
        <v>0</v>
      </c>
      <c r="AI701">
        <v>6.56</v>
      </c>
      <c r="AJ701">
        <v>1</v>
      </c>
      <c r="AK701">
        <v>1</v>
      </c>
      <c r="AL701">
        <v>1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6</v>
      </c>
      <c r="AT701">
        <v>0.1</v>
      </c>
      <c r="AU701" t="s">
        <v>6</v>
      </c>
      <c r="AV701">
        <v>0</v>
      </c>
      <c r="AW701">
        <v>2</v>
      </c>
      <c r="AX701">
        <v>16744871</v>
      </c>
      <c r="AY701">
        <v>1</v>
      </c>
      <c r="AZ701">
        <v>0</v>
      </c>
      <c r="BA701">
        <v>647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Y701*Source!I411</f>
        <v>0.4</v>
      </c>
      <c r="CY701">
        <f t="shared" si="115"/>
        <v>255.84</v>
      </c>
      <c r="CZ701">
        <f t="shared" si="116"/>
        <v>39</v>
      </c>
      <c r="DA701">
        <f t="shared" si="117"/>
        <v>6.56</v>
      </c>
      <c r="DB701">
        <f t="shared" si="107"/>
        <v>3.9</v>
      </c>
      <c r="DC701">
        <f t="shared" si="108"/>
        <v>0</v>
      </c>
    </row>
    <row r="702" spans="1:107" x14ac:dyDescent="0.2">
      <c r="A702">
        <f>ROW(Source!A411)</f>
        <v>411</v>
      </c>
      <c r="B702">
        <v>16742901</v>
      </c>
      <c r="C702">
        <v>16744849</v>
      </c>
      <c r="D702">
        <v>15217585</v>
      </c>
      <c r="E702">
        <v>1</v>
      </c>
      <c r="F702">
        <v>1</v>
      </c>
      <c r="G702">
        <v>1</v>
      </c>
      <c r="H702">
        <v>3</v>
      </c>
      <c r="I702" t="s">
        <v>1687</v>
      </c>
      <c r="J702" t="s">
        <v>1688</v>
      </c>
      <c r="K702" t="s">
        <v>1689</v>
      </c>
      <c r="L702">
        <v>1356</v>
      </c>
      <c r="N702">
        <v>1010</v>
      </c>
      <c r="O702" t="s">
        <v>306</v>
      </c>
      <c r="P702" t="s">
        <v>306</v>
      </c>
      <c r="Q702">
        <v>1000</v>
      </c>
      <c r="W702">
        <v>0</v>
      </c>
      <c r="X702">
        <v>40709342</v>
      </c>
      <c r="Y702">
        <v>2.1000000000000001E-2</v>
      </c>
      <c r="AA702">
        <v>1771.2</v>
      </c>
      <c r="AB702">
        <v>0</v>
      </c>
      <c r="AC702">
        <v>0</v>
      </c>
      <c r="AD702">
        <v>0</v>
      </c>
      <c r="AE702">
        <v>270</v>
      </c>
      <c r="AF702">
        <v>0</v>
      </c>
      <c r="AG702">
        <v>0</v>
      </c>
      <c r="AH702">
        <v>0</v>
      </c>
      <c r="AI702">
        <v>6.56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2.1000000000000001E-2</v>
      </c>
      <c r="AU702" t="s">
        <v>6</v>
      </c>
      <c r="AV702">
        <v>0</v>
      </c>
      <c r="AW702">
        <v>2</v>
      </c>
      <c r="AX702">
        <v>16744872</v>
      </c>
      <c r="AY702">
        <v>1</v>
      </c>
      <c r="AZ702">
        <v>0</v>
      </c>
      <c r="BA702">
        <v>648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Y702*Source!I411</f>
        <v>8.4000000000000005E-2</v>
      </c>
      <c r="CY702">
        <f t="shared" si="115"/>
        <v>1771.2</v>
      </c>
      <c r="CZ702">
        <f t="shared" si="116"/>
        <v>270</v>
      </c>
      <c r="DA702">
        <f t="shared" si="117"/>
        <v>6.56</v>
      </c>
      <c r="DB702">
        <f t="shared" si="107"/>
        <v>5.67</v>
      </c>
      <c r="DC702">
        <f t="shared" si="108"/>
        <v>0</v>
      </c>
    </row>
    <row r="703" spans="1:107" x14ac:dyDescent="0.2">
      <c r="A703">
        <f>ROW(Source!A411)</f>
        <v>411</v>
      </c>
      <c r="B703">
        <v>16742901</v>
      </c>
      <c r="C703">
        <v>16744849</v>
      </c>
      <c r="D703">
        <v>15221284</v>
      </c>
      <c r="E703">
        <v>1</v>
      </c>
      <c r="F703">
        <v>1</v>
      </c>
      <c r="G703">
        <v>1</v>
      </c>
      <c r="H703">
        <v>3</v>
      </c>
      <c r="I703" t="s">
        <v>1744</v>
      </c>
      <c r="J703" t="s">
        <v>1745</v>
      </c>
      <c r="K703" t="s">
        <v>1746</v>
      </c>
      <c r="L703">
        <v>1355</v>
      </c>
      <c r="N703">
        <v>1010</v>
      </c>
      <c r="O703" t="s">
        <v>843</v>
      </c>
      <c r="P703" t="s">
        <v>843</v>
      </c>
      <c r="Q703">
        <v>100</v>
      </c>
      <c r="W703">
        <v>0</v>
      </c>
      <c r="X703">
        <v>-552597123</v>
      </c>
      <c r="Y703">
        <v>4.1000000000000002E-2</v>
      </c>
      <c r="AA703">
        <v>3463.68</v>
      </c>
      <c r="AB703">
        <v>0</v>
      </c>
      <c r="AC703">
        <v>0</v>
      </c>
      <c r="AD703">
        <v>0</v>
      </c>
      <c r="AE703">
        <v>528</v>
      </c>
      <c r="AF703">
        <v>0</v>
      </c>
      <c r="AG703">
        <v>0</v>
      </c>
      <c r="AH703">
        <v>0</v>
      </c>
      <c r="AI703">
        <v>6.56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6</v>
      </c>
      <c r="AT703">
        <v>4.1000000000000002E-2</v>
      </c>
      <c r="AU703" t="s">
        <v>6</v>
      </c>
      <c r="AV703">
        <v>0</v>
      </c>
      <c r="AW703">
        <v>2</v>
      </c>
      <c r="AX703">
        <v>16744873</v>
      </c>
      <c r="AY703">
        <v>1</v>
      </c>
      <c r="AZ703">
        <v>0</v>
      </c>
      <c r="BA703">
        <v>649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Y703*Source!I411</f>
        <v>0.16400000000000001</v>
      </c>
      <c r="CY703">
        <f t="shared" si="115"/>
        <v>3463.68</v>
      </c>
      <c r="CZ703">
        <f t="shared" si="116"/>
        <v>528</v>
      </c>
      <c r="DA703">
        <f t="shared" si="117"/>
        <v>6.56</v>
      </c>
      <c r="DB703">
        <f t="shared" si="107"/>
        <v>21.65</v>
      </c>
      <c r="DC703">
        <f t="shared" si="108"/>
        <v>0</v>
      </c>
    </row>
    <row r="704" spans="1:107" x14ac:dyDescent="0.2">
      <c r="A704">
        <f>ROW(Source!A411)</f>
        <v>411</v>
      </c>
      <c r="B704">
        <v>16742901</v>
      </c>
      <c r="C704">
        <v>16744849</v>
      </c>
      <c r="D704">
        <v>15225615</v>
      </c>
      <c r="E704">
        <v>1</v>
      </c>
      <c r="F704">
        <v>1</v>
      </c>
      <c r="G704">
        <v>1</v>
      </c>
      <c r="H704">
        <v>3</v>
      </c>
      <c r="I704" t="s">
        <v>907</v>
      </c>
      <c r="J704" t="s">
        <v>909</v>
      </c>
      <c r="K704" t="s">
        <v>908</v>
      </c>
      <c r="L704">
        <v>1354</v>
      </c>
      <c r="N704">
        <v>1010</v>
      </c>
      <c r="O704" t="s">
        <v>73</v>
      </c>
      <c r="P704" t="s">
        <v>73</v>
      </c>
      <c r="Q704">
        <v>1</v>
      </c>
      <c r="W704">
        <v>0</v>
      </c>
      <c r="X704">
        <v>-1797323191</v>
      </c>
      <c r="Y704">
        <v>1</v>
      </c>
      <c r="AA704">
        <v>1397.61</v>
      </c>
      <c r="AB704">
        <v>0</v>
      </c>
      <c r="AC704">
        <v>0</v>
      </c>
      <c r="AD704">
        <v>0</v>
      </c>
      <c r="AE704">
        <v>213.05</v>
      </c>
      <c r="AF704">
        <v>0</v>
      </c>
      <c r="AG704">
        <v>0</v>
      </c>
      <c r="AH704">
        <v>0</v>
      </c>
      <c r="AI704">
        <v>6.56</v>
      </c>
      <c r="AJ704">
        <v>1</v>
      </c>
      <c r="AK704">
        <v>1</v>
      </c>
      <c r="AL704">
        <v>1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6</v>
      </c>
      <c r="AT704">
        <v>1</v>
      </c>
      <c r="AU704" t="s">
        <v>6</v>
      </c>
      <c r="AV704">
        <v>0</v>
      </c>
      <c r="AW704">
        <v>1</v>
      </c>
      <c r="AX704">
        <v>-1</v>
      </c>
      <c r="AY704">
        <v>0</v>
      </c>
      <c r="AZ704">
        <v>0</v>
      </c>
      <c r="BA704" t="s">
        <v>6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Y704*Source!I411</f>
        <v>4</v>
      </c>
      <c r="CY704">
        <f t="shared" si="115"/>
        <v>1397.61</v>
      </c>
      <c r="CZ704">
        <f t="shared" si="116"/>
        <v>213.05</v>
      </c>
      <c r="DA704">
        <f t="shared" si="117"/>
        <v>6.56</v>
      </c>
      <c r="DB704">
        <f t="shared" si="107"/>
        <v>213.05</v>
      </c>
      <c r="DC704">
        <f t="shared" si="108"/>
        <v>0</v>
      </c>
    </row>
    <row r="705" spans="1:107" x14ac:dyDescent="0.2">
      <c r="A705">
        <f>ROW(Source!A411)</f>
        <v>411</v>
      </c>
      <c r="B705">
        <v>16742901</v>
      </c>
      <c r="C705">
        <v>16744849</v>
      </c>
      <c r="D705">
        <v>15233312</v>
      </c>
      <c r="E705">
        <v>1</v>
      </c>
      <c r="F705">
        <v>1</v>
      </c>
      <c r="G705">
        <v>1</v>
      </c>
      <c r="H705">
        <v>3</v>
      </c>
      <c r="I705" t="s">
        <v>1652</v>
      </c>
      <c r="J705" t="s">
        <v>1653</v>
      </c>
      <c r="K705" t="s">
        <v>1654</v>
      </c>
      <c r="L705">
        <v>1346</v>
      </c>
      <c r="N705">
        <v>1009</v>
      </c>
      <c r="O705" t="s">
        <v>341</v>
      </c>
      <c r="P705" t="s">
        <v>341</v>
      </c>
      <c r="Q705">
        <v>1</v>
      </c>
      <c r="W705">
        <v>0</v>
      </c>
      <c r="X705">
        <v>1584075688</v>
      </c>
      <c r="Y705">
        <v>0.124</v>
      </c>
      <c r="AA705">
        <v>234.19</v>
      </c>
      <c r="AB705">
        <v>0</v>
      </c>
      <c r="AC705">
        <v>0</v>
      </c>
      <c r="AD705">
        <v>0</v>
      </c>
      <c r="AE705">
        <v>35.700000000000003</v>
      </c>
      <c r="AF705">
        <v>0</v>
      </c>
      <c r="AG705">
        <v>0</v>
      </c>
      <c r="AH705">
        <v>0</v>
      </c>
      <c r="AI705">
        <v>6.56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6</v>
      </c>
      <c r="AT705">
        <v>0.124</v>
      </c>
      <c r="AU705" t="s">
        <v>6</v>
      </c>
      <c r="AV705">
        <v>0</v>
      </c>
      <c r="AW705">
        <v>2</v>
      </c>
      <c r="AX705">
        <v>16744874</v>
      </c>
      <c r="AY705">
        <v>1</v>
      </c>
      <c r="AZ705">
        <v>0</v>
      </c>
      <c r="BA705">
        <v>650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Y705*Source!I411</f>
        <v>0.496</v>
      </c>
      <c r="CY705">
        <f t="shared" si="115"/>
        <v>234.19</v>
      </c>
      <c r="CZ705">
        <f t="shared" si="116"/>
        <v>35.700000000000003</v>
      </c>
      <c r="DA705">
        <f t="shared" si="117"/>
        <v>6.56</v>
      </c>
      <c r="DB705">
        <f t="shared" si="107"/>
        <v>4.43</v>
      </c>
      <c r="DC705">
        <f t="shared" si="108"/>
        <v>0</v>
      </c>
    </row>
    <row r="706" spans="1:107" x14ac:dyDescent="0.2">
      <c r="A706">
        <f>ROW(Source!A411)</f>
        <v>411</v>
      </c>
      <c r="B706">
        <v>16742901</v>
      </c>
      <c r="C706">
        <v>16744849</v>
      </c>
      <c r="D706">
        <v>15164559</v>
      </c>
      <c r="E706">
        <v>17</v>
      </c>
      <c r="F706">
        <v>1</v>
      </c>
      <c r="G706">
        <v>1</v>
      </c>
      <c r="H706">
        <v>3</v>
      </c>
      <c r="I706" t="s">
        <v>1334</v>
      </c>
      <c r="J706" t="s">
        <v>6</v>
      </c>
      <c r="K706" t="s">
        <v>1335</v>
      </c>
      <c r="L706">
        <v>1374</v>
      </c>
      <c r="N706">
        <v>1013</v>
      </c>
      <c r="O706" t="s">
        <v>1336</v>
      </c>
      <c r="P706" t="s">
        <v>1336</v>
      </c>
      <c r="Q706">
        <v>1</v>
      </c>
      <c r="W706">
        <v>0</v>
      </c>
      <c r="X706">
        <v>-1731369543</v>
      </c>
      <c r="Y706">
        <v>0.51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6</v>
      </c>
      <c r="AT706">
        <v>0.51</v>
      </c>
      <c r="AU706" t="s">
        <v>6</v>
      </c>
      <c r="AV706">
        <v>0</v>
      </c>
      <c r="AW706">
        <v>2</v>
      </c>
      <c r="AX706">
        <v>16744875</v>
      </c>
      <c r="AY706">
        <v>1</v>
      </c>
      <c r="AZ706">
        <v>0</v>
      </c>
      <c r="BA706">
        <v>651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Y706*Source!I411</f>
        <v>2.04</v>
      </c>
      <c r="CY706">
        <f t="shared" si="115"/>
        <v>1</v>
      </c>
      <c r="CZ706">
        <f t="shared" si="116"/>
        <v>1</v>
      </c>
      <c r="DA706">
        <f t="shared" si="117"/>
        <v>1</v>
      </c>
      <c r="DB706">
        <f t="shared" si="107"/>
        <v>0.51</v>
      </c>
      <c r="DC706">
        <f t="shared" si="108"/>
        <v>0</v>
      </c>
    </row>
    <row r="707" spans="1:107" x14ac:dyDescent="0.2">
      <c r="A707">
        <f>ROW(Source!A413)</f>
        <v>413</v>
      </c>
      <c r="B707">
        <v>16742901</v>
      </c>
      <c r="C707">
        <v>16744877</v>
      </c>
      <c r="D707">
        <v>15442878</v>
      </c>
      <c r="E707">
        <v>1</v>
      </c>
      <c r="F707">
        <v>1</v>
      </c>
      <c r="G707">
        <v>1</v>
      </c>
      <c r="H707">
        <v>1</v>
      </c>
      <c r="I707" t="s">
        <v>1639</v>
      </c>
      <c r="J707" t="s">
        <v>6</v>
      </c>
      <c r="K707" t="s">
        <v>1640</v>
      </c>
      <c r="L707">
        <v>1191</v>
      </c>
      <c r="N707">
        <v>1013</v>
      </c>
      <c r="O707" t="s">
        <v>1287</v>
      </c>
      <c r="P707" t="s">
        <v>1287</v>
      </c>
      <c r="Q707">
        <v>1</v>
      </c>
      <c r="W707">
        <v>0</v>
      </c>
      <c r="X707">
        <v>-362667798</v>
      </c>
      <c r="Y707">
        <v>0.9</v>
      </c>
      <c r="AA707">
        <v>0</v>
      </c>
      <c r="AB707">
        <v>0</v>
      </c>
      <c r="AC707">
        <v>0</v>
      </c>
      <c r="AD707">
        <v>68.88</v>
      </c>
      <c r="AE707">
        <v>0</v>
      </c>
      <c r="AF707">
        <v>0</v>
      </c>
      <c r="AG707">
        <v>0</v>
      </c>
      <c r="AH707">
        <v>10.5</v>
      </c>
      <c r="AI707">
        <v>1</v>
      </c>
      <c r="AJ707">
        <v>1</v>
      </c>
      <c r="AK707">
        <v>1</v>
      </c>
      <c r="AL707">
        <v>6.56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0.9</v>
      </c>
      <c r="AU707" t="s">
        <v>6</v>
      </c>
      <c r="AV707">
        <v>1</v>
      </c>
      <c r="AW707">
        <v>2</v>
      </c>
      <c r="AX707">
        <v>16744887</v>
      </c>
      <c r="AY707">
        <v>1</v>
      </c>
      <c r="AZ707">
        <v>0</v>
      </c>
      <c r="BA707">
        <v>652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Y707*Source!I413</f>
        <v>1.8</v>
      </c>
      <c r="CY707">
        <f>AD707</f>
        <v>68.88</v>
      </c>
      <c r="CZ707">
        <f>AH707</f>
        <v>10.5</v>
      </c>
      <c r="DA707">
        <f>AL707</f>
        <v>6.56</v>
      </c>
      <c r="DB707">
        <f t="shared" si="107"/>
        <v>9.4499999999999993</v>
      </c>
      <c r="DC707">
        <f t="shared" si="108"/>
        <v>0</v>
      </c>
    </row>
    <row r="708" spans="1:107" x14ac:dyDescent="0.2">
      <c r="A708">
        <f>ROW(Source!A413)</f>
        <v>413</v>
      </c>
      <c r="B708">
        <v>16742901</v>
      </c>
      <c r="C708">
        <v>16744877</v>
      </c>
      <c r="D708">
        <v>15430395</v>
      </c>
      <c r="E708">
        <v>1</v>
      </c>
      <c r="F708">
        <v>1</v>
      </c>
      <c r="G708">
        <v>1</v>
      </c>
      <c r="H708">
        <v>1</v>
      </c>
      <c r="I708" t="s">
        <v>1293</v>
      </c>
      <c r="J708" t="s">
        <v>6</v>
      </c>
      <c r="K708" t="s">
        <v>1294</v>
      </c>
      <c r="L708">
        <v>1191</v>
      </c>
      <c r="N708">
        <v>1013</v>
      </c>
      <c r="O708" t="s">
        <v>1287</v>
      </c>
      <c r="P708" t="s">
        <v>1287</v>
      </c>
      <c r="Q708">
        <v>1</v>
      </c>
      <c r="W708">
        <v>0</v>
      </c>
      <c r="X708">
        <v>-1417349443</v>
      </c>
      <c r="Y708">
        <v>0.2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6.56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0.2</v>
      </c>
      <c r="AU708" t="s">
        <v>6</v>
      </c>
      <c r="AV708">
        <v>2</v>
      </c>
      <c r="AW708">
        <v>2</v>
      </c>
      <c r="AX708">
        <v>16744888</v>
      </c>
      <c r="AY708">
        <v>1</v>
      </c>
      <c r="AZ708">
        <v>0</v>
      </c>
      <c r="BA708">
        <v>653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Y708*Source!I413</f>
        <v>0.4</v>
      </c>
      <c r="CY708">
        <f>AD708</f>
        <v>0</v>
      </c>
      <c r="CZ708">
        <f>AH708</f>
        <v>0</v>
      </c>
      <c r="DA708">
        <f>AL708</f>
        <v>1</v>
      </c>
      <c r="DB708">
        <f t="shared" si="107"/>
        <v>0</v>
      </c>
      <c r="DC708">
        <f t="shared" si="108"/>
        <v>0</v>
      </c>
    </row>
    <row r="709" spans="1:107" x14ac:dyDescent="0.2">
      <c r="A709">
        <f>ROW(Source!A413)</f>
        <v>413</v>
      </c>
      <c r="B709">
        <v>16742901</v>
      </c>
      <c r="C709">
        <v>16744877</v>
      </c>
      <c r="D709">
        <v>15247680</v>
      </c>
      <c r="E709">
        <v>1</v>
      </c>
      <c r="F709">
        <v>1</v>
      </c>
      <c r="G709">
        <v>1</v>
      </c>
      <c r="H709">
        <v>2</v>
      </c>
      <c r="I709" t="s">
        <v>1295</v>
      </c>
      <c r="J709" t="s">
        <v>1296</v>
      </c>
      <c r="K709" t="s">
        <v>1297</v>
      </c>
      <c r="L709">
        <v>1368</v>
      </c>
      <c r="N709">
        <v>1011</v>
      </c>
      <c r="O709" t="s">
        <v>1298</v>
      </c>
      <c r="P709" t="s">
        <v>1298</v>
      </c>
      <c r="Q709">
        <v>1</v>
      </c>
      <c r="W709">
        <v>0</v>
      </c>
      <c r="X709">
        <v>-1718674368</v>
      </c>
      <c r="Y709">
        <v>0.1</v>
      </c>
      <c r="AA709">
        <v>0</v>
      </c>
      <c r="AB709">
        <v>734.65</v>
      </c>
      <c r="AC709">
        <v>13.5</v>
      </c>
      <c r="AD709">
        <v>0</v>
      </c>
      <c r="AE709">
        <v>0</v>
      </c>
      <c r="AF709">
        <v>111.99</v>
      </c>
      <c r="AG709">
        <v>13.5</v>
      </c>
      <c r="AH709">
        <v>0</v>
      </c>
      <c r="AI709">
        <v>1</v>
      </c>
      <c r="AJ709">
        <v>6.56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6</v>
      </c>
      <c r="AT709">
        <v>0.1</v>
      </c>
      <c r="AU709" t="s">
        <v>6</v>
      </c>
      <c r="AV709">
        <v>0</v>
      </c>
      <c r="AW709">
        <v>2</v>
      </c>
      <c r="AX709">
        <v>16744889</v>
      </c>
      <c r="AY709">
        <v>1</v>
      </c>
      <c r="AZ709">
        <v>0</v>
      </c>
      <c r="BA709">
        <v>654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Y709*Source!I413</f>
        <v>0.2</v>
      </c>
      <c r="CY709">
        <f>AB709</f>
        <v>734.65</v>
      </c>
      <c r="CZ709">
        <f>AF709</f>
        <v>111.99</v>
      </c>
      <c r="DA709">
        <f>AJ709</f>
        <v>6.56</v>
      </c>
      <c r="DB709">
        <f t="shared" si="107"/>
        <v>11.2</v>
      </c>
      <c r="DC709">
        <f t="shared" si="108"/>
        <v>1.35</v>
      </c>
    </row>
    <row r="710" spans="1:107" x14ac:dyDescent="0.2">
      <c r="A710">
        <f>ROW(Source!A413)</f>
        <v>413</v>
      </c>
      <c r="B710">
        <v>16742901</v>
      </c>
      <c r="C710">
        <v>16744877</v>
      </c>
      <c r="D710">
        <v>15249073</v>
      </c>
      <c r="E710">
        <v>1</v>
      </c>
      <c r="F710">
        <v>1</v>
      </c>
      <c r="G710">
        <v>1</v>
      </c>
      <c r="H710">
        <v>2</v>
      </c>
      <c r="I710" t="s">
        <v>1299</v>
      </c>
      <c r="J710" t="s">
        <v>1300</v>
      </c>
      <c r="K710" t="s">
        <v>1301</v>
      </c>
      <c r="L710">
        <v>1368</v>
      </c>
      <c r="N710">
        <v>1011</v>
      </c>
      <c r="O710" t="s">
        <v>1298</v>
      </c>
      <c r="P710" t="s">
        <v>1298</v>
      </c>
      <c r="Q710">
        <v>1</v>
      </c>
      <c r="W710">
        <v>0</v>
      </c>
      <c r="X710">
        <v>1372534845</v>
      </c>
      <c r="Y710">
        <v>0.1</v>
      </c>
      <c r="AA710">
        <v>0</v>
      </c>
      <c r="AB710">
        <v>431.06</v>
      </c>
      <c r="AC710">
        <v>11.6</v>
      </c>
      <c r="AD710">
        <v>0</v>
      </c>
      <c r="AE710">
        <v>0</v>
      </c>
      <c r="AF710">
        <v>65.709999999999994</v>
      </c>
      <c r="AG710">
        <v>11.6</v>
      </c>
      <c r="AH710">
        <v>0</v>
      </c>
      <c r="AI710">
        <v>1</v>
      </c>
      <c r="AJ710">
        <v>6.56</v>
      </c>
      <c r="AK710">
        <v>1</v>
      </c>
      <c r="AL710">
        <v>1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6</v>
      </c>
      <c r="AT710">
        <v>0.1</v>
      </c>
      <c r="AU710" t="s">
        <v>6</v>
      </c>
      <c r="AV710">
        <v>0</v>
      </c>
      <c r="AW710">
        <v>2</v>
      </c>
      <c r="AX710">
        <v>16744890</v>
      </c>
      <c r="AY710">
        <v>1</v>
      </c>
      <c r="AZ710">
        <v>0</v>
      </c>
      <c r="BA710">
        <v>655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Y710*Source!I413</f>
        <v>0.2</v>
      </c>
      <c r="CY710">
        <f>AB710</f>
        <v>431.06</v>
      </c>
      <c r="CZ710">
        <f>AF710</f>
        <v>65.709999999999994</v>
      </c>
      <c r="DA710">
        <f>AJ710</f>
        <v>6.56</v>
      </c>
      <c r="DB710">
        <f t="shared" si="107"/>
        <v>6.57</v>
      </c>
      <c r="DC710">
        <f t="shared" si="108"/>
        <v>1.1599999999999999</v>
      </c>
    </row>
    <row r="711" spans="1:107" x14ac:dyDescent="0.2">
      <c r="A711">
        <f>ROW(Source!A413)</f>
        <v>413</v>
      </c>
      <c r="B711">
        <v>16742901</v>
      </c>
      <c r="C711">
        <v>16744877</v>
      </c>
      <c r="D711">
        <v>15167588</v>
      </c>
      <c r="E711">
        <v>1</v>
      </c>
      <c r="F711">
        <v>1</v>
      </c>
      <c r="G711">
        <v>1</v>
      </c>
      <c r="H711">
        <v>3</v>
      </c>
      <c r="I711" t="s">
        <v>1641</v>
      </c>
      <c r="J711" t="s">
        <v>1642</v>
      </c>
      <c r="K711" t="s">
        <v>1643</v>
      </c>
      <c r="L711">
        <v>1346</v>
      </c>
      <c r="N711">
        <v>1009</v>
      </c>
      <c r="O711" t="s">
        <v>341</v>
      </c>
      <c r="P711" t="s">
        <v>341</v>
      </c>
      <c r="Q711">
        <v>1</v>
      </c>
      <c r="W711">
        <v>0</v>
      </c>
      <c r="X711">
        <v>-1088866022</v>
      </c>
      <c r="Y711">
        <v>0.01</v>
      </c>
      <c r="AA711">
        <v>199.42</v>
      </c>
      <c r="AB711">
        <v>0</v>
      </c>
      <c r="AC711">
        <v>0</v>
      </c>
      <c r="AD711">
        <v>0</v>
      </c>
      <c r="AE711">
        <v>30.4</v>
      </c>
      <c r="AF711">
        <v>0</v>
      </c>
      <c r="AG711">
        <v>0</v>
      </c>
      <c r="AH711">
        <v>0</v>
      </c>
      <c r="AI711">
        <v>6.56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0.01</v>
      </c>
      <c r="AU711" t="s">
        <v>6</v>
      </c>
      <c r="AV711">
        <v>0</v>
      </c>
      <c r="AW711">
        <v>2</v>
      </c>
      <c r="AX711">
        <v>16744891</v>
      </c>
      <c r="AY711">
        <v>1</v>
      </c>
      <c r="AZ711">
        <v>0</v>
      </c>
      <c r="BA711">
        <v>656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Y711*Source!I413</f>
        <v>0.02</v>
      </c>
      <c r="CY711">
        <f>AA711</f>
        <v>199.42</v>
      </c>
      <c r="CZ711">
        <f>AE711</f>
        <v>30.4</v>
      </c>
      <c r="DA711">
        <f>AI711</f>
        <v>6.56</v>
      </c>
      <c r="DB711">
        <f t="shared" si="107"/>
        <v>0.3</v>
      </c>
      <c r="DC711">
        <f t="shared" si="108"/>
        <v>0</v>
      </c>
    </row>
    <row r="712" spans="1:107" x14ac:dyDescent="0.2">
      <c r="A712">
        <f>ROW(Source!A413)</f>
        <v>413</v>
      </c>
      <c r="B712">
        <v>16742901</v>
      </c>
      <c r="C712">
        <v>16744877</v>
      </c>
      <c r="D712">
        <v>15169942</v>
      </c>
      <c r="E712">
        <v>1</v>
      </c>
      <c r="F712">
        <v>1</v>
      </c>
      <c r="G712">
        <v>1</v>
      </c>
      <c r="H712">
        <v>3</v>
      </c>
      <c r="I712" t="s">
        <v>1644</v>
      </c>
      <c r="J712" t="s">
        <v>1645</v>
      </c>
      <c r="K712" t="s">
        <v>1310</v>
      </c>
      <c r="L712">
        <v>1346</v>
      </c>
      <c r="N712">
        <v>1009</v>
      </c>
      <c r="O712" t="s">
        <v>341</v>
      </c>
      <c r="P712" t="s">
        <v>341</v>
      </c>
      <c r="Q712">
        <v>1</v>
      </c>
      <c r="W712">
        <v>0</v>
      </c>
      <c r="X712">
        <v>103900845</v>
      </c>
      <c r="Y712">
        <v>0.3</v>
      </c>
      <c r="AA712">
        <v>59.3</v>
      </c>
      <c r="AB712">
        <v>0</v>
      </c>
      <c r="AC712">
        <v>0</v>
      </c>
      <c r="AD712">
        <v>0</v>
      </c>
      <c r="AE712">
        <v>9.0399999999999991</v>
      </c>
      <c r="AF712">
        <v>0</v>
      </c>
      <c r="AG712">
        <v>0</v>
      </c>
      <c r="AH712">
        <v>0</v>
      </c>
      <c r="AI712">
        <v>6.56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6</v>
      </c>
      <c r="AT712">
        <v>0.3</v>
      </c>
      <c r="AU712" t="s">
        <v>6</v>
      </c>
      <c r="AV712">
        <v>0</v>
      </c>
      <c r="AW712">
        <v>2</v>
      </c>
      <c r="AX712">
        <v>16744892</v>
      </c>
      <c r="AY712">
        <v>1</v>
      </c>
      <c r="AZ712">
        <v>0</v>
      </c>
      <c r="BA712">
        <v>657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Y712*Source!I413</f>
        <v>0.6</v>
      </c>
      <c r="CY712">
        <f>AA712</f>
        <v>59.3</v>
      </c>
      <c r="CZ712">
        <f>AE712</f>
        <v>9.0399999999999991</v>
      </c>
      <c r="DA712">
        <f>AI712</f>
        <v>6.56</v>
      </c>
      <c r="DB712">
        <f t="shared" si="107"/>
        <v>2.71</v>
      </c>
      <c r="DC712">
        <f t="shared" si="108"/>
        <v>0</v>
      </c>
    </row>
    <row r="713" spans="1:107" x14ac:dyDescent="0.2">
      <c r="A713">
        <f>ROW(Source!A413)</f>
        <v>413</v>
      </c>
      <c r="B713">
        <v>16742901</v>
      </c>
      <c r="C713">
        <v>16744877</v>
      </c>
      <c r="D713">
        <v>15191488</v>
      </c>
      <c r="E713">
        <v>1</v>
      </c>
      <c r="F713">
        <v>1</v>
      </c>
      <c r="G713">
        <v>1</v>
      </c>
      <c r="H713">
        <v>3</v>
      </c>
      <c r="I713" t="s">
        <v>1646</v>
      </c>
      <c r="J713" t="s">
        <v>1647</v>
      </c>
      <c r="K713" t="s">
        <v>1648</v>
      </c>
      <c r="L713">
        <v>1348</v>
      </c>
      <c r="N713">
        <v>1009</v>
      </c>
      <c r="O713" t="s">
        <v>100</v>
      </c>
      <c r="P713" t="s">
        <v>100</v>
      </c>
      <c r="Q713">
        <v>1000</v>
      </c>
      <c r="W713">
        <v>0</v>
      </c>
      <c r="X713">
        <v>-1598896989</v>
      </c>
      <c r="Y713">
        <v>5.9999999999999995E-4</v>
      </c>
      <c r="AA713">
        <v>32800</v>
      </c>
      <c r="AB713">
        <v>0</v>
      </c>
      <c r="AC713">
        <v>0</v>
      </c>
      <c r="AD713">
        <v>0</v>
      </c>
      <c r="AE713">
        <v>5000</v>
      </c>
      <c r="AF713">
        <v>0</v>
      </c>
      <c r="AG713">
        <v>0</v>
      </c>
      <c r="AH713">
        <v>0</v>
      </c>
      <c r="AI713">
        <v>6.56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5.9999999999999995E-4</v>
      </c>
      <c r="AU713" t="s">
        <v>6</v>
      </c>
      <c r="AV713">
        <v>0</v>
      </c>
      <c r="AW713">
        <v>2</v>
      </c>
      <c r="AX713">
        <v>16744893</v>
      </c>
      <c r="AY713">
        <v>1</v>
      </c>
      <c r="AZ713">
        <v>0</v>
      </c>
      <c r="BA713">
        <v>658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Y713*Source!I413</f>
        <v>1.1999999999999999E-3</v>
      </c>
      <c r="CY713">
        <f>AA713</f>
        <v>32800</v>
      </c>
      <c r="CZ713">
        <f>AE713</f>
        <v>5000</v>
      </c>
      <c r="DA713">
        <f>AI713</f>
        <v>6.56</v>
      </c>
      <c r="DB713">
        <f t="shared" si="107"/>
        <v>3</v>
      </c>
      <c r="DC713">
        <f t="shared" si="108"/>
        <v>0</v>
      </c>
    </row>
    <row r="714" spans="1:107" x14ac:dyDescent="0.2">
      <c r="A714">
        <f>ROW(Source!A413)</f>
        <v>413</v>
      </c>
      <c r="B714">
        <v>16742901</v>
      </c>
      <c r="C714">
        <v>16744877</v>
      </c>
      <c r="D714">
        <v>15240001</v>
      </c>
      <c r="E714">
        <v>1</v>
      </c>
      <c r="F714">
        <v>1</v>
      </c>
      <c r="G714">
        <v>1</v>
      </c>
      <c r="H714">
        <v>3</v>
      </c>
      <c r="I714" t="s">
        <v>788</v>
      </c>
      <c r="J714" t="s">
        <v>790</v>
      </c>
      <c r="K714" t="s">
        <v>912</v>
      </c>
      <c r="L714">
        <v>1354</v>
      </c>
      <c r="N714">
        <v>1010</v>
      </c>
      <c r="O714" t="s">
        <v>73</v>
      </c>
      <c r="P714" t="s">
        <v>73</v>
      </c>
      <c r="Q714">
        <v>1</v>
      </c>
      <c r="W714">
        <v>0</v>
      </c>
      <c r="X714">
        <v>487973268</v>
      </c>
      <c r="Y714">
        <v>1</v>
      </c>
      <c r="AA714">
        <v>9805.69</v>
      </c>
      <c r="AB714">
        <v>0</v>
      </c>
      <c r="AC714">
        <v>0</v>
      </c>
      <c r="AD714">
        <v>0</v>
      </c>
      <c r="AE714">
        <v>1494.77</v>
      </c>
      <c r="AF714">
        <v>0</v>
      </c>
      <c r="AG714">
        <v>0</v>
      </c>
      <c r="AH714">
        <v>0</v>
      </c>
      <c r="AI714">
        <v>6.56</v>
      </c>
      <c r="AJ714">
        <v>1</v>
      </c>
      <c r="AK714">
        <v>1</v>
      </c>
      <c r="AL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 t="s">
        <v>6</v>
      </c>
      <c r="AT714">
        <v>1</v>
      </c>
      <c r="AU714" t="s">
        <v>6</v>
      </c>
      <c r="AV714">
        <v>0</v>
      </c>
      <c r="AW714">
        <v>1</v>
      </c>
      <c r="AX714">
        <v>-1</v>
      </c>
      <c r="AY714">
        <v>0</v>
      </c>
      <c r="AZ714">
        <v>0</v>
      </c>
      <c r="BA714" t="s">
        <v>6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Y714*Source!I413</f>
        <v>2</v>
      </c>
      <c r="CY714">
        <f>AA714</f>
        <v>9805.69</v>
      </c>
      <c r="CZ714">
        <f>AE714</f>
        <v>1494.77</v>
      </c>
      <c r="DA714">
        <f>AI714</f>
        <v>6.56</v>
      </c>
      <c r="DB714">
        <f t="shared" si="107"/>
        <v>1494.77</v>
      </c>
      <c r="DC714">
        <f t="shared" si="108"/>
        <v>0</v>
      </c>
    </row>
    <row r="715" spans="1:107" x14ac:dyDescent="0.2">
      <c r="A715">
        <f>ROW(Source!A413)</f>
        <v>413</v>
      </c>
      <c r="B715">
        <v>16742901</v>
      </c>
      <c r="C715">
        <v>16744877</v>
      </c>
      <c r="D715">
        <v>15164559</v>
      </c>
      <c r="E715">
        <v>17</v>
      </c>
      <c r="F715">
        <v>1</v>
      </c>
      <c r="G715">
        <v>1</v>
      </c>
      <c r="H715">
        <v>3</v>
      </c>
      <c r="I715" t="s">
        <v>1334</v>
      </c>
      <c r="J715" t="s">
        <v>6</v>
      </c>
      <c r="K715" t="s">
        <v>1335</v>
      </c>
      <c r="L715">
        <v>1374</v>
      </c>
      <c r="N715">
        <v>1013</v>
      </c>
      <c r="O715" t="s">
        <v>1336</v>
      </c>
      <c r="P715" t="s">
        <v>1336</v>
      </c>
      <c r="Q715">
        <v>1</v>
      </c>
      <c r="W715">
        <v>0</v>
      </c>
      <c r="X715">
        <v>-1731369543</v>
      </c>
      <c r="Y715">
        <v>0.19</v>
      </c>
      <c r="AA715">
        <v>1</v>
      </c>
      <c r="AB715">
        <v>0</v>
      </c>
      <c r="AC715">
        <v>0</v>
      </c>
      <c r="AD715">
        <v>0</v>
      </c>
      <c r="AE715">
        <v>1</v>
      </c>
      <c r="AF715">
        <v>0</v>
      </c>
      <c r="AG715">
        <v>0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6</v>
      </c>
      <c r="AT715">
        <v>0.19</v>
      </c>
      <c r="AU715" t="s">
        <v>6</v>
      </c>
      <c r="AV715">
        <v>0</v>
      </c>
      <c r="AW715">
        <v>2</v>
      </c>
      <c r="AX715">
        <v>16744894</v>
      </c>
      <c r="AY715">
        <v>1</v>
      </c>
      <c r="AZ715">
        <v>0</v>
      </c>
      <c r="BA715">
        <v>659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Y715*Source!I413</f>
        <v>0.38</v>
      </c>
      <c r="CY715">
        <f>AA715</f>
        <v>1</v>
      </c>
      <c r="CZ715">
        <f>AE715</f>
        <v>1</v>
      </c>
      <c r="DA715">
        <f>AI715</f>
        <v>1</v>
      </c>
      <c r="DB715">
        <f t="shared" si="107"/>
        <v>0.19</v>
      </c>
      <c r="DC715">
        <f t="shared" si="108"/>
        <v>0</v>
      </c>
    </row>
    <row r="716" spans="1:107" x14ac:dyDescent="0.2">
      <c r="A716">
        <f>ROW(Source!A415)</f>
        <v>415</v>
      </c>
      <c r="B716">
        <v>16742901</v>
      </c>
      <c r="C716">
        <v>16744896</v>
      </c>
      <c r="D716">
        <v>15435721</v>
      </c>
      <c r="E716">
        <v>1</v>
      </c>
      <c r="F716">
        <v>1</v>
      </c>
      <c r="G716">
        <v>1</v>
      </c>
      <c r="H716">
        <v>1</v>
      </c>
      <c r="I716" t="s">
        <v>1609</v>
      </c>
      <c r="J716" t="s">
        <v>6</v>
      </c>
      <c r="K716" t="s">
        <v>1610</v>
      </c>
      <c r="L716">
        <v>1191</v>
      </c>
      <c r="N716">
        <v>1013</v>
      </c>
      <c r="O716" t="s">
        <v>1287</v>
      </c>
      <c r="P716" t="s">
        <v>1287</v>
      </c>
      <c r="Q716">
        <v>1</v>
      </c>
      <c r="W716">
        <v>0</v>
      </c>
      <c r="X716">
        <v>1983201532</v>
      </c>
      <c r="Y716">
        <v>1.56</v>
      </c>
      <c r="AA716">
        <v>0</v>
      </c>
      <c r="AB716">
        <v>0</v>
      </c>
      <c r="AC716">
        <v>0</v>
      </c>
      <c r="AD716">
        <v>62.39</v>
      </c>
      <c r="AE716">
        <v>0</v>
      </c>
      <c r="AF716">
        <v>0</v>
      </c>
      <c r="AG716">
        <v>0</v>
      </c>
      <c r="AH716">
        <v>9.51</v>
      </c>
      <c r="AI716">
        <v>1</v>
      </c>
      <c r="AJ716">
        <v>1</v>
      </c>
      <c r="AK716">
        <v>1</v>
      </c>
      <c r="AL716">
        <v>6.56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1.56</v>
      </c>
      <c r="AU716" t="s">
        <v>6</v>
      </c>
      <c r="AV716">
        <v>1</v>
      </c>
      <c r="AW716">
        <v>2</v>
      </c>
      <c r="AX716">
        <v>16744922</v>
      </c>
      <c r="AY716">
        <v>1</v>
      </c>
      <c r="AZ716">
        <v>0</v>
      </c>
      <c r="BA716">
        <v>660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Y716*Source!I415</f>
        <v>40.56</v>
      </c>
      <c r="CY716">
        <f>AD716</f>
        <v>62.39</v>
      </c>
      <c r="CZ716">
        <f>AH716</f>
        <v>9.51</v>
      </c>
      <c r="DA716">
        <f>AL716</f>
        <v>6.56</v>
      </c>
      <c r="DB716">
        <f t="shared" si="107"/>
        <v>14.84</v>
      </c>
      <c r="DC716">
        <f t="shared" si="108"/>
        <v>0</v>
      </c>
    </row>
    <row r="717" spans="1:107" x14ac:dyDescent="0.2">
      <c r="A717">
        <f>ROW(Source!A415)</f>
        <v>415</v>
      </c>
      <c r="B717">
        <v>16742901</v>
      </c>
      <c r="C717">
        <v>16744896</v>
      </c>
      <c r="D717">
        <v>15249377</v>
      </c>
      <c r="E717">
        <v>1</v>
      </c>
      <c r="F717">
        <v>1</v>
      </c>
      <c r="G717">
        <v>1</v>
      </c>
      <c r="H717">
        <v>2</v>
      </c>
      <c r="I717" t="s">
        <v>1302</v>
      </c>
      <c r="J717" t="s">
        <v>1303</v>
      </c>
      <c r="K717" t="s">
        <v>1304</v>
      </c>
      <c r="L717">
        <v>1368</v>
      </c>
      <c r="N717">
        <v>1011</v>
      </c>
      <c r="O717" t="s">
        <v>1298</v>
      </c>
      <c r="P717" t="s">
        <v>1298</v>
      </c>
      <c r="Q717">
        <v>1</v>
      </c>
      <c r="W717">
        <v>0</v>
      </c>
      <c r="X717">
        <v>-353815937</v>
      </c>
      <c r="Y717">
        <v>0.13</v>
      </c>
      <c r="AA717">
        <v>0</v>
      </c>
      <c r="AB717">
        <v>53.14</v>
      </c>
      <c r="AC717">
        <v>0</v>
      </c>
      <c r="AD717">
        <v>0</v>
      </c>
      <c r="AE717">
        <v>0</v>
      </c>
      <c r="AF717">
        <v>8.1</v>
      </c>
      <c r="AG717">
        <v>0</v>
      </c>
      <c r="AH717">
        <v>0</v>
      </c>
      <c r="AI717">
        <v>1</v>
      </c>
      <c r="AJ717">
        <v>6.56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0.13</v>
      </c>
      <c r="AU717" t="s">
        <v>6</v>
      </c>
      <c r="AV717">
        <v>0</v>
      </c>
      <c r="AW717">
        <v>2</v>
      </c>
      <c r="AX717">
        <v>16744923</v>
      </c>
      <c r="AY717">
        <v>1</v>
      </c>
      <c r="AZ717">
        <v>0</v>
      </c>
      <c r="BA717">
        <v>661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Y717*Source!I415</f>
        <v>3.38</v>
      </c>
      <c r="CY717">
        <f>AB717</f>
        <v>53.14</v>
      </c>
      <c r="CZ717">
        <f>AF717</f>
        <v>8.1</v>
      </c>
      <c r="DA717">
        <f>AJ717</f>
        <v>6.56</v>
      </c>
      <c r="DB717">
        <f t="shared" si="107"/>
        <v>1.05</v>
      </c>
      <c r="DC717">
        <f t="shared" si="108"/>
        <v>0</v>
      </c>
    </row>
    <row r="718" spans="1:107" x14ac:dyDescent="0.2">
      <c r="A718">
        <f>ROW(Source!A415)</f>
        <v>415</v>
      </c>
      <c r="B718">
        <v>16742901</v>
      </c>
      <c r="C718">
        <v>16744896</v>
      </c>
      <c r="D718">
        <v>15165537</v>
      </c>
      <c r="E718">
        <v>1</v>
      </c>
      <c r="F718">
        <v>1</v>
      </c>
      <c r="G718">
        <v>1</v>
      </c>
      <c r="H718">
        <v>3</v>
      </c>
      <c r="I718" t="s">
        <v>1696</v>
      </c>
      <c r="J718" t="s">
        <v>1697</v>
      </c>
      <c r="K718" t="s">
        <v>1698</v>
      </c>
      <c r="L718">
        <v>1346</v>
      </c>
      <c r="N718">
        <v>1009</v>
      </c>
      <c r="O718" t="s">
        <v>341</v>
      </c>
      <c r="P718" t="s">
        <v>341</v>
      </c>
      <c r="Q718">
        <v>1</v>
      </c>
      <c r="W718">
        <v>0</v>
      </c>
      <c r="X718">
        <v>618806536</v>
      </c>
      <c r="Y718">
        <v>6.0000000000000001E-3</v>
      </c>
      <c r="AA718">
        <v>295</v>
      </c>
      <c r="AB718">
        <v>0</v>
      </c>
      <c r="AC718">
        <v>0</v>
      </c>
      <c r="AD718">
        <v>0</v>
      </c>
      <c r="AE718">
        <v>44.97</v>
      </c>
      <c r="AF718">
        <v>0</v>
      </c>
      <c r="AG718">
        <v>0</v>
      </c>
      <c r="AH718">
        <v>0</v>
      </c>
      <c r="AI718">
        <v>6.56</v>
      </c>
      <c r="AJ718">
        <v>1</v>
      </c>
      <c r="AK718">
        <v>1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6</v>
      </c>
      <c r="AT718">
        <v>6.0000000000000001E-3</v>
      </c>
      <c r="AU718" t="s">
        <v>6</v>
      </c>
      <c r="AV718">
        <v>0</v>
      </c>
      <c r="AW718">
        <v>2</v>
      </c>
      <c r="AX718">
        <v>16744924</v>
      </c>
      <c r="AY718">
        <v>1</v>
      </c>
      <c r="AZ718">
        <v>0</v>
      </c>
      <c r="BA718">
        <v>662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Y718*Source!I415</f>
        <v>0.156</v>
      </c>
      <c r="CY718">
        <f t="shared" ref="CY718:CY734" si="118">AA718</f>
        <v>295</v>
      </c>
      <c r="CZ718">
        <f t="shared" ref="CZ718:CZ734" si="119">AE718</f>
        <v>44.97</v>
      </c>
      <c r="DA718">
        <f t="shared" ref="DA718:DA734" si="120">AI718</f>
        <v>6.56</v>
      </c>
      <c r="DB718">
        <f t="shared" si="107"/>
        <v>0.27</v>
      </c>
      <c r="DC718">
        <f t="shared" si="108"/>
        <v>0</v>
      </c>
    </row>
    <row r="719" spans="1:107" x14ac:dyDescent="0.2">
      <c r="A719">
        <f>ROW(Source!A415)</f>
        <v>415</v>
      </c>
      <c r="B719">
        <v>16742901</v>
      </c>
      <c r="C719">
        <v>16744896</v>
      </c>
      <c r="D719">
        <v>15167269</v>
      </c>
      <c r="E719">
        <v>1</v>
      </c>
      <c r="F719">
        <v>1</v>
      </c>
      <c r="G719">
        <v>1</v>
      </c>
      <c r="H719">
        <v>3</v>
      </c>
      <c r="I719" t="s">
        <v>1699</v>
      </c>
      <c r="J719" t="s">
        <v>1700</v>
      </c>
      <c r="K719" t="s">
        <v>1701</v>
      </c>
      <c r="L719">
        <v>1346</v>
      </c>
      <c r="N719">
        <v>1009</v>
      </c>
      <c r="O719" t="s">
        <v>341</v>
      </c>
      <c r="P719" t="s">
        <v>341</v>
      </c>
      <c r="Q719">
        <v>1</v>
      </c>
      <c r="W719">
        <v>0</v>
      </c>
      <c r="X719">
        <v>56922527</v>
      </c>
      <c r="Y719">
        <v>1E-3</v>
      </c>
      <c r="AA719">
        <v>75.44</v>
      </c>
      <c r="AB719">
        <v>0</v>
      </c>
      <c r="AC719">
        <v>0</v>
      </c>
      <c r="AD719">
        <v>0</v>
      </c>
      <c r="AE719">
        <v>11.5</v>
      </c>
      <c r="AF719">
        <v>0</v>
      </c>
      <c r="AG719">
        <v>0</v>
      </c>
      <c r="AH719">
        <v>0</v>
      </c>
      <c r="AI719">
        <v>6.56</v>
      </c>
      <c r="AJ719">
        <v>1</v>
      </c>
      <c r="AK719">
        <v>1</v>
      </c>
      <c r="AL719">
        <v>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6</v>
      </c>
      <c r="AT719">
        <v>1E-3</v>
      </c>
      <c r="AU719" t="s">
        <v>6</v>
      </c>
      <c r="AV719">
        <v>0</v>
      </c>
      <c r="AW719">
        <v>2</v>
      </c>
      <c r="AX719">
        <v>16744925</v>
      </c>
      <c r="AY719">
        <v>1</v>
      </c>
      <c r="AZ719">
        <v>0</v>
      </c>
      <c r="BA719">
        <v>663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Y719*Source!I415</f>
        <v>2.6000000000000002E-2</v>
      </c>
      <c r="CY719">
        <f t="shared" si="118"/>
        <v>75.44</v>
      </c>
      <c r="CZ719">
        <f t="shared" si="119"/>
        <v>11.5</v>
      </c>
      <c r="DA719">
        <f t="shared" si="120"/>
        <v>6.56</v>
      </c>
      <c r="DB719">
        <f t="shared" ref="DB719:DB759" si="121">ROUND(ROUND(AT719*CZ719,2),2)</f>
        <v>0.01</v>
      </c>
      <c r="DC719">
        <f t="shared" ref="DC719:DC759" si="122">ROUND(ROUND(AT719*AG719,2),2)</f>
        <v>0</v>
      </c>
    </row>
    <row r="720" spans="1:107" x14ac:dyDescent="0.2">
      <c r="A720">
        <f>ROW(Source!A415)</f>
        <v>415</v>
      </c>
      <c r="B720">
        <v>16742901</v>
      </c>
      <c r="C720">
        <v>16744896</v>
      </c>
      <c r="D720">
        <v>15167588</v>
      </c>
      <c r="E720">
        <v>1</v>
      </c>
      <c r="F720">
        <v>1</v>
      </c>
      <c r="G720">
        <v>1</v>
      </c>
      <c r="H720">
        <v>3</v>
      </c>
      <c r="I720" t="s">
        <v>1641</v>
      </c>
      <c r="J720" t="s">
        <v>1642</v>
      </c>
      <c r="K720" t="s">
        <v>1643</v>
      </c>
      <c r="L720">
        <v>1346</v>
      </c>
      <c r="N720">
        <v>1009</v>
      </c>
      <c r="O720" t="s">
        <v>341</v>
      </c>
      <c r="P720" t="s">
        <v>341</v>
      </c>
      <c r="Q720">
        <v>1</v>
      </c>
      <c r="W720">
        <v>0</v>
      </c>
      <c r="X720">
        <v>-1088866022</v>
      </c>
      <c r="Y720">
        <v>1.2E-2</v>
      </c>
      <c r="AA720">
        <v>199.42</v>
      </c>
      <c r="AB720">
        <v>0</v>
      </c>
      <c r="AC720">
        <v>0</v>
      </c>
      <c r="AD720">
        <v>0</v>
      </c>
      <c r="AE720">
        <v>30.4</v>
      </c>
      <c r="AF720">
        <v>0</v>
      </c>
      <c r="AG720">
        <v>0</v>
      </c>
      <c r="AH720">
        <v>0</v>
      </c>
      <c r="AI720">
        <v>6.56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1.2E-2</v>
      </c>
      <c r="AU720" t="s">
        <v>6</v>
      </c>
      <c r="AV720">
        <v>0</v>
      </c>
      <c r="AW720">
        <v>2</v>
      </c>
      <c r="AX720">
        <v>16744926</v>
      </c>
      <c r="AY720">
        <v>1</v>
      </c>
      <c r="AZ720">
        <v>0</v>
      </c>
      <c r="BA720">
        <v>664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Y720*Source!I415</f>
        <v>0.312</v>
      </c>
      <c r="CY720">
        <f t="shared" si="118"/>
        <v>199.42</v>
      </c>
      <c r="CZ720">
        <f t="shared" si="119"/>
        <v>30.4</v>
      </c>
      <c r="DA720">
        <f t="shared" si="120"/>
        <v>6.56</v>
      </c>
      <c r="DB720">
        <f t="shared" si="121"/>
        <v>0.36</v>
      </c>
      <c r="DC720">
        <f t="shared" si="122"/>
        <v>0</v>
      </c>
    </row>
    <row r="721" spans="1:107" x14ac:dyDescent="0.2">
      <c r="A721">
        <f>ROW(Source!A415)</f>
        <v>415</v>
      </c>
      <c r="B721">
        <v>16742901</v>
      </c>
      <c r="C721">
        <v>16744896</v>
      </c>
      <c r="D721">
        <v>15168752</v>
      </c>
      <c r="E721">
        <v>1</v>
      </c>
      <c r="F721">
        <v>1</v>
      </c>
      <c r="G721">
        <v>1</v>
      </c>
      <c r="H721">
        <v>3</v>
      </c>
      <c r="I721" t="s">
        <v>1325</v>
      </c>
      <c r="J721" t="s">
        <v>1326</v>
      </c>
      <c r="K721" t="s">
        <v>1327</v>
      </c>
      <c r="L721">
        <v>1346</v>
      </c>
      <c r="N721">
        <v>1009</v>
      </c>
      <c r="O721" t="s">
        <v>341</v>
      </c>
      <c r="P721" t="s">
        <v>341</v>
      </c>
      <c r="Q721">
        <v>1</v>
      </c>
      <c r="W721">
        <v>0</v>
      </c>
      <c r="X721">
        <v>586013393</v>
      </c>
      <c r="Y721">
        <v>7.0000000000000007E-2</v>
      </c>
      <c r="AA721">
        <v>69.34</v>
      </c>
      <c r="AB721">
        <v>0</v>
      </c>
      <c r="AC721">
        <v>0</v>
      </c>
      <c r="AD721">
        <v>0</v>
      </c>
      <c r="AE721">
        <v>10.57</v>
      </c>
      <c r="AF721">
        <v>0</v>
      </c>
      <c r="AG721">
        <v>0</v>
      </c>
      <c r="AH721">
        <v>0</v>
      </c>
      <c r="AI721">
        <v>6.56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6</v>
      </c>
      <c r="AT721">
        <v>7.0000000000000007E-2</v>
      </c>
      <c r="AU721" t="s">
        <v>6</v>
      </c>
      <c r="AV721">
        <v>0</v>
      </c>
      <c r="AW721">
        <v>2</v>
      </c>
      <c r="AX721">
        <v>16744927</v>
      </c>
      <c r="AY721">
        <v>1</v>
      </c>
      <c r="AZ721">
        <v>0</v>
      </c>
      <c r="BA721">
        <v>665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Y721*Source!I415</f>
        <v>1.8200000000000003</v>
      </c>
      <c r="CY721">
        <f t="shared" si="118"/>
        <v>69.34</v>
      </c>
      <c r="CZ721">
        <f t="shared" si="119"/>
        <v>10.57</v>
      </c>
      <c r="DA721">
        <f t="shared" si="120"/>
        <v>6.56</v>
      </c>
      <c r="DB721">
        <f t="shared" si="121"/>
        <v>0.74</v>
      </c>
      <c r="DC721">
        <f t="shared" si="122"/>
        <v>0</v>
      </c>
    </row>
    <row r="722" spans="1:107" x14ac:dyDescent="0.2">
      <c r="A722">
        <f>ROW(Source!A415)</f>
        <v>415</v>
      </c>
      <c r="B722">
        <v>16742901</v>
      </c>
      <c r="C722">
        <v>16744896</v>
      </c>
      <c r="D722">
        <v>15169942</v>
      </c>
      <c r="E722">
        <v>1</v>
      </c>
      <c r="F722">
        <v>1</v>
      </c>
      <c r="G722">
        <v>1</v>
      </c>
      <c r="H722">
        <v>3</v>
      </c>
      <c r="I722" t="s">
        <v>1644</v>
      </c>
      <c r="J722" t="s">
        <v>1645</v>
      </c>
      <c r="K722" t="s">
        <v>1310</v>
      </c>
      <c r="L722">
        <v>1346</v>
      </c>
      <c r="N722">
        <v>1009</v>
      </c>
      <c r="O722" t="s">
        <v>341</v>
      </c>
      <c r="P722" t="s">
        <v>341</v>
      </c>
      <c r="Q722">
        <v>1</v>
      </c>
      <c r="W722">
        <v>0</v>
      </c>
      <c r="X722">
        <v>103900845</v>
      </c>
      <c r="Y722">
        <v>4.9000000000000002E-2</v>
      </c>
      <c r="AA722">
        <v>59.3</v>
      </c>
      <c r="AB722">
        <v>0</v>
      </c>
      <c r="AC722">
        <v>0</v>
      </c>
      <c r="AD722">
        <v>0</v>
      </c>
      <c r="AE722">
        <v>9.0399999999999991</v>
      </c>
      <c r="AF722">
        <v>0</v>
      </c>
      <c r="AG722">
        <v>0</v>
      </c>
      <c r="AH722">
        <v>0</v>
      </c>
      <c r="AI722">
        <v>6.56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4.9000000000000002E-2</v>
      </c>
      <c r="AU722" t="s">
        <v>6</v>
      </c>
      <c r="AV722">
        <v>0</v>
      </c>
      <c r="AW722">
        <v>2</v>
      </c>
      <c r="AX722">
        <v>16744928</v>
      </c>
      <c r="AY722">
        <v>1</v>
      </c>
      <c r="AZ722">
        <v>0</v>
      </c>
      <c r="BA722">
        <v>666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Y722*Source!I415</f>
        <v>1.274</v>
      </c>
      <c r="CY722">
        <f t="shared" si="118"/>
        <v>59.3</v>
      </c>
      <c r="CZ722">
        <f t="shared" si="119"/>
        <v>9.0399999999999991</v>
      </c>
      <c r="DA722">
        <f t="shared" si="120"/>
        <v>6.56</v>
      </c>
      <c r="DB722">
        <f t="shared" si="121"/>
        <v>0.44</v>
      </c>
      <c r="DC722">
        <f t="shared" si="122"/>
        <v>0</v>
      </c>
    </row>
    <row r="723" spans="1:107" x14ac:dyDescent="0.2">
      <c r="A723">
        <f>ROW(Source!A415)</f>
        <v>415</v>
      </c>
      <c r="B723">
        <v>16742901</v>
      </c>
      <c r="C723">
        <v>16744896</v>
      </c>
      <c r="D723">
        <v>15170074</v>
      </c>
      <c r="E723">
        <v>1</v>
      </c>
      <c r="F723">
        <v>1</v>
      </c>
      <c r="G723">
        <v>1</v>
      </c>
      <c r="H723">
        <v>3</v>
      </c>
      <c r="I723" t="s">
        <v>1655</v>
      </c>
      <c r="J723" t="s">
        <v>1656</v>
      </c>
      <c r="K723" t="s">
        <v>1657</v>
      </c>
      <c r="L723">
        <v>1355</v>
      </c>
      <c r="N723">
        <v>1010</v>
      </c>
      <c r="O723" t="s">
        <v>843</v>
      </c>
      <c r="P723" t="s">
        <v>843</v>
      </c>
      <c r="Q723">
        <v>100</v>
      </c>
      <c r="W723">
        <v>0</v>
      </c>
      <c r="X723">
        <v>1794244060</v>
      </c>
      <c r="Y723">
        <v>1.4E-2</v>
      </c>
      <c r="AA723">
        <v>564.16</v>
      </c>
      <c r="AB723">
        <v>0</v>
      </c>
      <c r="AC723">
        <v>0</v>
      </c>
      <c r="AD723">
        <v>0</v>
      </c>
      <c r="AE723">
        <v>86</v>
      </c>
      <c r="AF723">
        <v>0</v>
      </c>
      <c r="AG723">
        <v>0</v>
      </c>
      <c r="AH723">
        <v>0</v>
      </c>
      <c r="AI723">
        <v>6.56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6</v>
      </c>
      <c r="AT723">
        <v>1.4E-2</v>
      </c>
      <c r="AU723" t="s">
        <v>6</v>
      </c>
      <c r="AV723">
        <v>0</v>
      </c>
      <c r="AW723">
        <v>2</v>
      </c>
      <c r="AX723">
        <v>16744929</v>
      </c>
      <c r="AY723">
        <v>1</v>
      </c>
      <c r="AZ723">
        <v>0</v>
      </c>
      <c r="BA723">
        <v>667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Y723*Source!I415</f>
        <v>0.36399999999999999</v>
      </c>
      <c r="CY723">
        <f t="shared" si="118"/>
        <v>564.16</v>
      </c>
      <c r="CZ723">
        <f t="shared" si="119"/>
        <v>86</v>
      </c>
      <c r="DA723">
        <f t="shared" si="120"/>
        <v>6.56</v>
      </c>
      <c r="DB723">
        <f t="shared" si="121"/>
        <v>1.2</v>
      </c>
      <c r="DC723">
        <f t="shared" si="122"/>
        <v>0</v>
      </c>
    </row>
    <row r="724" spans="1:107" x14ac:dyDescent="0.2">
      <c r="A724">
        <f>ROW(Source!A415)</f>
        <v>415</v>
      </c>
      <c r="B724">
        <v>16742901</v>
      </c>
      <c r="C724">
        <v>16744896</v>
      </c>
      <c r="D724">
        <v>15170994</v>
      </c>
      <c r="E724">
        <v>1</v>
      </c>
      <c r="F724">
        <v>1</v>
      </c>
      <c r="G724">
        <v>1</v>
      </c>
      <c r="H724">
        <v>3</v>
      </c>
      <c r="I724" t="s">
        <v>1702</v>
      </c>
      <c r="J724" t="s">
        <v>1703</v>
      </c>
      <c r="K724" t="s">
        <v>1704</v>
      </c>
      <c r="L724">
        <v>1346</v>
      </c>
      <c r="N724">
        <v>1009</v>
      </c>
      <c r="O724" t="s">
        <v>341</v>
      </c>
      <c r="P724" t="s">
        <v>341</v>
      </c>
      <c r="Q724">
        <v>1</v>
      </c>
      <c r="W724">
        <v>0</v>
      </c>
      <c r="X724">
        <v>-856710481</v>
      </c>
      <c r="Y724">
        <v>1E-3</v>
      </c>
      <c r="AA724">
        <v>872.81</v>
      </c>
      <c r="AB724">
        <v>0</v>
      </c>
      <c r="AC724">
        <v>0</v>
      </c>
      <c r="AD724">
        <v>0</v>
      </c>
      <c r="AE724">
        <v>133.05000000000001</v>
      </c>
      <c r="AF724">
        <v>0</v>
      </c>
      <c r="AG724">
        <v>0</v>
      </c>
      <c r="AH724">
        <v>0</v>
      </c>
      <c r="AI724">
        <v>6.56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6</v>
      </c>
      <c r="AT724">
        <v>1E-3</v>
      </c>
      <c r="AU724" t="s">
        <v>6</v>
      </c>
      <c r="AV724">
        <v>0</v>
      </c>
      <c r="AW724">
        <v>2</v>
      </c>
      <c r="AX724">
        <v>16744930</v>
      </c>
      <c r="AY724">
        <v>1</v>
      </c>
      <c r="AZ724">
        <v>0</v>
      </c>
      <c r="BA724">
        <v>668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Y724*Source!I415</f>
        <v>2.6000000000000002E-2</v>
      </c>
      <c r="CY724">
        <f t="shared" si="118"/>
        <v>872.81</v>
      </c>
      <c r="CZ724">
        <f t="shared" si="119"/>
        <v>133.05000000000001</v>
      </c>
      <c r="DA724">
        <f t="shared" si="120"/>
        <v>6.56</v>
      </c>
      <c r="DB724">
        <f t="shared" si="121"/>
        <v>0.13</v>
      </c>
      <c r="DC724">
        <f t="shared" si="122"/>
        <v>0</v>
      </c>
    </row>
    <row r="725" spans="1:107" x14ac:dyDescent="0.2">
      <c r="A725">
        <f>ROW(Source!A415)</f>
        <v>415</v>
      </c>
      <c r="B725">
        <v>16742901</v>
      </c>
      <c r="C725">
        <v>16744896</v>
      </c>
      <c r="D725">
        <v>15188647</v>
      </c>
      <c r="E725">
        <v>1</v>
      </c>
      <c r="F725">
        <v>1</v>
      </c>
      <c r="G725">
        <v>1</v>
      </c>
      <c r="H725">
        <v>3</v>
      </c>
      <c r="I725" t="s">
        <v>1705</v>
      </c>
      <c r="J725" t="s">
        <v>1706</v>
      </c>
      <c r="K725" t="s">
        <v>1707</v>
      </c>
      <c r="L725">
        <v>1348</v>
      </c>
      <c r="N725">
        <v>1009</v>
      </c>
      <c r="O725" t="s">
        <v>100</v>
      </c>
      <c r="P725" t="s">
        <v>100</v>
      </c>
      <c r="Q725">
        <v>1000</v>
      </c>
      <c r="W725">
        <v>0</v>
      </c>
      <c r="X725">
        <v>426000481</v>
      </c>
      <c r="Y725">
        <v>1E-3</v>
      </c>
      <c r="AA725">
        <v>75440</v>
      </c>
      <c r="AB725">
        <v>0</v>
      </c>
      <c r="AC725">
        <v>0</v>
      </c>
      <c r="AD725">
        <v>0</v>
      </c>
      <c r="AE725">
        <v>11500</v>
      </c>
      <c r="AF725">
        <v>0</v>
      </c>
      <c r="AG725">
        <v>0</v>
      </c>
      <c r="AH725">
        <v>0</v>
      </c>
      <c r="AI725">
        <v>6.56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1E-3</v>
      </c>
      <c r="AU725" t="s">
        <v>6</v>
      </c>
      <c r="AV725">
        <v>0</v>
      </c>
      <c r="AW725">
        <v>2</v>
      </c>
      <c r="AX725">
        <v>16744931</v>
      </c>
      <c r="AY725">
        <v>1</v>
      </c>
      <c r="AZ725">
        <v>0</v>
      </c>
      <c r="BA725">
        <v>669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Y725*Source!I415</f>
        <v>2.6000000000000002E-2</v>
      </c>
      <c r="CY725">
        <f t="shared" si="118"/>
        <v>75440</v>
      </c>
      <c r="CZ725">
        <f t="shared" si="119"/>
        <v>11500</v>
      </c>
      <c r="DA725">
        <f t="shared" si="120"/>
        <v>6.56</v>
      </c>
      <c r="DB725">
        <f t="shared" si="121"/>
        <v>11.5</v>
      </c>
      <c r="DC725">
        <f t="shared" si="122"/>
        <v>0</v>
      </c>
    </row>
    <row r="726" spans="1:107" x14ac:dyDescent="0.2">
      <c r="A726">
        <f>ROW(Source!A415)</f>
        <v>415</v>
      </c>
      <c r="B726">
        <v>16742901</v>
      </c>
      <c r="C726">
        <v>16744896</v>
      </c>
      <c r="D726">
        <v>15203834</v>
      </c>
      <c r="E726">
        <v>1</v>
      </c>
      <c r="F726">
        <v>1</v>
      </c>
      <c r="G726">
        <v>1</v>
      </c>
      <c r="H726">
        <v>3</v>
      </c>
      <c r="I726" t="s">
        <v>1667</v>
      </c>
      <c r="J726" t="s">
        <v>1668</v>
      </c>
      <c r="K726" t="s">
        <v>403</v>
      </c>
      <c r="L726">
        <v>1346</v>
      </c>
      <c r="N726">
        <v>1009</v>
      </c>
      <c r="O726" t="s">
        <v>341</v>
      </c>
      <c r="P726" t="s">
        <v>341</v>
      </c>
      <c r="Q726">
        <v>1</v>
      </c>
      <c r="W726">
        <v>0</v>
      </c>
      <c r="X726">
        <v>210558753</v>
      </c>
      <c r="Y726">
        <v>3.5999999999999997E-2</v>
      </c>
      <c r="AA726">
        <v>187.62</v>
      </c>
      <c r="AB726">
        <v>0</v>
      </c>
      <c r="AC726">
        <v>0</v>
      </c>
      <c r="AD726">
        <v>0</v>
      </c>
      <c r="AE726">
        <v>28.6</v>
      </c>
      <c r="AF726">
        <v>0</v>
      </c>
      <c r="AG726">
        <v>0</v>
      </c>
      <c r="AH726">
        <v>0</v>
      </c>
      <c r="AI726">
        <v>6.56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3.5999999999999997E-2</v>
      </c>
      <c r="AU726" t="s">
        <v>6</v>
      </c>
      <c r="AV726">
        <v>0</v>
      </c>
      <c r="AW726">
        <v>2</v>
      </c>
      <c r="AX726">
        <v>16744932</v>
      </c>
      <c r="AY726">
        <v>1</v>
      </c>
      <c r="AZ726">
        <v>0</v>
      </c>
      <c r="BA726">
        <v>670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Y726*Source!I415</f>
        <v>0.93599999999999994</v>
      </c>
      <c r="CY726">
        <f t="shared" si="118"/>
        <v>187.62</v>
      </c>
      <c r="CZ726">
        <f t="shared" si="119"/>
        <v>28.6</v>
      </c>
      <c r="DA726">
        <f t="shared" si="120"/>
        <v>6.56</v>
      </c>
      <c r="DB726">
        <f t="shared" si="121"/>
        <v>1.03</v>
      </c>
      <c r="DC726">
        <f t="shared" si="122"/>
        <v>0</v>
      </c>
    </row>
    <row r="727" spans="1:107" x14ac:dyDescent="0.2">
      <c r="A727">
        <f>ROW(Source!A415)</f>
        <v>415</v>
      </c>
      <c r="B727">
        <v>16742901</v>
      </c>
      <c r="C727">
        <v>16744896</v>
      </c>
      <c r="D727">
        <v>15203987</v>
      </c>
      <c r="E727">
        <v>1</v>
      </c>
      <c r="F727">
        <v>1</v>
      </c>
      <c r="G727">
        <v>1</v>
      </c>
      <c r="H727">
        <v>3</v>
      </c>
      <c r="I727" t="s">
        <v>1708</v>
      </c>
      <c r="J727" t="s">
        <v>1709</v>
      </c>
      <c r="K727" t="s">
        <v>1710</v>
      </c>
      <c r="L727">
        <v>1346</v>
      </c>
      <c r="N727">
        <v>1009</v>
      </c>
      <c r="O727" t="s">
        <v>341</v>
      </c>
      <c r="P727" t="s">
        <v>341</v>
      </c>
      <c r="Q727">
        <v>1</v>
      </c>
      <c r="W727">
        <v>0</v>
      </c>
      <c r="X727">
        <v>-1274984028</v>
      </c>
      <c r="Y727">
        <v>6.0000000000000001E-3</v>
      </c>
      <c r="AA727">
        <v>233.73</v>
      </c>
      <c r="AB727">
        <v>0</v>
      </c>
      <c r="AC727">
        <v>0</v>
      </c>
      <c r="AD727">
        <v>0</v>
      </c>
      <c r="AE727">
        <v>35.630000000000003</v>
      </c>
      <c r="AF727">
        <v>0</v>
      </c>
      <c r="AG727">
        <v>0</v>
      </c>
      <c r="AH727">
        <v>0</v>
      </c>
      <c r="AI727">
        <v>6.56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6.0000000000000001E-3</v>
      </c>
      <c r="AU727" t="s">
        <v>6</v>
      </c>
      <c r="AV727">
        <v>0</v>
      </c>
      <c r="AW727">
        <v>2</v>
      </c>
      <c r="AX727">
        <v>16744933</v>
      </c>
      <c r="AY727">
        <v>1</v>
      </c>
      <c r="AZ727">
        <v>0</v>
      </c>
      <c r="BA727">
        <v>671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Y727*Source!I415</f>
        <v>0.156</v>
      </c>
      <c r="CY727">
        <f t="shared" si="118"/>
        <v>233.73</v>
      </c>
      <c r="CZ727">
        <f t="shared" si="119"/>
        <v>35.630000000000003</v>
      </c>
      <c r="DA727">
        <f t="shared" si="120"/>
        <v>6.56</v>
      </c>
      <c r="DB727">
        <f t="shared" si="121"/>
        <v>0.21</v>
      </c>
      <c r="DC727">
        <f t="shared" si="122"/>
        <v>0</v>
      </c>
    </row>
    <row r="728" spans="1:107" x14ac:dyDescent="0.2">
      <c r="A728">
        <f>ROW(Source!A415)</f>
        <v>415</v>
      </c>
      <c r="B728">
        <v>16742901</v>
      </c>
      <c r="C728">
        <v>16744896</v>
      </c>
      <c r="D728">
        <v>15217463</v>
      </c>
      <c r="E728">
        <v>1</v>
      </c>
      <c r="F728">
        <v>1</v>
      </c>
      <c r="G728">
        <v>1</v>
      </c>
      <c r="H728">
        <v>3</v>
      </c>
      <c r="I728" t="s">
        <v>1711</v>
      </c>
      <c r="J728" t="s">
        <v>1712</v>
      </c>
      <c r="K728" t="s">
        <v>1713</v>
      </c>
      <c r="L728">
        <v>1358</v>
      </c>
      <c r="N728">
        <v>1010</v>
      </c>
      <c r="O728" t="s">
        <v>723</v>
      </c>
      <c r="P728" t="s">
        <v>723</v>
      </c>
      <c r="Q728">
        <v>10</v>
      </c>
      <c r="W728">
        <v>0</v>
      </c>
      <c r="X728">
        <v>1386890308</v>
      </c>
      <c r="Y728">
        <v>0.1</v>
      </c>
      <c r="AA728">
        <v>255.84</v>
      </c>
      <c r="AB728">
        <v>0</v>
      </c>
      <c r="AC728">
        <v>0</v>
      </c>
      <c r="AD728">
        <v>0</v>
      </c>
      <c r="AE728">
        <v>39</v>
      </c>
      <c r="AF728">
        <v>0</v>
      </c>
      <c r="AG728">
        <v>0</v>
      </c>
      <c r="AH728">
        <v>0</v>
      </c>
      <c r="AI728">
        <v>6.56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0.1</v>
      </c>
      <c r="AU728" t="s">
        <v>6</v>
      </c>
      <c r="AV728">
        <v>0</v>
      </c>
      <c r="AW728">
        <v>2</v>
      </c>
      <c r="AX728">
        <v>16744934</v>
      </c>
      <c r="AY728">
        <v>1</v>
      </c>
      <c r="AZ728">
        <v>0</v>
      </c>
      <c r="BA728">
        <v>672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Y728*Source!I415</f>
        <v>2.6</v>
      </c>
      <c r="CY728">
        <f t="shared" si="118"/>
        <v>255.84</v>
      </c>
      <c r="CZ728">
        <f t="shared" si="119"/>
        <v>39</v>
      </c>
      <c r="DA728">
        <f t="shared" si="120"/>
        <v>6.56</v>
      </c>
      <c r="DB728">
        <f t="shared" si="121"/>
        <v>3.9</v>
      </c>
      <c r="DC728">
        <f t="shared" si="122"/>
        <v>0</v>
      </c>
    </row>
    <row r="729" spans="1:107" x14ac:dyDescent="0.2">
      <c r="A729">
        <f>ROW(Source!A415)</f>
        <v>415</v>
      </c>
      <c r="B729">
        <v>16742901</v>
      </c>
      <c r="C729">
        <v>16744896</v>
      </c>
      <c r="D729">
        <v>15238768</v>
      </c>
      <c r="E729">
        <v>1</v>
      </c>
      <c r="F729">
        <v>1</v>
      </c>
      <c r="G729">
        <v>1</v>
      </c>
      <c r="H729">
        <v>3</v>
      </c>
      <c r="I729" t="s">
        <v>918</v>
      </c>
      <c r="J729" t="s">
        <v>920</v>
      </c>
      <c r="K729" t="s">
        <v>919</v>
      </c>
      <c r="L729">
        <v>1354</v>
      </c>
      <c r="N729">
        <v>1010</v>
      </c>
      <c r="O729" t="s">
        <v>73</v>
      </c>
      <c r="P729" t="s">
        <v>73</v>
      </c>
      <c r="Q729">
        <v>1</v>
      </c>
      <c r="W729">
        <v>0</v>
      </c>
      <c r="X729">
        <v>1936732059</v>
      </c>
      <c r="Y729">
        <v>7.6923000000000005E-2</v>
      </c>
      <c r="AA729">
        <v>1618.29</v>
      </c>
      <c r="AB729">
        <v>0</v>
      </c>
      <c r="AC729">
        <v>0</v>
      </c>
      <c r="AD729">
        <v>0</v>
      </c>
      <c r="AE729">
        <v>246.69</v>
      </c>
      <c r="AF729">
        <v>0</v>
      </c>
      <c r="AG729">
        <v>0</v>
      </c>
      <c r="AH729">
        <v>0</v>
      </c>
      <c r="AI729">
        <v>6.56</v>
      </c>
      <c r="AJ729">
        <v>1</v>
      </c>
      <c r="AK729">
        <v>1</v>
      </c>
      <c r="AL729">
        <v>1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6</v>
      </c>
      <c r="AT729">
        <v>7.6923000000000005E-2</v>
      </c>
      <c r="AU729" t="s">
        <v>6</v>
      </c>
      <c r="AV729">
        <v>0</v>
      </c>
      <c r="AW729">
        <v>1</v>
      </c>
      <c r="AX729">
        <v>-1</v>
      </c>
      <c r="AY729">
        <v>0</v>
      </c>
      <c r="AZ729">
        <v>0</v>
      </c>
      <c r="BA729" t="s">
        <v>6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Y729*Source!I415</f>
        <v>1.9999980000000002</v>
      </c>
      <c r="CY729">
        <f t="shared" si="118"/>
        <v>1618.29</v>
      </c>
      <c r="CZ729">
        <f t="shared" si="119"/>
        <v>246.69</v>
      </c>
      <c r="DA729">
        <f t="shared" si="120"/>
        <v>6.56</v>
      </c>
      <c r="DB729">
        <f t="shared" si="121"/>
        <v>18.98</v>
      </c>
      <c r="DC729">
        <f t="shared" si="122"/>
        <v>0</v>
      </c>
    </row>
    <row r="730" spans="1:107" x14ac:dyDescent="0.2">
      <c r="A730">
        <f>ROW(Source!A415)</f>
        <v>415</v>
      </c>
      <c r="B730">
        <v>16742901</v>
      </c>
      <c r="C730">
        <v>16744896</v>
      </c>
      <c r="D730">
        <v>15238946</v>
      </c>
      <c r="E730">
        <v>1</v>
      </c>
      <c r="F730">
        <v>1</v>
      </c>
      <c r="G730">
        <v>1</v>
      </c>
      <c r="H730">
        <v>3</v>
      </c>
      <c r="I730" t="s">
        <v>922</v>
      </c>
      <c r="J730" t="s">
        <v>924</v>
      </c>
      <c r="K730" t="s">
        <v>923</v>
      </c>
      <c r="L730">
        <v>1354</v>
      </c>
      <c r="N730">
        <v>1010</v>
      </c>
      <c r="O730" t="s">
        <v>73</v>
      </c>
      <c r="P730" t="s">
        <v>73</v>
      </c>
      <c r="Q730">
        <v>1</v>
      </c>
      <c r="W730">
        <v>0</v>
      </c>
      <c r="X730">
        <v>471885044</v>
      </c>
      <c r="Y730">
        <v>0.115385</v>
      </c>
      <c r="AA730">
        <v>483.01</v>
      </c>
      <c r="AB730">
        <v>0</v>
      </c>
      <c r="AC730">
        <v>0</v>
      </c>
      <c r="AD730">
        <v>0</v>
      </c>
      <c r="AE730">
        <v>73.63</v>
      </c>
      <c r="AF730">
        <v>0</v>
      </c>
      <c r="AG730">
        <v>0</v>
      </c>
      <c r="AH730">
        <v>0</v>
      </c>
      <c r="AI730">
        <v>6.56</v>
      </c>
      <c r="AJ730">
        <v>1</v>
      </c>
      <c r="AK730">
        <v>1</v>
      </c>
      <c r="AL730">
        <v>1</v>
      </c>
      <c r="AN730">
        <v>0</v>
      </c>
      <c r="AO730">
        <v>0</v>
      </c>
      <c r="AP730">
        <v>0</v>
      </c>
      <c r="AQ730">
        <v>0</v>
      </c>
      <c r="AR730">
        <v>0</v>
      </c>
      <c r="AS730" t="s">
        <v>6</v>
      </c>
      <c r="AT730">
        <v>0.115385</v>
      </c>
      <c r="AU730" t="s">
        <v>6</v>
      </c>
      <c r="AV730">
        <v>0</v>
      </c>
      <c r="AW730">
        <v>1</v>
      </c>
      <c r="AX730">
        <v>-1</v>
      </c>
      <c r="AY730">
        <v>0</v>
      </c>
      <c r="AZ730">
        <v>0</v>
      </c>
      <c r="BA730" t="s">
        <v>6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Y730*Source!I415</f>
        <v>3.0000100000000001</v>
      </c>
      <c r="CY730">
        <f t="shared" si="118"/>
        <v>483.01</v>
      </c>
      <c r="CZ730">
        <f t="shared" si="119"/>
        <v>73.63</v>
      </c>
      <c r="DA730">
        <f t="shared" si="120"/>
        <v>6.56</v>
      </c>
      <c r="DB730">
        <f t="shared" si="121"/>
        <v>8.5</v>
      </c>
      <c r="DC730">
        <f t="shared" si="122"/>
        <v>0</v>
      </c>
    </row>
    <row r="731" spans="1:107" x14ac:dyDescent="0.2">
      <c r="A731">
        <f>ROW(Source!A415)</f>
        <v>415</v>
      </c>
      <c r="B731">
        <v>16742901</v>
      </c>
      <c r="C731">
        <v>16744896</v>
      </c>
      <c r="D731">
        <v>15238947</v>
      </c>
      <c r="E731">
        <v>1</v>
      </c>
      <c r="F731">
        <v>1</v>
      </c>
      <c r="G731">
        <v>1</v>
      </c>
      <c r="H731">
        <v>3</v>
      </c>
      <c r="I731" t="s">
        <v>926</v>
      </c>
      <c r="J731" t="s">
        <v>928</v>
      </c>
      <c r="K731" t="s">
        <v>927</v>
      </c>
      <c r="L731">
        <v>1354</v>
      </c>
      <c r="N731">
        <v>1010</v>
      </c>
      <c r="O731" t="s">
        <v>73</v>
      </c>
      <c r="P731" t="s">
        <v>73</v>
      </c>
      <c r="Q731">
        <v>1</v>
      </c>
      <c r="W731">
        <v>0</v>
      </c>
      <c r="X731">
        <v>1644612973</v>
      </c>
      <c r="Y731">
        <v>0.57692299999999996</v>
      </c>
      <c r="AA731">
        <v>436.11</v>
      </c>
      <c r="AB731">
        <v>0</v>
      </c>
      <c r="AC731">
        <v>0</v>
      </c>
      <c r="AD731">
        <v>0</v>
      </c>
      <c r="AE731">
        <v>66.48</v>
      </c>
      <c r="AF731">
        <v>0</v>
      </c>
      <c r="AG731">
        <v>0</v>
      </c>
      <c r="AH731">
        <v>0</v>
      </c>
      <c r="AI731">
        <v>6.56</v>
      </c>
      <c r="AJ731">
        <v>1</v>
      </c>
      <c r="AK731">
        <v>1</v>
      </c>
      <c r="AL731">
        <v>1</v>
      </c>
      <c r="AN731">
        <v>0</v>
      </c>
      <c r="AO731">
        <v>0</v>
      </c>
      <c r="AP731">
        <v>0</v>
      </c>
      <c r="AQ731">
        <v>0</v>
      </c>
      <c r="AR731">
        <v>0</v>
      </c>
      <c r="AS731" t="s">
        <v>6</v>
      </c>
      <c r="AT731">
        <v>0.57692299999999996</v>
      </c>
      <c r="AU731" t="s">
        <v>6</v>
      </c>
      <c r="AV731">
        <v>0</v>
      </c>
      <c r="AW731">
        <v>1</v>
      </c>
      <c r="AX731">
        <v>-1</v>
      </c>
      <c r="AY731">
        <v>0</v>
      </c>
      <c r="AZ731">
        <v>0</v>
      </c>
      <c r="BA731" t="s">
        <v>6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Y731*Source!I415</f>
        <v>14.999998</v>
      </c>
      <c r="CY731">
        <f t="shared" si="118"/>
        <v>436.11</v>
      </c>
      <c r="CZ731">
        <f t="shared" si="119"/>
        <v>66.48</v>
      </c>
      <c r="DA731">
        <f t="shared" si="120"/>
        <v>6.56</v>
      </c>
      <c r="DB731">
        <f t="shared" si="121"/>
        <v>38.35</v>
      </c>
      <c r="DC731">
        <f t="shared" si="122"/>
        <v>0</v>
      </c>
    </row>
    <row r="732" spans="1:107" x14ac:dyDescent="0.2">
      <c r="A732">
        <f>ROW(Source!A415)</f>
        <v>415</v>
      </c>
      <c r="B732">
        <v>16742901</v>
      </c>
      <c r="C732">
        <v>16744896</v>
      </c>
      <c r="D732">
        <v>15238963</v>
      </c>
      <c r="E732">
        <v>1</v>
      </c>
      <c r="F732">
        <v>1</v>
      </c>
      <c r="G732">
        <v>1</v>
      </c>
      <c r="H732">
        <v>3</v>
      </c>
      <c r="I732" t="s">
        <v>930</v>
      </c>
      <c r="J732" t="s">
        <v>932</v>
      </c>
      <c r="K732" t="s">
        <v>931</v>
      </c>
      <c r="L732">
        <v>1354</v>
      </c>
      <c r="N732">
        <v>1010</v>
      </c>
      <c r="O732" t="s">
        <v>73</v>
      </c>
      <c r="P732" t="s">
        <v>73</v>
      </c>
      <c r="Q732">
        <v>1</v>
      </c>
      <c r="W732">
        <v>0</v>
      </c>
      <c r="X732">
        <v>1666631692</v>
      </c>
      <c r="Y732">
        <v>0.115385</v>
      </c>
      <c r="AA732">
        <v>1517.33</v>
      </c>
      <c r="AB732">
        <v>0</v>
      </c>
      <c r="AC732">
        <v>0</v>
      </c>
      <c r="AD732">
        <v>0</v>
      </c>
      <c r="AE732">
        <v>231.3</v>
      </c>
      <c r="AF732">
        <v>0</v>
      </c>
      <c r="AG732">
        <v>0</v>
      </c>
      <c r="AH732">
        <v>0</v>
      </c>
      <c r="AI732">
        <v>6.56</v>
      </c>
      <c r="AJ732">
        <v>1</v>
      </c>
      <c r="AK732">
        <v>1</v>
      </c>
      <c r="AL732">
        <v>1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6</v>
      </c>
      <c r="AT732">
        <v>0.115385</v>
      </c>
      <c r="AU732" t="s">
        <v>6</v>
      </c>
      <c r="AV732">
        <v>0</v>
      </c>
      <c r="AW732">
        <v>1</v>
      </c>
      <c r="AX732">
        <v>-1</v>
      </c>
      <c r="AY732">
        <v>0</v>
      </c>
      <c r="AZ732">
        <v>0</v>
      </c>
      <c r="BA732" t="s">
        <v>6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Y732*Source!I415</f>
        <v>3.0000100000000001</v>
      </c>
      <c r="CY732">
        <f t="shared" si="118"/>
        <v>1517.33</v>
      </c>
      <c r="CZ732">
        <f t="shared" si="119"/>
        <v>231.3</v>
      </c>
      <c r="DA732">
        <f t="shared" si="120"/>
        <v>6.56</v>
      </c>
      <c r="DB732">
        <f t="shared" si="121"/>
        <v>26.69</v>
      </c>
      <c r="DC732">
        <f t="shared" si="122"/>
        <v>0</v>
      </c>
    </row>
    <row r="733" spans="1:107" x14ac:dyDescent="0.2">
      <c r="A733">
        <f>ROW(Source!A415)</f>
        <v>415</v>
      </c>
      <c r="B733">
        <v>16742901</v>
      </c>
      <c r="C733">
        <v>16744896</v>
      </c>
      <c r="D733">
        <v>15238964</v>
      </c>
      <c r="E733">
        <v>1</v>
      </c>
      <c r="F733">
        <v>1</v>
      </c>
      <c r="G733">
        <v>1</v>
      </c>
      <c r="H733">
        <v>3</v>
      </c>
      <c r="I733" t="s">
        <v>934</v>
      </c>
      <c r="J733" t="s">
        <v>936</v>
      </c>
      <c r="K733" t="s">
        <v>935</v>
      </c>
      <c r="L733">
        <v>1354</v>
      </c>
      <c r="N733">
        <v>1010</v>
      </c>
      <c r="O733" t="s">
        <v>73</v>
      </c>
      <c r="P733" t="s">
        <v>73</v>
      </c>
      <c r="Q733">
        <v>1</v>
      </c>
      <c r="W733">
        <v>0</v>
      </c>
      <c r="X733">
        <v>1331874742</v>
      </c>
      <c r="Y733">
        <v>0.115385</v>
      </c>
      <c r="AA733">
        <v>1982.17</v>
      </c>
      <c r="AB733">
        <v>0</v>
      </c>
      <c r="AC733">
        <v>0</v>
      </c>
      <c r="AD733">
        <v>0</v>
      </c>
      <c r="AE733">
        <v>302.16000000000003</v>
      </c>
      <c r="AF733">
        <v>0</v>
      </c>
      <c r="AG733">
        <v>0</v>
      </c>
      <c r="AH733">
        <v>0</v>
      </c>
      <c r="AI733">
        <v>6.56</v>
      </c>
      <c r="AJ733">
        <v>1</v>
      </c>
      <c r="AK733">
        <v>1</v>
      </c>
      <c r="AL733">
        <v>1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6</v>
      </c>
      <c r="AT733">
        <v>0.115385</v>
      </c>
      <c r="AU733" t="s">
        <v>6</v>
      </c>
      <c r="AV733">
        <v>0</v>
      </c>
      <c r="AW733">
        <v>1</v>
      </c>
      <c r="AX733">
        <v>-1</v>
      </c>
      <c r="AY733">
        <v>0</v>
      </c>
      <c r="AZ733">
        <v>0</v>
      </c>
      <c r="BA733" t="s">
        <v>6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Y733*Source!I415</f>
        <v>3.0000100000000001</v>
      </c>
      <c r="CY733">
        <f t="shared" si="118"/>
        <v>1982.17</v>
      </c>
      <c r="CZ733">
        <f t="shared" si="119"/>
        <v>302.16000000000003</v>
      </c>
      <c r="DA733">
        <f t="shared" si="120"/>
        <v>6.56</v>
      </c>
      <c r="DB733">
        <f t="shared" si="121"/>
        <v>34.86</v>
      </c>
      <c r="DC733">
        <f t="shared" si="122"/>
        <v>0</v>
      </c>
    </row>
    <row r="734" spans="1:107" x14ac:dyDescent="0.2">
      <c r="A734">
        <f>ROW(Source!A415)</f>
        <v>415</v>
      </c>
      <c r="B734">
        <v>16742901</v>
      </c>
      <c r="C734">
        <v>16744896</v>
      </c>
      <c r="D734">
        <v>15164559</v>
      </c>
      <c r="E734">
        <v>17</v>
      </c>
      <c r="F734">
        <v>1</v>
      </c>
      <c r="G734">
        <v>1</v>
      </c>
      <c r="H734">
        <v>3</v>
      </c>
      <c r="I734" t="s">
        <v>1334</v>
      </c>
      <c r="J734" t="s">
        <v>6</v>
      </c>
      <c r="K734" t="s">
        <v>1335</v>
      </c>
      <c r="L734">
        <v>1374</v>
      </c>
      <c r="N734">
        <v>1013</v>
      </c>
      <c r="O734" t="s">
        <v>1336</v>
      </c>
      <c r="P734" t="s">
        <v>1336</v>
      </c>
      <c r="Q734">
        <v>1</v>
      </c>
      <c r="W734">
        <v>0</v>
      </c>
      <c r="X734">
        <v>-1731369543</v>
      </c>
      <c r="Y734">
        <v>0.3</v>
      </c>
      <c r="AA734">
        <v>1</v>
      </c>
      <c r="AB734">
        <v>0</v>
      </c>
      <c r="AC734">
        <v>0</v>
      </c>
      <c r="AD734">
        <v>0</v>
      </c>
      <c r="AE734">
        <v>1</v>
      </c>
      <c r="AF734">
        <v>0</v>
      </c>
      <c r="AG734">
        <v>0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6</v>
      </c>
      <c r="AT734">
        <v>0.3</v>
      </c>
      <c r="AU734" t="s">
        <v>6</v>
      </c>
      <c r="AV734">
        <v>0</v>
      </c>
      <c r="AW734">
        <v>2</v>
      </c>
      <c r="AX734">
        <v>16744935</v>
      </c>
      <c r="AY734">
        <v>1</v>
      </c>
      <c r="AZ734">
        <v>0</v>
      </c>
      <c r="BA734">
        <v>673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Y734*Source!I415</f>
        <v>7.8</v>
      </c>
      <c r="CY734">
        <f t="shared" si="118"/>
        <v>1</v>
      </c>
      <c r="CZ734">
        <f t="shared" si="119"/>
        <v>1</v>
      </c>
      <c r="DA734">
        <f t="shared" si="120"/>
        <v>1</v>
      </c>
      <c r="DB734">
        <f t="shared" si="121"/>
        <v>0.3</v>
      </c>
      <c r="DC734">
        <f t="shared" si="122"/>
        <v>0</v>
      </c>
    </row>
    <row r="735" spans="1:107" x14ac:dyDescent="0.2">
      <c r="A735">
        <f>ROW(Source!A421)</f>
        <v>421</v>
      </c>
      <c r="B735">
        <v>16742901</v>
      </c>
      <c r="C735">
        <v>16744942</v>
      </c>
      <c r="D735">
        <v>15446300</v>
      </c>
      <c r="E735">
        <v>1</v>
      </c>
      <c r="F735">
        <v>1</v>
      </c>
      <c r="G735">
        <v>1</v>
      </c>
      <c r="H735">
        <v>1</v>
      </c>
      <c r="I735" t="s">
        <v>1437</v>
      </c>
      <c r="J735" t="s">
        <v>6</v>
      </c>
      <c r="K735" t="s">
        <v>1438</v>
      </c>
      <c r="L735">
        <v>1191</v>
      </c>
      <c r="N735">
        <v>1013</v>
      </c>
      <c r="O735" t="s">
        <v>1287</v>
      </c>
      <c r="P735" t="s">
        <v>1287</v>
      </c>
      <c r="Q735">
        <v>1</v>
      </c>
      <c r="W735">
        <v>0</v>
      </c>
      <c r="X735">
        <v>912892513</v>
      </c>
      <c r="Y735">
        <v>1.1200000000000001</v>
      </c>
      <c r="AA735">
        <v>0</v>
      </c>
      <c r="AB735">
        <v>0</v>
      </c>
      <c r="AC735">
        <v>0</v>
      </c>
      <c r="AD735">
        <v>65.08</v>
      </c>
      <c r="AE735">
        <v>0</v>
      </c>
      <c r="AF735">
        <v>0</v>
      </c>
      <c r="AG735">
        <v>0</v>
      </c>
      <c r="AH735">
        <v>9.92</v>
      </c>
      <c r="AI735">
        <v>1</v>
      </c>
      <c r="AJ735">
        <v>1</v>
      </c>
      <c r="AK735">
        <v>1</v>
      </c>
      <c r="AL735">
        <v>6.56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6</v>
      </c>
      <c r="AT735">
        <v>1.1200000000000001</v>
      </c>
      <c r="AU735" t="s">
        <v>6</v>
      </c>
      <c r="AV735">
        <v>1</v>
      </c>
      <c r="AW735">
        <v>2</v>
      </c>
      <c r="AX735">
        <v>16744953</v>
      </c>
      <c r="AY735">
        <v>1</v>
      </c>
      <c r="AZ735">
        <v>0</v>
      </c>
      <c r="BA735">
        <v>674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Y735*Source!I421</f>
        <v>6.7200000000000006</v>
      </c>
      <c r="CY735">
        <f>AD735</f>
        <v>65.08</v>
      </c>
      <c r="CZ735">
        <f>AH735</f>
        <v>9.92</v>
      </c>
      <c r="DA735">
        <f>AL735</f>
        <v>6.56</v>
      </c>
      <c r="DB735">
        <f t="shared" si="121"/>
        <v>11.11</v>
      </c>
      <c r="DC735">
        <f t="shared" si="122"/>
        <v>0</v>
      </c>
    </row>
    <row r="736" spans="1:107" x14ac:dyDescent="0.2">
      <c r="A736">
        <f>ROW(Source!A421)</f>
        <v>421</v>
      </c>
      <c r="B736">
        <v>16742901</v>
      </c>
      <c r="C736">
        <v>16744942</v>
      </c>
      <c r="D736">
        <v>15169942</v>
      </c>
      <c r="E736">
        <v>1</v>
      </c>
      <c r="F736">
        <v>1</v>
      </c>
      <c r="G736">
        <v>1</v>
      </c>
      <c r="H736">
        <v>3</v>
      </c>
      <c r="I736" t="s">
        <v>1644</v>
      </c>
      <c r="J736" t="s">
        <v>1645</v>
      </c>
      <c r="K736" t="s">
        <v>1310</v>
      </c>
      <c r="L736">
        <v>1346</v>
      </c>
      <c r="N736">
        <v>1009</v>
      </c>
      <c r="O736" t="s">
        <v>341</v>
      </c>
      <c r="P736" t="s">
        <v>341</v>
      </c>
      <c r="Q736">
        <v>1</v>
      </c>
      <c r="W736">
        <v>0</v>
      </c>
      <c r="X736">
        <v>103900845</v>
      </c>
      <c r="Y736">
        <v>0.02</v>
      </c>
      <c r="AA736">
        <v>59.3</v>
      </c>
      <c r="AB736">
        <v>0</v>
      </c>
      <c r="AC736">
        <v>0</v>
      </c>
      <c r="AD736">
        <v>0</v>
      </c>
      <c r="AE736">
        <v>9.0399999999999991</v>
      </c>
      <c r="AF736">
        <v>0</v>
      </c>
      <c r="AG736">
        <v>0</v>
      </c>
      <c r="AH736">
        <v>0</v>
      </c>
      <c r="AI736">
        <v>6.56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0.02</v>
      </c>
      <c r="AU736" t="s">
        <v>6</v>
      </c>
      <c r="AV736">
        <v>0</v>
      </c>
      <c r="AW736">
        <v>2</v>
      </c>
      <c r="AX736">
        <v>16744954</v>
      </c>
      <c r="AY736">
        <v>1</v>
      </c>
      <c r="AZ736">
        <v>0</v>
      </c>
      <c r="BA736">
        <v>675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Y736*Source!I421</f>
        <v>0.12</v>
      </c>
      <c r="CY736">
        <f>AA736</f>
        <v>59.3</v>
      </c>
      <c r="CZ736">
        <f>AE736</f>
        <v>9.0399999999999991</v>
      </c>
      <c r="DA736">
        <f>AI736</f>
        <v>6.56</v>
      </c>
      <c r="DB736">
        <f t="shared" si="121"/>
        <v>0.18</v>
      </c>
      <c r="DC736">
        <f t="shared" si="122"/>
        <v>0</v>
      </c>
    </row>
    <row r="737" spans="1:107" x14ac:dyDescent="0.2">
      <c r="A737">
        <f>ROW(Source!A421)</f>
        <v>421</v>
      </c>
      <c r="B737">
        <v>16742901</v>
      </c>
      <c r="C737">
        <v>16744942</v>
      </c>
      <c r="D737">
        <v>15238965</v>
      </c>
      <c r="E737">
        <v>1</v>
      </c>
      <c r="F737">
        <v>1</v>
      </c>
      <c r="G737">
        <v>1</v>
      </c>
      <c r="H737">
        <v>3</v>
      </c>
      <c r="I737" t="s">
        <v>939</v>
      </c>
      <c r="J737" t="s">
        <v>941</v>
      </c>
      <c r="K737" t="s">
        <v>940</v>
      </c>
      <c r="L737">
        <v>1354</v>
      </c>
      <c r="N737">
        <v>1010</v>
      </c>
      <c r="O737" t="s">
        <v>73</v>
      </c>
      <c r="P737" t="s">
        <v>73</v>
      </c>
      <c r="Q737">
        <v>1</v>
      </c>
      <c r="W737">
        <v>0</v>
      </c>
      <c r="X737">
        <v>180669716</v>
      </c>
      <c r="Y737">
        <v>0.33333299999999999</v>
      </c>
      <c r="AA737">
        <v>2279.5300000000002</v>
      </c>
      <c r="AB737">
        <v>0</v>
      </c>
      <c r="AC737">
        <v>0</v>
      </c>
      <c r="AD737">
        <v>0</v>
      </c>
      <c r="AE737">
        <v>347.49</v>
      </c>
      <c r="AF737">
        <v>0</v>
      </c>
      <c r="AG737">
        <v>0</v>
      </c>
      <c r="AH737">
        <v>0</v>
      </c>
      <c r="AI737">
        <v>6.56</v>
      </c>
      <c r="AJ737">
        <v>1</v>
      </c>
      <c r="AK737">
        <v>1</v>
      </c>
      <c r="AL737">
        <v>1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6</v>
      </c>
      <c r="AT737">
        <v>0.33333299999999999</v>
      </c>
      <c r="AU737" t="s">
        <v>6</v>
      </c>
      <c r="AV737">
        <v>0</v>
      </c>
      <c r="AW737">
        <v>1</v>
      </c>
      <c r="AX737">
        <v>-1</v>
      </c>
      <c r="AY737">
        <v>0</v>
      </c>
      <c r="AZ737">
        <v>0</v>
      </c>
      <c r="BA737" t="s">
        <v>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Y737*Source!I421</f>
        <v>1.9999979999999999</v>
      </c>
      <c r="CY737">
        <f>AA737</f>
        <v>2279.5300000000002</v>
      </c>
      <c r="CZ737">
        <f>AE737</f>
        <v>347.49</v>
      </c>
      <c r="DA737">
        <f>AI737</f>
        <v>6.56</v>
      </c>
      <c r="DB737">
        <f t="shared" si="121"/>
        <v>115.83</v>
      </c>
      <c r="DC737">
        <f t="shared" si="122"/>
        <v>0</v>
      </c>
    </row>
    <row r="738" spans="1:107" x14ac:dyDescent="0.2">
      <c r="A738">
        <f>ROW(Source!A421)</f>
        <v>421</v>
      </c>
      <c r="B738">
        <v>16742901</v>
      </c>
      <c r="C738">
        <v>16744942</v>
      </c>
      <c r="D738">
        <v>15238999</v>
      </c>
      <c r="E738">
        <v>1</v>
      </c>
      <c r="F738">
        <v>1</v>
      </c>
      <c r="G738">
        <v>1</v>
      </c>
      <c r="H738">
        <v>3</v>
      </c>
      <c r="I738" t="s">
        <v>947</v>
      </c>
      <c r="J738" t="s">
        <v>949</v>
      </c>
      <c r="K738" t="s">
        <v>948</v>
      </c>
      <c r="L738">
        <v>1354</v>
      </c>
      <c r="N738">
        <v>1010</v>
      </c>
      <c r="O738" t="s">
        <v>73</v>
      </c>
      <c r="P738" t="s">
        <v>73</v>
      </c>
      <c r="Q738">
        <v>1</v>
      </c>
      <c r="W738">
        <v>0</v>
      </c>
      <c r="X738">
        <v>-1848164190</v>
      </c>
      <c r="Y738">
        <v>0.33333299999999999</v>
      </c>
      <c r="AA738">
        <v>6887.93</v>
      </c>
      <c r="AB738">
        <v>0</v>
      </c>
      <c r="AC738">
        <v>0</v>
      </c>
      <c r="AD738">
        <v>0</v>
      </c>
      <c r="AE738">
        <v>1049.99</v>
      </c>
      <c r="AF738">
        <v>0</v>
      </c>
      <c r="AG738">
        <v>0</v>
      </c>
      <c r="AH738">
        <v>0</v>
      </c>
      <c r="AI738">
        <v>6.56</v>
      </c>
      <c r="AJ738">
        <v>1</v>
      </c>
      <c r="AK738">
        <v>1</v>
      </c>
      <c r="AL738">
        <v>1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6</v>
      </c>
      <c r="AT738">
        <v>0.33333299999999999</v>
      </c>
      <c r="AU738" t="s">
        <v>6</v>
      </c>
      <c r="AV738">
        <v>0</v>
      </c>
      <c r="AW738">
        <v>1</v>
      </c>
      <c r="AX738">
        <v>-1</v>
      </c>
      <c r="AY738">
        <v>0</v>
      </c>
      <c r="AZ738">
        <v>0</v>
      </c>
      <c r="BA738" t="s">
        <v>6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Y738*Source!I421</f>
        <v>1.9999979999999999</v>
      </c>
      <c r="CY738">
        <f>AA738</f>
        <v>6887.93</v>
      </c>
      <c r="CZ738">
        <f>AE738</f>
        <v>1049.99</v>
      </c>
      <c r="DA738">
        <f>AI738</f>
        <v>6.56</v>
      </c>
      <c r="DB738">
        <f t="shared" si="121"/>
        <v>350</v>
      </c>
      <c r="DC738">
        <f t="shared" si="122"/>
        <v>0</v>
      </c>
    </row>
    <row r="739" spans="1:107" x14ac:dyDescent="0.2">
      <c r="A739">
        <f>ROW(Source!A421)</f>
        <v>421</v>
      </c>
      <c r="B739">
        <v>16742901</v>
      </c>
      <c r="C739">
        <v>16744942</v>
      </c>
      <c r="D739">
        <v>15239005</v>
      </c>
      <c r="E739">
        <v>1</v>
      </c>
      <c r="F739">
        <v>1</v>
      </c>
      <c r="G739">
        <v>1</v>
      </c>
      <c r="H739">
        <v>3</v>
      </c>
      <c r="I739" t="s">
        <v>943</v>
      </c>
      <c r="J739" t="s">
        <v>945</v>
      </c>
      <c r="K739" t="s">
        <v>944</v>
      </c>
      <c r="L739">
        <v>1354</v>
      </c>
      <c r="N739">
        <v>1010</v>
      </c>
      <c r="O739" t="s">
        <v>73</v>
      </c>
      <c r="P739" t="s">
        <v>73</v>
      </c>
      <c r="Q739">
        <v>1</v>
      </c>
      <c r="W739">
        <v>0</v>
      </c>
      <c r="X739">
        <v>1440540133</v>
      </c>
      <c r="Y739">
        <v>0.33333299999999999</v>
      </c>
      <c r="AA739">
        <v>4781.26</v>
      </c>
      <c r="AB739">
        <v>0</v>
      </c>
      <c r="AC739">
        <v>0</v>
      </c>
      <c r="AD739">
        <v>0</v>
      </c>
      <c r="AE739">
        <v>728.85</v>
      </c>
      <c r="AF739">
        <v>0</v>
      </c>
      <c r="AG739">
        <v>0</v>
      </c>
      <c r="AH739">
        <v>0</v>
      </c>
      <c r="AI739">
        <v>6.56</v>
      </c>
      <c r="AJ739">
        <v>1</v>
      </c>
      <c r="AK739">
        <v>1</v>
      </c>
      <c r="AL739">
        <v>1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6</v>
      </c>
      <c r="AT739">
        <v>0.33333299999999999</v>
      </c>
      <c r="AU739" t="s">
        <v>6</v>
      </c>
      <c r="AV739">
        <v>0</v>
      </c>
      <c r="AW739">
        <v>1</v>
      </c>
      <c r="AX739">
        <v>-1</v>
      </c>
      <c r="AY739">
        <v>0</v>
      </c>
      <c r="AZ739">
        <v>0</v>
      </c>
      <c r="BA739" t="s">
        <v>6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Y739*Source!I421</f>
        <v>1.9999979999999999</v>
      </c>
      <c r="CY739">
        <f>AA739</f>
        <v>4781.26</v>
      </c>
      <c r="CZ739">
        <f>AE739</f>
        <v>728.85</v>
      </c>
      <c r="DA739">
        <f>AI739</f>
        <v>6.56</v>
      </c>
      <c r="DB739">
        <f t="shared" si="121"/>
        <v>242.95</v>
      </c>
      <c r="DC739">
        <f t="shared" si="122"/>
        <v>0</v>
      </c>
    </row>
    <row r="740" spans="1:107" x14ac:dyDescent="0.2">
      <c r="A740">
        <f>ROW(Source!A421)</f>
        <v>421</v>
      </c>
      <c r="B740">
        <v>16742901</v>
      </c>
      <c r="C740">
        <v>16744942</v>
      </c>
      <c r="D740">
        <v>15164559</v>
      </c>
      <c r="E740">
        <v>17</v>
      </c>
      <c r="F740">
        <v>1</v>
      </c>
      <c r="G740">
        <v>1</v>
      </c>
      <c r="H740">
        <v>3</v>
      </c>
      <c r="I740" t="s">
        <v>1334</v>
      </c>
      <c r="J740" t="s">
        <v>6</v>
      </c>
      <c r="K740" t="s">
        <v>1335</v>
      </c>
      <c r="L740">
        <v>1374</v>
      </c>
      <c r="N740">
        <v>1013</v>
      </c>
      <c r="O740" t="s">
        <v>1336</v>
      </c>
      <c r="P740" t="s">
        <v>1336</v>
      </c>
      <c r="Q740">
        <v>1</v>
      </c>
      <c r="W740">
        <v>0</v>
      </c>
      <c r="X740">
        <v>-1731369543</v>
      </c>
      <c r="Y740">
        <v>0.22</v>
      </c>
      <c r="AA740">
        <v>1</v>
      </c>
      <c r="AB740">
        <v>0</v>
      </c>
      <c r="AC740">
        <v>0</v>
      </c>
      <c r="AD740">
        <v>0</v>
      </c>
      <c r="AE740">
        <v>1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6</v>
      </c>
      <c r="AT740">
        <v>0.22</v>
      </c>
      <c r="AU740" t="s">
        <v>6</v>
      </c>
      <c r="AV740">
        <v>0</v>
      </c>
      <c r="AW740">
        <v>2</v>
      </c>
      <c r="AX740">
        <v>16744955</v>
      </c>
      <c r="AY740">
        <v>1</v>
      </c>
      <c r="AZ740">
        <v>0</v>
      </c>
      <c r="BA740">
        <v>676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Y740*Source!I421</f>
        <v>1.32</v>
      </c>
      <c r="CY740">
        <f>AA740</f>
        <v>1</v>
      </c>
      <c r="CZ740">
        <f>AE740</f>
        <v>1</v>
      </c>
      <c r="DA740">
        <f>AI740</f>
        <v>1</v>
      </c>
      <c r="DB740">
        <f t="shared" si="121"/>
        <v>0.22</v>
      </c>
      <c r="DC740">
        <f t="shared" si="122"/>
        <v>0</v>
      </c>
    </row>
    <row r="741" spans="1:107" x14ac:dyDescent="0.2">
      <c r="A741">
        <f>ROW(Source!A425)</f>
        <v>425</v>
      </c>
      <c r="B741">
        <v>16742901</v>
      </c>
      <c r="C741">
        <v>16744960</v>
      </c>
      <c r="D741">
        <v>15430767</v>
      </c>
      <c r="E741">
        <v>1</v>
      </c>
      <c r="F741">
        <v>1</v>
      </c>
      <c r="G741">
        <v>1</v>
      </c>
      <c r="H741">
        <v>1</v>
      </c>
      <c r="I741" t="s">
        <v>1285</v>
      </c>
      <c r="J741" t="s">
        <v>6</v>
      </c>
      <c r="K741" t="s">
        <v>1286</v>
      </c>
      <c r="L741">
        <v>1191</v>
      </c>
      <c r="N741">
        <v>1013</v>
      </c>
      <c r="O741" t="s">
        <v>1287</v>
      </c>
      <c r="P741" t="s">
        <v>1287</v>
      </c>
      <c r="Q741">
        <v>1</v>
      </c>
      <c r="W741">
        <v>0</v>
      </c>
      <c r="X741">
        <v>-400197608</v>
      </c>
      <c r="Y741">
        <v>5.49</v>
      </c>
      <c r="AA741">
        <v>0</v>
      </c>
      <c r="AB741">
        <v>0</v>
      </c>
      <c r="AC741">
        <v>0</v>
      </c>
      <c r="AD741">
        <v>55.96</v>
      </c>
      <c r="AE741">
        <v>0</v>
      </c>
      <c r="AF741">
        <v>0</v>
      </c>
      <c r="AG741">
        <v>0</v>
      </c>
      <c r="AH741">
        <v>8.5299999999999994</v>
      </c>
      <c r="AI741">
        <v>1</v>
      </c>
      <c r="AJ741">
        <v>1</v>
      </c>
      <c r="AK741">
        <v>1</v>
      </c>
      <c r="AL741">
        <v>6.56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5.49</v>
      </c>
      <c r="AU741" t="s">
        <v>6</v>
      </c>
      <c r="AV741">
        <v>1</v>
      </c>
      <c r="AW741">
        <v>2</v>
      </c>
      <c r="AX741">
        <v>16744962</v>
      </c>
      <c r="AY741">
        <v>1</v>
      </c>
      <c r="AZ741">
        <v>0</v>
      </c>
      <c r="BA741">
        <v>677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Y741*Source!I425</f>
        <v>0.82350000000000001</v>
      </c>
      <c r="CY741">
        <f>AD741</f>
        <v>55.96</v>
      </c>
      <c r="CZ741">
        <f>AH741</f>
        <v>8.5299999999999994</v>
      </c>
      <c r="DA741">
        <f>AL741</f>
        <v>6.56</v>
      </c>
      <c r="DB741">
        <f t="shared" si="121"/>
        <v>46.83</v>
      </c>
      <c r="DC741">
        <f t="shared" si="122"/>
        <v>0</v>
      </c>
    </row>
    <row r="742" spans="1:107" x14ac:dyDescent="0.2">
      <c r="A742">
        <f>ROW(Source!A426)</f>
        <v>426</v>
      </c>
      <c r="B742">
        <v>16742901</v>
      </c>
      <c r="C742">
        <v>16744964</v>
      </c>
      <c r="D742">
        <v>15430397</v>
      </c>
      <c r="E742">
        <v>1</v>
      </c>
      <c r="F742">
        <v>1</v>
      </c>
      <c r="G742">
        <v>1</v>
      </c>
      <c r="H742">
        <v>1</v>
      </c>
      <c r="I742" t="s">
        <v>1323</v>
      </c>
      <c r="J742" t="s">
        <v>6</v>
      </c>
      <c r="K742" t="s">
        <v>1324</v>
      </c>
      <c r="L742">
        <v>1191</v>
      </c>
      <c r="N742">
        <v>1013</v>
      </c>
      <c r="O742" t="s">
        <v>1287</v>
      </c>
      <c r="P742" t="s">
        <v>1287</v>
      </c>
      <c r="Q742">
        <v>1</v>
      </c>
      <c r="W742">
        <v>0</v>
      </c>
      <c r="X742">
        <v>-1081351934</v>
      </c>
      <c r="Y742">
        <v>15.28</v>
      </c>
      <c r="AA742">
        <v>0</v>
      </c>
      <c r="AB742">
        <v>0</v>
      </c>
      <c r="AC742">
        <v>0</v>
      </c>
      <c r="AD742">
        <v>61.66</v>
      </c>
      <c r="AE742">
        <v>0</v>
      </c>
      <c r="AF742">
        <v>0</v>
      </c>
      <c r="AG742">
        <v>0</v>
      </c>
      <c r="AH742">
        <v>9.4</v>
      </c>
      <c r="AI742">
        <v>1</v>
      </c>
      <c r="AJ742">
        <v>1</v>
      </c>
      <c r="AK742">
        <v>1</v>
      </c>
      <c r="AL742">
        <v>6.56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15.28</v>
      </c>
      <c r="AU742" t="s">
        <v>6</v>
      </c>
      <c r="AV742">
        <v>1</v>
      </c>
      <c r="AW742">
        <v>2</v>
      </c>
      <c r="AX742">
        <v>16744976</v>
      </c>
      <c r="AY742">
        <v>1</v>
      </c>
      <c r="AZ742">
        <v>0</v>
      </c>
      <c r="BA742">
        <v>679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Y742*Source!I426</f>
        <v>0.68759999999999999</v>
      </c>
      <c r="CY742">
        <f>AD742</f>
        <v>61.66</v>
      </c>
      <c r="CZ742">
        <f>AH742</f>
        <v>9.4</v>
      </c>
      <c r="DA742">
        <f>AL742</f>
        <v>6.56</v>
      </c>
      <c r="DB742">
        <f t="shared" si="121"/>
        <v>143.63</v>
      </c>
      <c r="DC742">
        <f t="shared" si="122"/>
        <v>0</v>
      </c>
    </row>
    <row r="743" spans="1:107" x14ac:dyDescent="0.2">
      <c r="A743">
        <f>ROW(Source!A426)</f>
        <v>426</v>
      </c>
      <c r="B743">
        <v>16742901</v>
      </c>
      <c r="C743">
        <v>16744964</v>
      </c>
      <c r="D743">
        <v>15430395</v>
      </c>
      <c r="E743">
        <v>1</v>
      </c>
      <c r="F743">
        <v>1</v>
      </c>
      <c r="G743">
        <v>1</v>
      </c>
      <c r="H743">
        <v>1</v>
      </c>
      <c r="I743" t="s">
        <v>1293</v>
      </c>
      <c r="J743" t="s">
        <v>6</v>
      </c>
      <c r="K743" t="s">
        <v>1294</v>
      </c>
      <c r="L743">
        <v>1191</v>
      </c>
      <c r="N743">
        <v>1013</v>
      </c>
      <c r="O743" t="s">
        <v>1287</v>
      </c>
      <c r="P743" t="s">
        <v>1287</v>
      </c>
      <c r="Q743">
        <v>1</v>
      </c>
      <c r="W743">
        <v>0</v>
      </c>
      <c r="X743">
        <v>-1417349443</v>
      </c>
      <c r="Y743">
        <v>0.22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1</v>
      </c>
      <c r="AJ743">
        <v>1</v>
      </c>
      <c r="AK743">
        <v>6.56</v>
      </c>
      <c r="AL743">
        <v>1</v>
      </c>
      <c r="AN743">
        <v>0</v>
      </c>
      <c r="AO743">
        <v>1</v>
      </c>
      <c r="AP743">
        <v>0</v>
      </c>
      <c r="AQ743">
        <v>0</v>
      </c>
      <c r="AR743">
        <v>0</v>
      </c>
      <c r="AS743" t="s">
        <v>6</v>
      </c>
      <c r="AT743">
        <v>0.22</v>
      </c>
      <c r="AU743" t="s">
        <v>6</v>
      </c>
      <c r="AV743">
        <v>2</v>
      </c>
      <c r="AW743">
        <v>2</v>
      </c>
      <c r="AX743">
        <v>16744977</v>
      </c>
      <c r="AY743">
        <v>1</v>
      </c>
      <c r="AZ743">
        <v>0</v>
      </c>
      <c r="BA743">
        <v>680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Y743*Source!I426</f>
        <v>9.8999999999999991E-3</v>
      </c>
      <c r="CY743">
        <f>AD743</f>
        <v>0</v>
      </c>
      <c r="CZ743">
        <f>AH743</f>
        <v>0</v>
      </c>
      <c r="DA743">
        <f>AL743</f>
        <v>1</v>
      </c>
      <c r="DB743">
        <f t="shared" si="121"/>
        <v>0</v>
      </c>
      <c r="DC743">
        <f t="shared" si="122"/>
        <v>0</v>
      </c>
    </row>
    <row r="744" spans="1:107" x14ac:dyDescent="0.2">
      <c r="A744">
        <f>ROW(Source!A426)</f>
        <v>426</v>
      </c>
      <c r="B744">
        <v>16742901</v>
      </c>
      <c r="C744">
        <v>16744964</v>
      </c>
      <c r="D744">
        <v>15247680</v>
      </c>
      <c r="E744">
        <v>1</v>
      </c>
      <c r="F744">
        <v>1</v>
      </c>
      <c r="G744">
        <v>1</v>
      </c>
      <c r="H744">
        <v>2</v>
      </c>
      <c r="I744" t="s">
        <v>1295</v>
      </c>
      <c r="J744" t="s">
        <v>1296</v>
      </c>
      <c r="K744" t="s">
        <v>1297</v>
      </c>
      <c r="L744">
        <v>1368</v>
      </c>
      <c r="N744">
        <v>1011</v>
      </c>
      <c r="O744" t="s">
        <v>1298</v>
      </c>
      <c r="P744" t="s">
        <v>1298</v>
      </c>
      <c r="Q744">
        <v>1</v>
      </c>
      <c r="W744">
        <v>0</v>
      </c>
      <c r="X744">
        <v>-1718674368</v>
      </c>
      <c r="Y744">
        <v>0.11</v>
      </c>
      <c r="AA744">
        <v>0</v>
      </c>
      <c r="AB744">
        <v>734.65</v>
      </c>
      <c r="AC744">
        <v>13.5</v>
      </c>
      <c r="AD744">
        <v>0</v>
      </c>
      <c r="AE744">
        <v>0</v>
      </c>
      <c r="AF744">
        <v>111.99</v>
      </c>
      <c r="AG744">
        <v>13.5</v>
      </c>
      <c r="AH744">
        <v>0</v>
      </c>
      <c r="AI744">
        <v>1</v>
      </c>
      <c r="AJ744">
        <v>6.56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0.11</v>
      </c>
      <c r="AU744" t="s">
        <v>6</v>
      </c>
      <c r="AV744">
        <v>0</v>
      </c>
      <c r="AW744">
        <v>2</v>
      </c>
      <c r="AX744">
        <v>16744978</v>
      </c>
      <c r="AY744">
        <v>1</v>
      </c>
      <c r="AZ744">
        <v>0</v>
      </c>
      <c r="BA744">
        <v>681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Y744*Source!I426</f>
        <v>4.9499999999999995E-3</v>
      </c>
      <c r="CY744">
        <f>AB744</f>
        <v>734.65</v>
      </c>
      <c r="CZ744">
        <f>AF744</f>
        <v>111.99</v>
      </c>
      <c r="DA744">
        <f>AJ744</f>
        <v>6.56</v>
      </c>
      <c r="DB744">
        <f t="shared" si="121"/>
        <v>12.32</v>
      </c>
      <c r="DC744">
        <f t="shared" si="122"/>
        <v>1.49</v>
      </c>
    </row>
    <row r="745" spans="1:107" x14ac:dyDescent="0.2">
      <c r="A745">
        <f>ROW(Source!A426)</f>
        <v>426</v>
      </c>
      <c r="B745">
        <v>16742901</v>
      </c>
      <c r="C745">
        <v>16744964</v>
      </c>
      <c r="D745">
        <v>15249073</v>
      </c>
      <c r="E745">
        <v>1</v>
      </c>
      <c r="F745">
        <v>1</v>
      </c>
      <c r="G745">
        <v>1</v>
      </c>
      <c r="H745">
        <v>2</v>
      </c>
      <c r="I745" t="s">
        <v>1299</v>
      </c>
      <c r="J745" t="s">
        <v>1300</v>
      </c>
      <c r="K745" t="s">
        <v>1301</v>
      </c>
      <c r="L745">
        <v>1368</v>
      </c>
      <c r="N745">
        <v>1011</v>
      </c>
      <c r="O745" t="s">
        <v>1298</v>
      </c>
      <c r="P745" t="s">
        <v>1298</v>
      </c>
      <c r="Q745">
        <v>1</v>
      </c>
      <c r="W745">
        <v>0</v>
      </c>
      <c r="X745">
        <v>1372534845</v>
      </c>
      <c r="Y745">
        <v>0.11</v>
      </c>
      <c r="AA745">
        <v>0</v>
      </c>
      <c r="AB745">
        <v>431.06</v>
      </c>
      <c r="AC745">
        <v>11.6</v>
      </c>
      <c r="AD745">
        <v>0</v>
      </c>
      <c r="AE745">
        <v>0</v>
      </c>
      <c r="AF745">
        <v>65.709999999999994</v>
      </c>
      <c r="AG745">
        <v>11.6</v>
      </c>
      <c r="AH745">
        <v>0</v>
      </c>
      <c r="AI745">
        <v>1</v>
      </c>
      <c r="AJ745">
        <v>6.56</v>
      </c>
      <c r="AK745">
        <v>1</v>
      </c>
      <c r="AL745">
        <v>1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6</v>
      </c>
      <c r="AT745">
        <v>0.11</v>
      </c>
      <c r="AU745" t="s">
        <v>6</v>
      </c>
      <c r="AV745">
        <v>0</v>
      </c>
      <c r="AW745">
        <v>2</v>
      </c>
      <c r="AX745">
        <v>16744979</v>
      </c>
      <c r="AY745">
        <v>1</v>
      </c>
      <c r="AZ745">
        <v>0</v>
      </c>
      <c r="BA745">
        <v>682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Y745*Source!I426</f>
        <v>4.9499999999999995E-3</v>
      </c>
      <c r="CY745">
        <f>AB745</f>
        <v>431.06</v>
      </c>
      <c r="CZ745">
        <f>AF745</f>
        <v>65.709999999999994</v>
      </c>
      <c r="DA745">
        <f>AJ745</f>
        <v>6.56</v>
      </c>
      <c r="DB745">
        <f t="shared" si="121"/>
        <v>7.23</v>
      </c>
      <c r="DC745">
        <f t="shared" si="122"/>
        <v>1.28</v>
      </c>
    </row>
    <row r="746" spans="1:107" x14ac:dyDescent="0.2">
      <c r="A746">
        <f>ROW(Source!A426)</f>
        <v>426</v>
      </c>
      <c r="B746">
        <v>16742901</v>
      </c>
      <c r="C746">
        <v>16744964</v>
      </c>
      <c r="D746">
        <v>15172838</v>
      </c>
      <c r="E746">
        <v>1</v>
      </c>
      <c r="F746">
        <v>1</v>
      </c>
      <c r="G746">
        <v>1</v>
      </c>
      <c r="H746">
        <v>3</v>
      </c>
      <c r="I746" t="s">
        <v>1681</v>
      </c>
      <c r="J746" t="s">
        <v>1682</v>
      </c>
      <c r="K746" t="s">
        <v>1683</v>
      </c>
      <c r="L746">
        <v>1339</v>
      </c>
      <c r="N746">
        <v>1007</v>
      </c>
      <c r="O746" t="s">
        <v>301</v>
      </c>
      <c r="P746" t="s">
        <v>301</v>
      </c>
      <c r="Q746">
        <v>1</v>
      </c>
      <c r="W746">
        <v>0</v>
      </c>
      <c r="X746">
        <v>536744769</v>
      </c>
      <c r="Y746">
        <v>2.1000000000000001E-2</v>
      </c>
      <c r="AA746">
        <v>3936</v>
      </c>
      <c r="AB746">
        <v>0</v>
      </c>
      <c r="AC746">
        <v>0</v>
      </c>
      <c r="AD746">
        <v>0</v>
      </c>
      <c r="AE746">
        <v>600</v>
      </c>
      <c r="AF746">
        <v>0</v>
      </c>
      <c r="AG746">
        <v>0</v>
      </c>
      <c r="AH746">
        <v>0</v>
      </c>
      <c r="AI746">
        <v>6.56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2.1000000000000001E-2</v>
      </c>
      <c r="AU746" t="s">
        <v>6</v>
      </c>
      <c r="AV746">
        <v>0</v>
      </c>
      <c r="AW746">
        <v>2</v>
      </c>
      <c r="AX746">
        <v>16744980</v>
      </c>
      <c r="AY746">
        <v>1</v>
      </c>
      <c r="AZ746">
        <v>0</v>
      </c>
      <c r="BA746">
        <v>683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Y746*Source!I426</f>
        <v>9.4499999999999998E-4</v>
      </c>
      <c r="CY746">
        <f t="shared" ref="CY746:CY752" si="123">AA746</f>
        <v>3936</v>
      </c>
      <c r="CZ746">
        <f t="shared" ref="CZ746:CZ752" si="124">AE746</f>
        <v>600</v>
      </c>
      <c r="DA746">
        <f t="shared" ref="DA746:DA752" si="125">AI746</f>
        <v>6.56</v>
      </c>
      <c r="DB746">
        <f t="shared" si="121"/>
        <v>12.6</v>
      </c>
      <c r="DC746">
        <f t="shared" si="122"/>
        <v>0</v>
      </c>
    </row>
    <row r="747" spans="1:107" x14ac:dyDescent="0.2">
      <c r="A747">
        <f>ROW(Source!A426)</f>
        <v>426</v>
      </c>
      <c r="B747">
        <v>16742901</v>
      </c>
      <c r="C747">
        <v>16744964</v>
      </c>
      <c r="D747">
        <v>15202442</v>
      </c>
      <c r="E747">
        <v>1</v>
      </c>
      <c r="F747">
        <v>1</v>
      </c>
      <c r="G747">
        <v>1</v>
      </c>
      <c r="H747">
        <v>3</v>
      </c>
      <c r="I747" t="s">
        <v>1684</v>
      </c>
      <c r="J747" t="s">
        <v>1685</v>
      </c>
      <c r="K747" t="s">
        <v>1686</v>
      </c>
      <c r="L747">
        <v>1346</v>
      </c>
      <c r="N747">
        <v>1009</v>
      </c>
      <c r="O747" t="s">
        <v>341</v>
      </c>
      <c r="P747" t="s">
        <v>341</v>
      </c>
      <c r="Q747">
        <v>1</v>
      </c>
      <c r="W747">
        <v>0</v>
      </c>
      <c r="X747">
        <v>505519491</v>
      </c>
      <c r="Y747">
        <v>0.4</v>
      </c>
      <c r="AA747">
        <v>169.25</v>
      </c>
      <c r="AB747">
        <v>0</v>
      </c>
      <c r="AC747">
        <v>0</v>
      </c>
      <c r="AD747">
        <v>0</v>
      </c>
      <c r="AE747">
        <v>25.8</v>
      </c>
      <c r="AF747">
        <v>0</v>
      </c>
      <c r="AG747">
        <v>0</v>
      </c>
      <c r="AH747">
        <v>0</v>
      </c>
      <c r="AI747">
        <v>6.56</v>
      </c>
      <c r="AJ747">
        <v>1</v>
      </c>
      <c r="AK747">
        <v>1</v>
      </c>
      <c r="AL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6</v>
      </c>
      <c r="AT747">
        <v>0.4</v>
      </c>
      <c r="AU747" t="s">
        <v>6</v>
      </c>
      <c r="AV747">
        <v>0</v>
      </c>
      <c r="AW747">
        <v>2</v>
      </c>
      <c r="AX747">
        <v>16744981</v>
      </c>
      <c r="AY747">
        <v>1</v>
      </c>
      <c r="AZ747">
        <v>0</v>
      </c>
      <c r="BA747">
        <v>684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Y747*Source!I426</f>
        <v>1.7999999999999999E-2</v>
      </c>
      <c r="CY747">
        <f t="shared" si="123"/>
        <v>169.25</v>
      </c>
      <c r="CZ747">
        <f t="shared" si="124"/>
        <v>25.8</v>
      </c>
      <c r="DA747">
        <f t="shared" si="125"/>
        <v>6.56</v>
      </c>
      <c r="DB747">
        <f t="shared" si="121"/>
        <v>10.32</v>
      </c>
      <c r="DC747">
        <f t="shared" si="122"/>
        <v>0</v>
      </c>
    </row>
    <row r="748" spans="1:107" x14ac:dyDescent="0.2">
      <c r="A748">
        <f>ROW(Source!A426)</f>
        <v>426</v>
      </c>
      <c r="B748">
        <v>16742901</v>
      </c>
      <c r="C748">
        <v>16744964</v>
      </c>
      <c r="D748">
        <v>15217585</v>
      </c>
      <c r="E748">
        <v>1</v>
      </c>
      <c r="F748">
        <v>1</v>
      </c>
      <c r="G748">
        <v>1</v>
      </c>
      <c r="H748">
        <v>3</v>
      </c>
      <c r="I748" t="s">
        <v>1687</v>
      </c>
      <c r="J748" t="s">
        <v>1688</v>
      </c>
      <c r="K748" t="s">
        <v>1689</v>
      </c>
      <c r="L748">
        <v>1356</v>
      </c>
      <c r="N748">
        <v>1010</v>
      </c>
      <c r="O748" t="s">
        <v>306</v>
      </c>
      <c r="P748" t="s">
        <v>306</v>
      </c>
      <c r="Q748">
        <v>1000</v>
      </c>
      <c r="W748">
        <v>0</v>
      </c>
      <c r="X748">
        <v>40709342</v>
      </c>
      <c r="Y748">
        <v>3.2000000000000001E-2</v>
      </c>
      <c r="AA748">
        <v>1771.2</v>
      </c>
      <c r="AB748">
        <v>0</v>
      </c>
      <c r="AC748">
        <v>0</v>
      </c>
      <c r="AD748">
        <v>0</v>
      </c>
      <c r="AE748">
        <v>270</v>
      </c>
      <c r="AF748">
        <v>0</v>
      </c>
      <c r="AG748">
        <v>0</v>
      </c>
      <c r="AH748">
        <v>0</v>
      </c>
      <c r="AI748">
        <v>6.56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3.2000000000000001E-2</v>
      </c>
      <c r="AU748" t="s">
        <v>6</v>
      </c>
      <c r="AV748">
        <v>0</v>
      </c>
      <c r="AW748">
        <v>2</v>
      </c>
      <c r="AX748">
        <v>16744982</v>
      </c>
      <c r="AY748">
        <v>1</v>
      </c>
      <c r="AZ748">
        <v>0</v>
      </c>
      <c r="BA748">
        <v>685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Y748*Source!I426</f>
        <v>1.4399999999999999E-3</v>
      </c>
      <c r="CY748">
        <f t="shared" si="123"/>
        <v>1771.2</v>
      </c>
      <c r="CZ748">
        <f t="shared" si="124"/>
        <v>270</v>
      </c>
      <c r="DA748">
        <f t="shared" si="125"/>
        <v>6.56</v>
      </c>
      <c r="DB748">
        <f t="shared" si="121"/>
        <v>8.64</v>
      </c>
      <c r="DC748">
        <f t="shared" si="122"/>
        <v>0</v>
      </c>
    </row>
    <row r="749" spans="1:107" x14ac:dyDescent="0.2">
      <c r="A749">
        <f>ROW(Source!A426)</f>
        <v>426</v>
      </c>
      <c r="B749">
        <v>16742901</v>
      </c>
      <c r="C749">
        <v>16744964</v>
      </c>
      <c r="D749">
        <v>15217593</v>
      </c>
      <c r="E749">
        <v>1</v>
      </c>
      <c r="F749">
        <v>1</v>
      </c>
      <c r="G749">
        <v>1</v>
      </c>
      <c r="H749">
        <v>3</v>
      </c>
      <c r="I749" t="s">
        <v>1690</v>
      </c>
      <c r="J749" t="s">
        <v>1691</v>
      </c>
      <c r="K749" t="s">
        <v>1692</v>
      </c>
      <c r="L749">
        <v>1358</v>
      </c>
      <c r="N749">
        <v>1010</v>
      </c>
      <c r="O749" t="s">
        <v>723</v>
      </c>
      <c r="P749" t="s">
        <v>723</v>
      </c>
      <c r="Q749">
        <v>10</v>
      </c>
      <c r="W749">
        <v>0</v>
      </c>
      <c r="X749">
        <v>-1110089157</v>
      </c>
      <c r="Y749">
        <v>1</v>
      </c>
      <c r="AA749">
        <v>130.54</v>
      </c>
      <c r="AB749">
        <v>0</v>
      </c>
      <c r="AC749">
        <v>0</v>
      </c>
      <c r="AD749">
        <v>0</v>
      </c>
      <c r="AE749">
        <v>19.899999999999999</v>
      </c>
      <c r="AF749">
        <v>0</v>
      </c>
      <c r="AG749">
        <v>0</v>
      </c>
      <c r="AH749">
        <v>0</v>
      </c>
      <c r="AI749">
        <v>6.56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6</v>
      </c>
      <c r="AT749">
        <v>1</v>
      </c>
      <c r="AU749" t="s">
        <v>6</v>
      </c>
      <c r="AV749">
        <v>0</v>
      </c>
      <c r="AW749">
        <v>2</v>
      </c>
      <c r="AX749">
        <v>16744983</v>
      </c>
      <c r="AY749">
        <v>1</v>
      </c>
      <c r="AZ749">
        <v>0</v>
      </c>
      <c r="BA749">
        <v>686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Y749*Source!I426</f>
        <v>4.4999999999999998E-2</v>
      </c>
      <c r="CY749">
        <f t="shared" si="123"/>
        <v>130.54</v>
      </c>
      <c r="CZ749">
        <f t="shared" si="124"/>
        <v>19.899999999999999</v>
      </c>
      <c r="DA749">
        <f t="shared" si="125"/>
        <v>6.56</v>
      </c>
      <c r="DB749">
        <f t="shared" si="121"/>
        <v>19.899999999999999</v>
      </c>
      <c r="DC749">
        <f t="shared" si="122"/>
        <v>0</v>
      </c>
    </row>
    <row r="750" spans="1:107" x14ac:dyDescent="0.2">
      <c r="A750">
        <f>ROW(Source!A426)</f>
        <v>426</v>
      </c>
      <c r="B750">
        <v>16742901</v>
      </c>
      <c r="C750">
        <v>16744964</v>
      </c>
      <c r="D750">
        <v>15218939</v>
      </c>
      <c r="E750">
        <v>1</v>
      </c>
      <c r="F750">
        <v>1</v>
      </c>
      <c r="G750">
        <v>1</v>
      </c>
      <c r="H750">
        <v>3</v>
      </c>
      <c r="I750" t="s">
        <v>1693</v>
      </c>
      <c r="J750" t="s">
        <v>1694</v>
      </c>
      <c r="K750" t="s">
        <v>1695</v>
      </c>
      <c r="L750">
        <v>1354</v>
      </c>
      <c r="N750">
        <v>1010</v>
      </c>
      <c r="O750" t="s">
        <v>73</v>
      </c>
      <c r="P750" t="s">
        <v>73</v>
      </c>
      <c r="Q750">
        <v>1</v>
      </c>
      <c r="W750">
        <v>0</v>
      </c>
      <c r="X750">
        <v>-1308137011</v>
      </c>
      <c r="Y750">
        <v>0.5</v>
      </c>
      <c r="AA750">
        <v>438.34</v>
      </c>
      <c r="AB750">
        <v>0</v>
      </c>
      <c r="AC750">
        <v>0</v>
      </c>
      <c r="AD750">
        <v>0</v>
      </c>
      <c r="AE750">
        <v>66.819999999999993</v>
      </c>
      <c r="AF750">
        <v>0</v>
      </c>
      <c r="AG750">
        <v>0</v>
      </c>
      <c r="AH750">
        <v>0</v>
      </c>
      <c r="AI750">
        <v>6.56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0.5</v>
      </c>
      <c r="AU750" t="s">
        <v>6</v>
      </c>
      <c r="AV750">
        <v>0</v>
      </c>
      <c r="AW750">
        <v>2</v>
      </c>
      <c r="AX750">
        <v>16744984</v>
      </c>
      <c r="AY750">
        <v>1</v>
      </c>
      <c r="AZ750">
        <v>0</v>
      </c>
      <c r="BA750">
        <v>687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Y750*Source!I426</f>
        <v>2.2499999999999999E-2</v>
      </c>
      <c r="CY750">
        <f t="shared" si="123"/>
        <v>438.34</v>
      </c>
      <c r="CZ750">
        <f t="shared" si="124"/>
        <v>66.819999999999993</v>
      </c>
      <c r="DA750">
        <f t="shared" si="125"/>
        <v>6.56</v>
      </c>
      <c r="DB750">
        <f t="shared" si="121"/>
        <v>33.409999999999997</v>
      </c>
      <c r="DC750">
        <f t="shared" si="122"/>
        <v>0</v>
      </c>
    </row>
    <row r="751" spans="1:107" x14ac:dyDescent="0.2">
      <c r="A751">
        <f>ROW(Source!A426)</f>
        <v>426</v>
      </c>
      <c r="B751">
        <v>16742901</v>
      </c>
      <c r="C751">
        <v>16744964</v>
      </c>
      <c r="D751">
        <v>15233361</v>
      </c>
      <c r="E751">
        <v>1</v>
      </c>
      <c r="F751">
        <v>1</v>
      </c>
      <c r="G751">
        <v>1</v>
      </c>
      <c r="H751">
        <v>3</v>
      </c>
      <c r="I751" t="s">
        <v>782</v>
      </c>
      <c r="J751" t="s">
        <v>784</v>
      </c>
      <c r="K751" t="s">
        <v>783</v>
      </c>
      <c r="L751">
        <v>1302</v>
      </c>
      <c r="N751">
        <v>1003</v>
      </c>
      <c r="O751" t="s">
        <v>740</v>
      </c>
      <c r="P751" t="s">
        <v>740</v>
      </c>
      <c r="Q751">
        <v>10</v>
      </c>
      <c r="W751">
        <v>0</v>
      </c>
      <c r="X751">
        <v>1974421767</v>
      </c>
      <c r="Y751">
        <v>10</v>
      </c>
      <c r="AA751">
        <v>521.32000000000005</v>
      </c>
      <c r="AB751">
        <v>0</v>
      </c>
      <c r="AC751">
        <v>0</v>
      </c>
      <c r="AD751">
        <v>0</v>
      </c>
      <c r="AE751">
        <v>79.47</v>
      </c>
      <c r="AF751">
        <v>0</v>
      </c>
      <c r="AG751">
        <v>0</v>
      </c>
      <c r="AH751">
        <v>0</v>
      </c>
      <c r="AI751">
        <v>6.56</v>
      </c>
      <c r="AJ751">
        <v>1</v>
      </c>
      <c r="AK751">
        <v>1</v>
      </c>
      <c r="AL751">
        <v>1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6</v>
      </c>
      <c r="AT751">
        <v>10</v>
      </c>
      <c r="AU751" t="s">
        <v>6</v>
      </c>
      <c r="AV751">
        <v>0</v>
      </c>
      <c r="AW751">
        <v>1</v>
      </c>
      <c r="AX751">
        <v>-1</v>
      </c>
      <c r="AY751">
        <v>0</v>
      </c>
      <c r="AZ751">
        <v>0</v>
      </c>
      <c r="BA751" t="s">
        <v>6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Y751*Source!I426</f>
        <v>0.44999999999999996</v>
      </c>
      <c r="CY751">
        <f t="shared" si="123"/>
        <v>521.32000000000005</v>
      </c>
      <c r="CZ751">
        <f t="shared" si="124"/>
        <v>79.47</v>
      </c>
      <c r="DA751">
        <f t="shared" si="125"/>
        <v>6.56</v>
      </c>
      <c r="DB751">
        <f t="shared" si="121"/>
        <v>794.7</v>
      </c>
      <c r="DC751">
        <f t="shared" si="122"/>
        <v>0</v>
      </c>
    </row>
    <row r="752" spans="1:107" x14ac:dyDescent="0.2">
      <c r="A752">
        <f>ROW(Source!A426)</f>
        <v>426</v>
      </c>
      <c r="B752">
        <v>16742901</v>
      </c>
      <c r="C752">
        <v>16744964</v>
      </c>
      <c r="D752">
        <v>15164559</v>
      </c>
      <c r="E752">
        <v>17</v>
      </c>
      <c r="F752">
        <v>1</v>
      </c>
      <c r="G752">
        <v>1</v>
      </c>
      <c r="H752">
        <v>3</v>
      </c>
      <c r="I752" t="s">
        <v>1334</v>
      </c>
      <c r="J752" t="s">
        <v>6</v>
      </c>
      <c r="K752" t="s">
        <v>1335</v>
      </c>
      <c r="L752">
        <v>1374</v>
      </c>
      <c r="N752">
        <v>1013</v>
      </c>
      <c r="O752" t="s">
        <v>1336</v>
      </c>
      <c r="P752" t="s">
        <v>1336</v>
      </c>
      <c r="Q752">
        <v>1</v>
      </c>
      <c r="W752">
        <v>0</v>
      </c>
      <c r="X752">
        <v>-1731369543</v>
      </c>
      <c r="Y752">
        <v>2.87</v>
      </c>
      <c r="AA752">
        <v>1</v>
      </c>
      <c r="AB752">
        <v>0</v>
      </c>
      <c r="AC752">
        <v>0</v>
      </c>
      <c r="AD752">
        <v>0</v>
      </c>
      <c r="AE752">
        <v>1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2.87</v>
      </c>
      <c r="AU752" t="s">
        <v>6</v>
      </c>
      <c r="AV752">
        <v>0</v>
      </c>
      <c r="AW752">
        <v>2</v>
      </c>
      <c r="AX752">
        <v>16744985</v>
      </c>
      <c r="AY752">
        <v>1</v>
      </c>
      <c r="AZ752">
        <v>0</v>
      </c>
      <c r="BA752">
        <v>688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Y752*Source!I426</f>
        <v>0.12914999999999999</v>
      </c>
      <c r="CY752">
        <f t="shared" si="123"/>
        <v>1</v>
      </c>
      <c r="CZ752">
        <f t="shared" si="124"/>
        <v>1</v>
      </c>
      <c r="DA752">
        <f t="shared" si="125"/>
        <v>1</v>
      </c>
      <c r="DB752">
        <f t="shared" si="121"/>
        <v>2.87</v>
      </c>
      <c r="DC752">
        <f t="shared" si="122"/>
        <v>0</v>
      </c>
    </row>
    <row r="753" spans="1:107" x14ac:dyDescent="0.2">
      <c r="A753">
        <f>ROW(Source!A428)</f>
        <v>428</v>
      </c>
      <c r="B753">
        <v>16742901</v>
      </c>
      <c r="C753">
        <v>16744987</v>
      </c>
      <c r="D753">
        <v>15436556</v>
      </c>
      <c r="E753">
        <v>1</v>
      </c>
      <c r="F753">
        <v>1</v>
      </c>
      <c r="G753">
        <v>1</v>
      </c>
      <c r="H753">
        <v>1</v>
      </c>
      <c r="I753" t="s">
        <v>1490</v>
      </c>
      <c r="J753" t="s">
        <v>6</v>
      </c>
      <c r="K753" t="s">
        <v>1491</v>
      </c>
      <c r="L753">
        <v>1191</v>
      </c>
      <c r="N753">
        <v>1013</v>
      </c>
      <c r="O753" t="s">
        <v>1287</v>
      </c>
      <c r="P753" t="s">
        <v>1287</v>
      </c>
      <c r="Q753">
        <v>1</v>
      </c>
      <c r="W753">
        <v>0</v>
      </c>
      <c r="X753">
        <v>1069510174</v>
      </c>
      <c r="Y753">
        <v>1.68</v>
      </c>
      <c r="AA753">
        <v>0</v>
      </c>
      <c r="AB753">
        <v>0</v>
      </c>
      <c r="AC753">
        <v>0</v>
      </c>
      <c r="AD753">
        <v>63.11</v>
      </c>
      <c r="AE753">
        <v>0</v>
      </c>
      <c r="AF753">
        <v>0</v>
      </c>
      <c r="AG753">
        <v>0</v>
      </c>
      <c r="AH753">
        <v>9.6199999999999992</v>
      </c>
      <c r="AI753">
        <v>1</v>
      </c>
      <c r="AJ753">
        <v>1</v>
      </c>
      <c r="AK753">
        <v>1</v>
      </c>
      <c r="AL753">
        <v>6.56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6</v>
      </c>
      <c r="AT753">
        <v>1.68</v>
      </c>
      <c r="AU753" t="s">
        <v>6</v>
      </c>
      <c r="AV753">
        <v>1</v>
      </c>
      <c r="AW753">
        <v>2</v>
      </c>
      <c r="AX753">
        <v>16744995</v>
      </c>
      <c r="AY753">
        <v>1</v>
      </c>
      <c r="AZ753">
        <v>0</v>
      </c>
      <c r="BA753">
        <v>689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Y753*Source!I428</f>
        <v>6.72</v>
      </c>
      <c r="CY753">
        <f>AD753</f>
        <v>63.11</v>
      </c>
      <c r="CZ753">
        <f>AH753</f>
        <v>9.6199999999999992</v>
      </c>
      <c r="DA753">
        <f>AL753</f>
        <v>6.56</v>
      </c>
      <c r="DB753">
        <f t="shared" si="121"/>
        <v>16.16</v>
      </c>
      <c r="DC753">
        <f t="shared" si="122"/>
        <v>0</v>
      </c>
    </row>
    <row r="754" spans="1:107" x14ac:dyDescent="0.2">
      <c r="A754">
        <f>ROW(Source!A428)</f>
        <v>428</v>
      </c>
      <c r="B754">
        <v>16742901</v>
      </c>
      <c r="C754">
        <v>16744987</v>
      </c>
      <c r="D754">
        <v>15165524</v>
      </c>
      <c r="E754">
        <v>1</v>
      </c>
      <c r="F754">
        <v>1</v>
      </c>
      <c r="G754">
        <v>1</v>
      </c>
      <c r="H754">
        <v>3</v>
      </c>
      <c r="I754" t="s">
        <v>1747</v>
      </c>
      <c r="J754" t="s">
        <v>1748</v>
      </c>
      <c r="K754" t="s">
        <v>1749</v>
      </c>
      <c r="L754">
        <v>1348</v>
      </c>
      <c r="N754">
        <v>1009</v>
      </c>
      <c r="O754" t="s">
        <v>100</v>
      </c>
      <c r="P754" t="s">
        <v>100</v>
      </c>
      <c r="Q754">
        <v>1000</v>
      </c>
      <c r="W754">
        <v>0</v>
      </c>
      <c r="X754">
        <v>-168273048</v>
      </c>
      <c r="Y754">
        <v>8.0000000000000004E-4</v>
      </c>
      <c r="AA754">
        <v>29443.9</v>
      </c>
      <c r="AB754">
        <v>0</v>
      </c>
      <c r="AC754">
        <v>0</v>
      </c>
      <c r="AD754">
        <v>0</v>
      </c>
      <c r="AE754">
        <v>4488.3999999999996</v>
      </c>
      <c r="AF754">
        <v>0</v>
      </c>
      <c r="AG754">
        <v>0</v>
      </c>
      <c r="AH754">
        <v>0</v>
      </c>
      <c r="AI754">
        <v>6.56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8.0000000000000004E-4</v>
      </c>
      <c r="AU754" t="s">
        <v>6</v>
      </c>
      <c r="AV754">
        <v>0</v>
      </c>
      <c r="AW754">
        <v>2</v>
      </c>
      <c r="AX754">
        <v>16744996</v>
      </c>
      <c r="AY754">
        <v>1</v>
      </c>
      <c r="AZ754">
        <v>0</v>
      </c>
      <c r="BA754">
        <v>690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Y754*Source!I428</f>
        <v>3.2000000000000002E-3</v>
      </c>
      <c r="CY754">
        <f t="shared" ref="CY754:CY759" si="126">AA754</f>
        <v>29443.9</v>
      </c>
      <c r="CZ754">
        <f t="shared" ref="CZ754:CZ759" si="127">AE754</f>
        <v>4488.3999999999996</v>
      </c>
      <c r="DA754">
        <f t="shared" ref="DA754:DA759" si="128">AI754</f>
        <v>6.56</v>
      </c>
      <c r="DB754">
        <f t="shared" si="121"/>
        <v>3.59</v>
      </c>
      <c r="DC754">
        <f t="shared" si="122"/>
        <v>0</v>
      </c>
    </row>
    <row r="755" spans="1:107" x14ac:dyDescent="0.2">
      <c r="A755">
        <f>ROW(Source!A428)</f>
        <v>428</v>
      </c>
      <c r="B755">
        <v>16742901</v>
      </c>
      <c r="C755">
        <v>16744987</v>
      </c>
      <c r="D755">
        <v>15165560</v>
      </c>
      <c r="E755">
        <v>1</v>
      </c>
      <c r="F755">
        <v>1</v>
      </c>
      <c r="G755">
        <v>1</v>
      </c>
      <c r="H755">
        <v>3</v>
      </c>
      <c r="I755" t="s">
        <v>1750</v>
      </c>
      <c r="J755" t="s">
        <v>1751</v>
      </c>
      <c r="K755" t="s">
        <v>1752</v>
      </c>
      <c r="L755">
        <v>1348</v>
      </c>
      <c r="N755">
        <v>1009</v>
      </c>
      <c r="O755" t="s">
        <v>100</v>
      </c>
      <c r="P755" t="s">
        <v>100</v>
      </c>
      <c r="Q755">
        <v>1000</v>
      </c>
      <c r="W755">
        <v>0</v>
      </c>
      <c r="X755">
        <v>-1449423263</v>
      </c>
      <c r="Y755">
        <v>1.0000000000000001E-5</v>
      </c>
      <c r="AA755">
        <v>53173.46</v>
      </c>
      <c r="AB755">
        <v>0</v>
      </c>
      <c r="AC755">
        <v>0</v>
      </c>
      <c r="AD755">
        <v>0</v>
      </c>
      <c r="AE755">
        <v>8105.71</v>
      </c>
      <c r="AF755">
        <v>0</v>
      </c>
      <c r="AG755">
        <v>0</v>
      </c>
      <c r="AH755">
        <v>0</v>
      </c>
      <c r="AI755">
        <v>6.56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6</v>
      </c>
      <c r="AT755">
        <v>1.0000000000000001E-5</v>
      </c>
      <c r="AU755" t="s">
        <v>6</v>
      </c>
      <c r="AV755">
        <v>0</v>
      </c>
      <c r="AW755">
        <v>2</v>
      </c>
      <c r="AX755">
        <v>16744997</v>
      </c>
      <c r="AY755">
        <v>1</v>
      </c>
      <c r="AZ755">
        <v>0</v>
      </c>
      <c r="BA755">
        <v>691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Y755*Source!I428</f>
        <v>4.0000000000000003E-5</v>
      </c>
      <c r="CY755">
        <f t="shared" si="126"/>
        <v>53173.46</v>
      </c>
      <c r="CZ755">
        <f t="shared" si="127"/>
        <v>8105.71</v>
      </c>
      <c r="DA755">
        <f t="shared" si="128"/>
        <v>6.56</v>
      </c>
      <c r="DB755">
        <f t="shared" si="121"/>
        <v>0.08</v>
      </c>
      <c r="DC755">
        <f t="shared" si="122"/>
        <v>0</v>
      </c>
    </row>
    <row r="756" spans="1:107" x14ac:dyDescent="0.2">
      <c r="A756">
        <f>ROW(Source!A428)</f>
        <v>428</v>
      </c>
      <c r="B756">
        <v>16742901</v>
      </c>
      <c r="C756">
        <v>16744987</v>
      </c>
      <c r="D756">
        <v>15165660</v>
      </c>
      <c r="E756">
        <v>1</v>
      </c>
      <c r="F756">
        <v>1</v>
      </c>
      <c r="G756">
        <v>1</v>
      </c>
      <c r="H756">
        <v>3</v>
      </c>
      <c r="I756" t="s">
        <v>1359</v>
      </c>
      <c r="J756" t="s">
        <v>1360</v>
      </c>
      <c r="K756" t="s">
        <v>1361</v>
      </c>
      <c r="L756">
        <v>1346</v>
      </c>
      <c r="N756">
        <v>1009</v>
      </c>
      <c r="O756" t="s">
        <v>341</v>
      </c>
      <c r="P756" t="s">
        <v>341</v>
      </c>
      <c r="Q756">
        <v>1</v>
      </c>
      <c r="W756">
        <v>0</v>
      </c>
      <c r="X756">
        <v>1721895514</v>
      </c>
      <c r="Y756">
        <v>0.15</v>
      </c>
      <c r="AA756">
        <v>39.950000000000003</v>
      </c>
      <c r="AB756">
        <v>0</v>
      </c>
      <c r="AC756">
        <v>0</v>
      </c>
      <c r="AD756">
        <v>0</v>
      </c>
      <c r="AE756">
        <v>6.09</v>
      </c>
      <c r="AF756">
        <v>0</v>
      </c>
      <c r="AG756">
        <v>0</v>
      </c>
      <c r="AH756">
        <v>0</v>
      </c>
      <c r="AI756">
        <v>6.56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0.15</v>
      </c>
      <c r="AU756" t="s">
        <v>6</v>
      </c>
      <c r="AV756">
        <v>0</v>
      </c>
      <c r="AW756">
        <v>2</v>
      </c>
      <c r="AX756">
        <v>16744998</v>
      </c>
      <c r="AY756">
        <v>1</v>
      </c>
      <c r="AZ756">
        <v>0</v>
      </c>
      <c r="BA756">
        <v>692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Y756*Source!I428</f>
        <v>0.6</v>
      </c>
      <c r="CY756">
        <f t="shared" si="126"/>
        <v>39.950000000000003</v>
      </c>
      <c r="CZ756">
        <f t="shared" si="127"/>
        <v>6.09</v>
      </c>
      <c r="DA756">
        <f t="shared" si="128"/>
        <v>6.56</v>
      </c>
      <c r="DB756">
        <f t="shared" si="121"/>
        <v>0.91</v>
      </c>
      <c r="DC756">
        <f t="shared" si="122"/>
        <v>0</v>
      </c>
    </row>
    <row r="757" spans="1:107" x14ac:dyDescent="0.2">
      <c r="A757">
        <f>ROW(Source!A428)</f>
        <v>428</v>
      </c>
      <c r="B757">
        <v>16742901</v>
      </c>
      <c r="C757">
        <v>16744987</v>
      </c>
      <c r="D757">
        <v>15167600</v>
      </c>
      <c r="E757">
        <v>1</v>
      </c>
      <c r="F757">
        <v>1</v>
      </c>
      <c r="G757">
        <v>1</v>
      </c>
      <c r="H757">
        <v>3</v>
      </c>
      <c r="I757" t="s">
        <v>1675</v>
      </c>
      <c r="J757" t="s">
        <v>1676</v>
      </c>
      <c r="K757" t="s">
        <v>1677</v>
      </c>
      <c r="L757">
        <v>1308</v>
      </c>
      <c r="N757">
        <v>1003</v>
      </c>
      <c r="O757" t="s">
        <v>34</v>
      </c>
      <c r="P757" t="s">
        <v>34</v>
      </c>
      <c r="Q757">
        <v>100</v>
      </c>
      <c r="W757">
        <v>0</v>
      </c>
      <c r="X757">
        <v>568244124</v>
      </c>
      <c r="Y757">
        <v>2.3999999999999998E-3</v>
      </c>
      <c r="AA757">
        <v>787.2</v>
      </c>
      <c r="AB757">
        <v>0</v>
      </c>
      <c r="AC757">
        <v>0</v>
      </c>
      <c r="AD757">
        <v>0</v>
      </c>
      <c r="AE757">
        <v>120</v>
      </c>
      <c r="AF757">
        <v>0</v>
      </c>
      <c r="AG757">
        <v>0</v>
      </c>
      <c r="AH757">
        <v>0</v>
      </c>
      <c r="AI757">
        <v>6.56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6</v>
      </c>
      <c r="AT757">
        <v>2.3999999999999998E-3</v>
      </c>
      <c r="AU757" t="s">
        <v>6</v>
      </c>
      <c r="AV757">
        <v>0</v>
      </c>
      <c r="AW757">
        <v>2</v>
      </c>
      <c r="AX757">
        <v>16744999</v>
      </c>
      <c r="AY757">
        <v>1</v>
      </c>
      <c r="AZ757">
        <v>0</v>
      </c>
      <c r="BA757">
        <v>693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Y757*Source!I428</f>
        <v>9.5999999999999992E-3</v>
      </c>
      <c r="CY757">
        <f t="shared" si="126"/>
        <v>787.2</v>
      </c>
      <c r="CZ757">
        <f t="shared" si="127"/>
        <v>120</v>
      </c>
      <c r="DA757">
        <f t="shared" si="128"/>
        <v>6.56</v>
      </c>
      <c r="DB757">
        <f t="shared" si="121"/>
        <v>0.28999999999999998</v>
      </c>
      <c r="DC757">
        <f t="shared" si="122"/>
        <v>0</v>
      </c>
    </row>
    <row r="758" spans="1:107" x14ac:dyDescent="0.2">
      <c r="A758">
        <f>ROW(Source!A428)</f>
        <v>428</v>
      </c>
      <c r="B758">
        <v>16742901</v>
      </c>
      <c r="C758">
        <v>16744987</v>
      </c>
      <c r="D758">
        <v>15217658</v>
      </c>
      <c r="E758">
        <v>1</v>
      </c>
      <c r="F758">
        <v>1</v>
      </c>
      <c r="G758">
        <v>1</v>
      </c>
      <c r="H758">
        <v>3</v>
      </c>
      <c r="I758" t="s">
        <v>958</v>
      </c>
      <c r="J758" t="s">
        <v>960</v>
      </c>
      <c r="K758" t="s">
        <v>959</v>
      </c>
      <c r="L758">
        <v>1354</v>
      </c>
      <c r="N758">
        <v>1010</v>
      </c>
      <c r="O758" t="s">
        <v>73</v>
      </c>
      <c r="P758" t="s">
        <v>73</v>
      </c>
      <c r="Q758">
        <v>1</v>
      </c>
      <c r="W758">
        <v>0</v>
      </c>
      <c r="X758">
        <v>-11282944</v>
      </c>
      <c r="Y758">
        <v>1</v>
      </c>
      <c r="AA758">
        <v>249.28</v>
      </c>
      <c r="AB758">
        <v>0</v>
      </c>
      <c r="AC758">
        <v>0</v>
      </c>
      <c r="AD758">
        <v>0</v>
      </c>
      <c r="AE758">
        <v>38</v>
      </c>
      <c r="AF758">
        <v>0</v>
      </c>
      <c r="AG758">
        <v>0</v>
      </c>
      <c r="AH758">
        <v>0</v>
      </c>
      <c r="AI758">
        <v>6.56</v>
      </c>
      <c r="AJ758">
        <v>1</v>
      </c>
      <c r="AK758">
        <v>1</v>
      </c>
      <c r="AL758">
        <v>1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</v>
      </c>
      <c r="AT758">
        <v>1</v>
      </c>
      <c r="AU758" t="s">
        <v>6</v>
      </c>
      <c r="AV758">
        <v>0</v>
      </c>
      <c r="AW758">
        <v>1</v>
      </c>
      <c r="AX758">
        <v>-1</v>
      </c>
      <c r="AY758">
        <v>0</v>
      </c>
      <c r="AZ758">
        <v>0</v>
      </c>
      <c r="BA758" t="s">
        <v>6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Y758*Source!I428</f>
        <v>4</v>
      </c>
      <c r="CY758">
        <f t="shared" si="126"/>
        <v>249.28</v>
      </c>
      <c r="CZ758">
        <f t="shared" si="127"/>
        <v>38</v>
      </c>
      <c r="DA758">
        <f t="shared" si="128"/>
        <v>6.56</v>
      </c>
      <c r="DB758">
        <f t="shared" si="121"/>
        <v>38</v>
      </c>
      <c r="DC758">
        <f t="shared" si="122"/>
        <v>0</v>
      </c>
    </row>
    <row r="759" spans="1:107" x14ac:dyDescent="0.2">
      <c r="A759">
        <f>ROW(Source!A428)</f>
        <v>428</v>
      </c>
      <c r="B759">
        <v>16742901</v>
      </c>
      <c r="C759">
        <v>16744987</v>
      </c>
      <c r="D759">
        <v>15164559</v>
      </c>
      <c r="E759">
        <v>17</v>
      </c>
      <c r="F759">
        <v>1</v>
      </c>
      <c r="G759">
        <v>1</v>
      </c>
      <c r="H759">
        <v>3</v>
      </c>
      <c r="I759" t="s">
        <v>1334</v>
      </c>
      <c r="J759" t="s">
        <v>6</v>
      </c>
      <c r="K759" t="s">
        <v>1335</v>
      </c>
      <c r="L759">
        <v>1374</v>
      </c>
      <c r="N759">
        <v>1013</v>
      </c>
      <c r="O759" t="s">
        <v>1336</v>
      </c>
      <c r="P759" t="s">
        <v>1336</v>
      </c>
      <c r="Q759">
        <v>1</v>
      </c>
      <c r="W759">
        <v>0</v>
      </c>
      <c r="X759">
        <v>-1731369543</v>
      </c>
      <c r="Y759">
        <v>0.32</v>
      </c>
      <c r="AA759">
        <v>1</v>
      </c>
      <c r="AB759">
        <v>0</v>
      </c>
      <c r="AC759">
        <v>0</v>
      </c>
      <c r="AD759">
        <v>0</v>
      </c>
      <c r="AE759">
        <v>1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6</v>
      </c>
      <c r="AT759">
        <v>0.32</v>
      </c>
      <c r="AU759" t="s">
        <v>6</v>
      </c>
      <c r="AV759">
        <v>0</v>
      </c>
      <c r="AW759">
        <v>2</v>
      </c>
      <c r="AX759">
        <v>16745000</v>
      </c>
      <c r="AY759">
        <v>1</v>
      </c>
      <c r="AZ759">
        <v>0</v>
      </c>
      <c r="BA759">
        <v>694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Y759*Source!I428</f>
        <v>1.28</v>
      </c>
      <c r="CY759">
        <f t="shared" si="126"/>
        <v>1</v>
      </c>
      <c r="CZ759">
        <f t="shared" si="127"/>
        <v>1</v>
      </c>
      <c r="DA759">
        <f t="shared" si="128"/>
        <v>1</v>
      </c>
      <c r="DB759">
        <f t="shared" si="121"/>
        <v>0.32</v>
      </c>
      <c r="DC759">
        <f t="shared" si="122"/>
        <v>0</v>
      </c>
    </row>
    <row r="760" spans="1:107" x14ac:dyDescent="0.2">
      <c r="A760">
        <f>ROW(Source!A493)</f>
        <v>493</v>
      </c>
      <c r="B760">
        <v>16742901</v>
      </c>
      <c r="C760">
        <v>16743691</v>
      </c>
      <c r="D760">
        <v>15885198</v>
      </c>
      <c r="E760">
        <v>1</v>
      </c>
      <c r="F760">
        <v>1</v>
      </c>
      <c r="G760">
        <v>1</v>
      </c>
      <c r="H760">
        <v>1</v>
      </c>
      <c r="I760" t="s">
        <v>1753</v>
      </c>
      <c r="J760" t="s">
        <v>6</v>
      </c>
      <c r="K760" t="s">
        <v>1754</v>
      </c>
      <c r="L760">
        <v>1191</v>
      </c>
      <c r="N760">
        <v>1013</v>
      </c>
      <c r="O760" t="s">
        <v>1287</v>
      </c>
      <c r="P760" t="s">
        <v>1287</v>
      </c>
      <c r="Q760">
        <v>1</v>
      </c>
      <c r="W760">
        <v>0</v>
      </c>
      <c r="X760">
        <v>-1166887252</v>
      </c>
      <c r="Y760">
        <v>0.128</v>
      </c>
      <c r="AA760">
        <v>0</v>
      </c>
      <c r="AB760">
        <v>0</v>
      </c>
      <c r="AC760">
        <v>0</v>
      </c>
      <c r="AD760">
        <v>84.76</v>
      </c>
      <c r="AE760">
        <v>0</v>
      </c>
      <c r="AF760">
        <v>0</v>
      </c>
      <c r="AG760">
        <v>0</v>
      </c>
      <c r="AH760">
        <v>12.92</v>
      </c>
      <c r="AI760">
        <v>1</v>
      </c>
      <c r="AJ760">
        <v>1</v>
      </c>
      <c r="AK760">
        <v>1</v>
      </c>
      <c r="AL760">
        <v>6.56</v>
      </c>
      <c r="AN760">
        <v>0</v>
      </c>
      <c r="AO760">
        <v>1</v>
      </c>
      <c r="AP760">
        <v>1</v>
      </c>
      <c r="AQ760">
        <v>0</v>
      </c>
      <c r="AR760">
        <v>0</v>
      </c>
      <c r="AS760" t="s">
        <v>6</v>
      </c>
      <c r="AT760">
        <v>0.16</v>
      </c>
      <c r="AU760" t="s">
        <v>49</v>
      </c>
      <c r="AV760">
        <v>1</v>
      </c>
      <c r="AW760">
        <v>2</v>
      </c>
      <c r="AX760">
        <v>16743694</v>
      </c>
      <c r="AY760">
        <v>1</v>
      </c>
      <c r="AZ760">
        <v>0</v>
      </c>
      <c r="BA760">
        <v>695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Y760*Source!I493</f>
        <v>4.8639999999999999</v>
      </c>
      <c r="CY760">
        <f t="shared" ref="CY760:CY768" si="129">AD760</f>
        <v>84.76</v>
      </c>
      <c r="CZ760">
        <f t="shared" ref="CZ760:CZ768" si="130">AH760</f>
        <v>12.92</v>
      </c>
      <c r="DA760">
        <f t="shared" ref="DA760:DA768" si="131">AL760</f>
        <v>6.56</v>
      </c>
      <c r="DB760">
        <f t="shared" ref="DB760:DB767" si="132">ROUND((ROUND(AT760*CZ760,2)*0.8),2)</f>
        <v>1.66</v>
      </c>
      <c r="DC760">
        <f t="shared" ref="DC760:DC767" si="133">ROUND((ROUND(AT760*AG760,2)*0.8),2)</f>
        <v>0</v>
      </c>
    </row>
    <row r="761" spans="1:107" x14ac:dyDescent="0.2">
      <c r="A761">
        <f>ROW(Source!A493)</f>
        <v>493</v>
      </c>
      <c r="B761">
        <v>16742901</v>
      </c>
      <c r="C761">
        <v>16743691</v>
      </c>
      <c r="D761">
        <v>15884235</v>
      </c>
      <c r="E761">
        <v>1</v>
      </c>
      <c r="F761">
        <v>1</v>
      </c>
      <c r="G761">
        <v>1</v>
      </c>
      <c r="H761">
        <v>1</v>
      </c>
      <c r="I761" t="s">
        <v>1755</v>
      </c>
      <c r="J761" t="s">
        <v>6</v>
      </c>
      <c r="K761" t="s">
        <v>1756</v>
      </c>
      <c r="L761">
        <v>1191</v>
      </c>
      <c r="N761">
        <v>1013</v>
      </c>
      <c r="O761" t="s">
        <v>1287</v>
      </c>
      <c r="P761" t="s">
        <v>1287</v>
      </c>
      <c r="Q761">
        <v>1</v>
      </c>
      <c r="W761">
        <v>0</v>
      </c>
      <c r="X761">
        <v>1776637054</v>
      </c>
      <c r="Y761">
        <v>0.128</v>
      </c>
      <c r="AA761">
        <v>0</v>
      </c>
      <c r="AB761">
        <v>0</v>
      </c>
      <c r="AC761">
        <v>0</v>
      </c>
      <c r="AD761">
        <v>83.25</v>
      </c>
      <c r="AE761">
        <v>0</v>
      </c>
      <c r="AF761">
        <v>0</v>
      </c>
      <c r="AG761">
        <v>0</v>
      </c>
      <c r="AH761">
        <v>12.69</v>
      </c>
      <c r="AI761">
        <v>1</v>
      </c>
      <c r="AJ761">
        <v>1</v>
      </c>
      <c r="AK761">
        <v>1</v>
      </c>
      <c r="AL761">
        <v>6.56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0.16</v>
      </c>
      <c r="AU761" t="s">
        <v>49</v>
      </c>
      <c r="AV761">
        <v>1</v>
      </c>
      <c r="AW761">
        <v>2</v>
      </c>
      <c r="AX761">
        <v>16743695</v>
      </c>
      <c r="AY761">
        <v>1</v>
      </c>
      <c r="AZ761">
        <v>0</v>
      </c>
      <c r="BA761">
        <v>696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Y761*Source!I493</f>
        <v>4.8639999999999999</v>
      </c>
      <c r="CY761">
        <f t="shared" si="129"/>
        <v>83.25</v>
      </c>
      <c r="CZ761">
        <f t="shared" si="130"/>
        <v>12.69</v>
      </c>
      <c r="DA761">
        <f t="shared" si="131"/>
        <v>6.56</v>
      </c>
      <c r="DB761">
        <f t="shared" si="132"/>
        <v>1.62</v>
      </c>
      <c r="DC761">
        <f t="shared" si="133"/>
        <v>0</v>
      </c>
    </row>
    <row r="762" spans="1:107" x14ac:dyDescent="0.2">
      <c r="A762">
        <f>ROW(Source!A494)</f>
        <v>494</v>
      </c>
      <c r="B762">
        <v>16742901</v>
      </c>
      <c r="C762">
        <v>16743696</v>
      </c>
      <c r="D762">
        <v>15885198</v>
      </c>
      <c r="E762">
        <v>1</v>
      </c>
      <c r="F762">
        <v>1</v>
      </c>
      <c r="G762">
        <v>1</v>
      </c>
      <c r="H762">
        <v>1</v>
      </c>
      <c r="I762" t="s">
        <v>1753</v>
      </c>
      <c r="J762" t="s">
        <v>6</v>
      </c>
      <c r="K762" t="s">
        <v>1754</v>
      </c>
      <c r="L762">
        <v>1191</v>
      </c>
      <c r="N762">
        <v>1013</v>
      </c>
      <c r="O762" t="s">
        <v>1287</v>
      </c>
      <c r="P762" t="s">
        <v>1287</v>
      </c>
      <c r="Q762">
        <v>1</v>
      </c>
      <c r="W762">
        <v>0</v>
      </c>
      <c r="X762">
        <v>-1166887252</v>
      </c>
      <c r="Y762">
        <v>0.48799999999999999</v>
      </c>
      <c r="AA762">
        <v>0</v>
      </c>
      <c r="AB762">
        <v>0</v>
      </c>
      <c r="AC762">
        <v>0</v>
      </c>
      <c r="AD762">
        <v>84.76</v>
      </c>
      <c r="AE762">
        <v>0</v>
      </c>
      <c r="AF762">
        <v>0</v>
      </c>
      <c r="AG762">
        <v>0</v>
      </c>
      <c r="AH762">
        <v>12.92</v>
      </c>
      <c r="AI762">
        <v>1</v>
      </c>
      <c r="AJ762">
        <v>1</v>
      </c>
      <c r="AK762">
        <v>1</v>
      </c>
      <c r="AL762">
        <v>6.56</v>
      </c>
      <c r="AN762">
        <v>0</v>
      </c>
      <c r="AO762">
        <v>1</v>
      </c>
      <c r="AP762">
        <v>1</v>
      </c>
      <c r="AQ762">
        <v>0</v>
      </c>
      <c r="AR762">
        <v>0</v>
      </c>
      <c r="AS762" t="s">
        <v>6</v>
      </c>
      <c r="AT762">
        <v>0.61</v>
      </c>
      <c r="AU762" t="s">
        <v>49</v>
      </c>
      <c r="AV762">
        <v>1</v>
      </c>
      <c r="AW762">
        <v>2</v>
      </c>
      <c r="AX762">
        <v>16743699</v>
      </c>
      <c r="AY762">
        <v>1</v>
      </c>
      <c r="AZ762">
        <v>0</v>
      </c>
      <c r="BA762">
        <v>697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Y762*Source!I494</f>
        <v>28.791999999999998</v>
      </c>
      <c r="CY762">
        <f t="shared" si="129"/>
        <v>84.76</v>
      </c>
      <c r="CZ762">
        <f t="shared" si="130"/>
        <v>12.92</v>
      </c>
      <c r="DA762">
        <f t="shared" si="131"/>
        <v>6.56</v>
      </c>
      <c r="DB762">
        <f t="shared" si="132"/>
        <v>6.3</v>
      </c>
      <c r="DC762">
        <f t="shared" si="133"/>
        <v>0</v>
      </c>
    </row>
    <row r="763" spans="1:107" x14ac:dyDescent="0.2">
      <c r="A763">
        <f>ROW(Source!A494)</f>
        <v>494</v>
      </c>
      <c r="B763">
        <v>16742901</v>
      </c>
      <c r="C763">
        <v>16743696</v>
      </c>
      <c r="D763">
        <v>15884235</v>
      </c>
      <c r="E763">
        <v>1</v>
      </c>
      <c r="F763">
        <v>1</v>
      </c>
      <c r="G763">
        <v>1</v>
      </c>
      <c r="H763">
        <v>1</v>
      </c>
      <c r="I763" t="s">
        <v>1755</v>
      </c>
      <c r="J763" t="s">
        <v>6</v>
      </c>
      <c r="K763" t="s">
        <v>1756</v>
      </c>
      <c r="L763">
        <v>1191</v>
      </c>
      <c r="N763">
        <v>1013</v>
      </c>
      <c r="O763" t="s">
        <v>1287</v>
      </c>
      <c r="P763" t="s">
        <v>1287</v>
      </c>
      <c r="Q763">
        <v>1</v>
      </c>
      <c r="W763">
        <v>0</v>
      </c>
      <c r="X763">
        <v>1776637054</v>
      </c>
      <c r="Y763">
        <v>0.48799999999999999</v>
      </c>
      <c r="AA763">
        <v>0</v>
      </c>
      <c r="AB763">
        <v>0</v>
      </c>
      <c r="AC763">
        <v>0</v>
      </c>
      <c r="AD763">
        <v>83.25</v>
      </c>
      <c r="AE763">
        <v>0</v>
      </c>
      <c r="AF763">
        <v>0</v>
      </c>
      <c r="AG763">
        <v>0</v>
      </c>
      <c r="AH763">
        <v>12.69</v>
      </c>
      <c r="AI763">
        <v>1</v>
      </c>
      <c r="AJ763">
        <v>1</v>
      </c>
      <c r="AK763">
        <v>1</v>
      </c>
      <c r="AL763">
        <v>6.56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0.61</v>
      </c>
      <c r="AU763" t="s">
        <v>49</v>
      </c>
      <c r="AV763">
        <v>1</v>
      </c>
      <c r="AW763">
        <v>2</v>
      </c>
      <c r="AX763">
        <v>16743700</v>
      </c>
      <c r="AY763">
        <v>1</v>
      </c>
      <c r="AZ763">
        <v>0</v>
      </c>
      <c r="BA763">
        <v>698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Y763*Source!I494</f>
        <v>28.791999999999998</v>
      </c>
      <c r="CY763">
        <f t="shared" si="129"/>
        <v>83.25</v>
      </c>
      <c r="CZ763">
        <f t="shared" si="130"/>
        <v>12.69</v>
      </c>
      <c r="DA763">
        <f t="shared" si="131"/>
        <v>6.56</v>
      </c>
      <c r="DB763">
        <f t="shared" si="132"/>
        <v>6.19</v>
      </c>
      <c r="DC763">
        <f t="shared" si="133"/>
        <v>0</v>
      </c>
    </row>
    <row r="764" spans="1:107" x14ac:dyDescent="0.2">
      <c r="A764">
        <f>ROW(Source!A495)</f>
        <v>495</v>
      </c>
      <c r="B764">
        <v>16742901</v>
      </c>
      <c r="C764">
        <v>16743701</v>
      </c>
      <c r="D764">
        <v>15885198</v>
      </c>
      <c r="E764">
        <v>1</v>
      </c>
      <c r="F764">
        <v>1</v>
      </c>
      <c r="G764">
        <v>1</v>
      </c>
      <c r="H764">
        <v>1</v>
      </c>
      <c r="I764" t="s">
        <v>1753</v>
      </c>
      <c r="J764" t="s">
        <v>6</v>
      </c>
      <c r="K764" t="s">
        <v>1754</v>
      </c>
      <c r="L764">
        <v>1191</v>
      </c>
      <c r="N764">
        <v>1013</v>
      </c>
      <c r="O764" t="s">
        <v>1287</v>
      </c>
      <c r="P764" t="s">
        <v>1287</v>
      </c>
      <c r="Q764">
        <v>1</v>
      </c>
      <c r="W764">
        <v>0</v>
      </c>
      <c r="X764">
        <v>-1166887252</v>
      </c>
      <c r="Y764">
        <v>5.1840000000000011</v>
      </c>
      <c r="AA764">
        <v>0</v>
      </c>
      <c r="AB764">
        <v>0</v>
      </c>
      <c r="AC764">
        <v>0</v>
      </c>
      <c r="AD764">
        <v>84.76</v>
      </c>
      <c r="AE764">
        <v>0</v>
      </c>
      <c r="AF764">
        <v>0</v>
      </c>
      <c r="AG764">
        <v>0</v>
      </c>
      <c r="AH764">
        <v>12.92</v>
      </c>
      <c r="AI764">
        <v>1</v>
      </c>
      <c r="AJ764">
        <v>1</v>
      </c>
      <c r="AK764">
        <v>1</v>
      </c>
      <c r="AL764">
        <v>6.56</v>
      </c>
      <c r="AN764">
        <v>0</v>
      </c>
      <c r="AO764">
        <v>1</v>
      </c>
      <c r="AP764">
        <v>1</v>
      </c>
      <c r="AQ764">
        <v>0</v>
      </c>
      <c r="AR764">
        <v>0</v>
      </c>
      <c r="AS764" t="s">
        <v>6</v>
      </c>
      <c r="AT764">
        <v>6.48</v>
      </c>
      <c r="AU764" t="s">
        <v>49</v>
      </c>
      <c r="AV764">
        <v>1</v>
      </c>
      <c r="AW764">
        <v>2</v>
      </c>
      <c r="AX764">
        <v>16743704</v>
      </c>
      <c r="AY764">
        <v>1</v>
      </c>
      <c r="AZ764">
        <v>0</v>
      </c>
      <c r="BA764">
        <v>699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Y764*Source!I495</f>
        <v>0.20736000000000004</v>
      </c>
      <c r="CY764">
        <f t="shared" si="129"/>
        <v>84.76</v>
      </c>
      <c r="CZ764">
        <f t="shared" si="130"/>
        <v>12.92</v>
      </c>
      <c r="DA764">
        <f t="shared" si="131"/>
        <v>6.56</v>
      </c>
      <c r="DB764">
        <f t="shared" si="132"/>
        <v>66.98</v>
      </c>
      <c r="DC764">
        <f t="shared" si="133"/>
        <v>0</v>
      </c>
    </row>
    <row r="765" spans="1:107" x14ac:dyDescent="0.2">
      <c r="A765">
        <f>ROW(Source!A495)</f>
        <v>495</v>
      </c>
      <c r="B765">
        <v>16742901</v>
      </c>
      <c r="C765">
        <v>16743701</v>
      </c>
      <c r="D765">
        <v>15884235</v>
      </c>
      <c r="E765">
        <v>1</v>
      </c>
      <c r="F765">
        <v>1</v>
      </c>
      <c r="G765">
        <v>1</v>
      </c>
      <c r="H765">
        <v>1</v>
      </c>
      <c r="I765" t="s">
        <v>1755</v>
      </c>
      <c r="J765" t="s">
        <v>6</v>
      </c>
      <c r="K765" t="s">
        <v>1756</v>
      </c>
      <c r="L765">
        <v>1191</v>
      </c>
      <c r="N765">
        <v>1013</v>
      </c>
      <c r="O765" t="s">
        <v>1287</v>
      </c>
      <c r="P765" t="s">
        <v>1287</v>
      </c>
      <c r="Q765">
        <v>1</v>
      </c>
      <c r="W765">
        <v>0</v>
      </c>
      <c r="X765">
        <v>1776637054</v>
      </c>
      <c r="Y765">
        <v>5.1840000000000011</v>
      </c>
      <c r="AA765">
        <v>0</v>
      </c>
      <c r="AB765">
        <v>0</v>
      </c>
      <c r="AC765">
        <v>0</v>
      </c>
      <c r="AD765">
        <v>83.25</v>
      </c>
      <c r="AE765">
        <v>0</v>
      </c>
      <c r="AF765">
        <v>0</v>
      </c>
      <c r="AG765">
        <v>0</v>
      </c>
      <c r="AH765">
        <v>12.69</v>
      </c>
      <c r="AI765">
        <v>1</v>
      </c>
      <c r="AJ765">
        <v>1</v>
      </c>
      <c r="AK765">
        <v>1</v>
      </c>
      <c r="AL765">
        <v>6.56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6</v>
      </c>
      <c r="AT765">
        <v>6.48</v>
      </c>
      <c r="AU765" t="s">
        <v>49</v>
      </c>
      <c r="AV765">
        <v>1</v>
      </c>
      <c r="AW765">
        <v>2</v>
      </c>
      <c r="AX765">
        <v>16743705</v>
      </c>
      <c r="AY765">
        <v>1</v>
      </c>
      <c r="AZ765">
        <v>0</v>
      </c>
      <c r="BA765">
        <v>700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Y765*Source!I495</f>
        <v>0.20736000000000004</v>
      </c>
      <c r="CY765">
        <f t="shared" si="129"/>
        <v>83.25</v>
      </c>
      <c r="CZ765">
        <f t="shared" si="130"/>
        <v>12.69</v>
      </c>
      <c r="DA765">
        <f t="shared" si="131"/>
        <v>6.56</v>
      </c>
      <c r="DB765">
        <f t="shared" si="132"/>
        <v>65.78</v>
      </c>
      <c r="DC765">
        <f t="shared" si="133"/>
        <v>0</v>
      </c>
    </row>
    <row r="766" spans="1:107" x14ac:dyDescent="0.2">
      <c r="A766">
        <f>ROW(Source!A496)</f>
        <v>496</v>
      </c>
      <c r="B766">
        <v>16742901</v>
      </c>
      <c r="C766">
        <v>16743707</v>
      </c>
      <c r="D766">
        <v>15884231</v>
      </c>
      <c r="E766">
        <v>1</v>
      </c>
      <c r="F766">
        <v>1</v>
      </c>
      <c r="G766">
        <v>1</v>
      </c>
      <c r="H766">
        <v>1</v>
      </c>
      <c r="I766" t="s">
        <v>1757</v>
      </c>
      <c r="J766" t="s">
        <v>6</v>
      </c>
      <c r="K766" t="s">
        <v>1758</v>
      </c>
      <c r="L766">
        <v>1191</v>
      </c>
      <c r="N766">
        <v>1013</v>
      </c>
      <c r="O766" t="s">
        <v>1287</v>
      </c>
      <c r="P766" t="s">
        <v>1287</v>
      </c>
      <c r="Q766">
        <v>1</v>
      </c>
      <c r="W766">
        <v>0</v>
      </c>
      <c r="X766">
        <v>-1309109184</v>
      </c>
      <c r="Y766">
        <v>0.52</v>
      </c>
      <c r="AA766">
        <v>0</v>
      </c>
      <c r="AB766">
        <v>0</v>
      </c>
      <c r="AC766">
        <v>0</v>
      </c>
      <c r="AD766">
        <v>60.16</v>
      </c>
      <c r="AE766">
        <v>0</v>
      </c>
      <c r="AF766">
        <v>0</v>
      </c>
      <c r="AG766">
        <v>0</v>
      </c>
      <c r="AH766">
        <v>9.17</v>
      </c>
      <c r="AI766">
        <v>1</v>
      </c>
      <c r="AJ766">
        <v>1</v>
      </c>
      <c r="AK766">
        <v>1</v>
      </c>
      <c r="AL766">
        <v>6.56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6</v>
      </c>
      <c r="AT766">
        <v>0.65</v>
      </c>
      <c r="AU766" t="s">
        <v>49</v>
      </c>
      <c r="AV766">
        <v>1</v>
      </c>
      <c r="AW766">
        <v>2</v>
      </c>
      <c r="AX766">
        <v>16743710</v>
      </c>
      <c r="AY766">
        <v>1</v>
      </c>
      <c r="AZ766">
        <v>0</v>
      </c>
      <c r="BA766">
        <v>701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Y766*Source!I496</f>
        <v>18.72</v>
      </c>
      <c r="CY766">
        <f t="shared" si="129"/>
        <v>60.16</v>
      </c>
      <c r="CZ766">
        <f t="shared" si="130"/>
        <v>9.17</v>
      </c>
      <c r="DA766">
        <f t="shared" si="131"/>
        <v>6.56</v>
      </c>
      <c r="DB766">
        <f t="shared" si="132"/>
        <v>4.7699999999999996</v>
      </c>
      <c r="DC766">
        <f t="shared" si="133"/>
        <v>0</v>
      </c>
    </row>
    <row r="767" spans="1:107" x14ac:dyDescent="0.2">
      <c r="A767">
        <f>ROW(Source!A496)</f>
        <v>496</v>
      </c>
      <c r="B767">
        <v>16742901</v>
      </c>
      <c r="C767">
        <v>16743707</v>
      </c>
      <c r="D767">
        <v>15884285</v>
      </c>
      <c r="E767">
        <v>1</v>
      </c>
      <c r="F767">
        <v>1</v>
      </c>
      <c r="G767">
        <v>1</v>
      </c>
      <c r="H767">
        <v>1</v>
      </c>
      <c r="I767" t="s">
        <v>1759</v>
      </c>
      <c r="J767" t="s">
        <v>6</v>
      </c>
      <c r="K767" t="s">
        <v>1760</v>
      </c>
      <c r="L767">
        <v>1191</v>
      </c>
      <c r="N767">
        <v>1013</v>
      </c>
      <c r="O767" t="s">
        <v>1287</v>
      </c>
      <c r="P767" t="s">
        <v>1287</v>
      </c>
      <c r="Q767">
        <v>1</v>
      </c>
      <c r="W767">
        <v>0</v>
      </c>
      <c r="X767">
        <v>1818203118</v>
      </c>
      <c r="Y767">
        <v>0.77600000000000002</v>
      </c>
      <c r="AA767">
        <v>0</v>
      </c>
      <c r="AB767">
        <v>0</v>
      </c>
      <c r="AC767">
        <v>0</v>
      </c>
      <c r="AD767">
        <v>92.43</v>
      </c>
      <c r="AE767">
        <v>0</v>
      </c>
      <c r="AF767">
        <v>0</v>
      </c>
      <c r="AG767">
        <v>0</v>
      </c>
      <c r="AH767">
        <v>14.09</v>
      </c>
      <c r="AI767">
        <v>1</v>
      </c>
      <c r="AJ767">
        <v>1</v>
      </c>
      <c r="AK767">
        <v>1</v>
      </c>
      <c r="AL767">
        <v>6.56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6</v>
      </c>
      <c r="AT767">
        <v>0.97</v>
      </c>
      <c r="AU767" t="s">
        <v>49</v>
      </c>
      <c r="AV767">
        <v>1</v>
      </c>
      <c r="AW767">
        <v>2</v>
      </c>
      <c r="AX767">
        <v>16743711</v>
      </c>
      <c r="AY767">
        <v>1</v>
      </c>
      <c r="AZ767">
        <v>0</v>
      </c>
      <c r="BA767">
        <v>702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Y767*Source!I496</f>
        <v>27.936</v>
      </c>
      <c r="CY767">
        <f t="shared" si="129"/>
        <v>92.43</v>
      </c>
      <c r="CZ767">
        <f t="shared" si="130"/>
        <v>14.09</v>
      </c>
      <c r="DA767">
        <f t="shared" si="131"/>
        <v>6.56</v>
      </c>
      <c r="DB767">
        <f t="shared" si="132"/>
        <v>10.94</v>
      </c>
      <c r="DC767">
        <f t="shared" si="133"/>
        <v>0</v>
      </c>
    </row>
    <row r="768" spans="1:107" x14ac:dyDescent="0.2">
      <c r="A768">
        <f>ROW(Source!A531)</f>
        <v>531</v>
      </c>
      <c r="B768">
        <v>16742901</v>
      </c>
      <c r="C768">
        <v>16743712</v>
      </c>
      <c r="D768">
        <v>15436556</v>
      </c>
      <c r="E768">
        <v>1</v>
      </c>
      <c r="F768">
        <v>1</v>
      </c>
      <c r="G768">
        <v>1</v>
      </c>
      <c r="H768">
        <v>1</v>
      </c>
      <c r="I768" t="s">
        <v>1490</v>
      </c>
      <c r="J768" t="s">
        <v>6</v>
      </c>
      <c r="K768" t="s">
        <v>1491</v>
      </c>
      <c r="L768">
        <v>1191</v>
      </c>
      <c r="N768">
        <v>1013</v>
      </c>
      <c r="O768" t="s">
        <v>1287</v>
      </c>
      <c r="P768" t="s">
        <v>1287</v>
      </c>
      <c r="Q768">
        <v>1</v>
      </c>
      <c r="W768">
        <v>0</v>
      </c>
      <c r="X768">
        <v>1069510174</v>
      </c>
      <c r="Y768">
        <v>1.68</v>
      </c>
      <c r="AA768">
        <v>0</v>
      </c>
      <c r="AB768">
        <v>0</v>
      </c>
      <c r="AC768">
        <v>0</v>
      </c>
      <c r="AD768">
        <v>63.11</v>
      </c>
      <c r="AE768">
        <v>0</v>
      </c>
      <c r="AF768">
        <v>0</v>
      </c>
      <c r="AG768">
        <v>0</v>
      </c>
      <c r="AH768">
        <v>9.6199999999999992</v>
      </c>
      <c r="AI768">
        <v>1</v>
      </c>
      <c r="AJ768">
        <v>1</v>
      </c>
      <c r="AK768">
        <v>1</v>
      </c>
      <c r="AL768">
        <v>6.56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1.68</v>
      </c>
      <c r="AU768" t="s">
        <v>6</v>
      </c>
      <c r="AV768">
        <v>1</v>
      </c>
      <c r="AW768">
        <v>2</v>
      </c>
      <c r="AX768">
        <v>16743720</v>
      </c>
      <c r="AY768">
        <v>1</v>
      </c>
      <c r="AZ768">
        <v>0</v>
      </c>
      <c r="BA768">
        <v>703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Y768*Source!I531</f>
        <v>16.8</v>
      </c>
      <c r="CY768">
        <f t="shared" si="129"/>
        <v>63.11</v>
      </c>
      <c r="CZ768">
        <f t="shared" si="130"/>
        <v>9.6199999999999992</v>
      </c>
      <c r="DA768">
        <f t="shared" si="131"/>
        <v>6.56</v>
      </c>
      <c r="DB768">
        <f t="shared" ref="DB768:DB799" si="134">ROUND(ROUND(AT768*CZ768,2),2)</f>
        <v>16.16</v>
      </c>
      <c r="DC768">
        <f t="shared" ref="DC768:DC799" si="135">ROUND(ROUND(AT768*AG768,2),2)</f>
        <v>0</v>
      </c>
    </row>
    <row r="769" spans="1:107" x14ac:dyDescent="0.2">
      <c r="A769">
        <f>ROW(Source!A531)</f>
        <v>531</v>
      </c>
      <c r="B769">
        <v>16742901</v>
      </c>
      <c r="C769">
        <v>16743712</v>
      </c>
      <c r="D769">
        <v>15165918</v>
      </c>
      <c r="E769">
        <v>1</v>
      </c>
      <c r="F769">
        <v>1</v>
      </c>
      <c r="G769">
        <v>1</v>
      </c>
      <c r="H769">
        <v>3</v>
      </c>
      <c r="I769" t="s">
        <v>1761</v>
      </c>
      <c r="J769" t="s">
        <v>1762</v>
      </c>
      <c r="K769" t="s">
        <v>1763</v>
      </c>
      <c r="L769">
        <v>1346</v>
      </c>
      <c r="N769">
        <v>1009</v>
      </c>
      <c r="O769" t="s">
        <v>341</v>
      </c>
      <c r="P769" t="s">
        <v>341</v>
      </c>
      <c r="Q769">
        <v>1</v>
      </c>
      <c r="W769">
        <v>0</v>
      </c>
      <c r="X769">
        <v>1559187994</v>
      </c>
      <c r="Y769">
        <v>5.0000000000000001E-4</v>
      </c>
      <c r="AA769">
        <v>181.97</v>
      </c>
      <c r="AB769">
        <v>0</v>
      </c>
      <c r="AC769">
        <v>0</v>
      </c>
      <c r="AD769">
        <v>0</v>
      </c>
      <c r="AE769">
        <v>27.74</v>
      </c>
      <c r="AF769">
        <v>0</v>
      </c>
      <c r="AG769">
        <v>0</v>
      </c>
      <c r="AH769">
        <v>0</v>
      </c>
      <c r="AI769">
        <v>6.56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6</v>
      </c>
      <c r="AT769">
        <v>5.0000000000000001E-4</v>
      </c>
      <c r="AU769" t="s">
        <v>6</v>
      </c>
      <c r="AV769">
        <v>0</v>
      </c>
      <c r="AW769">
        <v>2</v>
      </c>
      <c r="AX769">
        <v>16743721</v>
      </c>
      <c r="AY769">
        <v>1</v>
      </c>
      <c r="AZ769">
        <v>0</v>
      </c>
      <c r="BA769">
        <v>704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Y769*Source!I531</f>
        <v>5.0000000000000001E-3</v>
      </c>
      <c r="CY769">
        <f t="shared" ref="CY769:CY774" si="136">AA769</f>
        <v>181.97</v>
      </c>
      <c r="CZ769">
        <f t="shared" ref="CZ769:CZ774" si="137">AE769</f>
        <v>27.74</v>
      </c>
      <c r="DA769">
        <f t="shared" ref="DA769:DA774" si="138">AI769</f>
        <v>6.56</v>
      </c>
      <c r="DB769">
        <f t="shared" si="134"/>
        <v>0.01</v>
      </c>
      <c r="DC769">
        <f t="shared" si="135"/>
        <v>0</v>
      </c>
    </row>
    <row r="770" spans="1:107" x14ac:dyDescent="0.2">
      <c r="A770">
        <f>ROW(Source!A531)</f>
        <v>531</v>
      </c>
      <c r="B770">
        <v>16742901</v>
      </c>
      <c r="C770">
        <v>16743712</v>
      </c>
      <c r="D770">
        <v>15170072</v>
      </c>
      <c r="E770">
        <v>1</v>
      </c>
      <c r="F770">
        <v>1</v>
      </c>
      <c r="G770">
        <v>1</v>
      </c>
      <c r="H770">
        <v>3</v>
      </c>
      <c r="I770" t="s">
        <v>1764</v>
      </c>
      <c r="J770" t="s">
        <v>1765</v>
      </c>
      <c r="K770" t="s">
        <v>1766</v>
      </c>
      <c r="L770">
        <v>1355</v>
      </c>
      <c r="N770">
        <v>1010</v>
      </c>
      <c r="O770" t="s">
        <v>843</v>
      </c>
      <c r="P770" t="s">
        <v>843</v>
      </c>
      <c r="Q770">
        <v>100</v>
      </c>
      <c r="W770">
        <v>0</v>
      </c>
      <c r="X770">
        <v>-66531260</v>
      </c>
      <c r="Y770">
        <v>2.5000000000000001E-2</v>
      </c>
      <c r="AA770">
        <v>544.48</v>
      </c>
      <c r="AB770">
        <v>0</v>
      </c>
      <c r="AC770">
        <v>0</v>
      </c>
      <c r="AD770">
        <v>0</v>
      </c>
      <c r="AE770">
        <v>83</v>
      </c>
      <c r="AF770">
        <v>0</v>
      </c>
      <c r="AG770">
        <v>0</v>
      </c>
      <c r="AH770">
        <v>0</v>
      </c>
      <c r="AI770">
        <v>6.56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6</v>
      </c>
      <c r="AT770">
        <v>2.5000000000000001E-2</v>
      </c>
      <c r="AU770" t="s">
        <v>6</v>
      </c>
      <c r="AV770">
        <v>0</v>
      </c>
      <c r="AW770">
        <v>2</v>
      </c>
      <c r="AX770">
        <v>16743722</v>
      </c>
      <c r="AY770">
        <v>1</v>
      </c>
      <c r="AZ770">
        <v>0</v>
      </c>
      <c r="BA770">
        <v>705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Y770*Source!I531</f>
        <v>0.25</v>
      </c>
      <c r="CY770">
        <f t="shared" si="136"/>
        <v>544.48</v>
      </c>
      <c r="CZ770">
        <f t="shared" si="137"/>
        <v>83</v>
      </c>
      <c r="DA770">
        <f t="shared" si="138"/>
        <v>6.56</v>
      </c>
      <c r="DB770">
        <f t="shared" si="134"/>
        <v>2.08</v>
      </c>
      <c r="DC770">
        <f t="shared" si="135"/>
        <v>0</v>
      </c>
    </row>
    <row r="771" spans="1:107" x14ac:dyDescent="0.2">
      <c r="A771">
        <f>ROW(Source!A531)</f>
        <v>531</v>
      </c>
      <c r="B771">
        <v>16742901</v>
      </c>
      <c r="C771">
        <v>16743712</v>
      </c>
      <c r="D771">
        <v>15171982</v>
      </c>
      <c r="E771">
        <v>1</v>
      </c>
      <c r="F771">
        <v>1</v>
      </c>
      <c r="G771">
        <v>1</v>
      </c>
      <c r="H771">
        <v>3</v>
      </c>
      <c r="I771" t="s">
        <v>1320</v>
      </c>
      <c r="J771" t="s">
        <v>1321</v>
      </c>
      <c r="K771" t="s">
        <v>1322</v>
      </c>
      <c r="L771">
        <v>1348</v>
      </c>
      <c r="N771">
        <v>1009</v>
      </c>
      <c r="O771" t="s">
        <v>100</v>
      </c>
      <c r="P771" t="s">
        <v>100</v>
      </c>
      <c r="Q771">
        <v>1000</v>
      </c>
      <c r="W771">
        <v>0</v>
      </c>
      <c r="X771">
        <v>-1421715385</v>
      </c>
      <c r="Y771">
        <v>1.0000000000000001E-5</v>
      </c>
      <c r="AA771">
        <v>4788.67</v>
      </c>
      <c r="AB771">
        <v>0</v>
      </c>
      <c r="AC771">
        <v>0</v>
      </c>
      <c r="AD771">
        <v>0</v>
      </c>
      <c r="AE771">
        <v>729.98</v>
      </c>
      <c r="AF771">
        <v>0</v>
      </c>
      <c r="AG771">
        <v>0</v>
      </c>
      <c r="AH771">
        <v>0</v>
      </c>
      <c r="AI771">
        <v>6.56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1.0000000000000001E-5</v>
      </c>
      <c r="AU771" t="s">
        <v>6</v>
      </c>
      <c r="AV771">
        <v>0</v>
      </c>
      <c r="AW771">
        <v>2</v>
      </c>
      <c r="AX771">
        <v>16743723</v>
      </c>
      <c r="AY771">
        <v>1</v>
      </c>
      <c r="AZ771">
        <v>0</v>
      </c>
      <c r="BA771">
        <v>706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Y771*Source!I531</f>
        <v>1E-4</v>
      </c>
      <c r="CY771">
        <f t="shared" si="136"/>
        <v>4788.67</v>
      </c>
      <c r="CZ771">
        <f t="shared" si="137"/>
        <v>729.98</v>
      </c>
      <c r="DA771">
        <f t="shared" si="138"/>
        <v>6.56</v>
      </c>
      <c r="DB771">
        <f t="shared" si="134"/>
        <v>0.01</v>
      </c>
      <c r="DC771">
        <f t="shared" si="135"/>
        <v>0</v>
      </c>
    </row>
    <row r="772" spans="1:107" x14ac:dyDescent="0.2">
      <c r="A772">
        <f>ROW(Source!A531)</f>
        <v>531</v>
      </c>
      <c r="B772">
        <v>16742901</v>
      </c>
      <c r="C772">
        <v>16743712</v>
      </c>
      <c r="D772">
        <v>15195043</v>
      </c>
      <c r="E772">
        <v>1</v>
      </c>
      <c r="F772">
        <v>1</v>
      </c>
      <c r="G772">
        <v>1</v>
      </c>
      <c r="H772">
        <v>3</v>
      </c>
      <c r="I772" t="s">
        <v>1767</v>
      </c>
      <c r="J772" t="s">
        <v>1768</v>
      </c>
      <c r="K772" t="s">
        <v>1769</v>
      </c>
      <c r="L772">
        <v>1346</v>
      </c>
      <c r="N772">
        <v>1009</v>
      </c>
      <c r="O772" t="s">
        <v>341</v>
      </c>
      <c r="P772" t="s">
        <v>341</v>
      </c>
      <c r="Q772">
        <v>1</v>
      </c>
      <c r="W772">
        <v>0</v>
      </c>
      <c r="X772">
        <v>-1726842289</v>
      </c>
      <c r="Y772">
        <v>5.0000000000000001E-3</v>
      </c>
      <c r="AA772">
        <v>431.32</v>
      </c>
      <c r="AB772">
        <v>0</v>
      </c>
      <c r="AC772">
        <v>0</v>
      </c>
      <c r="AD772">
        <v>0</v>
      </c>
      <c r="AE772">
        <v>65.75</v>
      </c>
      <c r="AF772">
        <v>0</v>
      </c>
      <c r="AG772">
        <v>0</v>
      </c>
      <c r="AH772">
        <v>0</v>
      </c>
      <c r="AI772">
        <v>6.56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5.0000000000000001E-3</v>
      </c>
      <c r="AU772" t="s">
        <v>6</v>
      </c>
      <c r="AV772">
        <v>0</v>
      </c>
      <c r="AW772">
        <v>2</v>
      </c>
      <c r="AX772">
        <v>16743724</v>
      </c>
      <c r="AY772">
        <v>1</v>
      </c>
      <c r="AZ772">
        <v>0</v>
      </c>
      <c r="BA772">
        <v>707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Y772*Source!I531</f>
        <v>0.05</v>
      </c>
      <c r="CY772">
        <f t="shared" si="136"/>
        <v>431.32</v>
      </c>
      <c r="CZ772">
        <f t="shared" si="137"/>
        <v>65.75</v>
      </c>
      <c r="DA772">
        <f t="shared" si="138"/>
        <v>6.56</v>
      </c>
      <c r="DB772">
        <f t="shared" si="134"/>
        <v>0.33</v>
      </c>
      <c r="DC772">
        <f t="shared" si="135"/>
        <v>0</v>
      </c>
    </row>
    <row r="773" spans="1:107" x14ac:dyDescent="0.2">
      <c r="A773">
        <f>ROW(Source!A531)</f>
        <v>531</v>
      </c>
      <c r="B773">
        <v>16742901</v>
      </c>
      <c r="C773">
        <v>16743712</v>
      </c>
      <c r="D773">
        <v>15237627</v>
      </c>
      <c r="E773">
        <v>1</v>
      </c>
      <c r="F773">
        <v>1</v>
      </c>
      <c r="G773">
        <v>1</v>
      </c>
      <c r="H773">
        <v>3</v>
      </c>
      <c r="I773" t="s">
        <v>991</v>
      </c>
      <c r="J773" t="s">
        <v>993</v>
      </c>
      <c r="K773" t="s">
        <v>992</v>
      </c>
      <c r="L773">
        <v>1358</v>
      </c>
      <c r="N773">
        <v>1010</v>
      </c>
      <c r="O773" t="s">
        <v>723</v>
      </c>
      <c r="P773" t="s">
        <v>723</v>
      </c>
      <c r="Q773">
        <v>10</v>
      </c>
      <c r="W773">
        <v>0</v>
      </c>
      <c r="X773">
        <v>-1785852769</v>
      </c>
      <c r="Y773">
        <v>0.1</v>
      </c>
      <c r="AA773">
        <v>7643.84</v>
      </c>
      <c r="AB773">
        <v>0</v>
      </c>
      <c r="AC773">
        <v>0</v>
      </c>
      <c r="AD773">
        <v>0</v>
      </c>
      <c r="AE773">
        <v>1165.22</v>
      </c>
      <c r="AF773">
        <v>0</v>
      </c>
      <c r="AG773">
        <v>0</v>
      </c>
      <c r="AH773">
        <v>0</v>
      </c>
      <c r="AI773">
        <v>6.56</v>
      </c>
      <c r="AJ773">
        <v>1</v>
      </c>
      <c r="AK773">
        <v>1</v>
      </c>
      <c r="AL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 t="s">
        <v>6</v>
      </c>
      <c r="AT773">
        <v>0.1</v>
      </c>
      <c r="AU773" t="s">
        <v>6</v>
      </c>
      <c r="AV773">
        <v>0</v>
      </c>
      <c r="AW773">
        <v>1</v>
      </c>
      <c r="AX773">
        <v>-1</v>
      </c>
      <c r="AY773">
        <v>0</v>
      </c>
      <c r="AZ773">
        <v>0</v>
      </c>
      <c r="BA773" t="s">
        <v>6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Y773*Source!I531</f>
        <v>1</v>
      </c>
      <c r="CY773">
        <f t="shared" si="136"/>
        <v>7643.84</v>
      </c>
      <c r="CZ773">
        <f t="shared" si="137"/>
        <v>1165.22</v>
      </c>
      <c r="DA773">
        <f t="shared" si="138"/>
        <v>6.56</v>
      </c>
      <c r="DB773">
        <f t="shared" si="134"/>
        <v>116.52</v>
      </c>
      <c r="DC773">
        <f t="shared" si="135"/>
        <v>0</v>
      </c>
    </row>
    <row r="774" spans="1:107" x14ac:dyDescent="0.2">
      <c r="A774">
        <f>ROW(Source!A531)</f>
        <v>531</v>
      </c>
      <c r="B774">
        <v>16742901</v>
      </c>
      <c r="C774">
        <v>16743712</v>
      </c>
      <c r="D774">
        <v>15164559</v>
      </c>
      <c r="E774">
        <v>17</v>
      </c>
      <c r="F774">
        <v>1</v>
      </c>
      <c r="G774">
        <v>1</v>
      </c>
      <c r="H774">
        <v>3</v>
      </c>
      <c r="I774" t="s">
        <v>1334</v>
      </c>
      <c r="J774" t="s">
        <v>6</v>
      </c>
      <c r="K774" t="s">
        <v>1335</v>
      </c>
      <c r="L774">
        <v>1374</v>
      </c>
      <c r="N774">
        <v>1013</v>
      </c>
      <c r="O774" t="s">
        <v>1336</v>
      </c>
      <c r="P774" t="s">
        <v>1336</v>
      </c>
      <c r="Q774">
        <v>1</v>
      </c>
      <c r="W774">
        <v>0</v>
      </c>
      <c r="X774">
        <v>-1731369543</v>
      </c>
      <c r="Y774">
        <v>0.32</v>
      </c>
      <c r="AA774">
        <v>1</v>
      </c>
      <c r="AB774">
        <v>0</v>
      </c>
      <c r="AC774">
        <v>0</v>
      </c>
      <c r="AD774">
        <v>0</v>
      </c>
      <c r="AE774">
        <v>1</v>
      </c>
      <c r="AF774">
        <v>0</v>
      </c>
      <c r="AG774">
        <v>0</v>
      </c>
      <c r="AH774">
        <v>0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6</v>
      </c>
      <c r="AT774">
        <v>0.32</v>
      </c>
      <c r="AU774" t="s">
        <v>6</v>
      </c>
      <c r="AV774">
        <v>0</v>
      </c>
      <c r="AW774">
        <v>2</v>
      </c>
      <c r="AX774">
        <v>16743725</v>
      </c>
      <c r="AY774">
        <v>1</v>
      </c>
      <c r="AZ774">
        <v>0</v>
      </c>
      <c r="BA774">
        <v>708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Y774*Source!I531</f>
        <v>3.2</v>
      </c>
      <c r="CY774">
        <f t="shared" si="136"/>
        <v>1</v>
      </c>
      <c r="CZ774">
        <f t="shared" si="137"/>
        <v>1</v>
      </c>
      <c r="DA774">
        <f t="shared" si="138"/>
        <v>1</v>
      </c>
      <c r="DB774">
        <f t="shared" si="134"/>
        <v>0.32</v>
      </c>
      <c r="DC774">
        <f t="shared" si="135"/>
        <v>0</v>
      </c>
    </row>
    <row r="775" spans="1:107" x14ac:dyDescent="0.2">
      <c r="A775">
        <f>ROW(Source!A533)</f>
        <v>533</v>
      </c>
      <c r="B775">
        <v>16742901</v>
      </c>
      <c r="C775">
        <v>16743727</v>
      </c>
      <c r="D775">
        <v>15438286</v>
      </c>
      <c r="E775">
        <v>1</v>
      </c>
      <c r="F775">
        <v>1</v>
      </c>
      <c r="G775">
        <v>1</v>
      </c>
      <c r="H775">
        <v>1</v>
      </c>
      <c r="I775" t="s">
        <v>1451</v>
      </c>
      <c r="J775" t="s">
        <v>6</v>
      </c>
      <c r="K775" t="s">
        <v>1452</v>
      </c>
      <c r="L775">
        <v>1191</v>
      </c>
      <c r="N775">
        <v>1013</v>
      </c>
      <c r="O775" t="s">
        <v>1287</v>
      </c>
      <c r="P775" t="s">
        <v>1287</v>
      </c>
      <c r="Q775">
        <v>1</v>
      </c>
      <c r="W775">
        <v>0</v>
      </c>
      <c r="X775">
        <v>-1027537862</v>
      </c>
      <c r="Y775">
        <v>15.2</v>
      </c>
      <c r="AA775">
        <v>0</v>
      </c>
      <c r="AB775">
        <v>0</v>
      </c>
      <c r="AC775">
        <v>0</v>
      </c>
      <c r="AD775">
        <v>60.22</v>
      </c>
      <c r="AE775">
        <v>0</v>
      </c>
      <c r="AF775">
        <v>0</v>
      </c>
      <c r="AG775">
        <v>0</v>
      </c>
      <c r="AH775">
        <v>9.18</v>
      </c>
      <c r="AI775">
        <v>1</v>
      </c>
      <c r="AJ775">
        <v>1</v>
      </c>
      <c r="AK775">
        <v>1</v>
      </c>
      <c r="AL775">
        <v>6.56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15.2</v>
      </c>
      <c r="AU775" t="s">
        <v>6</v>
      </c>
      <c r="AV775">
        <v>1</v>
      </c>
      <c r="AW775">
        <v>2</v>
      </c>
      <c r="AX775">
        <v>16743732</v>
      </c>
      <c r="AY775">
        <v>1</v>
      </c>
      <c r="AZ775">
        <v>0</v>
      </c>
      <c r="BA775">
        <v>709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Y775*Source!I533</f>
        <v>5.1680000000000001</v>
      </c>
      <c r="CY775">
        <f>AD775</f>
        <v>60.22</v>
      </c>
      <c r="CZ775">
        <f>AH775</f>
        <v>9.18</v>
      </c>
      <c r="DA775">
        <f>AL775</f>
        <v>6.56</v>
      </c>
      <c r="DB775">
        <f t="shared" si="134"/>
        <v>139.54</v>
      </c>
      <c r="DC775">
        <f t="shared" si="135"/>
        <v>0</v>
      </c>
    </row>
    <row r="776" spans="1:107" x14ac:dyDescent="0.2">
      <c r="A776">
        <f>ROW(Source!A533)</f>
        <v>533</v>
      </c>
      <c r="B776">
        <v>16742901</v>
      </c>
      <c r="C776">
        <v>16743727</v>
      </c>
      <c r="D776">
        <v>15170155</v>
      </c>
      <c r="E776">
        <v>1</v>
      </c>
      <c r="F776">
        <v>1</v>
      </c>
      <c r="G776">
        <v>1</v>
      </c>
      <c r="H776">
        <v>3</v>
      </c>
      <c r="I776" t="s">
        <v>1661</v>
      </c>
      <c r="J776" t="s">
        <v>1662</v>
      </c>
      <c r="K776" t="s">
        <v>1663</v>
      </c>
      <c r="L776">
        <v>1355</v>
      </c>
      <c r="N776">
        <v>1010</v>
      </c>
      <c r="O776" t="s">
        <v>843</v>
      </c>
      <c r="P776" t="s">
        <v>843</v>
      </c>
      <c r="Q776">
        <v>100</v>
      </c>
      <c r="W776">
        <v>0</v>
      </c>
      <c r="X776">
        <v>1135215184</v>
      </c>
      <c r="Y776">
        <v>1.75</v>
      </c>
      <c r="AA776">
        <v>52.48</v>
      </c>
      <c r="AB776">
        <v>0</v>
      </c>
      <c r="AC776">
        <v>0</v>
      </c>
      <c r="AD776">
        <v>0</v>
      </c>
      <c r="AE776">
        <v>8</v>
      </c>
      <c r="AF776">
        <v>0</v>
      </c>
      <c r="AG776">
        <v>0</v>
      </c>
      <c r="AH776">
        <v>0</v>
      </c>
      <c r="AI776">
        <v>6.56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0</v>
      </c>
      <c r="AQ776">
        <v>0</v>
      </c>
      <c r="AR776">
        <v>0</v>
      </c>
      <c r="AS776" t="s">
        <v>6</v>
      </c>
      <c r="AT776">
        <v>1.75</v>
      </c>
      <c r="AU776" t="s">
        <v>6</v>
      </c>
      <c r="AV776">
        <v>0</v>
      </c>
      <c r="AW776">
        <v>2</v>
      </c>
      <c r="AX776">
        <v>16743733</v>
      </c>
      <c r="AY776">
        <v>1</v>
      </c>
      <c r="AZ776">
        <v>0</v>
      </c>
      <c r="BA776">
        <v>710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Y776*Source!I533</f>
        <v>0.59500000000000008</v>
      </c>
      <c r="CY776">
        <f>AA776</f>
        <v>52.48</v>
      </c>
      <c r="CZ776">
        <f>AE776</f>
        <v>8</v>
      </c>
      <c r="DA776">
        <f>AI776</f>
        <v>6.56</v>
      </c>
      <c r="DB776">
        <f t="shared" si="134"/>
        <v>14</v>
      </c>
      <c r="DC776">
        <f t="shared" si="135"/>
        <v>0</v>
      </c>
    </row>
    <row r="777" spans="1:107" x14ac:dyDescent="0.2">
      <c r="A777">
        <f>ROW(Source!A533)</f>
        <v>533</v>
      </c>
      <c r="B777">
        <v>16742901</v>
      </c>
      <c r="C777">
        <v>16743727</v>
      </c>
      <c r="D777">
        <v>15233333</v>
      </c>
      <c r="E777">
        <v>1</v>
      </c>
      <c r="F777">
        <v>1</v>
      </c>
      <c r="G777">
        <v>1</v>
      </c>
      <c r="H777">
        <v>3</v>
      </c>
      <c r="I777" t="s">
        <v>738</v>
      </c>
      <c r="J777" t="s">
        <v>741</v>
      </c>
      <c r="K777" t="s">
        <v>739</v>
      </c>
      <c r="L777">
        <v>1302</v>
      </c>
      <c r="N777">
        <v>1003</v>
      </c>
      <c r="O777" t="s">
        <v>740</v>
      </c>
      <c r="P777" t="s">
        <v>740</v>
      </c>
      <c r="Q777">
        <v>10</v>
      </c>
      <c r="W777">
        <v>0</v>
      </c>
      <c r="X777">
        <v>-819900352</v>
      </c>
      <c r="Y777">
        <v>10</v>
      </c>
      <c r="AA777">
        <v>105.68</v>
      </c>
      <c r="AB777">
        <v>0</v>
      </c>
      <c r="AC777">
        <v>0</v>
      </c>
      <c r="AD777">
        <v>0</v>
      </c>
      <c r="AE777">
        <v>16.11</v>
      </c>
      <c r="AF777">
        <v>0</v>
      </c>
      <c r="AG777">
        <v>0</v>
      </c>
      <c r="AH777">
        <v>0</v>
      </c>
      <c r="AI777">
        <v>6.56</v>
      </c>
      <c r="AJ777">
        <v>1</v>
      </c>
      <c r="AK777">
        <v>1</v>
      </c>
      <c r="AL777">
        <v>1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6</v>
      </c>
      <c r="AT777">
        <v>10</v>
      </c>
      <c r="AU777" t="s">
        <v>6</v>
      </c>
      <c r="AV777">
        <v>0</v>
      </c>
      <c r="AW777">
        <v>1</v>
      </c>
      <c r="AX777">
        <v>-1</v>
      </c>
      <c r="AY777">
        <v>0</v>
      </c>
      <c r="AZ777">
        <v>0</v>
      </c>
      <c r="BA777" t="s">
        <v>6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Y777*Source!I533</f>
        <v>3.4000000000000004</v>
      </c>
      <c r="CY777">
        <f>AA777</f>
        <v>105.68</v>
      </c>
      <c r="CZ777">
        <f>AE777</f>
        <v>16.11</v>
      </c>
      <c r="DA777">
        <f>AI777</f>
        <v>6.56</v>
      </c>
      <c r="DB777">
        <f t="shared" si="134"/>
        <v>161.1</v>
      </c>
      <c r="DC777">
        <f t="shared" si="135"/>
        <v>0</v>
      </c>
    </row>
    <row r="778" spans="1:107" x14ac:dyDescent="0.2">
      <c r="A778">
        <f>ROW(Source!A533)</f>
        <v>533</v>
      </c>
      <c r="B778">
        <v>16742901</v>
      </c>
      <c r="C778">
        <v>16743727</v>
      </c>
      <c r="D778">
        <v>15164559</v>
      </c>
      <c r="E778">
        <v>17</v>
      </c>
      <c r="F778">
        <v>1</v>
      </c>
      <c r="G778">
        <v>1</v>
      </c>
      <c r="H778">
        <v>3</v>
      </c>
      <c r="I778" t="s">
        <v>1334</v>
      </c>
      <c r="J778" t="s">
        <v>6</v>
      </c>
      <c r="K778" t="s">
        <v>1335</v>
      </c>
      <c r="L778">
        <v>1374</v>
      </c>
      <c r="N778">
        <v>1013</v>
      </c>
      <c r="O778" t="s">
        <v>1336</v>
      </c>
      <c r="P778" t="s">
        <v>1336</v>
      </c>
      <c r="Q778">
        <v>1</v>
      </c>
      <c r="W778">
        <v>0</v>
      </c>
      <c r="X778">
        <v>-1731369543</v>
      </c>
      <c r="Y778">
        <v>2.79</v>
      </c>
      <c r="AA778">
        <v>1</v>
      </c>
      <c r="AB778">
        <v>0</v>
      </c>
      <c r="AC778">
        <v>0</v>
      </c>
      <c r="AD778">
        <v>0</v>
      </c>
      <c r="AE778">
        <v>1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2.79</v>
      </c>
      <c r="AU778" t="s">
        <v>6</v>
      </c>
      <c r="AV778">
        <v>0</v>
      </c>
      <c r="AW778">
        <v>2</v>
      </c>
      <c r="AX778">
        <v>16743734</v>
      </c>
      <c r="AY778">
        <v>1</v>
      </c>
      <c r="AZ778">
        <v>0</v>
      </c>
      <c r="BA778">
        <v>711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Y778*Source!I533</f>
        <v>0.94860000000000011</v>
      </c>
      <c r="CY778">
        <f>AA778</f>
        <v>1</v>
      </c>
      <c r="CZ778">
        <f>AE778</f>
        <v>1</v>
      </c>
      <c r="DA778">
        <f>AI778</f>
        <v>1</v>
      </c>
      <c r="DB778">
        <f t="shared" si="134"/>
        <v>2.79</v>
      </c>
      <c r="DC778">
        <f t="shared" si="135"/>
        <v>0</v>
      </c>
    </row>
    <row r="779" spans="1:107" x14ac:dyDescent="0.2">
      <c r="A779">
        <f>ROW(Source!A535)</f>
        <v>535</v>
      </c>
      <c r="B779">
        <v>16742901</v>
      </c>
      <c r="C779">
        <v>16743736</v>
      </c>
      <c r="D779">
        <v>15430397</v>
      </c>
      <c r="E779">
        <v>1</v>
      </c>
      <c r="F779">
        <v>1</v>
      </c>
      <c r="G779">
        <v>1</v>
      </c>
      <c r="H779">
        <v>1</v>
      </c>
      <c r="I779" t="s">
        <v>1323</v>
      </c>
      <c r="J779" t="s">
        <v>6</v>
      </c>
      <c r="K779" t="s">
        <v>1324</v>
      </c>
      <c r="L779">
        <v>1191</v>
      </c>
      <c r="N779">
        <v>1013</v>
      </c>
      <c r="O779" t="s">
        <v>1287</v>
      </c>
      <c r="P779" t="s">
        <v>1287</v>
      </c>
      <c r="Q779">
        <v>1</v>
      </c>
      <c r="W779">
        <v>0</v>
      </c>
      <c r="X779">
        <v>-1081351934</v>
      </c>
      <c r="Y779">
        <v>5.39</v>
      </c>
      <c r="AA779">
        <v>0</v>
      </c>
      <c r="AB779">
        <v>0</v>
      </c>
      <c r="AC779">
        <v>0</v>
      </c>
      <c r="AD779">
        <v>61.66</v>
      </c>
      <c r="AE779">
        <v>0</v>
      </c>
      <c r="AF779">
        <v>0</v>
      </c>
      <c r="AG779">
        <v>0</v>
      </c>
      <c r="AH779">
        <v>9.4</v>
      </c>
      <c r="AI779">
        <v>1</v>
      </c>
      <c r="AJ779">
        <v>1</v>
      </c>
      <c r="AK779">
        <v>1</v>
      </c>
      <c r="AL779">
        <v>6.56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5.39</v>
      </c>
      <c r="AU779" t="s">
        <v>6</v>
      </c>
      <c r="AV779">
        <v>1</v>
      </c>
      <c r="AW779">
        <v>2</v>
      </c>
      <c r="AX779">
        <v>16743748</v>
      </c>
      <c r="AY779">
        <v>1</v>
      </c>
      <c r="AZ779">
        <v>0</v>
      </c>
      <c r="BA779">
        <v>712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Y779*Source!I535</f>
        <v>2.5871999999999997</v>
      </c>
      <c r="CY779">
        <f>AD779</f>
        <v>61.66</v>
      </c>
      <c r="CZ779">
        <f>AH779</f>
        <v>9.4</v>
      </c>
      <c r="DA779">
        <f>AL779</f>
        <v>6.56</v>
      </c>
      <c r="DB779">
        <f t="shared" si="134"/>
        <v>50.67</v>
      </c>
      <c r="DC779">
        <f t="shared" si="135"/>
        <v>0</v>
      </c>
    </row>
    <row r="780" spans="1:107" x14ac:dyDescent="0.2">
      <c r="A780">
        <f>ROW(Source!A535)</f>
        <v>535</v>
      </c>
      <c r="B780">
        <v>16742901</v>
      </c>
      <c r="C780">
        <v>16743736</v>
      </c>
      <c r="D780">
        <v>15430395</v>
      </c>
      <c r="E780">
        <v>1</v>
      </c>
      <c r="F780">
        <v>1</v>
      </c>
      <c r="G780">
        <v>1</v>
      </c>
      <c r="H780">
        <v>1</v>
      </c>
      <c r="I780" t="s">
        <v>1293</v>
      </c>
      <c r="J780" t="s">
        <v>6</v>
      </c>
      <c r="K780" t="s">
        <v>1294</v>
      </c>
      <c r="L780">
        <v>1191</v>
      </c>
      <c r="N780">
        <v>1013</v>
      </c>
      <c r="O780" t="s">
        <v>1287</v>
      </c>
      <c r="P780" t="s">
        <v>1287</v>
      </c>
      <c r="Q780">
        <v>1</v>
      </c>
      <c r="W780">
        <v>0</v>
      </c>
      <c r="X780">
        <v>-1417349443</v>
      </c>
      <c r="Y780">
        <v>0.04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6.56</v>
      </c>
      <c r="AL780">
        <v>1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6</v>
      </c>
      <c r="AT780">
        <v>0.04</v>
      </c>
      <c r="AU780" t="s">
        <v>6</v>
      </c>
      <c r="AV780">
        <v>2</v>
      </c>
      <c r="AW780">
        <v>2</v>
      </c>
      <c r="AX780">
        <v>16743749</v>
      </c>
      <c r="AY780">
        <v>1</v>
      </c>
      <c r="AZ780">
        <v>0</v>
      </c>
      <c r="BA780">
        <v>713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Y780*Source!I535</f>
        <v>1.9199999999999998E-2</v>
      </c>
      <c r="CY780">
        <f>AD780</f>
        <v>0</v>
      </c>
      <c r="CZ780">
        <f>AH780</f>
        <v>0</v>
      </c>
      <c r="DA780">
        <f>AL780</f>
        <v>1</v>
      </c>
      <c r="DB780">
        <f t="shared" si="134"/>
        <v>0</v>
      </c>
      <c r="DC780">
        <f t="shared" si="135"/>
        <v>0</v>
      </c>
    </row>
    <row r="781" spans="1:107" x14ac:dyDescent="0.2">
      <c r="A781">
        <f>ROW(Source!A535)</f>
        <v>535</v>
      </c>
      <c r="B781">
        <v>16742901</v>
      </c>
      <c r="C781">
        <v>16743736</v>
      </c>
      <c r="D781">
        <v>15247680</v>
      </c>
      <c r="E781">
        <v>1</v>
      </c>
      <c r="F781">
        <v>1</v>
      </c>
      <c r="G781">
        <v>1</v>
      </c>
      <c r="H781">
        <v>2</v>
      </c>
      <c r="I781" t="s">
        <v>1295</v>
      </c>
      <c r="J781" t="s">
        <v>1296</v>
      </c>
      <c r="K781" t="s">
        <v>1297</v>
      </c>
      <c r="L781">
        <v>1368</v>
      </c>
      <c r="N781">
        <v>1011</v>
      </c>
      <c r="O781" t="s">
        <v>1298</v>
      </c>
      <c r="P781" t="s">
        <v>1298</v>
      </c>
      <c r="Q781">
        <v>1</v>
      </c>
      <c r="W781">
        <v>0</v>
      </c>
      <c r="X781">
        <v>-1718674368</v>
      </c>
      <c r="Y781">
        <v>0.02</v>
      </c>
      <c r="AA781">
        <v>0</v>
      </c>
      <c r="AB781">
        <v>734.65</v>
      </c>
      <c r="AC781">
        <v>13.5</v>
      </c>
      <c r="AD781">
        <v>0</v>
      </c>
      <c r="AE781">
        <v>0</v>
      </c>
      <c r="AF781">
        <v>111.99</v>
      </c>
      <c r="AG781">
        <v>13.5</v>
      </c>
      <c r="AH781">
        <v>0</v>
      </c>
      <c r="AI781">
        <v>1</v>
      </c>
      <c r="AJ781">
        <v>6.56</v>
      </c>
      <c r="AK781">
        <v>1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6</v>
      </c>
      <c r="AT781">
        <v>0.02</v>
      </c>
      <c r="AU781" t="s">
        <v>6</v>
      </c>
      <c r="AV781">
        <v>0</v>
      </c>
      <c r="AW781">
        <v>2</v>
      </c>
      <c r="AX781">
        <v>16743750</v>
      </c>
      <c r="AY781">
        <v>1</v>
      </c>
      <c r="AZ781">
        <v>0</v>
      </c>
      <c r="BA781">
        <v>714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Y781*Source!I535</f>
        <v>9.5999999999999992E-3</v>
      </c>
      <c r="CY781">
        <f>AB781</f>
        <v>734.65</v>
      </c>
      <c r="CZ781">
        <f>AF781</f>
        <v>111.99</v>
      </c>
      <c r="DA781">
        <f>AJ781</f>
        <v>6.56</v>
      </c>
      <c r="DB781">
        <f t="shared" si="134"/>
        <v>2.2400000000000002</v>
      </c>
      <c r="DC781">
        <f t="shared" si="135"/>
        <v>0.27</v>
      </c>
    </row>
    <row r="782" spans="1:107" x14ac:dyDescent="0.2">
      <c r="A782">
        <f>ROW(Source!A535)</f>
        <v>535</v>
      </c>
      <c r="B782">
        <v>16742901</v>
      </c>
      <c r="C782">
        <v>16743736</v>
      </c>
      <c r="D782">
        <v>15249073</v>
      </c>
      <c r="E782">
        <v>1</v>
      </c>
      <c r="F782">
        <v>1</v>
      </c>
      <c r="G782">
        <v>1</v>
      </c>
      <c r="H782">
        <v>2</v>
      </c>
      <c r="I782" t="s">
        <v>1299</v>
      </c>
      <c r="J782" t="s">
        <v>1300</v>
      </c>
      <c r="K782" t="s">
        <v>1301</v>
      </c>
      <c r="L782">
        <v>1368</v>
      </c>
      <c r="N782">
        <v>1011</v>
      </c>
      <c r="O782" t="s">
        <v>1298</v>
      </c>
      <c r="P782" t="s">
        <v>1298</v>
      </c>
      <c r="Q782">
        <v>1</v>
      </c>
      <c r="W782">
        <v>0</v>
      </c>
      <c r="X782">
        <v>1372534845</v>
      </c>
      <c r="Y782">
        <v>0.02</v>
      </c>
      <c r="AA782">
        <v>0</v>
      </c>
      <c r="AB782">
        <v>431.06</v>
      </c>
      <c r="AC782">
        <v>11.6</v>
      </c>
      <c r="AD782">
        <v>0</v>
      </c>
      <c r="AE782">
        <v>0</v>
      </c>
      <c r="AF782">
        <v>65.709999999999994</v>
      </c>
      <c r="AG782">
        <v>11.6</v>
      </c>
      <c r="AH782">
        <v>0</v>
      </c>
      <c r="AI782">
        <v>1</v>
      </c>
      <c r="AJ782">
        <v>6.56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0.02</v>
      </c>
      <c r="AU782" t="s">
        <v>6</v>
      </c>
      <c r="AV782">
        <v>0</v>
      </c>
      <c r="AW782">
        <v>2</v>
      </c>
      <c r="AX782">
        <v>16743751</v>
      </c>
      <c r="AY782">
        <v>1</v>
      </c>
      <c r="AZ782">
        <v>0</v>
      </c>
      <c r="BA782">
        <v>715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Y782*Source!I535</f>
        <v>9.5999999999999992E-3</v>
      </c>
      <c r="CY782">
        <f>AB782</f>
        <v>431.06</v>
      </c>
      <c r="CZ782">
        <f>AF782</f>
        <v>65.709999999999994</v>
      </c>
      <c r="DA782">
        <f>AJ782</f>
        <v>6.56</v>
      </c>
      <c r="DB782">
        <f t="shared" si="134"/>
        <v>1.31</v>
      </c>
      <c r="DC782">
        <f t="shared" si="135"/>
        <v>0.23</v>
      </c>
    </row>
    <row r="783" spans="1:107" x14ac:dyDescent="0.2">
      <c r="A783">
        <f>ROW(Source!A535)</f>
        <v>535</v>
      </c>
      <c r="B783">
        <v>16742901</v>
      </c>
      <c r="C783">
        <v>16743736</v>
      </c>
      <c r="D783">
        <v>15167588</v>
      </c>
      <c r="E783">
        <v>1</v>
      </c>
      <c r="F783">
        <v>1</v>
      </c>
      <c r="G783">
        <v>1</v>
      </c>
      <c r="H783">
        <v>3</v>
      </c>
      <c r="I783" t="s">
        <v>1641</v>
      </c>
      <c r="J783" t="s">
        <v>1642</v>
      </c>
      <c r="K783" t="s">
        <v>1643</v>
      </c>
      <c r="L783">
        <v>1346</v>
      </c>
      <c r="N783">
        <v>1009</v>
      </c>
      <c r="O783" t="s">
        <v>341</v>
      </c>
      <c r="P783" t="s">
        <v>341</v>
      </c>
      <c r="Q783">
        <v>1</v>
      </c>
      <c r="W783">
        <v>0</v>
      </c>
      <c r="X783">
        <v>-1088866022</v>
      </c>
      <c r="Y783">
        <v>0.16</v>
      </c>
      <c r="AA783">
        <v>199.42</v>
      </c>
      <c r="AB783">
        <v>0</v>
      </c>
      <c r="AC783">
        <v>0</v>
      </c>
      <c r="AD783">
        <v>0</v>
      </c>
      <c r="AE783">
        <v>30.4</v>
      </c>
      <c r="AF783">
        <v>0</v>
      </c>
      <c r="AG783">
        <v>0</v>
      </c>
      <c r="AH783">
        <v>0</v>
      </c>
      <c r="AI783">
        <v>6.56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6</v>
      </c>
      <c r="AT783">
        <v>0.16</v>
      </c>
      <c r="AU783" t="s">
        <v>6</v>
      </c>
      <c r="AV783">
        <v>0</v>
      </c>
      <c r="AW783">
        <v>2</v>
      </c>
      <c r="AX783">
        <v>16743752</v>
      </c>
      <c r="AY783">
        <v>1</v>
      </c>
      <c r="AZ783">
        <v>0</v>
      </c>
      <c r="BA783">
        <v>716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Y783*Source!I535</f>
        <v>7.6799999999999993E-2</v>
      </c>
      <c r="CY783">
        <f t="shared" ref="CY783:CY789" si="139">AA783</f>
        <v>199.42</v>
      </c>
      <c r="CZ783">
        <f t="shared" ref="CZ783:CZ789" si="140">AE783</f>
        <v>30.4</v>
      </c>
      <c r="DA783">
        <f t="shared" ref="DA783:DA789" si="141">AI783</f>
        <v>6.56</v>
      </c>
      <c r="DB783">
        <f t="shared" si="134"/>
        <v>4.8600000000000003</v>
      </c>
      <c r="DC783">
        <f t="shared" si="135"/>
        <v>0</v>
      </c>
    </row>
    <row r="784" spans="1:107" x14ac:dyDescent="0.2">
      <c r="A784">
        <f>ROW(Source!A535)</f>
        <v>535</v>
      </c>
      <c r="B784">
        <v>16742901</v>
      </c>
      <c r="C784">
        <v>16743736</v>
      </c>
      <c r="D784">
        <v>15167867</v>
      </c>
      <c r="E784">
        <v>1</v>
      </c>
      <c r="F784">
        <v>1</v>
      </c>
      <c r="G784">
        <v>1</v>
      </c>
      <c r="H784">
        <v>3</v>
      </c>
      <c r="I784" t="s">
        <v>1664</v>
      </c>
      <c r="J784" t="s">
        <v>1665</v>
      </c>
      <c r="K784" t="s">
        <v>1666</v>
      </c>
      <c r="L784">
        <v>1348</v>
      </c>
      <c r="N784">
        <v>1009</v>
      </c>
      <c r="O784" t="s">
        <v>100</v>
      </c>
      <c r="P784" t="s">
        <v>100</v>
      </c>
      <c r="Q784">
        <v>1000</v>
      </c>
      <c r="W784">
        <v>0</v>
      </c>
      <c r="X784">
        <v>1012095217</v>
      </c>
      <c r="Y784">
        <v>5.9999999999999995E-4</v>
      </c>
      <c r="AA784">
        <v>11939.2</v>
      </c>
      <c r="AB784">
        <v>0</v>
      </c>
      <c r="AC784">
        <v>0</v>
      </c>
      <c r="AD784">
        <v>0</v>
      </c>
      <c r="AE784">
        <v>1820</v>
      </c>
      <c r="AF784">
        <v>0</v>
      </c>
      <c r="AG784">
        <v>0</v>
      </c>
      <c r="AH784">
        <v>0</v>
      </c>
      <c r="AI784">
        <v>6.56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6</v>
      </c>
      <c r="AT784">
        <v>5.9999999999999995E-4</v>
      </c>
      <c r="AU784" t="s">
        <v>6</v>
      </c>
      <c r="AV784">
        <v>0</v>
      </c>
      <c r="AW784">
        <v>2</v>
      </c>
      <c r="AX784">
        <v>16743753</v>
      </c>
      <c r="AY784">
        <v>1</v>
      </c>
      <c r="AZ784">
        <v>0</v>
      </c>
      <c r="BA784">
        <v>717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Y784*Source!I535</f>
        <v>2.8799999999999995E-4</v>
      </c>
      <c r="CY784">
        <f t="shared" si="139"/>
        <v>11939.2</v>
      </c>
      <c r="CZ784">
        <f t="shared" si="140"/>
        <v>1820</v>
      </c>
      <c r="DA784">
        <f t="shared" si="141"/>
        <v>6.56</v>
      </c>
      <c r="DB784">
        <f t="shared" si="134"/>
        <v>1.0900000000000001</v>
      </c>
      <c r="DC784">
        <f t="shared" si="135"/>
        <v>0</v>
      </c>
    </row>
    <row r="785" spans="1:107" x14ac:dyDescent="0.2">
      <c r="A785">
        <f>ROW(Source!A535)</f>
        <v>535</v>
      </c>
      <c r="B785">
        <v>16742901</v>
      </c>
      <c r="C785">
        <v>16743736</v>
      </c>
      <c r="D785">
        <v>15203834</v>
      </c>
      <c r="E785">
        <v>1</v>
      </c>
      <c r="F785">
        <v>1</v>
      </c>
      <c r="G785">
        <v>1</v>
      </c>
      <c r="H785">
        <v>3</v>
      </c>
      <c r="I785" t="s">
        <v>1667</v>
      </c>
      <c r="J785" t="s">
        <v>1668</v>
      </c>
      <c r="K785" t="s">
        <v>403</v>
      </c>
      <c r="L785">
        <v>1346</v>
      </c>
      <c r="N785">
        <v>1009</v>
      </c>
      <c r="O785" t="s">
        <v>341</v>
      </c>
      <c r="P785" t="s">
        <v>341</v>
      </c>
      <c r="Q785">
        <v>1</v>
      </c>
      <c r="W785">
        <v>0</v>
      </c>
      <c r="X785">
        <v>210558753</v>
      </c>
      <c r="Y785">
        <v>0.02</v>
      </c>
      <c r="AA785">
        <v>187.62</v>
      </c>
      <c r="AB785">
        <v>0</v>
      </c>
      <c r="AC785">
        <v>0</v>
      </c>
      <c r="AD785">
        <v>0</v>
      </c>
      <c r="AE785">
        <v>28.6</v>
      </c>
      <c r="AF785">
        <v>0</v>
      </c>
      <c r="AG785">
        <v>0</v>
      </c>
      <c r="AH785">
        <v>0</v>
      </c>
      <c r="AI785">
        <v>6.56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0.02</v>
      </c>
      <c r="AU785" t="s">
        <v>6</v>
      </c>
      <c r="AV785">
        <v>0</v>
      </c>
      <c r="AW785">
        <v>2</v>
      </c>
      <c r="AX785">
        <v>16743754</v>
      </c>
      <c r="AY785">
        <v>1</v>
      </c>
      <c r="AZ785">
        <v>0</v>
      </c>
      <c r="BA785">
        <v>718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Y785*Source!I535</f>
        <v>9.5999999999999992E-3</v>
      </c>
      <c r="CY785">
        <f t="shared" si="139"/>
        <v>187.62</v>
      </c>
      <c r="CZ785">
        <f t="shared" si="140"/>
        <v>28.6</v>
      </c>
      <c r="DA785">
        <f t="shared" si="141"/>
        <v>6.56</v>
      </c>
      <c r="DB785">
        <f t="shared" si="134"/>
        <v>0.56999999999999995</v>
      </c>
      <c r="DC785">
        <f t="shared" si="135"/>
        <v>0</v>
      </c>
    </row>
    <row r="786" spans="1:107" x14ac:dyDescent="0.2">
      <c r="A786">
        <f>ROW(Source!A535)</f>
        <v>535</v>
      </c>
      <c r="B786">
        <v>16742901</v>
      </c>
      <c r="C786">
        <v>16743736</v>
      </c>
      <c r="D786">
        <v>15217527</v>
      </c>
      <c r="E786">
        <v>1</v>
      </c>
      <c r="F786">
        <v>1</v>
      </c>
      <c r="G786">
        <v>1</v>
      </c>
      <c r="H786">
        <v>3</v>
      </c>
      <c r="I786" t="s">
        <v>1669</v>
      </c>
      <c r="J786" t="s">
        <v>1670</v>
      </c>
      <c r="K786" t="s">
        <v>1671</v>
      </c>
      <c r="L786">
        <v>1355</v>
      </c>
      <c r="N786">
        <v>1010</v>
      </c>
      <c r="O786" t="s">
        <v>843</v>
      </c>
      <c r="P786" t="s">
        <v>843</v>
      </c>
      <c r="Q786">
        <v>100</v>
      </c>
      <c r="W786">
        <v>0</v>
      </c>
      <c r="X786">
        <v>-423136440</v>
      </c>
      <c r="Y786">
        <v>0.05</v>
      </c>
      <c r="AA786">
        <v>721.6</v>
      </c>
      <c r="AB786">
        <v>0</v>
      </c>
      <c r="AC786">
        <v>0</v>
      </c>
      <c r="AD786">
        <v>0</v>
      </c>
      <c r="AE786">
        <v>110</v>
      </c>
      <c r="AF786">
        <v>0</v>
      </c>
      <c r="AG786">
        <v>0</v>
      </c>
      <c r="AH786">
        <v>0</v>
      </c>
      <c r="AI786">
        <v>6.56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0.05</v>
      </c>
      <c r="AU786" t="s">
        <v>6</v>
      </c>
      <c r="AV786">
        <v>0</v>
      </c>
      <c r="AW786">
        <v>2</v>
      </c>
      <c r="AX786">
        <v>16743755</v>
      </c>
      <c r="AY786">
        <v>1</v>
      </c>
      <c r="AZ786">
        <v>0</v>
      </c>
      <c r="BA786">
        <v>719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Y786*Source!I535</f>
        <v>2.4E-2</v>
      </c>
      <c r="CY786">
        <f t="shared" si="139"/>
        <v>721.6</v>
      </c>
      <c r="CZ786">
        <f t="shared" si="140"/>
        <v>110</v>
      </c>
      <c r="DA786">
        <f t="shared" si="141"/>
        <v>6.56</v>
      </c>
      <c r="DB786">
        <f t="shared" si="134"/>
        <v>5.5</v>
      </c>
      <c r="DC786">
        <f t="shared" si="135"/>
        <v>0</v>
      </c>
    </row>
    <row r="787" spans="1:107" x14ac:dyDescent="0.2">
      <c r="A787">
        <f>ROW(Source!A535)</f>
        <v>535</v>
      </c>
      <c r="B787">
        <v>16742901</v>
      </c>
      <c r="C787">
        <v>16743736</v>
      </c>
      <c r="D787">
        <v>15217578</v>
      </c>
      <c r="E787">
        <v>1</v>
      </c>
      <c r="F787">
        <v>1</v>
      </c>
      <c r="G787">
        <v>1</v>
      </c>
      <c r="H787">
        <v>3</v>
      </c>
      <c r="I787" t="s">
        <v>1672</v>
      </c>
      <c r="J787" t="s">
        <v>1673</v>
      </c>
      <c r="K787" t="s">
        <v>1674</v>
      </c>
      <c r="L787">
        <v>1356</v>
      </c>
      <c r="N787">
        <v>1010</v>
      </c>
      <c r="O787" t="s">
        <v>306</v>
      </c>
      <c r="P787" t="s">
        <v>306</v>
      </c>
      <c r="Q787">
        <v>1000</v>
      </c>
      <c r="W787">
        <v>0</v>
      </c>
      <c r="X787">
        <v>537827188</v>
      </c>
      <c r="Y787">
        <v>1.2200000000000001E-2</v>
      </c>
      <c r="AA787">
        <v>780.64</v>
      </c>
      <c r="AB787">
        <v>0</v>
      </c>
      <c r="AC787">
        <v>0</v>
      </c>
      <c r="AD787">
        <v>0</v>
      </c>
      <c r="AE787">
        <v>119</v>
      </c>
      <c r="AF787">
        <v>0</v>
      </c>
      <c r="AG787">
        <v>0</v>
      </c>
      <c r="AH787">
        <v>0</v>
      </c>
      <c r="AI787">
        <v>6.56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1.2200000000000001E-2</v>
      </c>
      <c r="AU787" t="s">
        <v>6</v>
      </c>
      <c r="AV787">
        <v>0</v>
      </c>
      <c r="AW787">
        <v>2</v>
      </c>
      <c r="AX787">
        <v>16743756</v>
      </c>
      <c r="AY787">
        <v>1</v>
      </c>
      <c r="AZ787">
        <v>0</v>
      </c>
      <c r="BA787">
        <v>720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Y787*Source!I535</f>
        <v>5.8560000000000001E-3</v>
      </c>
      <c r="CY787">
        <f t="shared" si="139"/>
        <v>780.64</v>
      </c>
      <c r="CZ787">
        <f t="shared" si="140"/>
        <v>119</v>
      </c>
      <c r="DA787">
        <f t="shared" si="141"/>
        <v>6.56</v>
      </c>
      <c r="DB787">
        <f t="shared" si="134"/>
        <v>1.45</v>
      </c>
      <c r="DC787">
        <f t="shared" si="135"/>
        <v>0</v>
      </c>
    </row>
    <row r="788" spans="1:107" x14ac:dyDescent="0.2">
      <c r="A788">
        <f>ROW(Source!A535)</f>
        <v>535</v>
      </c>
      <c r="B788">
        <v>16742901</v>
      </c>
      <c r="C788">
        <v>16743736</v>
      </c>
      <c r="D788">
        <v>15224223</v>
      </c>
      <c r="E788">
        <v>1</v>
      </c>
      <c r="F788">
        <v>1</v>
      </c>
      <c r="G788">
        <v>1</v>
      </c>
      <c r="H788">
        <v>3</v>
      </c>
      <c r="I788" t="s">
        <v>998</v>
      </c>
      <c r="J788" t="s">
        <v>999</v>
      </c>
      <c r="K788" t="s">
        <v>1904</v>
      </c>
      <c r="L788">
        <v>1477</v>
      </c>
      <c r="N788">
        <v>1013</v>
      </c>
      <c r="O788" t="s">
        <v>749</v>
      </c>
      <c r="P788" t="s">
        <v>751</v>
      </c>
      <c r="Q788">
        <v>1</v>
      </c>
      <c r="W788">
        <v>0</v>
      </c>
      <c r="X788">
        <v>287234314</v>
      </c>
      <c r="Y788">
        <v>0.1</v>
      </c>
      <c r="AA788">
        <v>47938.51</v>
      </c>
      <c r="AB788">
        <v>0</v>
      </c>
      <c r="AC788">
        <v>0</v>
      </c>
      <c r="AD788">
        <v>0</v>
      </c>
      <c r="AE788">
        <v>7307.7</v>
      </c>
      <c r="AF788">
        <v>0</v>
      </c>
      <c r="AG788">
        <v>0</v>
      </c>
      <c r="AH788">
        <v>0</v>
      </c>
      <c r="AI788">
        <v>6.56</v>
      </c>
      <c r="AJ788">
        <v>1</v>
      </c>
      <c r="AK788">
        <v>1</v>
      </c>
      <c r="AL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6</v>
      </c>
      <c r="AT788">
        <v>0.1</v>
      </c>
      <c r="AU788" t="s">
        <v>6</v>
      </c>
      <c r="AV788">
        <v>0</v>
      </c>
      <c r="AW788">
        <v>1</v>
      </c>
      <c r="AX788">
        <v>-1</v>
      </c>
      <c r="AY788">
        <v>0</v>
      </c>
      <c r="AZ788">
        <v>0</v>
      </c>
      <c r="BA788" t="s">
        <v>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Y788*Source!I535</f>
        <v>4.8000000000000001E-2</v>
      </c>
      <c r="CY788">
        <f t="shared" si="139"/>
        <v>47938.51</v>
      </c>
      <c r="CZ788">
        <f t="shared" si="140"/>
        <v>7307.7</v>
      </c>
      <c r="DA788">
        <f t="shared" si="141"/>
        <v>6.56</v>
      </c>
      <c r="DB788">
        <f t="shared" si="134"/>
        <v>730.77</v>
      </c>
      <c r="DC788">
        <f t="shared" si="135"/>
        <v>0</v>
      </c>
    </row>
    <row r="789" spans="1:107" x14ac:dyDescent="0.2">
      <c r="A789">
        <f>ROW(Source!A535)</f>
        <v>535</v>
      </c>
      <c r="B789">
        <v>16742901</v>
      </c>
      <c r="C789">
        <v>16743736</v>
      </c>
      <c r="D789">
        <v>15164559</v>
      </c>
      <c r="E789">
        <v>17</v>
      </c>
      <c r="F789">
        <v>1</v>
      </c>
      <c r="G789">
        <v>1</v>
      </c>
      <c r="H789">
        <v>3</v>
      </c>
      <c r="I789" t="s">
        <v>1334</v>
      </c>
      <c r="J789" t="s">
        <v>6</v>
      </c>
      <c r="K789" t="s">
        <v>1335</v>
      </c>
      <c r="L789">
        <v>1374</v>
      </c>
      <c r="N789">
        <v>1013</v>
      </c>
      <c r="O789" t="s">
        <v>1336</v>
      </c>
      <c r="P789" t="s">
        <v>1336</v>
      </c>
      <c r="Q789">
        <v>1</v>
      </c>
      <c r="W789">
        <v>0</v>
      </c>
      <c r="X789">
        <v>-1731369543</v>
      </c>
      <c r="Y789">
        <v>1.01</v>
      </c>
      <c r="AA789">
        <v>1</v>
      </c>
      <c r="AB789">
        <v>0</v>
      </c>
      <c r="AC789">
        <v>0</v>
      </c>
      <c r="AD789">
        <v>0</v>
      </c>
      <c r="AE789">
        <v>1</v>
      </c>
      <c r="AF789">
        <v>0</v>
      </c>
      <c r="AG789">
        <v>0</v>
      </c>
      <c r="AH789">
        <v>0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6</v>
      </c>
      <c r="AT789">
        <v>1.01</v>
      </c>
      <c r="AU789" t="s">
        <v>6</v>
      </c>
      <c r="AV789">
        <v>0</v>
      </c>
      <c r="AW789">
        <v>2</v>
      </c>
      <c r="AX789">
        <v>16743757</v>
      </c>
      <c r="AY789">
        <v>1</v>
      </c>
      <c r="AZ789">
        <v>0</v>
      </c>
      <c r="BA789">
        <v>721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Y789*Source!I535</f>
        <v>0.48480000000000001</v>
      </c>
      <c r="CY789">
        <f t="shared" si="139"/>
        <v>1</v>
      </c>
      <c r="CZ789">
        <f t="shared" si="140"/>
        <v>1</v>
      </c>
      <c r="DA789">
        <f t="shared" si="141"/>
        <v>1</v>
      </c>
      <c r="DB789">
        <f t="shared" si="134"/>
        <v>1.01</v>
      </c>
      <c r="DC789">
        <f t="shared" si="135"/>
        <v>0</v>
      </c>
    </row>
    <row r="790" spans="1:107" x14ac:dyDescent="0.2">
      <c r="A790">
        <f>ROW(Source!A537)</f>
        <v>537</v>
      </c>
      <c r="B790">
        <v>16742901</v>
      </c>
      <c r="C790">
        <v>16743759</v>
      </c>
      <c r="D790">
        <v>15467906</v>
      </c>
      <c r="E790">
        <v>1</v>
      </c>
      <c r="F790">
        <v>1</v>
      </c>
      <c r="G790">
        <v>1</v>
      </c>
      <c r="H790">
        <v>1</v>
      </c>
      <c r="I790" t="s">
        <v>1770</v>
      </c>
      <c r="J790" t="s">
        <v>6</v>
      </c>
      <c r="K790" t="s">
        <v>1771</v>
      </c>
      <c r="L790">
        <v>1191</v>
      </c>
      <c r="N790">
        <v>1013</v>
      </c>
      <c r="O790" t="s">
        <v>1287</v>
      </c>
      <c r="P790" t="s">
        <v>1287</v>
      </c>
      <c r="Q790">
        <v>1</v>
      </c>
      <c r="W790">
        <v>0</v>
      </c>
      <c r="X790">
        <v>-1346398395</v>
      </c>
      <c r="Y790">
        <v>243</v>
      </c>
      <c r="AA790">
        <v>0</v>
      </c>
      <c r="AB790">
        <v>0</v>
      </c>
      <c r="AC790">
        <v>0</v>
      </c>
      <c r="AD790">
        <v>84.76</v>
      </c>
      <c r="AE790">
        <v>0</v>
      </c>
      <c r="AF790">
        <v>0</v>
      </c>
      <c r="AG790">
        <v>0</v>
      </c>
      <c r="AH790">
        <v>12.92</v>
      </c>
      <c r="AI790">
        <v>1</v>
      </c>
      <c r="AJ790">
        <v>1</v>
      </c>
      <c r="AK790">
        <v>1</v>
      </c>
      <c r="AL790">
        <v>6.56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6</v>
      </c>
      <c r="AT790">
        <v>243</v>
      </c>
      <c r="AU790" t="s">
        <v>6</v>
      </c>
      <c r="AV790">
        <v>1</v>
      </c>
      <c r="AW790">
        <v>2</v>
      </c>
      <c r="AX790">
        <v>16743762</v>
      </c>
      <c r="AY790">
        <v>1</v>
      </c>
      <c r="AZ790">
        <v>0</v>
      </c>
      <c r="BA790">
        <v>722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Y790*Source!I537</f>
        <v>243</v>
      </c>
      <c r="CY790">
        <f>AD790</f>
        <v>84.76</v>
      </c>
      <c r="CZ790">
        <f>AH790</f>
        <v>12.92</v>
      </c>
      <c r="DA790">
        <f>AL790</f>
        <v>6.56</v>
      </c>
      <c r="DB790">
        <f t="shared" si="134"/>
        <v>3139.56</v>
      </c>
      <c r="DC790">
        <f t="shared" si="135"/>
        <v>0</v>
      </c>
    </row>
    <row r="791" spans="1:107" x14ac:dyDescent="0.2">
      <c r="A791">
        <f>ROW(Source!A537)</f>
        <v>537</v>
      </c>
      <c r="B791">
        <v>16742901</v>
      </c>
      <c r="C791">
        <v>16743759</v>
      </c>
      <c r="D791">
        <v>15164559</v>
      </c>
      <c r="E791">
        <v>17</v>
      </c>
      <c r="F791">
        <v>1</v>
      </c>
      <c r="G791">
        <v>1</v>
      </c>
      <c r="H791">
        <v>3</v>
      </c>
      <c r="I791" t="s">
        <v>1334</v>
      </c>
      <c r="J791" t="s">
        <v>6</v>
      </c>
      <c r="K791" t="s">
        <v>1335</v>
      </c>
      <c r="L791">
        <v>1374</v>
      </c>
      <c r="N791">
        <v>1013</v>
      </c>
      <c r="O791" t="s">
        <v>1336</v>
      </c>
      <c r="P791" t="s">
        <v>1336</v>
      </c>
      <c r="Q791">
        <v>1</v>
      </c>
      <c r="W791">
        <v>0</v>
      </c>
      <c r="X791">
        <v>-1731369543</v>
      </c>
      <c r="Y791">
        <v>62.79</v>
      </c>
      <c r="AA791">
        <v>1</v>
      </c>
      <c r="AB791">
        <v>0</v>
      </c>
      <c r="AC791">
        <v>0</v>
      </c>
      <c r="AD791">
        <v>0</v>
      </c>
      <c r="AE791">
        <v>1</v>
      </c>
      <c r="AF791">
        <v>0</v>
      </c>
      <c r="AG791">
        <v>0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6</v>
      </c>
      <c r="AT791">
        <v>62.79</v>
      </c>
      <c r="AU791" t="s">
        <v>6</v>
      </c>
      <c r="AV791">
        <v>0</v>
      </c>
      <c r="AW791">
        <v>2</v>
      </c>
      <c r="AX791">
        <v>16743763</v>
      </c>
      <c r="AY791">
        <v>1</v>
      </c>
      <c r="AZ791">
        <v>0</v>
      </c>
      <c r="BA791">
        <v>723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Y791*Source!I537</f>
        <v>62.79</v>
      </c>
      <c r="CY791">
        <f>AA791</f>
        <v>1</v>
      </c>
      <c r="CZ791">
        <f>AE791</f>
        <v>1</v>
      </c>
      <c r="DA791">
        <f>AI791</f>
        <v>1</v>
      </c>
      <c r="DB791">
        <f t="shared" si="134"/>
        <v>62.79</v>
      </c>
      <c r="DC791">
        <f t="shared" si="135"/>
        <v>0</v>
      </c>
    </row>
    <row r="792" spans="1:107" x14ac:dyDescent="0.2">
      <c r="A792">
        <f>ROW(Source!A572)</f>
        <v>572</v>
      </c>
      <c r="B792">
        <v>16742901</v>
      </c>
      <c r="C792">
        <v>16743764</v>
      </c>
      <c r="D792">
        <v>15446300</v>
      </c>
      <c r="E792">
        <v>1</v>
      </c>
      <c r="F792">
        <v>1</v>
      </c>
      <c r="G792">
        <v>1</v>
      </c>
      <c r="H792">
        <v>1</v>
      </c>
      <c r="I792" t="s">
        <v>1437</v>
      </c>
      <c r="J792" t="s">
        <v>6</v>
      </c>
      <c r="K792" t="s">
        <v>1438</v>
      </c>
      <c r="L792">
        <v>1191</v>
      </c>
      <c r="N792">
        <v>1013</v>
      </c>
      <c r="O792" t="s">
        <v>1287</v>
      </c>
      <c r="P792" t="s">
        <v>1287</v>
      </c>
      <c r="Q792">
        <v>1</v>
      </c>
      <c r="W792">
        <v>0</v>
      </c>
      <c r="X792">
        <v>912892513</v>
      </c>
      <c r="Y792">
        <v>34.56</v>
      </c>
      <c r="AA792">
        <v>0</v>
      </c>
      <c r="AB792">
        <v>0</v>
      </c>
      <c r="AC792">
        <v>0</v>
      </c>
      <c r="AD792">
        <v>65.08</v>
      </c>
      <c r="AE792">
        <v>0</v>
      </c>
      <c r="AF792">
        <v>0</v>
      </c>
      <c r="AG792">
        <v>0</v>
      </c>
      <c r="AH792">
        <v>9.92</v>
      </c>
      <c r="AI792">
        <v>1</v>
      </c>
      <c r="AJ792">
        <v>1</v>
      </c>
      <c r="AK792">
        <v>1</v>
      </c>
      <c r="AL792">
        <v>6.56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6</v>
      </c>
      <c r="AT792">
        <v>34.56</v>
      </c>
      <c r="AU792" t="s">
        <v>6</v>
      </c>
      <c r="AV792">
        <v>1</v>
      </c>
      <c r="AW792">
        <v>2</v>
      </c>
      <c r="AX792">
        <v>16743776</v>
      </c>
      <c r="AY792">
        <v>1</v>
      </c>
      <c r="AZ792">
        <v>0</v>
      </c>
      <c r="BA792">
        <v>724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Y792*Source!I572</f>
        <v>6.2208000000000006</v>
      </c>
      <c r="CY792">
        <f>AD792</f>
        <v>65.08</v>
      </c>
      <c r="CZ792">
        <f>AH792</f>
        <v>9.92</v>
      </c>
      <c r="DA792">
        <f>AL792</f>
        <v>6.56</v>
      </c>
      <c r="DB792">
        <f t="shared" si="134"/>
        <v>342.84</v>
      </c>
      <c r="DC792">
        <f t="shared" si="135"/>
        <v>0</v>
      </c>
    </row>
    <row r="793" spans="1:107" x14ac:dyDescent="0.2">
      <c r="A793">
        <f>ROW(Source!A572)</f>
        <v>572</v>
      </c>
      <c r="B793">
        <v>16742901</v>
      </c>
      <c r="C793">
        <v>16743764</v>
      </c>
      <c r="D793">
        <v>15430395</v>
      </c>
      <c r="E793">
        <v>1</v>
      </c>
      <c r="F793">
        <v>1</v>
      </c>
      <c r="G793">
        <v>1</v>
      </c>
      <c r="H793">
        <v>1</v>
      </c>
      <c r="I793" t="s">
        <v>1293</v>
      </c>
      <c r="J793" t="s">
        <v>6</v>
      </c>
      <c r="K793" t="s">
        <v>1294</v>
      </c>
      <c r="L793">
        <v>1191</v>
      </c>
      <c r="N793">
        <v>1013</v>
      </c>
      <c r="O793" t="s">
        <v>1287</v>
      </c>
      <c r="P793" t="s">
        <v>1287</v>
      </c>
      <c r="Q793">
        <v>1</v>
      </c>
      <c r="W793">
        <v>0</v>
      </c>
      <c r="X793">
        <v>-1417349443</v>
      </c>
      <c r="Y793">
        <v>0.05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6.56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6</v>
      </c>
      <c r="AT793">
        <v>0.05</v>
      </c>
      <c r="AU793" t="s">
        <v>6</v>
      </c>
      <c r="AV793">
        <v>2</v>
      </c>
      <c r="AW793">
        <v>2</v>
      </c>
      <c r="AX793">
        <v>16743777</v>
      </c>
      <c r="AY793">
        <v>1</v>
      </c>
      <c r="AZ793">
        <v>0</v>
      </c>
      <c r="BA793">
        <v>725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Y793*Source!I572</f>
        <v>8.9999999999999993E-3</v>
      </c>
      <c r="CY793">
        <f>AD793</f>
        <v>0</v>
      </c>
      <c r="CZ793">
        <f>AH793</f>
        <v>0</v>
      </c>
      <c r="DA793">
        <f>AL793</f>
        <v>1</v>
      </c>
      <c r="DB793">
        <f t="shared" si="134"/>
        <v>0</v>
      </c>
      <c r="DC793">
        <f t="shared" si="135"/>
        <v>0</v>
      </c>
    </row>
    <row r="794" spans="1:107" x14ac:dyDescent="0.2">
      <c r="A794">
        <f>ROW(Source!A572)</f>
        <v>572</v>
      </c>
      <c r="B794">
        <v>16742901</v>
      </c>
      <c r="C794">
        <v>16743764</v>
      </c>
      <c r="D794">
        <v>15247680</v>
      </c>
      <c r="E794">
        <v>1</v>
      </c>
      <c r="F794">
        <v>1</v>
      </c>
      <c r="G794">
        <v>1</v>
      </c>
      <c r="H794">
        <v>2</v>
      </c>
      <c r="I794" t="s">
        <v>1295</v>
      </c>
      <c r="J794" t="s">
        <v>1296</v>
      </c>
      <c r="K794" t="s">
        <v>1297</v>
      </c>
      <c r="L794">
        <v>1368</v>
      </c>
      <c r="N794">
        <v>1011</v>
      </c>
      <c r="O794" t="s">
        <v>1298</v>
      </c>
      <c r="P794" t="s">
        <v>1298</v>
      </c>
      <c r="Q794">
        <v>1</v>
      </c>
      <c r="W794">
        <v>0</v>
      </c>
      <c r="X794">
        <v>-1718674368</v>
      </c>
      <c r="Y794">
        <v>0.03</v>
      </c>
      <c r="AA794">
        <v>0</v>
      </c>
      <c r="AB794">
        <v>734.65</v>
      </c>
      <c r="AC794">
        <v>13.5</v>
      </c>
      <c r="AD794">
        <v>0</v>
      </c>
      <c r="AE794">
        <v>0</v>
      </c>
      <c r="AF794">
        <v>111.99</v>
      </c>
      <c r="AG794">
        <v>13.5</v>
      </c>
      <c r="AH794">
        <v>0</v>
      </c>
      <c r="AI794">
        <v>1</v>
      </c>
      <c r="AJ794">
        <v>6.56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0.03</v>
      </c>
      <c r="AU794" t="s">
        <v>6</v>
      </c>
      <c r="AV794">
        <v>0</v>
      </c>
      <c r="AW794">
        <v>2</v>
      </c>
      <c r="AX794">
        <v>16743778</v>
      </c>
      <c r="AY794">
        <v>1</v>
      </c>
      <c r="AZ794">
        <v>0</v>
      </c>
      <c r="BA794">
        <v>726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Y794*Source!I572</f>
        <v>5.3999999999999994E-3</v>
      </c>
      <c r="CY794">
        <f>AB794</f>
        <v>734.65</v>
      </c>
      <c r="CZ794">
        <f>AF794</f>
        <v>111.99</v>
      </c>
      <c r="DA794">
        <f>AJ794</f>
        <v>6.56</v>
      </c>
      <c r="DB794">
        <f t="shared" si="134"/>
        <v>3.36</v>
      </c>
      <c r="DC794">
        <f t="shared" si="135"/>
        <v>0.41</v>
      </c>
    </row>
    <row r="795" spans="1:107" x14ac:dyDescent="0.2">
      <c r="A795">
        <f>ROW(Source!A572)</f>
        <v>572</v>
      </c>
      <c r="B795">
        <v>16742901</v>
      </c>
      <c r="C795">
        <v>16743764</v>
      </c>
      <c r="D795">
        <v>15249073</v>
      </c>
      <c r="E795">
        <v>1</v>
      </c>
      <c r="F795">
        <v>1</v>
      </c>
      <c r="G795">
        <v>1</v>
      </c>
      <c r="H795">
        <v>2</v>
      </c>
      <c r="I795" t="s">
        <v>1299</v>
      </c>
      <c r="J795" t="s">
        <v>1300</v>
      </c>
      <c r="K795" t="s">
        <v>1301</v>
      </c>
      <c r="L795">
        <v>1368</v>
      </c>
      <c r="N795">
        <v>1011</v>
      </c>
      <c r="O795" t="s">
        <v>1298</v>
      </c>
      <c r="P795" t="s">
        <v>1298</v>
      </c>
      <c r="Q795">
        <v>1</v>
      </c>
      <c r="W795">
        <v>0</v>
      </c>
      <c r="X795">
        <v>1372534845</v>
      </c>
      <c r="Y795">
        <v>0.02</v>
      </c>
      <c r="AA795">
        <v>0</v>
      </c>
      <c r="AB795">
        <v>431.06</v>
      </c>
      <c r="AC795">
        <v>11.6</v>
      </c>
      <c r="AD795">
        <v>0</v>
      </c>
      <c r="AE795">
        <v>0</v>
      </c>
      <c r="AF795">
        <v>65.709999999999994</v>
      </c>
      <c r="AG795">
        <v>11.6</v>
      </c>
      <c r="AH795">
        <v>0</v>
      </c>
      <c r="AI795">
        <v>1</v>
      </c>
      <c r="AJ795">
        <v>6.56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0.02</v>
      </c>
      <c r="AU795" t="s">
        <v>6</v>
      </c>
      <c r="AV795">
        <v>0</v>
      </c>
      <c r="AW795">
        <v>2</v>
      </c>
      <c r="AX795">
        <v>16743779</v>
      </c>
      <c r="AY795">
        <v>1</v>
      </c>
      <c r="AZ795">
        <v>0</v>
      </c>
      <c r="BA795">
        <v>727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Y795*Source!I572</f>
        <v>3.5999999999999999E-3</v>
      </c>
      <c r="CY795">
        <f>AB795</f>
        <v>431.06</v>
      </c>
      <c r="CZ795">
        <f>AF795</f>
        <v>65.709999999999994</v>
      </c>
      <c r="DA795">
        <f>AJ795</f>
        <v>6.56</v>
      </c>
      <c r="DB795">
        <f t="shared" si="134"/>
        <v>1.31</v>
      </c>
      <c r="DC795">
        <f t="shared" si="135"/>
        <v>0.23</v>
      </c>
    </row>
    <row r="796" spans="1:107" x14ac:dyDescent="0.2">
      <c r="A796">
        <f>ROW(Source!A572)</f>
        <v>572</v>
      </c>
      <c r="B796">
        <v>16742901</v>
      </c>
      <c r="C796">
        <v>16743764</v>
      </c>
      <c r="D796">
        <v>15167588</v>
      </c>
      <c r="E796">
        <v>1</v>
      </c>
      <c r="F796">
        <v>1</v>
      </c>
      <c r="G796">
        <v>1</v>
      </c>
      <c r="H796">
        <v>3</v>
      </c>
      <c r="I796" t="s">
        <v>1641</v>
      </c>
      <c r="J796" t="s">
        <v>1642</v>
      </c>
      <c r="K796" t="s">
        <v>1643</v>
      </c>
      <c r="L796">
        <v>1346</v>
      </c>
      <c r="N796">
        <v>1009</v>
      </c>
      <c r="O796" t="s">
        <v>341</v>
      </c>
      <c r="P796" t="s">
        <v>341</v>
      </c>
      <c r="Q796">
        <v>1</v>
      </c>
      <c r="W796">
        <v>0</v>
      </c>
      <c r="X796">
        <v>-1088866022</v>
      </c>
      <c r="Y796">
        <v>0.11</v>
      </c>
      <c r="AA796">
        <v>199.42</v>
      </c>
      <c r="AB796">
        <v>0</v>
      </c>
      <c r="AC796">
        <v>0</v>
      </c>
      <c r="AD796">
        <v>0</v>
      </c>
      <c r="AE796">
        <v>30.4</v>
      </c>
      <c r="AF796">
        <v>0</v>
      </c>
      <c r="AG796">
        <v>0</v>
      </c>
      <c r="AH796">
        <v>0</v>
      </c>
      <c r="AI796">
        <v>6.56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6</v>
      </c>
      <c r="AT796">
        <v>0.11</v>
      </c>
      <c r="AU796" t="s">
        <v>6</v>
      </c>
      <c r="AV796">
        <v>0</v>
      </c>
      <c r="AW796">
        <v>2</v>
      </c>
      <c r="AX796">
        <v>16743780</v>
      </c>
      <c r="AY796">
        <v>1</v>
      </c>
      <c r="AZ796">
        <v>0</v>
      </c>
      <c r="BA796">
        <v>728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Y796*Source!I572</f>
        <v>1.9799999999999998E-2</v>
      </c>
      <c r="CY796">
        <f t="shared" ref="CY796:CY801" si="142">AA796</f>
        <v>199.42</v>
      </c>
      <c r="CZ796">
        <f t="shared" ref="CZ796:CZ801" si="143">AE796</f>
        <v>30.4</v>
      </c>
      <c r="DA796">
        <f t="shared" ref="DA796:DA801" si="144">AI796</f>
        <v>6.56</v>
      </c>
      <c r="DB796">
        <f t="shared" si="134"/>
        <v>3.34</v>
      </c>
      <c r="DC796">
        <f t="shared" si="135"/>
        <v>0</v>
      </c>
    </row>
    <row r="797" spans="1:107" x14ac:dyDescent="0.2">
      <c r="A797">
        <f>ROW(Source!A572)</f>
        <v>572</v>
      </c>
      <c r="B797">
        <v>16742901</v>
      </c>
      <c r="C797">
        <v>16743764</v>
      </c>
      <c r="D797">
        <v>15170074</v>
      </c>
      <c r="E797">
        <v>1</v>
      </c>
      <c r="F797">
        <v>1</v>
      </c>
      <c r="G797">
        <v>1</v>
      </c>
      <c r="H797">
        <v>3</v>
      </c>
      <c r="I797" t="s">
        <v>1655</v>
      </c>
      <c r="J797" t="s">
        <v>1656</v>
      </c>
      <c r="K797" t="s">
        <v>1657</v>
      </c>
      <c r="L797">
        <v>1355</v>
      </c>
      <c r="N797">
        <v>1010</v>
      </c>
      <c r="O797" t="s">
        <v>843</v>
      </c>
      <c r="P797" t="s">
        <v>843</v>
      </c>
      <c r="Q797">
        <v>100</v>
      </c>
      <c r="W797">
        <v>0</v>
      </c>
      <c r="X797">
        <v>1794244060</v>
      </c>
      <c r="Y797">
        <v>1.02</v>
      </c>
      <c r="AA797">
        <v>564.16</v>
      </c>
      <c r="AB797">
        <v>0</v>
      </c>
      <c r="AC797">
        <v>0</v>
      </c>
      <c r="AD797">
        <v>0</v>
      </c>
      <c r="AE797">
        <v>86</v>
      </c>
      <c r="AF797">
        <v>0</v>
      </c>
      <c r="AG797">
        <v>0</v>
      </c>
      <c r="AH797">
        <v>0</v>
      </c>
      <c r="AI797">
        <v>6.56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6</v>
      </c>
      <c r="AT797">
        <v>1.02</v>
      </c>
      <c r="AU797" t="s">
        <v>6</v>
      </c>
      <c r="AV797">
        <v>0</v>
      </c>
      <c r="AW797">
        <v>2</v>
      </c>
      <c r="AX797">
        <v>16743781</v>
      </c>
      <c r="AY797">
        <v>1</v>
      </c>
      <c r="AZ797">
        <v>0</v>
      </c>
      <c r="BA797">
        <v>729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Y797*Source!I572</f>
        <v>0.18359999999999999</v>
      </c>
      <c r="CY797">
        <f t="shared" si="142"/>
        <v>564.16</v>
      </c>
      <c r="CZ797">
        <f t="shared" si="143"/>
        <v>86</v>
      </c>
      <c r="DA797">
        <f t="shared" si="144"/>
        <v>6.56</v>
      </c>
      <c r="DB797">
        <f t="shared" si="134"/>
        <v>87.72</v>
      </c>
      <c r="DC797">
        <f t="shared" si="135"/>
        <v>0</v>
      </c>
    </row>
    <row r="798" spans="1:107" x14ac:dyDescent="0.2">
      <c r="A798">
        <f>ROW(Source!A572)</f>
        <v>572</v>
      </c>
      <c r="B798">
        <v>16742901</v>
      </c>
      <c r="C798">
        <v>16743764</v>
      </c>
      <c r="D798">
        <v>15170434</v>
      </c>
      <c r="E798">
        <v>1</v>
      </c>
      <c r="F798">
        <v>1</v>
      </c>
      <c r="G798">
        <v>1</v>
      </c>
      <c r="H798">
        <v>3</v>
      </c>
      <c r="I798" t="s">
        <v>1658</v>
      </c>
      <c r="J798" t="s">
        <v>1659</v>
      </c>
      <c r="K798" t="s">
        <v>1660</v>
      </c>
      <c r="L798">
        <v>1348</v>
      </c>
      <c r="N798">
        <v>1009</v>
      </c>
      <c r="O798" t="s">
        <v>100</v>
      </c>
      <c r="P798" t="s">
        <v>100</v>
      </c>
      <c r="Q798">
        <v>1000</v>
      </c>
      <c r="W798">
        <v>0</v>
      </c>
      <c r="X798">
        <v>797358079</v>
      </c>
      <c r="Y798">
        <v>1.6000000000000001E-4</v>
      </c>
      <c r="AA798">
        <v>195488</v>
      </c>
      <c r="AB798">
        <v>0</v>
      </c>
      <c r="AC798">
        <v>0</v>
      </c>
      <c r="AD798">
        <v>0</v>
      </c>
      <c r="AE798">
        <v>29800</v>
      </c>
      <c r="AF798">
        <v>0</v>
      </c>
      <c r="AG798">
        <v>0</v>
      </c>
      <c r="AH798">
        <v>0</v>
      </c>
      <c r="AI798">
        <v>6.56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1.6000000000000001E-4</v>
      </c>
      <c r="AU798" t="s">
        <v>6</v>
      </c>
      <c r="AV798">
        <v>0</v>
      </c>
      <c r="AW798">
        <v>2</v>
      </c>
      <c r="AX798">
        <v>16743782</v>
      </c>
      <c r="AY798">
        <v>1</v>
      </c>
      <c r="AZ798">
        <v>0</v>
      </c>
      <c r="BA798">
        <v>730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Y798*Source!I572</f>
        <v>2.8800000000000002E-5</v>
      </c>
      <c r="CY798">
        <f t="shared" si="142"/>
        <v>195488</v>
      </c>
      <c r="CZ798">
        <f t="shared" si="143"/>
        <v>29800</v>
      </c>
      <c r="DA798">
        <f t="shared" si="144"/>
        <v>6.56</v>
      </c>
      <c r="DB798">
        <f t="shared" si="134"/>
        <v>4.7699999999999996</v>
      </c>
      <c r="DC798">
        <f t="shared" si="135"/>
        <v>0</v>
      </c>
    </row>
    <row r="799" spans="1:107" x14ac:dyDescent="0.2">
      <c r="A799">
        <f>ROW(Source!A572)</f>
        <v>572</v>
      </c>
      <c r="B799">
        <v>16742901</v>
      </c>
      <c r="C799">
        <v>16743764</v>
      </c>
      <c r="D799">
        <v>15170438</v>
      </c>
      <c r="E799">
        <v>1</v>
      </c>
      <c r="F799">
        <v>1</v>
      </c>
      <c r="G799">
        <v>1</v>
      </c>
      <c r="H799">
        <v>3</v>
      </c>
      <c r="I799" t="s">
        <v>1636</v>
      </c>
      <c r="J799" t="s">
        <v>1637</v>
      </c>
      <c r="K799" t="s">
        <v>1638</v>
      </c>
      <c r="L799">
        <v>1348</v>
      </c>
      <c r="N799">
        <v>1009</v>
      </c>
      <c r="O799" t="s">
        <v>100</v>
      </c>
      <c r="P799" t="s">
        <v>100</v>
      </c>
      <c r="Q799">
        <v>1000</v>
      </c>
      <c r="W799">
        <v>0</v>
      </c>
      <c r="X799">
        <v>-1755229539</v>
      </c>
      <c r="Y799">
        <v>2.9999999999999997E-4</v>
      </c>
      <c r="AA799">
        <v>81540.800000000003</v>
      </c>
      <c r="AB799">
        <v>0</v>
      </c>
      <c r="AC799">
        <v>0</v>
      </c>
      <c r="AD799">
        <v>0</v>
      </c>
      <c r="AE799">
        <v>12430</v>
      </c>
      <c r="AF799">
        <v>0</v>
      </c>
      <c r="AG799">
        <v>0</v>
      </c>
      <c r="AH799">
        <v>0</v>
      </c>
      <c r="AI799">
        <v>6.56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6</v>
      </c>
      <c r="AT799">
        <v>2.9999999999999997E-4</v>
      </c>
      <c r="AU799" t="s">
        <v>6</v>
      </c>
      <c r="AV799">
        <v>0</v>
      </c>
      <c r="AW799">
        <v>2</v>
      </c>
      <c r="AX799">
        <v>16743783</v>
      </c>
      <c r="AY799">
        <v>1</v>
      </c>
      <c r="AZ799">
        <v>0</v>
      </c>
      <c r="BA799">
        <v>731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Y799*Source!I572</f>
        <v>5.3999999999999991E-5</v>
      </c>
      <c r="CY799">
        <f t="shared" si="142"/>
        <v>81540.800000000003</v>
      </c>
      <c r="CZ799">
        <f t="shared" si="143"/>
        <v>12430</v>
      </c>
      <c r="DA799">
        <f t="shared" si="144"/>
        <v>6.56</v>
      </c>
      <c r="DB799">
        <f t="shared" si="134"/>
        <v>3.73</v>
      </c>
      <c r="DC799">
        <f t="shared" si="135"/>
        <v>0</v>
      </c>
    </row>
    <row r="800" spans="1:107" x14ac:dyDescent="0.2">
      <c r="A800">
        <f>ROW(Source!A572)</f>
        <v>572</v>
      </c>
      <c r="B800">
        <v>16742901</v>
      </c>
      <c r="C800">
        <v>16743764</v>
      </c>
      <c r="D800">
        <v>15220789</v>
      </c>
      <c r="E800">
        <v>1</v>
      </c>
      <c r="F800">
        <v>1</v>
      </c>
      <c r="G800">
        <v>1</v>
      </c>
      <c r="H800">
        <v>3</v>
      </c>
      <c r="I800" t="s">
        <v>841</v>
      </c>
      <c r="J800" t="s">
        <v>844</v>
      </c>
      <c r="K800" t="s">
        <v>1009</v>
      </c>
      <c r="L800">
        <v>1355</v>
      </c>
      <c r="N800">
        <v>1010</v>
      </c>
      <c r="O800" t="s">
        <v>843</v>
      </c>
      <c r="P800" t="s">
        <v>843</v>
      </c>
      <c r="Q800">
        <v>100</v>
      </c>
      <c r="W800">
        <v>0</v>
      </c>
      <c r="X800">
        <v>1169296768</v>
      </c>
      <c r="Y800">
        <v>1</v>
      </c>
      <c r="AA800">
        <v>3785.12</v>
      </c>
      <c r="AB800">
        <v>0</v>
      </c>
      <c r="AC800">
        <v>0</v>
      </c>
      <c r="AD800">
        <v>0</v>
      </c>
      <c r="AE800">
        <v>577</v>
      </c>
      <c r="AF800">
        <v>0</v>
      </c>
      <c r="AG800">
        <v>0</v>
      </c>
      <c r="AH800">
        <v>0</v>
      </c>
      <c r="AI800">
        <v>6.56</v>
      </c>
      <c r="AJ800">
        <v>1</v>
      </c>
      <c r="AK800">
        <v>1</v>
      </c>
      <c r="AL800">
        <v>1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6</v>
      </c>
      <c r="AT800">
        <v>1</v>
      </c>
      <c r="AU800" t="s">
        <v>6</v>
      </c>
      <c r="AV800">
        <v>0</v>
      </c>
      <c r="AW800">
        <v>1</v>
      </c>
      <c r="AX800">
        <v>-1</v>
      </c>
      <c r="AY800">
        <v>0</v>
      </c>
      <c r="AZ800">
        <v>0</v>
      </c>
      <c r="BA800" t="s">
        <v>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Y800*Source!I572</f>
        <v>0.18</v>
      </c>
      <c r="CY800">
        <f t="shared" si="142"/>
        <v>3785.12</v>
      </c>
      <c r="CZ800">
        <f t="shared" si="143"/>
        <v>577</v>
      </c>
      <c r="DA800">
        <f t="shared" si="144"/>
        <v>6.56</v>
      </c>
      <c r="DB800">
        <f t="shared" ref="DB800:DB831" si="145">ROUND(ROUND(AT800*CZ800,2),2)</f>
        <v>577</v>
      </c>
      <c r="DC800">
        <f t="shared" ref="DC800:DC831" si="146">ROUND(ROUND(AT800*AG800,2),2)</f>
        <v>0</v>
      </c>
    </row>
    <row r="801" spans="1:107" x14ac:dyDescent="0.2">
      <c r="A801">
        <f>ROW(Source!A572)</f>
        <v>572</v>
      </c>
      <c r="B801">
        <v>16742901</v>
      </c>
      <c r="C801">
        <v>16743764</v>
      </c>
      <c r="D801">
        <v>15164559</v>
      </c>
      <c r="E801">
        <v>17</v>
      </c>
      <c r="F801">
        <v>1</v>
      </c>
      <c r="G801">
        <v>1</v>
      </c>
      <c r="H801">
        <v>3</v>
      </c>
      <c r="I801" t="s">
        <v>1334</v>
      </c>
      <c r="J801" t="s">
        <v>6</v>
      </c>
      <c r="K801" t="s">
        <v>1335</v>
      </c>
      <c r="L801">
        <v>1374</v>
      </c>
      <c r="N801">
        <v>1013</v>
      </c>
      <c r="O801" t="s">
        <v>1336</v>
      </c>
      <c r="P801" t="s">
        <v>1336</v>
      </c>
      <c r="Q801">
        <v>1</v>
      </c>
      <c r="W801">
        <v>0</v>
      </c>
      <c r="X801">
        <v>-1731369543</v>
      </c>
      <c r="Y801">
        <v>6.86</v>
      </c>
      <c r="AA801">
        <v>1</v>
      </c>
      <c r="AB801">
        <v>0</v>
      </c>
      <c r="AC801">
        <v>0</v>
      </c>
      <c r="AD801">
        <v>0</v>
      </c>
      <c r="AE801">
        <v>1</v>
      </c>
      <c r="AF801">
        <v>0</v>
      </c>
      <c r="AG801">
        <v>0</v>
      </c>
      <c r="AH801">
        <v>0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6</v>
      </c>
      <c r="AT801">
        <v>6.86</v>
      </c>
      <c r="AU801" t="s">
        <v>6</v>
      </c>
      <c r="AV801">
        <v>0</v>
      </c>
      <c r="AW801">
        <v>2</v>
      </c>
      <c r="AX801">
        <v>16743784</v>
      </c>
      <c r="AY801">
        <v>1</v>
      </c>
      <c r="AZ801">
        <v>0</v>
      </c>
      <c r="BA801">
        <v>732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Y801*Source!I572</f>
        <v>1.2348000000000001</v>
      </c>
      <c r="CY801">
        <f t="shared" si="142"/>
        <v>1</v>
      </c>
      <c r="CZ801">
        <f t="shared" si="143"/>
        <v>1</v>
      </c>
      <c r="DA801">
        <f t="shared" si="144"/>
        <v>1</v>
      </c>
      <c r="DB801">
        <f t="shared" si="145"/>
        <v>6.86</v>
      </c>
      <c r="DC801">
        <f t="shared" si="146"/>
        <v>0</v>
      </c>
    </row>
    <row r="802" spans="1:107" x14ac:dyDescent="0.2">
      <c r="A802">
        <f>ROW(Source!A574)</f>
        <v>574</v>
      </c>
      <c r="B802">
        <v>16742901</v>
      </c>
      <c r="C802">
        <v>16743786</v>
      </c>
      <c r="D802">
        <v>15436556</v>
      </c>
      <c r="E802">
        <v>1</v>
      </c>
      <c r="F802">
        <v>1</v>
      </c>
      <c r="G802">
        <v>1</v>
      </c>
      <c r="H802">
        <v>1</v>
      </c>
      <c r="I802" t="s">
        <v>1490</v>
      </c>
      <c r="J802" t="s">
        <v>6</v>
      </c>
      <c r="K802" t="s">
        <v>1491</v>
      </c>
      <c r="L802">
        <v>1191</v>
      </c>
      <c r="N802">
        <v>1013</v>
      </c>
      <c r="O802" t="s">
        <v>1287</v>
      </c>
      <c r="P802" t="s">
        <v>1287</v>
      </c>
      <c r="Q802">
        <v>1</v>
      </c>
      <c r="W802">
        <v>0</v>
      </c>
      <c r="X802">
        <v>1069510174</v>
      </c>
      <c r="Y802">
        <v>12.3</v>
      </c>
      <c r="AA802">
        <v>0</v>
      </c>
      <c r="AB802">
        <v>0</v>
      </c>
      <c r="AC802">
        <v>0</v>
      </c>
      <c r="AD802">
        <v>63.11</v>
      </c>
      <c r="AE802">
        <v>0</v>
      </c>
      <c r="AF802">
        <v>0</v>
      </c>
      <c r="AG802">
        <v>0</v>
      </c>
      <c r="AH802">
        <v>9.6199999999999992</v>
      </c>
      <c r="AI802">
        <v>1</v>
      </c>
      <c r="AJ802">
        <v>1</v>
      </c>
      <c r="AK802">
        <v>1</v>
      </c>
      <c r="AL802">
        <v>6.56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12.3</v>
      </c>
      <c r="AU802" t="s">
        <v>6</v>
      </c>
      <c r="AV802">
        <v>1</v>
      </c>
      <c r="AW802">
        <v>2</v>
      </c>
      <c r="AX802">
        <v>16743794</v>
      </c>
      <c r="AY802">
        <v>1</v>
      </c>
      <c r="AZ802">
        <v>0</v>
      </c>
      <c r="BA802">
        <v>733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Y802*Source!I574</f>
        <v>85.116</v>
      </c>
      <c r="CY802">
        <f>AD802</f>
        <v>63.11</v>
      </c>
      <c r="CZ802">
        <f>AH802</f>
        <v>9.6199999999999992</v>
      </c>
      <c r="DA802">
        <f>AL802</f>
        <v>6.56</v>
      </c>
      <c r="DB802">
        <f t="shared" si="145"/>
        <v>118.33</v>
      </c>
      <c r="DC802">
        <f t="shared" si="146"/>
        <v>0</v>
      </c>
    </row>
    <row r="803" spans="1:107" x14ac:dyDescent="0.2">
      <c r="A803">
        <f>ROW(Source!A574)</f>
        <v>574</v>
      </c>
      <c r="B803">
        <v>16742901</v>
      </c>
      <c r="C803">
        <v>16743786</v>
      </c>
      <c r="D803">
        <v>15430395</v>
      </c>
      <c r="E803">
        <v>1</v>
      </c>
      <c r="F803">
        <v>1</v>
      </c>
      <c r="G803">
        <v>1</v>
      </c>
      <c r="H803">
        <v>1</v>
      </c>
      <c r="I803" t="s">
        <v>1293</v>
      </c>
      <c r="J803" t="s">
        <v>6</v>
      </c>
      <c r="K803" t="s">
        <v>1294</v>
      </c>
      <c r="L803">
        <v>1191</v>
      </c>
      <c r="N803">
        <v>1013</v>
      </c>
      <c r="O803" t="s">
        <v>1287</v>
      </c>
      <c r="P803" t="s">
        <v>1287</v>
      </c>
      <c r="Q803">
        <v>1</v>
      </c>
      <c r="W803">
        <v>0</v>
      </c>
      <c r="X803">
        <v>-1417349443</v>
      </c>
      <c r="Y803">
        <v>0.49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1</v>
      </c>
      <c r="AJ803">
        <v>1</v>
      </c>
      <c r="AK803">
        <v>6.56</v>
      </c>
      <c r="AL803">
        <v>1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6</v>
      </c>
      <c r="AT803">
        <v>0.49</v>
      </c>
      <c r="AU803" t="s">
        <v>6</v>
      </c>
      <c r="AV803">
        <v>2</v>
      </c>
      <c r="AW803">
        <v>2</v>
      </c>
      <c r="AX803">
        <v>16743795</v>
      </c>
      <c r="AY803">
        <v>1</v>
      </c>
      <c r="AZ803">
        <v>0</v>
      </c>
      <c r="BA803">
        <v>734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Y803*Source!I574</f>
        <v>3.3908</v>
      </c>
      <c r="CY803">
        <f>AD803</f>
        <v>0</v>
      </c>
      <c r="CZ803">
        <f>AH803</f>
        <v>0</v>
      </c>
      <c r="DA803">
        <f>AL803</f>
        <v>1</v>
      </c>
      <c r="DB803">
        <f t="shared" si="145"/>
        <v>0</v>
      </c>
      <c r="DC803">
        <f t="shared" si="146"/>
        <v>0</v>
      </c>
    </row>
    <row r="804" spans="1:107" x14ac:dyDescent="0.2">
      <c r="A804">
        <f>ROW(Source!A574)</f>
        <v>574</v>
      </c>
      <c r="B804">
        <v>16742901</v>
      </c>
      <c r="C804">
        <v>16743786</v>
      </c>
      <c r="D804">
        <v>15247905</v>
      </c>
      <c r="E804">
        <v>1</v>
      </c>
      <c r="F804">
        <v>1</v>
      </c>
      <c r="G804">
        <v>1</v>
      </c>
      <c r="H804">
        <v>2</v>
      </c>
      <c r="I804" t="s">
        <v>1492</v>
      </c>
      <c r="J804" t="s">
        <v>1493</v>
      </c>
      <c r="K804" t="s">
        <v>1494</v>
      </c>
      <c r="L804">
        <v>1368</v>
      </c>
      <c r="N804">
        <v>1011</v>
      </c>
      <c r="O804" t="s">
        <v>1298</v>
      </c>
      <c r="P804" t="s">
        <v>1298</v>
      </c>
      <c r="Q804">
        <v>1</v>
      </c>
      <c r="W804">
        <v>0</v>
      </c>
      <c r="X804">
        <v>1225731627</v>
      </c>
      <c r="Y804">
        <v>0.49</v>
      </c>
      <c r="AA804">
        <v>0</v>
      </c>
      <c r="AB804">
        <v>590.33000000000004</v>
      </c>
      <c r="AC804">
        <v>10.06</v>
      </c>
      <c r="AD804">
        <v>0</v>
      </c>
      <c r="AE804">
        <v>0</v>
      </c>
      <c r="AF804">
        <v>89.99</v>
      </c>
      <c r="AG804">
        <v>10.06</v>
      </c>
      <c r="AH804">
        <v>0</v>
      </c>
      <c r="AI804">
        <v>1</v>
      </c>
      <c r="AJ804">
        <v>6.56</v>
      </c>
      <c r="AK804">
        <v>1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6</v>
      </c>
      <c r="AT804">
        <v>0.49</v>
      </c>
      <c r="AU804" t="s">
        <v>6</v>
      </c>
      <c r="AV804">
        <v>0</v>
      </c>
      <c r="AW804">
        <v>2</v>
      </c>
      <c r="AX804">
        <v>16743796</v>
      </c>
      <c r="AY804">
        <v>1</v>
      </c>
      <c r="AZ804">
        <v>0</v>
      </c>
      <c r="BA804">
        <v>735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Y804*Source!I574</f>
        <v>3.3908</v>
      </c>
      <c r="CY804">
        <f>AB804</f>
        <v>590.33000000000004</v>
      </c>
      <c r="CZ804">
        <f>AF804</f>
        <v>89.99</v>
      </c>
      <c r="DA804">
        <f>AJ804</f>
        <v>6.56</v>
      </c>
      <c r="DB804">
        <f t="shared" si="145"/>
        <v>44.1</v>
      </c>
      <c r="DC804">
        <f t="shared" si="146"/>
        <v>4.93</v>
      </c>
    </row>
    <row r="805" spans="1:107" x14ac:dyDescent="0.2">
      <c r="A805">
        <f>ROW(Source!A574)</f>
        <v>574</v>
      </c>
      <c r="B805">
        <v>16742901</v>
      </c>
      <c r="C805">
        <v>16743786</v>
      </c>
      <c r="D805">
        <v>15203777</v>
      </c>
      <c r="E805">
        <v>1</v>
      </c>
      <c r="F805">
        <v>1</v>
      </c>
      <c r="G805">
        <v>1</v>
      </c>
      <c r="H805">
        <v>3</v>
      </c>
      <c r="I805" t="s">
        <v>1772</v>
      </c>
      <c r="J805" t="s">
        <v>1773</v>
      </c>
      <c r="K805" t="s">
        <v>1774</v>
      </c>
      <c r="L805">
        <v>1348</v>
      </c>
      <c r="N805">
        <v>1009</v>
      </c>
      <c r="O805" t="s">
        <v>100</v>
      </c>
      <c r="P805" t="s">
        <v>100</v>
      </c>
      <c r="Q805">
        <v>1000</v>
      </c>
      <c r="W805">
        <v>0</v>
      </c>
      <c r="X805">
        <v>-1172472284</v>
      </c>
      <c r="Y805">
        <v>3.0000000000000001E-5</v>
      </c>
      <c r="AA805">
        <v>176676.68</v>
      </c>
      <c r="AB805">
        <v>0</v>
      </c>
      <c r="AC805">
        <v>0</v>
      </c>
      <c r="AD805">
        <v>0</v>
      </c>
      <c r="AE805">
        <v>26932.42</v>
      </c>
      <c r="AF805">
        <v>0</v>
      </c>
      <c r="AG805">
        <v>0</v>
      </c>
      <c r="AH805">
        <v>0</v>
      </c>
      <c r="AI805">
        <v>6.56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3.0000000000000001E-5</v>
      </c>
      <c r="AU805" t="s">
        <v>6</v>
      </c>
      <c r="AV805">
        <v>0</v>
      </c>
      <c r="AW805">
        <v>2</v>
      </c>
      <c r="AX805">
        <v>16743797</v>
      </c>
      <c r="AY805">
        <v>1</v>
      </c>
      <c r="AZ805">
        <v>0</v>
      </c>
      <c r="BA805">
        <v>736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Y805*Source!I574</f>
        <v>2.076E-4</v>
      </c>
      <c r="CY805">
        <f>AA805</f>
        <v>176676.68</v>
      </c>
      <c r="CZ805">
        <f>AE805</f>
        <v>26932.42</v>
      </c>
      <c r="DA805">
        <f>AI805</f>
        <v>6.56</v>
      </c>
      <c r="DB805">
        <f t="shared" si="145"/>
        <v>0.81</v>
      </c>
      <c r="DC805">
        <f t="shared" si="146"/>
        <v>0</v>
      </c>
    </row>
    <row r="806" spans="1:107" x14ac:dyDescent="0.2">
      <c r="A806">
        <f>ROW(Source!A574)</f>
        <v>574</v>
      </c>
      <c r="B806">
        <v>16742901</v>
      </c>
      <c r="C806">
        <v>16743786</v>
      </c>
      <c r="D806">
        <v>15204471</v>
      </c>
      <c r="E806">
        <v>1</v>
      </c>
      <c r="F806">
        <v>1</v>
      </c>
      <c r="G806">
        <v>1</v>
      </c>
      <c r="H806">
        <v>3</v>
      </c>
      <c r="I806" t="s">
        <v>1775</v>
      </c>
      <c r="J806" t="s">
        <v>1776</v>
      </c>
      <c r="K806" t="s">
        <v>1777</v>
      </c>
      <c r="L806">
        <v>1346</v>
      </c>
      <c r="N806">
        <v>1009</v>
      </c>
      <c r="O806" t="s">
        <v>341</v>
      </c>
      <c r="P806" t="s">
        <v>341</v>
      </c>
      <c r="Q806">
        <v>1</v>
      </c>
      <c r="W806">
        <v>0</v>
      </c>
      <c r="X806">
        <v>-608190322</v>
      </c>
      <c r="Y806">
        <v>1.0999999999999999E-2</v>
      </c>
      <c r="AA806">
        <v>213.86</v>
      </c>
      <c r="AB806">
        <v>0</v>
      </c>
      <c r="AC806">
        <v>0</v>
      </c>
      <c r="AD806">
        <v>0</v>
      </c>
      <c r="AE806">
        <v>32.6</v>
      </c>
      <c r="AF806">
        <v>0</v>
      </c>
      <c r="AG806">
        <v>0</v>
      </c>
      <c r="AH806">
        <v>0</v>
      </c>
      <c r="AI806">
        <v>6.56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6</v>
      </c>
      <c r="AT806">
        <v>1.0999999999999999E-2</v>
      </c>
      <c r="AU806" t="s">
        <v>6</v>
      </c>
      <c r="AV806">
        <v>0</v>
      </c>
      <c r="AW806">
        <v>2</v>
      </c>
      <c r="AX806">
        <v>16743798</v>
      </c>
      <c r="AY806">
        <v>1</v>
      </c>
      <c r="AZ806">
        <v>0</v>
      </c>
      <c r="BA806">
        <v>737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Y806*Source!I574</f>
        <v>7.6119999999999993E-2</v>
      </c>
      <c r="CY806">
        <f>AA806</f>
        <v>213.86</v>
      </c>
      <c r="CZ806">
        <f>AE806</f>
        <v>32.6</v>
      </c>
      <c r="DA806">
        <f>AI806</f>
        <v>6.56</v>
      </c>
      <c r="DB806">
        <f t="shared" si="145"/>
        <v>0.36</v>
      </c>
      <c r="DC806">
        <f t="shared" si="146"/>
        <v>0</v>
      </c>
    </row>
    <row r="807" spans="1:107" x14ac:dyDescent="0.2">
      <c r="A807">
        <f>ROW(Source!A574)</f>
        <v>574</v>
      </c>
      <c r="B807">
        <v>16742901</v>
      </c>
      <c r="C807">
        <v>16743786</v>
      </c>
      <c r="D807">
        <v>15221611</v>
      </c>
      <c r="E807">
        <v>1</v>
      </c>
      <c r="F807">
        <v>1</v>
      </c>
      <c r="G807">
        <v>1</v>
      </c>
      <c r="H807">
        <v>3</v>
      </c>
      <c r="I807" t="s">
        <v>1015</v>
      </c>
      <c r="J807" t="s">
        <v>1017</v>
      </c>
      <c r="K807" t="s">
        <v>1016</v>
      </c>
      <c r="L807">
        <v>1477</v>
      </c>
      <c r="N807">
        <v>1013</v>
      </c>
      <c r="O807" t="s">
        <v>749</v>
      </c>
      <c r="P807" t="s">
        <v>751</v>
      </c>
      <c r="Q807">
        <v>1</v>
      </c>
      <c r="W807">
        <v>0</v>
      </c>
      <c r="X807">
        <v>1306444111</v>
      </c>
      <c r="Y807">
        <v>0.1</v>
      </c>
      <c r="AA807">
        <v>7545.25</v>
      </c>
      <c r="AB807">
        <v>0</v>
      </c>
      <c r="AC807">
        <v>0</v>
      </c>
      <c r="AD807">
        <v>0</v>
      </c>
      <c r="AE807">
        <v>1150.19</v>
      </c>
      <c r="AF807">
        <v>0</v>
      </c>
      <c r="AG807">
        <v>0</v>
      </c>
      <c r="AH807">
        <v>0</v>
      </c>
      <c r="AI807">
        <v>6.56</v>
      </c>
      <c r="AJ807">
        <v>1</v>
      </c>
      <c r="AK807">
        <v>1</v>
      </c>
      <c r="AL807">
        <v>1</v>
      </c>
      <c r="AN807">
        <v>0</v>
      </c>
      <c r="AO807">
        <v>0</v>
      </c>
      <c r="AP807">
        <v>0</v>
      </c>
      <c r="AQ807">
        <v>0</v>
      </c>
      <c r="AR807">
        <v>0</v>
      </c>
      <c r="AS807" t="s">
        <v>6</v>
      </c>
      <c r="AT807">
        <v>0.1</v>
      </c>
      <c r="AU807" t="s">
        <v>6</v>
      </c>
      <c r="AV807">
        <v>0</v>
      </c>
      <c r="AW807">
        <v>1</v>
      </c>
      <c r="AX807">
        <v>-1</v>
      </c>
      <c r="AY807">
        <v>0</v>
      </c>
      <c r="AZ807">
        <v>0</v>
      </c>
      <c r="BA807" t="s">
        <v>6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Y807*Source!I574</f>
        <v>0.69200000000000006</v>
      </c>
      <c r="CY807">
        <f>AA807</f>
        <v>7545.25</v>
      </c>
      <c r="CZ807">
        <f>AE807</f>
        <v>1150.19</v>
      </c>
      <c r="DA807">
        <f>AI807</f>
        <v>6.56</v>
      </c>
      <c r="DB807">
        <f t="shared" si="145"/>
        <v>115.02</v>
      </c>
      <c r="DC807">
        <f t="shared" si="146"/>
        <v>0</v>
      </c>
    </row>
    <row r="808" spans="1:107" x14ac:dyDescent="0.2">
      <c r="A808">
        <f>ROW(Source!A574)</f>
        <v>574</v>
      </c>
      <c r="B808">
        <v>16742901</v>
      </c>
      <c r="C808">
        <v>16743786</v>
      </c>
      <c r="D808">
        <v>15164559</v>
      </c>
      <c r="E808">
        <v>17</v>
      </c>
      <c r="F808">
        <v>1</v>
      </c>
      <c r="G808">
        <v>1</v>
      </c>
      <c r="H808">
        <v>3</v>
      </c>
      <c r="I808" t="s">
        <v>1334</v>
      </c>
      <c r="J808" t="s">
        <v>6</v>
      </c>
      <c r="K808" t="s">
        <v>1335</v>
      </c>
      <c r="L808">
        <v>1374</v>
      </c>
      <c r="N808">
        <v>1013</v>
      </c>
      <c r="O808" t="s">
        <v>1336</v>
      </c>
      <c r="P808" t="s">
        <v>1336</v>
      </c>
      <c r="Q808">
        <v>1</v>
      </c>
      <c r="W808">
        <v>0</v>
      </c>
      <c r="X808">
        <v>-1731369543</v>
      </c>
      <c r="Y808">
        <v>2.37</v>
      </c>
      <c r="AA808">
        <v>1</v>
      </c>
      <c r="AB808">
        <v>0</v>
      </c>
      <c r="AC808">
        <v>0</v>
      </c>
      <c r="AD808">
        <v>0</v>
      </c>
      <c r="AE808">
        <v>1</v>
      </c>
      <c r="AF808">
        <v>0</v>
      </c>
      <c r="AG808">
        <v>0</v>
      </c>
      <c r="AH808">
        <v>0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6</v>
      </c>
      <c r="AT808">
        <v>2.37</v>
      </c>
      <c r="AU808" t="s">
        <v>6</v>
      </c>
      <c r="AV808">
        <v>0</v>
      </c>
      <c r="AW808">
        <v>2</v>
      </c>
      <c r="AX808">
        <v>16743799</v>
      </c>
      <c r="AY808">
        <v>1</v>
      </c>
      <c r="AZ808">
        <v>0</v>
      </c>
      <c r="BA808">
        <v>738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Y808*Source!I574</f>
        <v>16.400400000000001</v>
      </c>
      <c r="CY808">
        <f>AA808</f>
        <v>1</v>
      </c>
      <c r="CZ808">
        <f>AE808</f>
        <v>1</v>
      </c>
      <c r="DA808">
        <f>AI808</f>
        <v>1</v>
      </c>
      <c r="DB808">
        <f t="shared" si="145"/>
        <v>2.37</v>
      </c>
      <c r="DC808">
        <f t="shared" si="146"/>
        <v>0</v>
      </c>
    </row>
    <row r="809" spans="1:107" x14ac:dyDescent="0.2">
      <c r="A809">
        <f>ROW(Source!A576)</f>
        <v>576</v>
      </c>
      <c r="B809">
        <v>16742901</v>
      </c>
      <c r="C809">
        <v>16743801</v>
      </c>
      <c r="D809">
        <v>15430767</v>
      </c>
      <c r="E809">
        <v>1</v>
      </c>
      <c r="F809">
        <v>1</v>
      </c>
      <c r="G809">
        <v>1</v>
      </c>
      <c r="H809">
        <v>1</v>
      </c>
      <c r="I809" t="s">
        <v>1285</v>
      </c>
      <c r="J809" t="s">
        <v>6</v>
      </c>
      <c r="K809" t="s">
        <v>1286</v>
      </c>
      <c r="L809">
        <v>1191</v>
      </c>
      <c r="N809">
        <v>1013</v>
      </c>
      <c r="O809" t="s">
        <v>1287</v>
      </c>
      <c r="P809" t="s">
        <v>1287</v>
      </c>
      <c r="Q809">
        <v>1</v>
      </c>
      <c r="W809">
        <v>0</v>
      </c>
      <c r="X809">
        <v>-400197608</v>
      </c>
      <c r="Y809">
        <v>5.49</v>
      </c>
      <c r="AA809">
        <v>0</v>
      </c>
      <c r="AB809">
        <v>0</v>
      </c>
      <c r="AC809">
        <v>0</v>
      </c>
      <c r="AD809">
        <v>55.96</v>
      </c>
      <c r="AE809">
        <v>0</v>
      </c>
      <c r="AF809">
        <v>0</v>
      </c>
      <c r="AG809">
        <v>0</v>
      </c>
      <c r="AH809">
        <v>8.5299999999999994</v>
      </c>
      <c r="AI809">
        <v>1</v>
      </c>
      <c r="AJ809">
        <v>1</v>
      </c>
      <c r="AK809">
        <v>1</v>
      </c>
      <c r="AL809">
        <v>6.56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6</v>
      </c>
      <c r="AT809">
        <v>5.49</v>
      </c>
      <c r="AU809" t="s">
        <v>6</v>
      </c>
      <c r="AV809">
        <v>1</v>
      </c>
      <c r="AW809">
        <v>2</v>
      </c>
      <c r="AX809">
        <v>16743803</v>
      </c>
      <c r="AY809">
        <v>1</v>
      </c>
      <c r="AZ809">
        <v>0</v>
      </c>
      <c r="BA809">
        <v>739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Y809*Source!I576</f>
        <v>0.82350000000000001</v>
      </c>
      <c r="CY809">
        <f>AD809</f>
        <v>55.96</v>
      </c>
      <c r="CZ809">
        <f>AH809</f>
        <v>8.5299999999999994</v>
      </c>
      <c r="DA809">
        <f>AL809</f>
        <v>6.56</v>
      </c>
      <c r="DB809">
        <f t="shared" si="145"/>
        <v>46.83</v>
      </c>
      <c r="DC809">
        <f t="shared" si="146"/>
        <v>0</v>
      </c>
    </row>
    <row r="810" spans="1:107" x14ac:dyDescent="0.2">
      <c r="A810">
        <f>ROW(Source!A577)</f>
        <v>577</v>
      </c>
      <c r="B810">
        <v>16742901</v>
      </c>
      <c r="C810">
        <v>16743806</v>
      </c>
      <c r="D810">
        <v>15430397</v>
      </c>
      <c r="E810">
        <v>1</v>
      </c>
      <c r="F810">
        <v>1</v>
      </c>
      <c r="G810">
        <v>1</v>
      </c>
      <c r="H810">
        <v>1</v>
      </c>
      <c r="I810" t="s">
        <v>1323</v>
      </c>
      <c r="J810" t="s">
        <v>6</v>
      </c>
      <c r="K810" t="s">
        <v>1324</v>
      </c>
      <c r="L810">
        <v>1191</v>
      </c>
      <c r="N810">
        <v>1013</v>
      </c>
      <c r="O810" t="s">
        <v>1287</v>
      </c>
      <c r="P810" t="s">
        <v>1287</v>
      </c>
      <c r="Q810">
        <v>1</v>
      </c>
      <c r="W810">
        <v>0</v>
      </c>
      <c r="X810">
        <v>-1081351934</v>
      </c>
      <c r="Y810">
        <v>15.28</v>
      </c>
      <c r="AA810">
        <v>0</v>
      </c>
      <c r="AB810">
        <v>0</v>
      </c>
      <c r="AC810">
        <v>0</v>
      </c>
      <c r="AD810">
        <v>61.66</v>
      </c>
      <c r="AE810">
        <v>0</v>
      </c>
      <c r="AF810">
        <v>0</v>
      </c>
      <c r="AG810">
        <v>0</v>
      </c>
      <c r="AH810">
        <v>9.4</v>
      </c>
      <c r="AI810">
        <v>1</v>
      </c>
      <c r="AJ810">
        <v>1</v>
      </c>
      <c r="AK810">
        <v>1</v>
      </c>
      <c r="AL810">
        <v>6.56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6</v>
      </c>
      <c r="AT810">
        <v>15.28</v>
      </c>
      <c r="AU810" t="s">
        <v>6</v>
      </c>
      <c r="AV810">
        <v>1</v>
      </c>
      <c r="AW810">
        <v>2</v>
      </c>
      <c r="AX810">
        <v>16743818</v>
      </c>
      <c r="AY810">
        <v>1</v>
      </c>
      <c r="AZ810">
        <v>0</v>
      </c>
      <c r="BA810">
        <v>741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Y810*Source!I577</f>
        <v>0.68759999999999999</v>
      </c>
      <c r="CY810">
        <f>AD810</f>
        <v>61.66</v>
      </c>
      <c r="CZ810">
        <f>AH810</f>
        <v>9.4</v>
      </c>
      <c r="DA810">
        <f>AL810</f>
        <v>6.56</v>
      </c>
      <c r="DB810">
        <f t="shared" si="145"/>
        <v>143.63</v>
      </c>
      <c r="DC810">
        <f t="shared" si="146"/>
        <v>0</v>
      </c>
    </row>
    <row r="811" spans="1:107" x14ac:dyDescent="0.2">
      <c r="A811">
        <f>ROW(Source!A577)</f>
        <v>577</v>
      </c>
      <c r="B811">
        <v>16742901</v>
      </c>
      <c r="C811">
        <v>16743806</v>
      </c>
      <c r="D811">
        <v>15430395</v>
      </c>
      <c r="E811">
        <v>1</v>
      </c>
      <c r="F811">
        <v>1</v>
      </c>
      <c r="G811">
        <v>1</v>
      </c>
      <c r="H811">
        <v>1</v>
      </c>
      <c r="I811" t="s">
        <v>1293</v>
      </c>
      <c r="J811" t="s">
        <v>6</v>
      </c>
      <c r="K811" t="s">
        <v>1294</v>
      </c>
      <c r="L811">
        <v>1191</v>
      </c>
      <c r="N811">
        <v>1013</v>
      </c>
      <c r="O811" t="s">
        <v>1287</v>
      </c>
      <c r="P811" t="s">
        <v>1287</v>
      </c>
      <c r="Q811">
        <v>1</v>
      </c>
      <c r="W811">
        <v>0</v>
      </c>
      <c r="X811">
        <v>-1417349443</v>
      </c>
      <c r="Y811">
        <v>0.22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1</v>
      </c>
      <c r="AJ811">
        <v>1</v>
      </c>
      <c r="AK811">
        <v>6.56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6</v>
      </c>
      <c r="AT811">
        <v>0.22</v>
      </c>
      <c r="AU811" t="s">
        <v>6</v>
      </c>
      <c r="AV811">
        <v>2</v>
      </c>
      <c r="AW811">
        <v>2</v>
      </c>
      <c r="AX811">
        <v>16743819</v>
      </c>
      <c r="AY811">
        <v>1</v>
      </c>
      <c r="AZ811">
        <v>0</v>
      </c>
      <c r="BA811">
        <v>742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Y811*Source!I577</f>
        <v>9.8999999999999991E-3</v>
      </c>
      <c r="CY811">
        <f>AD811</f>
        <v>0</v>
      </c>
      <c r="CZ811">
        <f>AH811</f>
        <v>0</v>
      </c>
      <c r="DA811">
        <f>AL811</f>
        <v>1</v>
      </c>
      <c r="DB811">
        <f t="shared" si="145"/>
        <v>0</v>
      </c>
      <c r="DC811">
        <f t="shared" si="146"/>
        <v>0</v>
      </c>
    </row>
    <row r="812" spans="1:107" x14ac:dyDescent="0.2">
      <c r="A812">
        <f>ROW(Source!A577)</f>
        <v>577</v>
      </c>
      <c r="B812">
        <v>16742901</v>
      </c>
      <c r="C812">
        <v>16743806</v>
      </c>
      <c r="D812">
        <v>15247680</v>
      </c>
      <c r="E812">
        <v>1</v>
      </c>
      <c r="F812">
        <v>1</v>
      </c>
      <c r="G812">
        <v>1</v>
      </c>
      <c r="H812">
        <v>2</v>
      </c>
      <c r="I812" t="s">
        <v>1295</v>
      </c>
      <c r="J812" t="s">
        <v>1296</v>
      </c>
      <c r="K812" t="s">
        <v>1297</v>
      </c>
      <c r="L812">
        <v>1368</v>
      </c>
      <c r="N812">
        <v>1011</v>
      </c>
      <c r="O812" t="s">
        <v>1298</v>
      </c>
      <c r="P812" t="s">
        <v>1298</v>
      </c>
      <c r="Q812">
        <v>1</v>
      </c>
      <c r="W812">
        <v>0</v>
      </c>
      <c r="X812">
        <v>-1718674368</v>
      </c>
      <c r="Y812">
        <v>0.11</v>
      </c>
      <c r="AA812">
        <v>0</v>
      </c>
      <c r="AB812">
        <v>734.65</v>
      </c>
      <c r="AC812">
        <v>13.5</v>
      </c>
      <c r="AD812">
        <v>0</v>
      </c>
      <c r="AE812">
        <v>0</v>
      </c>
      <c r="AF812">
        <v>111.99</v>
      </c>
      <c r="AG812">
        <v>13.5</v>
      </c>
      <c r="AH812">
        <v>0</v>
      </c>
      <c r="AI812">
        <v>1</v>
      </c>
      <c r="AJ812">
        <v>6.56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6</v>
      </c>
      <c r="AT812">
        <v>0.11</v>
      </c>
      <c r="AU812" t="s">
        <v>6</v>
      </c>
      <c r="AV812">
        <v>0</v>
      </c>
      <c r="AW812">
        <v>2</v>
      </c>
      <c r="AX812">
        <v>16743820</v>
      </c>
      <c r="AY812">
        <v>1</v>
      </c>
      <c r="AZ812">
        <v>0</v>
      </c>
      <c r="BA812">
        <v>743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Y812*Source!I577</f>
        <v>4.9499999999999995E-3</v>
      </c>
      <c r="CY812">
        <f>AB812</f>
        <v>734.65</v>
      </c>
      <c r="CZ812">
        <f>AF812</f>
        <v>111.99</v>
      </c>
      <c r="DA812">
        <f>AJ812</f>
        <v>6.56</v>
      </c>
      <c r="DB812">
        <f t="shared" si="145"/>
        <v>12.32</v>
      </c>
      <c r="DC812">
        <f t="shared" si="146"/>
        <v>1.49</v>
      </c>
    </row>
    <row r="813" spans="1:107" x14ac:dyDescent="0.2">
      <c r="A813">
        <f>ROW(Source!A577)</f>
        <v>577</v>
      </c>
      <c r="B813">
        <v>16742901</v>
      </c>
      <c r="C813">
        <v>16743806</v>
      </c>
      <c r="D813">
        <v>15249073</v>
      </c>
      <c r="E813">
        <v>1</v>
      </c>
      <c r="F813">
        <v>1</v>
      </c>
      <c r="G813">
        <v>1</v>
      </c>
      <c r="H813">
        <v>2</v>
      </c>
      <c r="I813" t="s">
        <v>1299</v>
      </c>
      <c r="J813" t="s">
        <v>1300</v>
      </c>
      <c r="K813" t="s">
        <v>1301</v>
      </c>
      <c r="L813">
        <v>1368</v>
      </c>
      <c r="N813">
        <v>1011</v>
      </c>
      <c r="O813" t="s">
        <v>1298</v>
      </c>
      <c r="P813" t="s">
        <v>1298</v>
      </c>
      <c r="Q813">
        <v>1</v>
      </c>
      <c r="W813">
        <v>0</v>
      </c>
      <c r="X813">
        <v>1372534845</v>
      </c>
      <c r="Y813">
        <v>0.11</v>
      </c>
      <c r="AA813">
        <v>0</v>
      </c>
      <c r="AB813">
        <v>431.06</v>
      </c>
      <c r="AC813">
        <v>11.6</v>
      </c>
      <c r="AD813">
        <v>0</v>
      </c>
      <c r="AE813">
        <v>0</v>
      </c>
      <c r="AF813">
        <v>65.709999999999994</v>
      </c>
      <c r="AG813">
        <v>11.6</v>
      </c>
      <c r="AH813">
        <v>0</v>
      </c>
      <c r="AI813">
        <v>1</v>
      </c>
      <c r="AJ813">
        <v>6.56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6</v>
      </c>
      <c r="AT813">
        <v>0.11</v>
      </c>
      <c r="AU813" t="s">
        <v>6</v>
      </c>
      <c r="AV813">
        <v>0</v>
      </c>
      <c r="AW813">
        <v>2</v>
      </c>
      <c r="AX813">
        <v>16743821</v>
      </c>
      <c r="AY813">
        <v>1</v>
      </c>
      <c r="AZ813">
        <v>0</v>
      </c>
      <c r="BA813">
        <v>744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Y813*Source!I577</f>
        <v>4.9499999999999995E-3</v>
      </c>
      <c r="CY813">
        <f>AB813</f>
        <v>431.06</v>
      </c>
      <c r="CZ813">
        <f>AF813</f>
        <v>65.709999999999994</v>
      </c>
      <c r="DA813">
        <f>AJ813</f>
        <v>6.56</v>
      </c>
      <c r="DB813">
        <f t="shared" si="145"/>
        <v>7.23</v>
      </c>
      <c r="DC813">
        <f t="shared" si="146"/>
        <v>1.28</v>
      </c>
    </row>
    <row r="814" spans="1:107" x14ac:dyDescent="0.2">
      <c r="A814">
        <f>ROW(Source!A577)</f>
        <v>577</v>
      </c>
      <c r="B814">
        <v>16742901</v>
      </c>
      <c r="C814">
        <v>16743806</v>
      </c>
      <c r="D814">
        <v>15172838</v>
      </c>
      <c r="E814">
        <v>1</v>
      </c>
      <c r="F814">
        <v>1</v>
      </c>
      <c r="G814">
        <v>1</v>
      </c>
      <c r="H814">
        <v>3</v>
      </c>
      <c r="I814" t="s">
        <v>1681</v>
      </c>
      <c r="J814" t="s">
        <v>1682</v>
      </c>
      <c r="K814" t="s">
        <v>1683</v>
      </c>
      <c r="L814">
        <v>1339</v>
      </c>
      <c r="N814">
        <v>1007</v>
      </c>
      <c r="O814" t="s">
        <v>301</v>
      </c>
      <c r="P814" t="s">
        <v>301</v>
      </c>
      <c r="Q814">
        <v>1</v>
      </c>
      <c r="W814">
        <v>0</v>
      </c>
      <c r="X814">
        <v>536744769</v>
      </c>
      <c r="Y814">
        <v>2.1000000000000001E-2</v>
      </c>
      <c r="AA814">
        <v>3936</v>
      </c>
      <c r="AB814">
        <v>0</v>
      </c>
      <c r="AC814">
        <v>0</v>
      </c>
      <c r="AD814">
        <v>0</v>
      </c>
      <c r="AE814">
        <v>600</v>
      </c>
      <c r="AF814">
        <v>0</v>
      </c>
      <c r="AG814">
        <v>0</v>
      </c>
      <c r="AH814">
        <v>0</v>
      </c>
      <c r="AI814">
        <v>6.56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6</v>
      </c>
      <c r="AT814">
        <v>2.1000000000000001E-2</v>
      </c>
      <c r="AU814" t="s">
        <v>6</v>
      </c>
      <c r="AV814">
        <v>0</v>
      </c>
      <c r="AW814">
        <v>2</v>
      </c>
      <c r="AX814">
        <v>16743822</v>
      </c>
      <c r="AY814">
        <v>1</v>
      </c>
      <c r="AZ814">
        <v>0</v>
      </c>
      <c r="BA814">
        <v>745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Y814*Source!I577</f>
        <v>9.4499999999999998E-4</v>
      </c>
      <c r="CY814">
        <f t="shared" ref="CY814:CY820" si="147">AA814</f>
        <v>3936</v>
      </c>
      <c r="CZ814">
        <f t="shared" ref="CZ814:CZ820" si="148">AE814</f>
        <v>600</v>
      </c>
      <c r="DA814">
        <f t="shared" ref="DA814:DA820" si="149">AI814</f>
        <v>6.56</v>
      </c>
      <c r="DB814">
        <f t="shared" si="145"/>
        <v>12.6</v>
      </c>
      <c r="DC814">
        <f t="shared" si="146"/>
        <v>0</v>
      </c>
    </row>
    <row r="815" spans="1:107" x14ac:dyDescent="0.2">
      <c r="A815">
        <f>ROW(Source!A577)</f>
        <v>577</v>
      </c>
      <c r="B815">
        <v>16742901</v>
      </c>
      <c r="C815">
        <v>16743806</v>
      </c>
      <c r="D815">
        <v>15202442</v>
      </c>
      <c r="E815">
        <v>1</v>
      </c>
      <c r="F815">
        <v>1</v>
      </c>
      <c r="G815">
        <v>1</v>
      </c>
      <c r="H815">
        <v>3</v>
      </c>
      <c r="I815" t="s">
        <v>1684</v>
      </c>
      <c r="J815" t="s">
        <v>1685</v>
      </c>
      <c r="K815" t="s">
        <v>1686</v>
      </c>
      <c r="L815">
        <v>1346</v>
      </c>
      <c r="N815">
        <v>1009</v>
      </c>
      <c r="O815" t="s">
        <v>341</v>
      </c>
      <c r="P815" t="s">
        <v>341</v>
      </c>
      <c r="Q815">
        <v>1</v>
      </c>
      <c r="W815">
        <v>0</v>
      </c>
      <c r="X815">
        <v>505519491</v>
      </c>
      <c r="Y815">
        <v>0.4</v>
      </c>
      <c r="AA815">
        <v>169.25</v>
      </c>
      <c r="AB815">
        <v>0</v>
      </c>
      <c r="AC815">
        <v>0</v>
      </c>
      <c r="AD815">
        <v>0</v>
      </c>
      <c r="AE815">
        <v>25.8</v>
      </c>
      <c r="AF815">
        <v>0</v>
      </c>
      <c r="AG815">
        <v>0</v>
      </c>
      <c r="AH815">
        <v>0</v>
      </c>
      <c r="AI815">
        <v>6.56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6</v>
      </c>
      <c r="AT815">
        <v>0.4</v>
      </c>
      <c r="AU815" t="s">
        <v>6</v>
      </c>
      <c r="AV815">
        <v>0</v>
      </c>
      <c r="AW815">
        <v>2</v>
      </c>
      <c r="AX815">
        <v>16743823</v>
      </c>
      <c r="AY815">
        <v>1</v>
      </c>
      <c r="AZ815">
        <v>0</v>
      </c>
      <c r="BA815">
        <v>746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Y815*Source!I577</f>
        <v>1.7999999999999999E-2</v>
      </c>
      <c r="CY815">
        <f t="shared" si="147"/>
        <v>169.25</v>
      </c>
      <c r="CZ815">
        <f t="shared" si="148"/>
        <v>25.8</v>
      </c>
      <c r="DA815">
        <f t="shared" si="149"/>
        <v>6.56</v>
      </c>
      <c r="DB815">
        <f t="shared" si="145"/>
        <v>10.32</v>
      </c>
      <c r="DC815">
        <f t="shared" si="146"/>
        <v>0</v>
      </c>
    </row>
    <row r="816" spans="1:107" x14ac:dyDescent="0.2">
      <c r="A816">
        <f>ROW(Source!A577)</f>
        <v>577</v>
      </c>
      <c r="B816">
        <v>16742901</v>
      </c>
      <c r="C816">
        <v>16743806</v>
      </c>
      <c r="D816">
        <v>15217585</v>
      </c>
      <c r="E816">
        <v>1</v>
      </c>
      <c r="F816">
        <v>1</v>
      </c>
      <c r="G816">
        <v>1</v>
      </c>
      <c r="H816">
        <v>3</v>
      </c>
      <c r="I816" t="s">
        <v>1687</v>
      </c>
      <c r="J816" t="s">
        <v>1688</v>
      </c>
      <c r="K816" t="s">
        <v>1689</v>
      </c>
      <c r="L816">
        <v>1356</v>
      </c>
      <c r="N816">
        <v>1010</v>
      </c>
      <c r="O816" t="s">
        <v>306</v>
      </c>
      <c r="P816" t="s">
        <v>306</v>
      </c>
      <c r="Q816">
        <v>1000</v>
      </c>
      <c r="W816">
        <v>0</v>
      </c>
      <c r="X816">
        <v>40709342</v>
      </c>
      <c r="Y816">
        <v>3.2000000000000001E-2</v>
      </c>
      <c r="AA816">
        <v>1771.2</v>
      </c>
      <c r="AB816">
        <v>0</v>
      </c>
      <c r="AC816">
        <v>0</v>
      </c>
      <c r="AD816">
        <v>0</v>
      </c>
      <c r="AE816">
        <v>270</v>
      </c>
      <c r="AF816">
        <v>0</v>
      </c>
      <c r="AG816">
        <v>0</v>
      </c>
      <c r="AH816">
        <v>0</v>
      </c>
      <c r="AI816">
        <v>6.56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6</v>
      </c>
      <c r="AT816">
        <v>3.2000000000000001E-2</v>
      </c>
      <c r="AU816" t="s">
        <v>6</v>
      </c>
      <c r="AV816">
        <v>0</v>
      </c>
      <c r="AW816">
        <v>2</v>
      </c>
      <c r="AX816">
        <v>16743824</v>
      </c>
      <c r="AY816">
        <v>1</v>
      </c>
      <c r="AZ816">
        <v>0</v>
      </c>
      <c r="BA816">
        <v>747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Y816*Source!I577</f>
        <v>1.4399999999999999E-3</v>
      </c>
      <c r="CY816">
        <f t="shared" si="147"/>
        <v>1771.2</v>
      </c>
      <c r="CZ816">
        <f t="shared" si="148"/>
        <v>270</v>
      </c>
      <c r="DA816">
        <f t="shared" si="149"/>
        <v>6.56</v>
      </c>
      <c r="DB816">
        <f t="shared" si="145"/>
        <v>8.64</v>
      </c>
      <c r="DC816">
        <f t="shared" si="146"/>
        <v>0</v>
      </c>
    </row>
    <row r="817" spans="1:107" x14ac:dyDescent="0.2">
      <c r="A817">
        <f>ROW(Source!A577)</f>
        <v>577</v>
      </c>
      <c r="B817">
        <v>16742901</v>
      </c>
      <c r="C817">
        <v>16743806</v>
      </c>
      <c r="D817">
        <v>15217593</v>
      </c>
      <c r="E817">
        <v>1</v>
      </c>
      <c r="F817">
        <v>1</v>
      </c>
      <c r="G817">
        <v>1</v>
      </c>
      <c r="H817">
        <v>3</v>
      </c>
      <c r="I817" t="s">
        <v>1690</v>
      </c>
      <c r="J817" t="s">
        <v>1691</v>
      </c>
      <c r="K817" t="s">
        <v>1692</v>
      </c>
      <c r="L817">
        <v>1358</v>
      </c>
      <c r="N817">
        <v>1010</v>
      </c>
      <c r="O817" t="s">
        <v>723</v>
      </c>
      <c r="P817" t="s">
        <v>723</v>
      </c>
      <c r="Q817">
        <v>10</v>
      </c>
      <c r="W817">
        <v>0</v>
      </c>
      <c r="X817">
        <v>-1110089157</v>
      </c>
      <c r="Y817">
        <v>1</v>
      </c>
      <c r="AA817">
        <v>130.54</v>
      </c>
      <c r="AB817">
        <v>0</v>
      </c>
      <c r="AC817">
        <v>0</v>
      </c>
      <c r="AD817">
        <v>0</v>
      </c>
      <c r="AE817">
        <v>19.899999999999999</v>
      </c>
      <c r="AF817">
        <v>0</v>
      </c>
      <c r="AG817">
        <v>0</v>
      </c>
      <c r="AH817">
        <v>0</v>
      </c>
      <c r="AI817">
        <v>6.56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6</v>
      </c>
      <c r="AT817">
        <v>1</v>
      </c>
      <c r="AU817" t="s">
        <v>6</v>
      </c>
      <c r="AV817">
        <v>0</v>
      </c>
      <c r="AW817">
        <v>2</v>
      </c>
      <c r="AX817">
        <v>16743825</v>
      </c>
      <c r="AY817">
        <v>1</v>
      </c>
      <c r="AZ817">
        <v>0</v>
      </c>
      <c r="BA817">
        <v>748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Y817*Source!I577</f>
        <v>4.4999999999999998E-2</v>
      </c>
      <c r="CY817">
        <f t="shared" si="147"/>
        <v>130.54</v>
      </c>
      <c r="CZ817">
        <f t="shared" si="148"/>
        <v>19.899999999999999</v>
      </c>
      <c r="DA817">
        <f t="shared" si="149"/>
        <v>6.56</v>
      </c>
      <c r="DB817">
        <f t="shared" si="145"/>
        <v>19.899999999999999</v>
      </c>
      <c r="DC817">
        <f t="shared" si="146"/>
        <v>0</v>
      </c>
    </row>
    <row r="818" spans="1:107" x14ac:dyDescent="0.2">
      <c r="A818">
        <f>ROW(Source!A577)</f>
        <v>577</v>
      </c>
      <c r="B818">
        <v>16742901</v>
      </c>
      <c r="C818">
        <v>16743806</v>
      </c>
      <c r="D818">
        <v>15218939</v>
      </c>
      <c r="E818">
        <v>1</v>
      </c>
      <c r="F818">
        <v>1</v>
      </c>
      <c r="G818">
        <v>1</v>
      </c>
      <c r="H818">
        <v>3</v>
      </c>
      <c r="I818" t="s">
        <v>1693</v>
      </c>
      <c r="J818" t="s">
        <v>1694</v>
      </c>
      <c r="K818" t="s">
        <v>1695</v>
      </c>
      <c r="L818">
        <v>1354</v>
      </c>
      <c r="N818">
        <v>1010</v>
      </c>
      <c r="O818" t="s">
        <v>73</v>
      </c>
      <c r="P818" t="s">
        <v>73</v>
      </c>
      <c r="Q818">
        <v>1</v>
      </c>
      <c r="W818">
        <v>0</v>
      </c>
      <c r="X818">
        <v>-1308137011</v>
      </c>
      <c r="Y818">
        <v>0.5</v>
      </c>
      <c r="AA818">
        <v>438.34</v>
      </c>
      <c r="AB818">
        <v>0</v>
      </c>
      <c r="AC818">
        <v>0</v>
      </c>
      <c r="AD818">
        <v>0</v>
      </c>
      <c r="AE818">
        <v>66.819999999999993</v>
      </c>
      <c r="AF818">
        <v>0</v>
      </c>
      <c r="AG818">
        <v>0</v>
      </c>
      <c r="AH818">
        <v>0</v>
      </c>
      <c r="AI818">
        <v>6.56</v>
      </c>
      <c r="AJ818">
        <v>1</v>
      </c>
      <c r="AK818">
        <v>1</v>
      </c>
      <c r="AL818">
        <v>1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6</v>
      </c>
      <c r="AT818">
        <v>0.5</v>
      </c>
      <c r="AU818" t="s">
        <v>6</v>
      </c>
      <c r="AV818">
        <v>0</v>
      </c>
      <c r="AW818">
        <v>2</v>
      </c>
      <c r="AX818">
        <v>16743826</v>
      </c>
      <c r="AY818">
        <v>1</v>
      </c>
      <c r="AZ818">
        <v>0</v>
      </c>
      <c r="BA818">
        <v>749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Y818*Source!I577</f>
        <v>2.2499999999999999E-2</v>
      </c>
      <c r="CY818">
        <f t="shared" si="147"/>
        <v>438.34</v>
      </c>
      <c r="CZ818">
        <f t="shared" si="148"/>
        <v>66.819999999999993</v>
      </c>
      <c r="DA818">
        <f t="shared" si="149"/>
        <v>6.56</v>
      </c>
      <c r="DB818">
        <f t="shared" si="145"/>
        <v>33.409999999999997</v>
      </c>
      <c r="DC818">
        <f t="shared" si="146"/>
        <v>0</v>
      </c>
    </row>
    <row r="819" spans="1:107" x14ac:dyDescent="0.2">
      <c r="A819">
        <f>ROW(Source!A577)</f>
        <v>577</v>
      </c>
      <c r="B819">
        <v>16742901</v>
      </c>
      <c r="C819">
        <v>16743806</v>
      </c>
      <c r="D819">
        <v>15233361</v>
      </c>
      <c r="E819">
        <v>1</v>
      </c>
      <c r="F819">
        <v>1</v>
      </c>
      <c r="G819">
        <v>1</v>
      </c>
      <c r="H819">
        <v>3</v>
      </c>
      <c r="I819" t="s">
        <v>782</v>
      </c>
      <c r="J819" t="s">
        <v>784</v>
      </c>
      <c r="K819" t="s">
        <v>783</v>
      </c>
      <c r="L819">
        <v>1302</v>
      </c>
      <c r="N819">
        <v>1003</v>
      </c>
      <c r="O819" t="s">
        <v>740</v>
      </c>
      <c r="P819" t="s">
        <v>740</v>
      </c>
      <c r="Q819">
        <v>10</v>
      </c>
      <c r="W819">
        <v>0</v>
      </c>
      <c r="X819">
        <v>1974421767</v>
      </c>
      <c r="Y819">
        <v>10</v>
      </c>
      <c r="AA819">
        <v>521.32000000000005</v>
      </c>
      <c r="AB819">
        <v>0</v>
      </c>
      <c r="AC819">
        <v>0</v>
      </c>
      <c r="AD819">
        <v>0</v>
      </c>
      <c r="AE819">
        <v>79.47</v>
      </c>
      <c r="AF819">
        <v>0</v>
      </c>
      <c r="AG819">
        <v>0</v>
      </c>
      <c r="AH819">
        <v>0</v>
      </c>
      <c r="AI819">
        <v>6.56</v>
      </c>
      <c r="AJ819">
        <v>1</v>
      </c>
      <c r="AK819">
        <v>1</v>
      </c>
      <c r="AL819">
        <v>1</v>
      </c>
      <c r="AN819">
        <v>0</v>
      </c>
      <c r="AO819">
        <v>0</v>
      </c>
      <c r="AP819">
        <v>0</v>
      </c>
      <c r="AQ819">
        <v>0</v>
      </c>
      <c r="AR819">
        <v>0</v>
      </c>
      <c r="AS819" t="s">
        <v>6</v>
      </c>
      <c r="AT819">
        <v>10</v>
      </c>
      <c r="AU819" t="s">
        <v>6</v>
      </c>
      <c r="AV819">
        <v>0</v>
      </c>
      <c r="AW819">
        <v>1</v>
      </c>
      <c r="AX819">
        <v>-1</v>
      </c>
      <c r="AY819">
        <v>0</v>
      </c>
      <c r="AZ819">
        <v>0</v>
      </c>
      <c r="BA819" t="s">
        <v>6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Y819*Source!I577</f>
        <v>0.44999999999999996</v>
      </c>
      <c r="CY819">
        <f t="shared" si="147"/>
        <v>521.32000000000005</v>
      </c>
      <c r="CZ819">
        <f t="shared" si="148"/>
        <v>79.47</v>
      </c>
      <c r="DA819">
        <f t="shared" si="149"/>
        <v>6.56</v>
      </c>
      <c r="DB819">
        <f t="shared" si="145"/>
        <v>794.7</v>
      </c>
      <c r="DC819">
        <f t="shared" si="146"/>
        <v>0</v>
      </c>
    </row>
    <row r="820" spans="1:107" x14ac:dyDescent="0.2">
      <c r="A820">
        <f>ROW(Source!A577)</f>
        <v>577</v>
      </c>
      <c r="B820">
        <v>16742901</v>
      </c>
      <c r="C820">
        <v>16743806</v>
      </c>
      <c r="D820">
        <v>15164559</v>
      </c>
      <c r="E820">
        <v>17</v>
      </c>
      <c r="F820">
        <v>1</v>
      </c>
      <c r="G820">
        <v>1</v>
      </c>
      <c r="H820">
        <v>3</v>
      </c>
      <c r="I820" t="s">
        <v>1334</v>
      </c>
      <c r="J820" t="s">
        <v>6</v>
      </c>
      <c r="K820" t="s">
        <v>1335</v>
      </c>
      <c r="L820">
        <v>1374</v>
      </c>
      <c r="N820">
        <v>1013</v>
      </c>
      <c r="O820" t="s">
        <v>1336</v>
      </c>
      <c r="P820" t="s">
        <v>1336</v>
      </c>
      <c r="Q820">
        <v>1</v>
      </c>
      <c r="W820">
        <v>0</v>
      </c>
      <c r="X820">
        <v>-1731369543</v>
      </c>
      <c r="Y820">
        <v>2.87</v>
      </c>
      <c r="AA820">
        <v>1</v>
      </c>
      <c r="AB820">
        <v>0</v>
      </c>
      <c r="AC820">
        <v>0</v>
      </c>
      <c r="AD820">
        <v>0</v>
      </c>
      <c r="AE820">
        <v>1</v>
      </c>
      <c r="AF820">
        <v>0</v>
      </c>
      <c r="AG820">
        <v>0</v>
      </c>
      <c r="AH820">
        <v>0</v>
      </c>
      <c r="AI820">
        <v>1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6</v>
      </c>
      <c r="AT820">
        <v>2.87</v>
      </c>
      <c r="AU820" t="s">
        <v>6</v>
      </c>
      <c r="AV820">
        <v>0</v>
      </c>
      <c r="AW820">
        <v>2</v>
      </c>
      <c r="AX820">
        <v>16743827</v>
      </c>
      <c r="AY820">
        <v>1</v>
      </c>
      <c r="AZ820">
        <v>0</v>
      </c>
      <c r="BA820">
        <v>750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Y820*Source!I577</f>
        <v>0.12914999999999999</v>
      </c>
      <c r="CY820">
        <f t="shared" si="147"/>
        <v>1</v>
      </c>
      <c r="CZ820">
        <f t="shared" si="148"/>
        <v>1</v>
      </c>
      <c r="DA820">
        <f t="shared" si="149"/>
        <v>1</v>
      </c>
      <c r="DB820">
        <f t="shared" si="145"/>
        <v>2.87</v>
      </c>
      <c r="DC820">
        <f t="shared" si="146"/>
        <v>0</v>
      </c>
    </row>
    <row r="821" spans="1:107" x14ac:dyDescent="0.2">
      <c r="A821">
        <f>ROW(Source!A579)</f>
        <v>579</v>
      </c>
      <c r="B821">
        <v>16742901</v>
      </c>
      <c r="C821">
        <v>16743830</v>
      </c>
      <c r="D821">
        <v>15430397</v>
      </c>
      <c r="E821">
        <v>1</v>
      </c>
      <c r="F821">
        <v>1</v>
      </c>
      <c r="G821">
        <v>1</v>
      </c>
      <c r="H821">
        <v>1</v>
      </c>
      <c r="I821" t="s">
        <v>1323</v>
      </c>
      <c r="J821" t="s">
        <v>6</v>
      </c>
      <c r="K821" t="s">
        <v>1324</v>
      </c>
      <c r="L821">
        <v>1191</v>
      </c>
      <c r="N821">
        <v>1013</v>
      </c>
      <c r="O821" t="s">
        <v>1287</v>
      </c>
      <c r="P821" t="s">
        <v>1287</v>
      </c>
      <c r="Q821">
        <v>1</v>
      </c>
      <c r="W821">
        <v>0</v>
      </c>
      <c r="X821">
        <v>-1081351934</v>
      </c>
      <c r="Y821">
        <v>8.56</v>
      </c>
      <c r="AA821">
        <v>0</v>
      </c>
      <c r="AB821">
        <v>0</v>
      </c>
      <c r="AC821">
        <v>0</v>
      </c>
      <c r="AD821">
        <v>61.66</v>
      </c>
      <c r="AE821">
        <v>0</v>
      </c>
      <c r="AF821">
        <v>0</v>
      </c>
      <c r="AG821">
        <v>0</v>
      </c>
      <c r="AH821">
        <v>9.4</v>
      </c>
      <c r="AI821">
        <v>1</v>
      </c>
      <c r="AJ821">
        <v>1</v>
      </c>
      <c r="AK821">
        <v>1</v>
      </c>
      <c r="AL821">
        <v>6.56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6</v>
      </c>
      <c r="AT821">
        <v>8.56</v>
      </c>
      <c r="AU821" t="s">
        <v>6</v>
      </c>
      <c r="AV821">
        <v>1</v>
      </c>
      <c r="AW821">
        <v>2</v>
      </c>
      <c r="AX821">
        <v>16743845</v>
      </c>
      <c r="AY821">
        <v>1</v>
      </c>
      <c r="AZ821">
        <v>0</v>
      </c>
      <c r="BA821">
        <v>751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Y821*Source!I579</f>
        <v>4.9648000000000003</v>
      </c>
      <c r="CY821">
        <f>AD821</f>
        <v>61.66</v>
      </c>
      <c r="CZ821">
        <f>AH821</f>
        <v>9.4</v>
      </c>
      <c r="DA821">
        <f>AL821</f>
        <v>6.56</v>
      </c>
      <c r="DB821">
        <f t="shared" si="145"/>
        <v>80.459999999999994</v>
      </c>
      <c r="DC821">
        <f t="shared" si="146"/>
        <v>0</v>
      </c>
    </row>
    <row r="822" spans="1:107" x14ac:dyDescent="0.2">
      <c r="A822">
        <f>ROW(Source!A579)</f>
        <v>579</v>
      </c>
      <c r="B822">
        <v>16742901</v>
      </c>
      <c r="C822">
        <v>16743830</v>
      </c>
      <c r="D822">
        <v>15430395</v>
      </c>
      <c r="E822">
        <v>1</v>
      </c>
      <c r="F822">
        <v>1</v>
      </c>
      <c r="G822">
        <v>1</v>
      </c>
      <c r="H822">
        <v>1</v>
      </c>
      <c r="I822" t="s">
        <v>1293</v>
      </c>
      <c r="J822" t="s">
        <v>6</v>
      </c>
      <c r="K822" t="s">
        <v>1294</v>
      </c>
      <c r="L822">
        <v>1191</v>
      </c>
      <c r="N822">
        <v>1013</v>
      </c>
      <c r="O822" t="s">
        <v>1287</v>
      </c>
      <c r="P822" t="s">
        <v>1287</v>
      </c>
      <c r="Q822">
        <v>1</v>
      </c>
      <c r="W822">
        <v>0</v>
      </c>
      <c r="X822">
        <v>-1417349443</v>
      </c>
      <c r="Y822">
        <v>2.27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1</v>
      </c>
      <c r="AJ822">
        <v>1</v>
      </c>
      <c r="AK822">
        <v>6.56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6</v>
      </c>
      <c r="AT822">
        <v>2.27</v>
      </c>
      <c r="AU822" t="s">
        <v>6</v>
      </c>
      <c r="AV822">
        <v>2</v>
      </c>
      <c r="AW822">
        <v>2</v>
      </c>
      <c r="AX822">
        <v>16743846</v>
      </c>
      <c r="AY822">
        <v>1</v>
      </c>
      <c r="AZ822">
        <v>0</v>
      </c>
      <c r="BA822">
        <v>752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Y822*Source!I579</f>
        <v>1.3166</v>
      </c>
      <c r="CY822">
        <f>AD822</f>
        <v>0</v>
      </c>
      <c r="CZ822">
        <f>AH822</f>
        <v>0</v>
      </c>
      <c r="DA822">
        <f>AL822</f>
        <v>1</v>
      </c>
      <c r="DB822">
        <f t="shared" si="145"/>
        <v>0</v>
      </c>
      <c r="DC822">
        <f t="shared" si="146"/>
        <v>0</v>
      </c>
    </row>
    <row r="823" spans="1:107" x14ac:dyDescent="0.2">
      <c r="A823">
        <f>ROW(Source!A579)</f>
        <v>579</v>
      </c>
      <c r="B823">
        <v>16742901</v>
      </c>
      <c r="C823">
        <v>16743830</v>
      </c>
      <c r="D823">
        <v>15247680</v>
      </c>
      <c r="E823">
        <v>1</v>
      </c>
      <c r="F823">
        <v>1</v>
      </c>
      <c r="G823">
        <v>1</v>
      </c>
      <c r="H823">
        <v>2</v>
      </c>
      <c r="I823" t="s">
        <v>1295</v>
      </c>
      <c r="J823" t="s">
        <v>1296</v>
      </c>
      <c r="K823" t="s">
        <v>1297</v>
      </c>
      <c r="L823">
        <v>1368</v>
      </c>
      <c r="N823">
        <v>1011</v>
      </c>
      <c r="O823" t="s">
        <v>1298</v>
      </c>
      <c r="P823" t="s">
        <v>1298</v>
      </c>
      <c r="Q823">
        <v>1</v>
      </c>
      <c r="W823">
        <v>0</v>
      </c>
      <c r="X823">
        <v>-1718674368</v>
      </c>
      <c r="Y823">
        <v>0.1</v>
      </c>
      <c r="AA823">
        <v>0</v>
      </c>
      <c r="AB823">
        <v>734.65</v>
      </c>
      <c r="AC823">
        <v>13.5</v>
      </c>
      <c r="AD823">
        <v>0</v>
      </c>
      <c r="AE823">
        <v>0</v>
      </c>
      <c r="AF823">
        <v>111.99</v>
      </c>
      <c r="AG823">
        <v>13.5</v>
      </c>
      <c r="AH823">
        <v>0</v>
      </c>
      <c r="AI823">
        <v>1</v>
      </c>
      <c r="AJ823">
        <v>6.56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6</v>
      </c>
      <c r="AT823">
        <v>0.1</v>
      </c>
      <c r="AU823" t="s">
        <v>6</v>
      </c>
      <c r="AV823">
        <v>0</v>
      </c>
      <c r="AW823">
        <v>2</v>
      </c>
      <c r="AX823">
        <v>16743847</v>
      </c>
      <c r="AY823">
        <v>1</v>
      </c>
      <c r="AZ823">
        <v>0</v>
      </c>
      <c r="BA823">
        <v>753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Y823*Source!I579</f>
        <v>5.7999999999999996E-2</v>
      </c>
      <c r="CY823">
        <f>AB823</f>
        <v>734.65</v>
      </c>
      <c r="CZ823">
        <f>AF823</f>
        <v>111.99</v>
      </c>
      <c r="DA823">
        <f>AJ823</f>
        <v>6.56</v>
      </c>
      <c r="DB823">
        <f t="shared" si="145"/>
        <v>11.2</v>
      </c>
      <c r="DC823">
        <f t="shared" si="146"/>
        <v>1.35</v>
      </c>
    </row>
    <row r="824" spans="1:107" x14ac:dyDescent="0.2">
      <c r="A824">
        <f>ROW(Source!A579)</f>
        <v>579</v>
      </c>
      <c r="B824">
        <v>16742901</v>
      </c>
      <c r="C824">
        <v>16743830</v>
      </c>
      <c r="D824">
        <v>15247962</v>
      </c>
      <c r="E824">
        <v>1</v>
      </c>
      <c r="F824">
        <v>1</v>
      </c>
      <c r="G824">
        <v>1</v>
      </c>
      <c r="H824">
        <v>2</v>
      </c>
      <c r="I824" t="s">
        <v>1714</v>
      </c>
      <c r="J824" t="s">
        <v>1715</v>
      </c>
      <c r="K824" t="s">
        <v>1716</v>
      </c>
      <c r="L824">
        <v>1368</v>
      </c>
      <c r="N824">
        <v>1011</v>
      </c>
      <c r="O824" t="s">
        <v>1298</v>
      </c>
      <c r="P824" t="s">
        <v>1298</v>
      </c>
      <c r="Q824">
        <v>1</v>
      </c>
      <c r="W824">
        <v>0</v>
      </c>
      <c r="X824">
        <v>-1099504201</v>
      </c>
      <c r="Y824">
        <v>2.0699999999999998</v>
      </c>
      <c r="AA824">
        <v>0</v>
      </c>
      <c r="AB824">
        <v>194.18</v>
      </c>
      <c r="AC824">
        <v>10.06</v>
      </c>
      <c r="AD824">
        <v>0</v>
      </c>
      <c r="AE824">
        <v>0</v>
      </c>
      <c r="AF824">
        <v>29.6</v>
      </c>
      <c r="AG824">
        <v>10.06</v>
      </c>
      <c r="AH824">
        <v>0</v>
      </c>
      <c r="AI824">
        <v>1</v>
      </c>
      <c r="AJ824">
        <v>6.56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6</v>
      </c>
      <c r="AT824">
        <v>2.0699999999999998</v>
      </c>
      <c r="AU824" t="s">
        <v>6</v>
      </c>
      <c r="AV824">
        <v>0</v>
      </c>
      <c r="AW824">
        <v>2</v>
      </c>
      <c r="AX824">
        <v>16743848</v>
      </c>
      <c r="AY824">
        <v>1</v>
      </c>
      <c r="AZ824">
        <v>0</v>
      </c>
      <c r="BA824">
        <v>754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Y824*Source!I579</f>
        <v>1.2005999999999999</v>
      </c>
      <c r="CY824">
        <f>AB824</f>
        <v>194.18</v>
      </c>
      <c r="CZ824">
        <f>AF824</f>
        <v>29.6</v>
      </c>
      <c r="DA824">
        <f>AJ824</f>
        <v>6.56</v>
      </c>
      <c r="DB824">
        <f t="shared" si="145"/>
        <v>61.27</v>
      </c>
      <c r="DC824">
        <f t="shared" si="146"/>
        <v>20.82</v>
      </c>
    </row>
    <row r="825" spans="1:107" x14ac:dyDescent="0.2">
      <c r="A825">
        <f>ROW(Source!A579)</f>
        <v>579</v>
      </c>
      <c r="B825">
        <v>16742901</v>
      </c>
      <c r="C825">
        <v>16743830</v>
      </c>
      <c r="D825">
        <v>15249073</v>
      </c>
      <c r="E825">
        <v>1</v>
      </c>
      <c r="F825">
        <v>1</v>
      </c>
      <c r="G825">
        <v>1</v>
      </c>
      <c r="H825">
        <v>2</v>
      </c>
      <c r="I825" t="s">
        <v>1299</v>
      </c>
      <c r="J825" t="s">
        <v>1300</v>
      </c>
      <c r="K825" t="s">
        <v>1301</v>
      </c>
      <c r="L825">
        <v>1368</v>
      </c>
      <c r="N825">
        <v>1011</v>
      </c>
      <c r="O825" t="s">
        <v>1298</v>
      </c>
      <c r="P825" t="s">
        <v>1298</v>
      </c>
      <c r="Q825">
        <v>1</v>
      </c>
      <c r="W825">
        <v>0</v>
      </c>
      <c r="X825">
        <v>1372534845</v>
      </c>
      <c r="Y825">
        <v>0.1</v>
      </c>
      <c r="AA825">
        <v>0</v>
      </c>
      <c r="AB825">
        <v>431.06</v>
      </c>
      <c r="AC825">
        <v>11.6</v>
      </c>
      <c r="AD825">
        <v>0</v>
      </c>
      <c r="AE825">
        <v>0</v>
      </c>
      <c r="AF825">
        <v>65.709999999999994</v>
      </c>
      <c r="AG825">
        <v>11.6</v>
      </c>
      <c r="AH825">
        <v>0</v>
      </c>
      <c r="AI825">
        <v>1</v>
      </c>
      <c r="AJ825">
        <v>6.56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6</v>
      </c>
      <c r="AT825">
        <v>0.1</v>
      </c>
      <c r="AU825" t="s">
        <v>6</v>
      </c>
      <c r="AV825">
        <v>0</v>
      </c>
      <c r="AW825">
        <v>2</v>
      </c>
      <c r="AX825">
        <v>16743849</v>
      </c>
      <c r="AY825">
        <v>1</v>
      </c>
      <c r="AZ825">
        <v>0</v>
      </c>
      <c r="BA825">
        <v>755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Y825*Source!I579</f>
        <v>5.7999999999999996E-2</v>
      </c>
      <c r="CY825">
        <f>AB825</f>
        <v>431.06</v>
      </c>
      <c r="CZ825">
        <f>AF825</f>
        <v>65.709999999999994</v>
      </c>
      <c r="DA825">
        <f>AJ825</f>
        <v>6.56</v>
      </c>
      <c r="DB825">
        <f t="shared" si="145"/>
        <v>6.57</v>
      </c>
      <c r="DC825">
        <f t="shared" si="146"/>
        <v>1.1599999999999999</v>
      </c>
    </row>
    <row r="826" spans="1:107" x14ac:dyDescent="0.2">
      <c r="A826">
        <f>ROW(Source!A579)</f>
        <v>579</v>
      </c>
      <c r="B826">
        <v>16742901</v>
      </c>
      <c r="C826">
        <v>16743830</v>
      </c>
      <c r="D826">
        <v>15249377</v>
      </c>
      <c r="E826">
        <v>1</v>
      </c>
      <c r="F826">
        <v>1</v>
      </c>
      <c r="G826">
        <v>1</v>
      </c>
      <c r="H826">
        <v>2</v>
      </c>
      <c r="I826" t="s">
        <v>1302</v>
      </c>
      <c r="J826" t="s">
        <v>1303</v>
      </c>
      <c r="K826" t="s">
        <v>1304</v>
      </c>
      <c r="L826">
        <v>1368</v>
      </c>
      <c r="N826">
        <v>1011</v>
      </c>
      <c r="O826" t="s">
        <v>1298</v>
      </c>
      <c r="P826" t="s">
        <v>1298</v>
      </c>
      <c r="Q826">
        <v>1</v>
      </c>
      <c r="W826">
        <v>0</v>
      </c>
      <c r="X826">
        <v>-353815937</v>
      </c>
      <c r="Y826">
        <v>1.93</v>
      </c>
      <c r="AA826">
        <v>0</v>
      </c>
      <c r="AB826">
        <v>53.14</v>
      </c>
      <c r="AC826">
        <v>0</v>
      </c>
      <c r="AD826">
        <v>0</v>
      </c>
      <c r="AE826">
        <v>0</v>
      </c>
      <c r="AF826">
        <v>8.1</v>
      </c>
      <c r="AG826">
        <v>0</v>
      </c>
      <c r="AH826">
        <v>0</v>
      </c>
      <c r="AI826">
        <v>1</v>
      </c>
      <c r="AJ826">
        <v>6.56</v>
      </c>
      <c r="AK826">
        <v>1</v>
      </c>
      <c r="AL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6</v>
      </c>
      <c r="AT826">
        <v>1.93</v>
      </c>
      <c r="AU826" t="s">
        <v>6</v>
      </c>
      <c r="AV826">
        <v>0</v>
      </c>
      <c r="AW826">
        <v>2</v>
      </c>
      <c r="AX826">
        <v>16743850</v>
      </c>
      <c r="AY826">
        <v>1</v>
      </c>
      <c r="AZ826">
        <v>0</v>
      </c>
      <c r="BA826">
        <v>756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Y826*Source!I579</f>
        <v>1.1194</v>
      </c>
      <c r="CY826">
        <f>AB826</f>
        <v>53.14</v>
      </c>
      <c r="CZ826">
        <f>AF826</f>
        <v>8.1</v>
      </c>
      <c r="DA826">
        <f>AJ826</f>
        <v>6.56</v>
      </c>
      <c r="DB826">
        <f t="shared" si="145"/>
        <v>15.63</v>
      </c>
      <c r="DC826">
        <f t="shared" si="146"/>
        <v>0</v>
      </c>
    </row>
    <row r="827" spans="1:107" x14ac:dyDescent="0.2">
      <c r="A827">
        <f>ROW(Source!A579)</f>
        <v>579</v>
      </c>
      <c r="B827">
        <v>16742901</v>
      </c>
      <c r="C827">
        <v>16743830</v>
      </c>
      <c r="D827">
        <v>15168752</v>
      </c>
      <c r="E827">
        <v>1</v>
      </c>
      <c r="F827">
        <v>1</v>
      </c>
      <c r="G827">
        <v>1</v>
      </c>
      <c r="H827">
        <v>3</v>
      </c>
      <c r="I827" t="s">
        <v>1325</v>
      </c>
      <c r="J827" t="s">
        <v>1326</v>
      </c>
      <c r="K827" t="s">
        <v>1327</v>
      </c>
      <c r="L827">
        <v>1346</v>
      </c>
      <c r="N827">
        <v>1009</v>
      </c>
      <c r="O827" t="s">
        <v>341</v>
      </c>
      <c r="P827" t="s">
        <v>341</v>
      </c>
      <c r="Q827">
        <v>1</v>
      </c>
      <c r="W827">
        <v>0</v>
      </c>
      <c r="X827">
        <v>586013393</v>
      </c>
      <c r="Y827">
        <v>2.14</v>
      </c>
      <c r="AA827">
        <v>69.34</v>
      </c>
      <c r="AB827">
        <v>0</v>
      </c>
      <c r="AC827">
        <v>0</v>
      </c>
      <c r="AD827">
        <v>0</v>
      </c>
      <c r="AE827">
        <v>10.57</v>
      </c>
      <c r="AF827">
        <v>0</v>
      </c>
      <c r="AG827">
        <v>0</v>
      </c>
      <c r="AH827">
        <v>0</v>
      </c>
      <c r="AI827">
        <v>6.56</v>
      </c>
      <c r="AJ827">
        <v>1</v>
      </c>
      <c r="AK827">
        <v>1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6</v>
      </c>
      <c r="AT827">
        <v>2.14</v>
      </c>
      <c r="AU827" t="s">
        <v>6</v>
      </c>
      <c r="AV827">
        <v>0</v>
      </c>
      <c r="AW827">
        <v>2</v>
      </c>
      <c r="AX827">
        <v>16743851</v>
      </c>
      <c r="AY827">
        <v>1</v>
      </c>
      <c r="AZ827">
        <v>0</v>
      </c>
      <c r="BA827">
        <v>757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Y827*Source!I579</f>
        <v>1.2412000000000001</v>
      </c>
      <c r="CY827">
        <f t="shared" ref="CY827:CY833" si="150">AA827</f>
        <v>69.34</v>
      </c>
      <c r="CZ827">
        <f t="shared" ref="CZ827:CZ833" si="151">AE827</f>
        <v>10.57</v>
      </c>
      <c r="DA827">
        <f t="shared" ref="DA827:DA833" si="152">AI827</f>
        <v>6.56</v>
      </c>
      <c r="DB827">
        <f t="shared" si="145"/>
        <v>22.62</v>
      </c>
      <c r="DC827">
        <f t="shared" si="146"/>
        <v>0</v>
      </c>
    </row>
    <row r="828" spans="1:107" x14ac:dyDescent="0.2">
      <c r="A828">
        <f>ROW(Source!A579)</f>
        <v>579</v>
      </c>
      <c r="B828">
        <v>16742901</v>
      </c>
      <c r="C828">
        <v>16743830</v>
      </c>
      <c r="D828">
        <v>15169942</v>
      </c>
      <c r="E828">
        <v>1</v>
      </c>
      <c r="F828">
        <v>1</v>
      </c>
      <c r="G828">
        <v>1</v>
      </c>
      <c r="H828">
        <v>3</v>
      </c>
      <c r="I828" t="s">
        <v>1644</v>
      </c>
      <c r="J828" t="s">
        <v>1645</v>
      </c>
      <c r="K828" t="s">
        <v>1310</v>
      </c>
      <c r="L828">
        <v>1346</v>
      </c>
      <c r="N828">
        <v>1009</v>
      </c>
      <c r="O828" t="s">
        <v>341</v>
      </c>
      <c r="P828" t="s">
        <v>341</v>
      </c>
      <c r="Q828">
        <v>1</v>
      </c>
      <c r="W828">
        <v>0</v>
      </c>
      <c r="X828">
        <v>103900845</v>
      </c>
      <c r="Y828">
        <v>1.25</v>
      </c>
      <c r="AA828">
        <v>59.3</v>
      </c>
      <c r="AB828">
        <v>0</v>
      </c>
      <c r="AC828">
        <v>0</v>
      </c>
      <c r="AD828">
        <v>0</v>
      </c>
      <c r="AE828">
        <v>9.0399999999999991</v>
      </c>
      <c r="AF828">
        <v>0</v>
      </c>
      <c r="AG828">
        <v>0</v>
      </c>
      <c r="AH828">
        <v>0</v>
      </c>
      <c r="AI828">
        <v>6.56</v>
      </c>
      <c r="AJ828">
        <v>1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6</v>
      </c>
      <c r="AT828">
        <v>1.25</v>
      </c>
      <c r="AU828" t="s">
        <v>6</v>
      </c>
      <c r="AV828">
        <v>0</v>
      </c>
      <c r="AW828">
        <v>2</v>
      </c>
      <c r="AX828">
        <v>16743852</v>
      </c>
      <c r="AY828">
        <v>1</v>
      </c>
      <c r="AZ828">
        <v>0</v>
      </c>
      <c r="BA828">
        <v>758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Y828*Source!I579</f>
        <v>0.72499999999999998</v>
      </c>
      <c r="CY828">
        <f t="shared" si="150"/>
        <v>59.3</v>
      </c>
      <c r="CZ828">
        <f t="shared" si="151"/>
        <v>9.0399999999999991</v>
      </c>
      <c r="DA828">
        <f t="shared" si="152"/>
        <v>6.56</v>
      </c>
      <c r="DB828">
        <f t="shared" si="145"/>
        <v>11.3</v>
      </c>
      <c r="DC828">
        <f t="shared" si="146"/>
        <v>0</v>
      </c>
    </row>
    <row r="829" spans="1:107" x14ac:dyDescent="0.2">
      <c r="A829">
        <f>ROW(Source!A579)</f>
        <v>579</v>
      </c>
      <c r="B829">
        <v>16742901</v>
      </c>
      <c r="C829">
        <v>16743830</v>
      </c>
      <c r="D829">
        <v>15170074</v>
      </c>
      <c r="E829">
        <v>1</v>
      </c>
      <c r="F829">
        <v>1</v>
      </c>
      <c r="G829">
        <v>1</v>
      </c>
      <c r="H829">
        <v>3</v>
      </c>
      <c r="I829" t="s">
        <v>1655</v>
      </c>
      <c r="J829" t="s">
        <v>1656</v>
      </c>
      <c r="K829" t="s">
        <v>1657</v>
      </c>
      <c r="L829">
        <v>1355</v>
      </c>
      <c r="N829">
        <v>1010</v>
      </c>
      <c r="O829" t="s">
        <v>843</v>
      </c>
      <c r="P829" t="s">
        <v>843</v>
      </c>
      <c r="Q829">
        <v>100</v>
      </c>
      <c r="W829">
        <v>0</v>
      </c>
      <c r="X829">
        <v>1794244060</v>
      </c>
      <c r="Y829">
        <v>0.3</v>
      </c>
      <c r="AA829">
        <v>564.16</v>
      </c>
      <c r="AB829">
        <v>0</v>
      </c>
      <c r="AC829">
        <v>0</v>
      </c>
      <c r="AD829">
        <v>0</v>
      </c>
      <c r="AE829">
        <v>86</v>
      </c>
      <c r="AF829">
        <v>0</v>
      </c>
      <c r="AG829">
        <v>0</v>
      </c>
      <c r="AH829">
        <v>0</v>
      </c>
      <c r="AI829">
        <v>6.56</v>
      </c>
      <c r="AJ829">
        <v>1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6</v>
      </c>
      <c r="AT829">
        <v>0.3</v>
      </c>
      <c r="AU829" t="s">
        <v>6</v>
      </c>
      <c r="AV829">
        <v>0</v>
      </c>
      <c r="AW829">
        <v>2</v>
      </c>
      <c r="AX829">
        <v>16743853</v>
      </c>
      <c r="AY829">
        <v>1</v>
      </c>
      <c r="AZ829">
        <v>0</v>
      </c>
      <c r="BA829">
        <v>759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Y829*Source!I579</f>
        <v>0.17399999999999999</v>
      </c>
      <c r="CY829">
        <f t="shared" si="150"/>
        <v>564.16</v>
      </c>
      <c r="CZ829">
        <f t="shared" si="151"/>
        <v>86</v>
      </c>
      <c r="DA829">
        <f t="shared" si="152"/>
        <v>6.56</v>
      </c>
      <c r="DB829">
        <f t="shared" si="145"/>
        <v>25.8</v>
      </c>
      <c r="DC829">
        <f t="shared" si="146"/>
        <v>0</v>
      </c>
    </row>
    <row r="830" spans="1:107" x14ac:dyDescent="0.2">
      <c r="A830">
        <f>ROW(Source!A579)</f>
        <v>579</v>
      </c>
      <c r="B830">
        <v>16742901</v>
      </c>
      <c r="C830">
        <v>16743830</v>
      </c>
      <c r="D830">
        <v>15217313</v>
      </c>
      <c r="E830">
        <v>1</v>
      </c>
      <c r="F830">
        <v>1</v>
      </c>
      <c r="G830">
        <v>1</v>
      </c>
      <c r="H830">
        <v>3</v>
      </c>
      <c r="I830" t="s">
        <v>1717</v>
      </c>
      <c r="J830" t="s">
        <v>1718</v>
      </c>
      <c r="K830" t="s">
        <v>1719</v>
      </c>
      <c r="L830">
        <v>1354</v>
      </c>
      <c r="N830">
        <v>1010</v>
      </c>
      <c r="O830" t="s">
        <v>73</v>
      </c>
      <c r="P830" t="s">
        <v>73</v>
      </c>
      <c r="Q830">
        <v>1</v>
      </c>
      <c r="W830">
        <v>0</v>
      </c>
      <c r="X830">
        <v>365674879</v>
      </c>
      <c r="Y830">
        <v>30</v>
      </c>
      <c r="AA830">
        <v>69.14</v>
      </c>
      <c r="AB830">
        <v>0</v>
      </c>
      <c r="AC830">
        <v>0</v>
      </c>
      <c r="AD830">
        <v>0</v>
      </c>
      <c r="AE830">
        <v>10.54</v>
      </c>
      <c r="AF830">
        <v>0</v>
      </c>
      <c r="AG830">
        <v>0</v>
      </c>
      <c r="AH830">
        <v>0</v>
      </c>
      <c r="AI830">
        <v>6.56</v>
      </c>
      <c r="AJ830">
        <v>1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6</v>
      </c>
      <c r="AT830">
        <v>30</v>
      </c>
      <c r="AU830" t="s">
        <v>6</v>
      </c>
      <c r="AV830">
        <v>0</v>
      </c>
      <c r="AW830">
        <v>2</v>
      </c>
      <c r="AX830">
        <v>16743854</v>
      </c>
      <c r="AY830">
        <v>1</v>
      </c>
      <c r="AZ830">
        <v>0</v>
      </c>
      <c r="BA830">
        <v>760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Y830*Source!I579</f>
        <v>17.399999999999999</v>
      </c>
      <c r="CY830">
        <f t="shared" si="150"/>
        <v>69.14</v>
      </c>
      <c r="CZ830">
        <f t="shared" si="151"/>
        <v>10.54</v>
      </c>
      <c r="DA830">
        <f t="shared" si="152"/>
        <v>6.56</v>
      </c>
      <c r="DB830">
        <f t="shared" si="145"/>
        <v>316.2</v>
      </c>
      <c r="DC830">
        <f t="shared" si="146"/>
        <v>0</v>
      </c>
    </row>
    <row r="831" spans="1:107" x14ac:dyDescent="0.2">
      <c r="A831">
        <f>ROW(Source!A579)</f>
        <v>579</v>
      </c>
      <c r="B831">
        <v>16742901</v>
      </c>
      <c r="C831">
        <v>16743830</v>
      </c>
      <c r="D831">
        <v>15218665</v>
      </c>
      <c r="E831">
        <v>1</v>
      </c>
      <c r="F831">
        <v>1</v>
      </c>
      <c r="G831">
        <v>1</v>
      </c>
      <c r="H831">
        <v>3</v>
      </c>
      <c r="I831" t="s">
        <v>1023</v>
      </c>
      <c r="J831" t="s">
        <v>1025</v>
      </c>
      <c r="K831" t="s">
        <v>1024</v>
      </c>
      <c r="L831">
        <v>1301</v>
      </c>
      <c r="N831">
        <v>1003</v>
      </c>
      <c r="O831" t="s">
        <v>220</v>
      </c>
      <c r="P831" t="s">
        <v>220</v>
      </c>
      <c r="Q831">
        <v>1</v>
      </c>
      <c r="W831">
        <v>0</v>
      </c>
      <c r="X831">
        <v>-45038658</v>
      </c>
      <c r="Y831">
        <v>100</v>
      </c>
      <c r="AA831">
        <v>147.66999999999999</v>
      </c>
      <c r="AB831">
        <v>0</v>
      </c>
      <c r="AC831">
        <v>0</v>
      </c>
      <c r="AD831">
        <v>0</v>
      </c>
      <c r="AE831">
        <v>22.51</v>
      </c>
      <c r="AF831">
        <v>0</v>
      </c>
      <c r="AG831">
        <v>0</v>
      </c>
      <c r="AH831">
        <v>0</v>
      </c>
      <c r="AI831">
        <v>6.56</v>
      </c>
      <c r="AJ831">
        <v>1</v>
      </c>
      <c r="AK831">
        <v>1</v>
      </c>
      <c r="AL831">
        <v>1</v>
      </c>
      <c r="AN831">
        <v>0</v>
      </c>
      <c r="AO831">
        <v>0</v>
      </c>
      <c r="AP831">
        <v>0</v>
      </c>
      <c r="AQ831">
        <v>0</v>
      </c>
      <c r="AR831">
        <v>0</v>
      </c>
      <c r="AS831" t="s">
        <v>6</v>
      </c>
      <c r="AT831">
        <v>100</v>
      </c>
      <c r="AU831" t="s">
        <v>6</v>
      </c>
      <c r="AV831">
        <v>0</v>
      </c>
      <c r="AW831">
        <v>1</v>
      </c>
      <c r="AX831">
        <v>-1</v>
      </c>
      <c r="AY831">
        <v>0</v>
      </c>
      <c r="AZ831">
        <v>0</v>
      </c>
      <c r="BA831" t="s">
        <v>6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Y831*Source!I579</f>
        <v>57.999999999999993</v>
      </c>
      <c r="CY831">
        <f t="shared" si="150"/>
        <v>147.66999999999999</v>
      </c>
      <c r="CZ831">
        <f t="shared" si="151"/>
        <v>22.51</v>
      </c>
      <c r="DA831">
        <f t="shared" si="152"/>
        <v>6.56</v>
      </c>
      <c r="DB831">
        <f t="shared" si="145"/>
        <v>2251</v>
      </c>
      <c r="DC831">
        <f t="shared" si="146"/>
        <v>0</v>
      </c>
    </row>
    <row r="832" spans="1:107" x14ac:dyDescent="0.2">
      <c r="A832">
        <f>ROW(Source!A579)</f>
        <v>579</v>
      </c>
      <c r="B832">
        <v>16742901</v>
      </c>
      <c r="C832">
        <v>16743830</v>
      </c>
      <c r="D832">
        <v>15219265</v>
      </c>
      <c r="E832">
        <v>1</v>
      </c>
      <c r="F832">
        <v>1</v>
      </c>
      <c r="G832">
        <v>1</v>
      </c>
      <c r="H832">
        <v>3</v>
      </c>
      <c r="I832" t="s">
        <v>1720</v>
      </c>
      <c r="J832" t="s">
        <v>1721</v>
      </c>
      <c r="K832" t="s">
        <v>1722</v>
      </c>
      <c r="L832">
        <v>1354</v>
      </c>
      <c r="N832">
        <v>1010</v>
      </c>
      <c r="O832" t="s">
        <v>73</v>
      </c>
      <c r="P832" t="s">
        <v>73</v>
      </c>
      <c r="Q832">
        <v>1</v>
      </c>
      <c r="W832">
        <v>0</v>
      </c>
      <c r="X832">
        <v>1761059010</v>
      </c>
      <c r="Y832">
        <v>6</v>
      </c>
      <c r="AA832">
        <v>32.799999999999997</v>
      </c>
      <c r="AB832">
        <v>0</v>
      </c>
      <c r="AC832">
        <v>0</v>
      </c>
      <c r="AD832">
        <v>0</v>
      </c>
      <c r="AE832">
        <v>5</v>
      </c>
      <c r="AF832">
        <v>0</v>
      </c>
      <c r="AG832">
        <v>0</v>
      </c>
      <c r="AH832">
        <v>0</v>
      </c>
      <c r="AI832">
        <v>6.56</v>
      </c>
      <c r="AJ832">
        <v>1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6</v>
      </c>
      <c r="AT832">
        <v>6</v>
      </c>
      <c r="AU832" t="s">
        <v>6</v>
      </c>
      <c r="AV832">
        <v>0</v>
      </c>
      <c r="AW832">
        <v>2</v>
      </c>
      <c r="AX832">
        <v>16743855</v>
      </c>
      <c r="AY832">
        <v>1</v>
      </c>
      <c r="AZ832">
        <v>0</v>
      </c>
      <c r="BA832">
        <v>761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Y832*Source!I579</f>
        <v>3.4799999999999995</v>
      </c>
      <c r="CY832">
        <f t="shared" si="150"/>
        <v>32.799999999999997</v>
      </c>
      <c r="CZ832">
        <f t="shared" si="151"/>
        <v>5</v>
      </c>
      <c r="DA832">
        <f t="shared" si="152"/>
        <v>6.56</v>
      </c>
      <c r="DB832">
        <f t="shared" ref="DB832:DB840" si="153">ROUND(ROUND(AT832*CZ832,2),2)</f>
        <v>30</v>
      </c>
      <c r="DC832">
        <f t="shared" ref="DC832:DC840" si="154">ROUND(ROUND(AT832*AG832,2),2)</f>
        <v>0</v>
      </c>
    </row>
    <row r="833" spans="1:107" x14ac:dyDescent="0.2">
      <c r="A833">
        <f>ROW(Source!A579)</f>
        <v>579</v>
      </c>
      <c r="B833">
        <v>16742901</v>
      </c>
      <c r="C833">
        <v>16743830</v>
      </c>
      <c r="D833">
        <v>15164559</v>
      </c>
      <c r="E833">
        <v>17</v>
      </c>
      <c r="F833">
        <v>1</v>
      </c>
      <c r="G833">
        <v>1</v>
      </c>
      <c r="H833">
        <v>3</v>
      </c>
      <c r="I833" t="s">
        <v>1334</v>
      </c>
      <c r="J833" t="s">
        <v>6</v>
      </c>
      <c r="K833" t="s">
        <v>1335</v>
      </c>
      <c r="L833">
        <v>1374</v>
      </c>
      <c r="N833">
        <v>1013</v>
      </c>
      <c r="O833" t="s">
        <v>1336</v>
      </c>
      <c r="P833" t="s">
        <v>1336</v>
      </c>
      <c r="Q833">
        <v>1</v>
      </c>
      <c r="W833">
        <v>0</v>
      </c>
      <c r="X833">
        <v>-1731369543</v>
      </c>
      <c r="Y833">
        <v>1.61</v>
      </c>
      <c r="AA833">
        <v>1</v>
      </c>
      <c r="AB833">
        <v>0</v>
      </c>
      <c r="AC833">
        <v>0</v>
      </c>
      <c r="AD833">
        <v>0</v>
      </c>
      <c r="AE833">
        <v>1</v>
      </c>
      <c r="AF833">
        <v>0</v>
      </c>
      <c r="AG833">
        <v>0</v>
      </c>
      <c r="AH833">
        <v>0</v>
      </c>
      <c r="AI833">
        <v>1</v>
      </c>
      <c r="AJ833">
        <v>1</v>
      </c>
      <c r="AK833">
        <v>1</v>
      </c>
      <c r="AL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6</v>
      </c>
      <c r="AT833">
        <v>1.61</v>
      </c>
      <c r="AU833" t="s">
        <v>6</v>
      </c>
      <c r="AV833">
        <v>0</v>
      </c>
      <c r="AW833">
        <v>2</v>
      </c>
      <c r="AX833">
        <v>16743856</v>
      </c>
      <c r="AY833">
        <v>1</v>
      </c>
      <c r="AZ833">
        <v>0</v>
      </c>
      <c r="BA833">
        <v>762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Y833*Source!I579</f>
        <v>0.93379999999999996</v>
      </c>
      <c r="CY833">
        <f t="shared" si="150"/>
        <v>1</v>
      </c>
      <c r="CZ833">
        <f t="shared" si="151"/>
        <v>1</v>
      </c>
      <c r="DA833">
        <f t="shared" si="152"/>
        <v>1</v>
      </c>
      <c r="DB833">
        <f t="shared" si="153"/>
        <v>1.61</v>
      </c>
      <c r="DC833">
        <f t="shared" si="154"/>
        <v>0</v>
      </c>
    </row>
    <row r="834" spans="1:107" x14ac:dyDescent="0.2">
      <c r="A834">
        <f>ROW(Source!A615)</f>
        <v>615</v>
      </c>
      <c r="B834">
        <v>16742901</v>
      </c>
      <c r="C834">
        <v>16743858</v>
      </c>
      <c r="D834">
        <v>15431465</v>
      </c>
      <c r="E834">
        <v>1</v>
      </c>
      <c r="F834">
        <v>1</v>
      </c>
      <c r="G834">
        <v>1</v>
      </c>
      <c r="H834">
        <v>1</v>
      </c>
      <c r="I834" t="s">
        <v>1339</v>
      </c>
      <c r="J834" t="s">
        <v>6</v>
      </c>
      <c r="K834" t="s">
        <v>1340</v>
      </c>
      <c r="L834">
        <v>1191</v>
      </c>
      <c r="N834">
        <v>1013</v>
      </c>
      <c r="O834" t="s">
        <v>1287</v>
      </c>
      <c r="P834" t="s">
        <v>1287</v>
      </c>
      <c r="Q834">
        <v>1</v>
      </c>
      <c r="W834">
        <v>0</v>
      </c>
      <c r="X834">
        <v>152375061</v>
      </c>
      <c r="Y834">
        <v>110</v>
      </c>
      <c r="AA834">
        <v>0</v>
      </c>
      <c r="AB834">
        <v>0</v>
      </c>
      <c r="AC834">
        <v>0</v>
      </c>
      <c r="AD834">
        <v>51.63</v>
      </c>
      <c r="AE834">
        <v>0</v>
      </c>
      <c r="AF834">
        <v>0</v>
      </c>
      <c r="AG834">
        <v>0</v>
      </c>
      <c r="AH834">
        <v>7.87</v>
      </c>
      <c r="AI834">
        <v>1</v>
      </c>
      <c r="AJ834">
        <v>1</v>
      </c>
      <c r="AK834">
        <v>1</v>
      </c>
      <c r="AL834">
        <v>6.56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6</v>
      </c>
      <c r="AT834">
        <v>110</v>
      </c>
      <c r="AU834" t="s">
        <v>6</v>
      </c>
      <c r="AV834">
        <v>1</v>
      </c>
      <c r="AW834">
        <v>2</v>
      </c>
      <c r="AX834">
        <v>16743862</v>
      </c>
      <c r="AY834">
        <v>1</v>
      </c>
      <c r="AZ834">
        <v>0</v>
      </c>
      <c r="BA834">
        <v>763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Y834*Source!I615</f>
        <v>15.400000000000002</v>
      </c>
      <c r="CY834">
        <f>AD834</f>
        <v>51.63</v>
      </c>
      <c r="CZ834">
        <f>AH834</f>
        <v>7.87</v>
      </c>
      <c r="DA834">
        <f>AL834</f>
        <v>6.56</v>
      </c>
      <c r="DB834">
        <f t="shared" si="153"/>
        <v>865.7</v>
      </c>
      <c r="DC834">
        <f t="shared" si="154"/>
        <v>0</v>
      </c>
    </row>
    <row r="835" spans="1:107" x14ac:dyDescent="0.2">
      <c r="A835">
        <f>ROW(Source!A615)</f>
        <v>615</v>
      </c>
      <c r="B835">
        <v>16742901</v>
      </c>
      <c r="C835">
        <v>16743858</v>
      </c>
      <c r="D835">
        <v>15430395</v>
      </c>
      <c r="E835">
        <v>1</v>
      </c>
      <c r="F835">
        <v>1</v>
      </c>
      <c r="G835">
        <v>1</v>
      </c>
      <c r="H835">
        <v>1</v>
      </c>
      <c r="I835" t="s">
        <v>1293</v>
      </c>
      <c r="J835" t="s">
        <v>6</v>
      </c>
      <c r="K835" t="s">
        <v>1294</v>
      </c>
      <c r="L835">
        <v>1191</v>
      </c>
      <c r="N835">
        <v>1013</v>
      </c>
      <c r="O835" t="s">
        <v>1287</v>
      </c>
      <c r="P835" t="s">
        <v>1287</v>
      </c>
      <c r="Q835">
        <v>1</v>
      </c>
      <c r="W835">
        <v>0</v>
      </c>
      <c r="X835">
        <v>-1417349443</v>
      </c>
      <c r="Y835">
        <v>2.2400000000000002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1</v>
      </c>
      <c r="AJ835">
        <v>1</v>
      </c>
      <c r="AK835">
        <v>6.56</v>
      </c>
      <c r="AL835">
        <v>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6</v>
      </c>
      <c r="AT835">
        <v>2.2400000000000002</v>
      </c>
      <c r="AU835" t="s">
        <v>6</v>
      </c>
      <c r="AV835">
        <v>2</v>
      </c>
      <c r="AW835">
        <v>2</v>
      </c>
      <c r="AX835">
        <v>16743863</v>
      </c>
      <c r="AY835">
        <v>1</v>
      </c>
      <c r="AZ835">
        <v>0</v>
      </c>
      <c r="BA835">
        <v>764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Y835*Source!I615</f>
        <v>0.31360000000000005</v>
      </c>
      <c r="CY835">
        <f>AD835</f>
        <v>0</v>
      </c>
      <c r="CZ835">
        <f>AH835</f>
        <v>0</v>
      </c>
      <c r="DA835">
        <f>AL835</f>
        <v>1</v>
      </c>
      <c r="DB835">
        <f t="shared" si="153"/>
        <v>0</v>
      </c>
      <c r="DC835">
        <f t="shared" si="154"/>
        <v>0</v>
      </c>
    </row>
    <row r="836" spans="1:107" x14ac:dyDescent="0.2">
      <c r="A836">
        <f>ROW(Source!A615)</f>
        <v>615</v>
      </c>
      <c r="B836">
        <v>16742901</v>
      </c>
      <c r="C836">
        <v>16743858</v>
      </c>
      <c r="D836">
        <v>15247974</v>
      </c>
      <c r="E836">
        <v>1</v>
      </c>
      <c r="F836">
        <v>1</v>
      </c>
      <c r="G836">
        <v>1</v>
      </c>
      <c r="H836">
        <v>2</v>
      </c>
      <c r="I836" t="s">
        <v>1314</v>
      </c>
      <c r="J836" t="s">
        <v>1315</v>
      </c>
      <c r="K836" t="s">
        <v>1316</v>
      </c>
      <c r="L836">
        <v>1368</v>
      </c>
      <c r="N836">
        <v>1011</v>
      </c>
      <c r="O836" t="s">
        <v>1298</v>
      </c>
      <c r="P836" t="s">
        <v>1298</v>
      </c>
      <c r="Q836">
        <v>1</v>
      </c>
      <c r="W836">
        <v>0</v>
      </c>
      <c r="X836">
        <v>1188625873</v>
      </c>
      <c r="Y836">
        <v>2.2400000000000002</v>
      </c>
      <c r="AA836">
        <v>0</v>
      </c>
      <c r="AB836">
        <v>205.07</v>
      </c>
      <c r="AC836">
        <v>13.5</v>
      </c>
      <c r="AD836">
        <v>0</v>
      </c>
      <c r="AE836">
        <v>0</v>
      </c>
      <c r="AF836">
        <v>31.26</v>
      </c>
      <c r="AG836">
        <v>13.5</v>
      </c>
      <c r="AH836">
        <v>0</v>
      </c>
      <c r="AI836">
        <v>1</v>
      </c>
      <c r="AJ836">
        <v>6.56</v>
      </c>
      <c r="AK836">
        <v>1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6</v>
      </c>
      <c r="AT836">
        <v>2.2400000000000002</v>
      </c>
      <c r="AU836" t="s">
        <v>6</v>
      </c>
      <c r="AV836">
        <v>0</v>
      </c>
      <c r="AW836">
        <v>2</v>
      </c>
      <c r="AX836">
        <v>16743864</v>
      </c>
      <c r="AY836">
        <v>1</v>
      </c>
      <c r="AZ836">
        <v>0</v>
      </c>
      <c r="BA836">
        <v>765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Y836*Source!I615</f>
        <v>0.31360000000000005</v>
      </c>
      <c r="CY836">
        <f>AB836</f>
        <v>205.07</v>
      </c>
      <c r="CZ836">
        <f>AF836</f>
        <v>31.26</v>
      </c>
      <c r="DA836">
        <f>AJ836</f>
        <v>6.56</v>
      </c>
      <c r="DB836">
        <f t="shared" si="153"/>
        <v>70.02</v>
      </c>
      <c r="DC836">
        <f t="shared" si="154"/>
        <v>30.24</v>
      </c>
    </row>
    <row r="837" spans="1:107" x14ac:dyDescent="0.2">
      <c r="A837">
        <f>ROW(Source!A616)</f>
        <v>616</v>
      </c>
      <c r="B837">
        <v>16742901</v>
      </c>
      <c r="C837">
        <v>16743865</v>
      </c>
      <c r="D837">
        <v>15432356</v>
      </c>
      <c r="E837">
        <v>1</v>
      </c>
      <c r="F837">
        <v>1</v>
      </c>
      <c r="G837">
        <v>1</v>
      </c>
      <c r="H837">
        <v>1</v>
      </c>
      <c r="I837" t="s">
        <v>1598</v>
      </c>
      <c r="J837" t="s">
        <v>6</v>
      </c>
      <c r="K837" t="s">
        <v>1599</v>
      </c>
      <c r="L837">
        <v>1191</v>
      </c>
      <c r="N837">
        <v>1013</v>
      </c>
      <c r="O837" t="s">
        <v>1287</v>
      </c>
      <c r="P837" t="s">
        <v>1287</v>
      </c>
      <c r="Q837">
        <v>1</v>
      </c>
      <c r="W837">
        <v>0</v>
      </c>
      <c r="X837">
        <v>1850719656</v>
      </c>
      <c r="Y837">
        <v>34.659999999999997</v>
      </c>
      <c r="AA837">
        <v>0</v>
      </c>
      <c r="AB837">
        <v>0</v>
      </c>
      <c r="AC837">
        <v>0</v>
      </c>
      <c r="AD837">
        <v>54.51</v>
      </c>
      <c r="AE837">
        <v>0</v>
      </c>
      <c r="AF837">
        <v>0</v>
      </c>
      <c r="AG837">
        <v>0</v>
      </c>
      <c r="AH837">
        <v>8.31</v>
      </c>
      <c r="AI837">
        <v>1</v>
      </c>
      <c r="AJ837">
        <v>1</v>
      </c>
      <c r="AK837">
        <v>1</v>
      </c>
      <c r="AL837">
        <v>6.56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6</v>
      </c>
      <c r="AT837">
        <v>34.659999999999997</v>
      </c>
      <c r="AU837" t="s">
        <v>6</v>
      </c>
      <c r="AV837">
        <v>1</v>
      </c>
      <c r="AW837">
        <v>2</v>
      </c>
      <c r="AX837">
        <v>16743872</v>
      </c>
      <c r="AY837">
        <v>1</v>
      </c>
      <c r="AZ837">
        <v>0</v>
      </c>
      <c r="BA837">
        <v>766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Y837*Source!I616</f>
        <v>63.7744</v>
      </c>
      <c r="CY837">
        <f>AD837</f>
        <v>54.51</v>
      </c>
      <c r="CZ837">
        <f>AH837</f>
        <v>8.31</v>
      </c>
      <c r="DA837">
        <f>AL837</f>
        <v>6.56</v>
      </c>
      <c r="DB837">
        <f t="shared" si="153"/>
        <v>288.02</v>
      </c>
      <c r="DC837">
        <f t="shared" si="154"/>
        <v>0</v>
      </c>
    </row>
    <row r="838" spans="1:107" x14ac:dyDescent="0.2">
      <c r="A838">
        <f>ROW(Source!A616)</f>
        <v>616</v>
      </c>
      <c r="B838">
        <v>16742901</v>
      </c>
      <c r="C838">
        <v>16743865</v>
      </c>
      <c r="D838">
        <v>15430395</v>
      </c>
      <c r="E838">
        <v>1</v>
      </c>
      <c r="F838">
        <v>1</v>
      </c>
      <c r="G838">
        <v>1</v>
      </c>
      <c r="H838">
        <v>1</v>
      </c>
      <c r="I838" t="s">
        <v>1293</v>
      </c>
      <c r="J838" t="s">
        <v>6</v>
      </c>
      <c r="K838" t="s">
        <v>1294</v>
      </c>
      <c r="L838">
        <v>1191</v>
      </c>
      <c r="N838">
        <v>1013</v>
      </c>
      <c r="O838" t="s">
        <v>1287</v>
      </c>
      <c r="P838" t="s">
        <v>1287</v>
      </c>
      <c r="Q838">
        <v>1</v>
      </c>
      <c r="W838">
        <v>0</v>
      </c>
      <c r="X838">
        <v>-1417349443</v>
      </c>
      <c r="Y838">
        <v>0.1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1</v>
      </c>
      <c r="AJ838">
        <v>1</v>
      </c>
      <c r="AK838">
        <v>6.56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6</v>
      </c>
      <c r="AT838">
        <v>0.1</v>
      </c>
      <c r="AU838" t="s">
        <v>6</v>
      </c>
      <c r="AV838">
        <v>2</v>
      </c>
      <c r="AW838">
        <v>2</v>
      </c>
      <c r="AX838">
        <v>16743873</v>
      </c>
      <c r="AY838">
        <v>1</v>
      </c>
      <c r="AZ838">
        <v>0</v>
      </c>
      <c r="BA838">
        <v>767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Y838*Source!I616</f>
        <v>0.18400000000000002</v>
      </c>
      <c r="CY838">
        <f>AD838</f>
        <v>0</v>
      </c>
      <c r="CZ838">
        <f>AH838</f>
        <v>0</v>
      </c>
      <c r="DA838">
        <f>AL838</f>
        <v>1</v>
      </c>
      <c r="DB838">
        <f t="shared" si="153"/>
        <v>0</v>
      </c>
      <c r="DC838">
        <f t="shared" si="154"/>
        <v>0</v>
      </c>
    </row>
    <row r="839" spans="1:107" x14ac:dyDescent="0.2">
      <c r="A839">
        <f>ROW(Source!A616)</f>
        <v>616</v>
      </c>
      <c r="B839">
        <v>16742901</v>
      </c>
      <c r="C839">
        <v>16743865</v>
      </c>
      <c r="D839">
        <v>15247974</v>
      </c>
      <c r="E839">
        <v>1</v>
      </c>
      <c r="F839">
        <v>1</v>
      </c>
      <c r="G839">
        <v>1</v>
      </c>
      <c r="H839">
        <v>2</v>
      </c>
      <c r="I839" t="s">
        <v>1314</v>
      </c>
      <c r="J839" t="s">
        <v>1315</v>
      </c>
      <c r="K839" t="s">
        <v>1316</v>
      </c>
      <c r="L839">
        <v>1368</v>
      </c>
      <c r="N839">
        <v>1011</v>
      </c>
      <c r="O839" t="s">
        <v>1298</v>
      </c>
      <c r="P839" t="s">
        <v>1298</v>
      </c>
      <c r="Q839">
        <v>1</v>
      </c>
      <c r="W839">
        <v>0</v>
      </c>
      <c r="X839">
        <v>1188625873</v>
      </c>
      <c r="Y839">
        <v>0.1</v>
      </c>
      <c r="AA839">
        <v>0</v>
      </c>
      <c r="AB839">
        <v>205.07</v>
      </c>
      <c r="AC839">
        <v>13.5</v>
      </c>
      <c r="AD839">
        <v>0</v>
      </c>
      <c r="AE839">
        <v>0</v>
      </c>
      <c r="AF839">
        <v>31.26</v>
      </c>
      <c r="AG839">
        <v>13.5</v>
      </c>
      <c r="AH839">
        <v>0</v>
      </c>
      <c r="AI839">
        <v>1</v>
      </c>
      <c r="AJ839">
        <v>6.56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6</v>
      </c>
      <c r="AT839">
        <v>0.1</v>
      </c>
      <c r="AU839" t="s">
        <v>6</v>
      </c>
      <c r="AV839">
        <v>0</v>
      </c>
      <c r="AW839">
        <v>2</v>
      </c>
      <c r="AX839">
        <v>16743874</v>
      </c>
      <c r="AY839">
        <v>1</v>
      </c>
      <c r="AZ839">
        <v>0</v>
      </c>
      <c r="BA839">
        <v>768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Y839*Source!I616</f>
        <v>0.18400000000000002</v>
      </c>
      <c r="CY839">
        <f>AB839</f>
        <v>205.07</v>
      </c>
      <c r="CZ839">
        <f>AF839</f>
        <v>31.26</v>
      </c>
      <c r="DA839">
        <f>AJ839</f>
        <v>6.56</v>
      </c>
      <c r="DB839">
        <f t="shared" si="153"/>
        <v>3.13</v>
      </c>
      <c r="DC839">
        <f t="shared" si="154"/>
        <v>1.35</v>
      </c>
    </row>
    <row r="840" spans="1:107" x14ac:dyDescent="0.2">
      <c r="A840">
        <f>ROW(Source!A616)</f>
        <v>616</v>
      </c>
      <c r="B840">
        <v>16742901</v>
      </c>
      <c r="C840">
        <v>16743865</v>
      </c>
      <c r="D840">
        <v>15249308</v>
      </c>
      <c r="E840">
        <v>1</v>
      </c>
      <c r="F840">
        <v>1</v>
      </c>
      <c r="G840">
        <v>1</v>
      </c>
      <c r="H840">
        <v>2</v>
      </c>
      <c r="I840" t="s">
        <v>1350</v>
      </c>
      <c r="J840" t="s">
        <v>1351</v>
      </c>
      <c r="K840" t="s">
        <v>1352</v>
      </c>
      <c r="L840">
        <v>1368</v>
      </c>
      <c r="N840">
        <v>1011</v>
      </c>
      <c r="O840" t="s">
        <v>1298</v>
      </c>
      <c r="P840" t="s">
        <v>1298</v>
      </c>
      <c r="Q840">
        <v>1</v>
      </c>
      <c r="W840">
        <v>0</v>
      </c>
      <c r="X840">
        <v>792402865</v>
      </c>
      <c r="Y840">
        <v>3.3</v>
      </c>
      <c r="AA840">
        <v>0</v>
      </c>
      <c r="AB840">
        <v>7.87</v>
      </c>
      <c r="AC840">
        <v>0</v>
      </c>
      <c r="AD840">
        <v>0</v>
      </c>
      <c r="AE840">
        <v>0</v>
      </c>
      <c r="AF840">
        <v>1.2</v>
      </c>
      <c r="AG840">
        <v>0</v>
      </c>
      <c r="AH840">
        <v>0</v>
      </c>
      <c r="AI840">
        <v>1</v>
      </c>
      <c r="AJ840">
        <v>6.56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6</v>
      </c>
      <c r="AT840">
        <v>3.3</v>
      </c>
      <c r="AU840" t="s">
        <v>6</v>
      </c>
      <c r="AV840">
        <v>0</v>
      </c>
      <c r="AW840">
        <v>2</v>
      </c>
      <c r="AX840">
        <v>16743875</v>
      </c>
      <c r="AY840">
        <v>1</v>
      </c>
      <c r="AZ840">
        <v>0</v>
      </c>
      <c r="BA840">
        <v>769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Y840*Source!I616</f>
        <v>6.0720000000000001</v>
      </c>
      <c r="CY840">
        <f>AB840</f>
        <v>7.87</v>
      </c>
      <c r="CZ840">
        <f>AF840</f>
        <v>1.2</v>
      </c>
      <c r="DA840">
        <f>AJ840</f>
        <v>6.56</v>
      </c>
      <c r="DB840">
        <f t="shared" si="153"/>
        <v>3.96</v>
      </c>
      <c r="DC840">
        <f t="shared" si="154"/>
        <v>0</v>
      </c>
    </row>
    <row r="841" spans="1:107" x14ac:dyDescent="0.2">
      <c r="A841">
        <f>ROW(Source!A616)</f>
        <v>616</v>
      </c>
      <c r="B841">
        <v>16742901</v>
      </c>
      <c r="C841">
        <v>16743865</v>
      </c>
      <c r="D841">
        <v>15165634</v>
      </c>
      <c r="E841">
        <v>1</v>
      </c>
      <c r="F841">
        <v>1</v>
      </c>
      <c r="G841">
        <v>1</v>
      </c>
      <c r="H841">
        <v>3</v>
      </c>
      <c r="I841" t="s">
        <v>1778</v>
      </c>
      <c r="J841" t="s">
        <v>1779</v>
      </c>
      <c r="K841" t="s">
        <v>1780</v>
      </c>
      <c r="L841">
        <v>1339</v>
      </c>
      <c r="N841">
        <v>1007</v>
      </c>
      <c r="O841" t="s">
        <v>301</v>
      </c>
      <c r="P841" t="s">
        <v>301</v>
      </c>
      <c r="Q841">
        <v>1</v>
      </c>
      <c r="W841">
        <v>0</v>
      </c>
      <c r="X841">
        <v>1706747518</v>
      </c>
      <c r="Y841">
        <v>0</v>
      </c>
      <c r="AA841">
        <v>252.63</v>
      </c>
      <c r="AB841">
        <v>0</v>
      </c>
      <c r="AC841">
        <v>0</v>
      </c>
      <c r="AD841">
        <v>0</v>
      </c>
      <c r="AE841">
        <v>38.51</v>
      </c>
      <c r="AF841">
        <v>0</v>
      </c>
      <c r="AG841">
        <v>0</v>
      </c>
      <c r="AH841">
        <v>0</v>
      </c>
      <c r="AI841">
        <v>6.56</v>
      </c>
      <c r="AJ841">
        <v>1</v>
      </c>
      <c r="AK841">
        <v>1</v>
      </c>
      <c r="AL841">
        <v>1</v>
      </c>
      <c r="AN841">
        <v>0</v>
      </c>
      <c r="AO841">
        <v>1</v>
      </c>
      <c r="AP841">
        <v>1</v>
      </c>
      <c r="AQ841">
        <v>0</v>
      </c>
      <c r="AR841">
        <v>0</v>
      </c>
      <c r="AS841" t="s">
        <v>6</v>
      </c>
      <c r="AT841">
        <v>0.43</v>
      </c>
      <c r="AU841" t="s">
        <v>48</v>
      </c>
      <c r="AV841">
        <v>0</v>
      </c>
      <c r="AW841">
        <v>2</v>
      </c>
      <c r="AX841">
        <v>16743876</v>
      </c>
      <c r="AY841">
        <v>1</v>
      </c>
      <c r="AZ841">
        <v>0</v>
      </c>
      <c r="BA841">
        <v>770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Y841*Source!I616</f>
        <v>0</v>
      </c>
      <c r="CY841">
        <f>AA841</f>
        <v>252.63</v>
      </c>
      <c r="CZ841">
        <f>AE841</f>
        <v>38.51</v>
      </c>
      <c r="DA841">
        <f>AI841</f>
        <v>6.56</v>
      </c>
      <c r="DB841">
        <f>ROUND((ROUND(AT841*CZ841,2)*0),2)</f>
        <v>0</v>
      </c>
      <c r="DC841">
        <f>ROUND((ROUND(AT841*AG841,2)*0),2)</f>
        <v>0</v>
      </c>
    </row>
    <row r="842" spans="1:107" x14ac:dyDescent="0.2">
      <c r="A842">
        <f>ROW(Source!A616)</f>
        <v>616</v>
      </c>
      <c r="B842">
        <v>16742901</v>
      </c>
      <c r="C842">
        <v>16743865</v>
      </c>
      <c r="D842">
        <v>15165653</v>
      </c>
      <c r="E842">
        <v>1</v>
      </c>
      <c r="F842">
        <v>1</v>
      </c>
      <c r="G842">
        <v>1</v>
      </c>
      <c r="H842">
        <v>3</v>
      </c>
      <c r="I842" t="s">
        <v>1356</v>
      </c>
      <c r="J842" t="s">
        <v>1357</v>
      </c>
      <c r="K842" t="s">
        <v>1358</v>
      </c>
      <c r="L842">
        <v>1339</v>
      </c>
      <c r="N842">
        <v>1007</v>
      </c>
      <c r="O842" t="s">
        <v>301</v>
      </c>
      <c r="P842" t="s">
        <v>301</v>
      </c>
      <c r="Q842">
        <v>1</v>
      </c>
      <c r="W842">
        <v>0</v>
      </c>
      <c r="X842">
        <v>1262771840</v>
      </c>
      <c r="Y842">
        <v>0</v>
      </c>
      <c r="AA842">
        <v>40.799999999999997</v>
      </c>
      <c r="AB842">
        <v>0</v>
      </c>
      <c r="AC842">
        <v>0</v>
      </c>
      <c r="AD842">
        <v>0</v>
      </c>
      <c r="AE842">
        <v>6.22</v>
      </c>
      <c r="AF842">
        <v>0</v>
      </c>
      <c r="AG842">
        <v>0</v>
      </c>
      <c r="AH842">
        <v>0</v>
      </c>
      <c r="AI842">
        <v>6.56</v>
      </c>
      <c r="AJ842">
        <v>1</v>
      </c>
      <c r="AK842">
        <v>1</v>
      </c>
      <c r="AL842">
        <v>1</v>
      </c>
      <c r="AN842">
        <v>0</v>
      </c>
      <c r="AO842">
        <v>1</v>
      </c>
      <c r="AP842">
        <v>1</v>
      </c>
      <c r="AQ842">
        <v>0</v>
      </c>
      <c r="AR842">
        <v>0</v>
      </c>
      <c r="AS842" t="s">
        <v>6</v>
      </c>
      <c r="AT842">
        <v>2.74</v>
      </c>
      <c r="AU842" t="s">
        <v>48</v>
      </c>
      <c r="AV842">
        <v>0</v>
      </c>
      <c r="AW842">
        <v>2</v>
      </c>
      <c r="AX842">
        <v>16743877</v>
      </c>
      <c r="AY842">
        <v>1</v>
      </c>
      <c r="AZ842">
        <v>0</v>
      </c>
      <c r="BA842">
        <v>771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Y842*Source!I616</f>
        <v>0</v>
      </c>
      <c r="CY842">
        <f>AA842</f>
        <v>40.799999999999997</v>
      </c>
      <c r="CZ842">
        <f>AE842</f>
        <v>6.22</v>
      </c>
      <c r="DA842">
        <f>AI842</f>
        <v>6.56</v>
      </c>
      <c r="DB842">
        <f>ROUND((ROUND(AT842*CZ842,2)*0),2)</f>
        <v>0</v>
      </c>
      <c r="DC842">
        <f>ROUND((ROUND(AT842*AG842,2)*0),2)</f>
        <v>0</v>
      </c>
    </row>
    <row r="843" spans="1:107" x14ac:dyDescent="0.2">
      <c r="A843">
        <f>ROW(Source!A617)</f>
        <v>617</v>
      </c>
      <c r="B843">
        <v>16742901</v>
      </c>
      <c r="C843">
        <v>16743879</v>
      </c>
      <c r="D843">
        <v>15435609</v>
      </c>
      <c r="E843">
        <v>1</v>
      </c>
      <c r="F843">
        <v>1</v>
      </c>
      <c r="G843">
        <v>1</v>
      </c>
      <c r="H843">
        <v>1</v>
      </c>
      <c r="I843" t="s">
        <v>1291</v>
      </c>
      <c r="J843" t="s">
        <v>6</v>
      </c>
      <c r="K843" t="s">
        <v>1292</v>
      </c>
      <c r="L843">
        <v>1191</v>
      </c>
      <c r="N843">
        <v>1013</v>
      </c>
      <c r="O843" t="s">
        <v>1287</v>
      </c>
      <c r="P843" t="s">
        <v>1287</v>
      </c>
      <c r="Q843">
        <v>1</v>
      </c>
      <c r="W843">
        <v>0</v>
      </c>
      <c r="X843">
        <v>-814890593</v>
      </c>
      <c r="Y843">
        <v>75.439999999999984</v>
      </c>
      <c r="AA843">
        <v>0</v>
      </c>
      <c r="AB843">
        <v>0</v>
      </c>
      <c r="AC843">
        <v>0</v>
      </c>
      <c r="AD843">
        <v>58.84</v>
      </c>
      <c r="AE843">
        <v>0</v>
      </c>
      <c r="AF843">
        <v>0</v>
      </c>
      <c r="AG843">
        <v>0</v>
      </c>
      <c r="AH843">
        <v>8.9700000000000006</v>
      </c>
      <c r="AI843">
        <v>1</v>
      </c>
      <c r="AJ843">
        <v>1</v>
      </c>
      <c r="AK843">
        <v>1</v>
      </c>
      <c r="AL843">
        <v>6.56</v>
      </c>
      <c r="AN843">
        <v>0</v>
      </c>
      <c r="AO843">
        <v>1</v>
      </c>
      <c r="AP843">
        <v>1</v>
      </c>
      <c r="AQ843">
        <v>0</v>
      </c>
      <c r="AR843">
        <v>0</v>
      </c>
      <c r="AS843" t="s">
        <v>6</v>
      </c>
      <c r="AT843">
        <v>65.599999999999994</v>
      </c>
      <c r="AU843" t="s">
        <v>188</v>
      </c>
      <c r="AV843">
        <v>1</v>
      </c>
      <c r="AW843">
        <v>2</v>
      </c>
      <c r="AX843">
        <v>16743896</v>
      </c>
      <c r="AY843">
        <v>1</v>
      </c>
      <c r="AZ843">
        <v>0</v>
      </c>
      <c r="BA843">
        <v>773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Y843*Source!I617</f>
        <v>36.09803999999999</v>
      </c>
      <c r="CY843">
        <f>AD843</f>
        <v>58.84</v>
      </c>
      <c r="CZ843">
        <f>AH843</f>
        <v>8.9700000000000006</v>
      </c>
      <c r="DA843">
        <f>AL843</f>
        <v>6.56</v>
      </c>
      <c r="DB843">
        <f>ROUND((ROUND(AT843*CZ843,2)*1.15),2)</f>
        <v>676.69</v>
      </c>
      <c r="DC843">
        <f>ROUND((ROUND(AT843*AG843,2)*1.15),2)</f>
        <v>0</v>
      </c>
    </row>
    <row r="844" spans="1:107" x14ac:dyDescent="0.2">
      <c r="A844">
        <f>ROW(Source!A617)</f>
        <v>617</v>
      </c>
      <c r="B844">
        <v>16742901</v>
      </c>
      <c r="C844">
        <v>16743879</v>
      </c>
      <c r="D844">
        <v>15430395</v>
      </c>
      <c r="E844">
        <v>1</v>
      </c>
      <c r="F844">
        <v>1</v>
      </c>
      <c r="G844">
        <v>1</v>
      </c>
      <c r="H844">
        <v>1</v>
      </c>
      <c r="I844" t="s">
        <v>1293</v>
      </c>
      <c r="J844" t="s">
        <v>6</v>
      </c>
      <c r="K844" t="s">
        <v>1294</v>
      </c>
      <c r="L844">
        <v>1191</v>
      </c>
      <c r="N844">
        <v>1013</v>
      </c>
      <c r="O844" t="s">
        <v>1287</v>
      </c>
      <c r="P844" t="s">
        <v>1287</v>
      </c>
      <c r="Q844">
        <v>1</v>
      </c>
      <c r="W844">
        <v>0</v>
      </c>
      <c r="X844">
        <v>-1417349443</v>
      </c>
      <c r="Y844">
        <v>3.13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1</v>
      </c>
      <c r="AJ844">
        <v>1</v>
      </c>
      <c r="AK844">
        <v>6.56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6</v>
      </c>
      <c r="AT844">
        <v>3.13</v>
      </c>
      <c r="AU844" t="s">
        <v>6</v>
      </c>
      <c r="AV844">
        <v>2</v>
      </c>
      <c r="AW844">
        <v>2</v>
      </c>
      <c r="AX844">
        <v>16743897</v>
      </c>
      <c r="AY844">
        <v>1</v>
      </c>
      <c r="AZ844">
        <v>2048</v>
      </c>
      <c r="BA844">
        <v>774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Y844*Source!I617</f>
        <v>1.4977049999999998</v>
      </c>
      <c r="CY844">
        <f>AD844</f>
        <v>0</v>
      </c>
      <c r="CZ844">
        <f>AH844</f>
        <v>0</v>
      </c>
      <c r="DA844">
        <f>AL844</f>
        <v>1</v>
      </c>
      <c r="DB844">
        <f>ROUND(ROUND(AT844*CZ844,2),2)</f>
        <v>0</v>
      </c>
      <c r="DC844">
        <f>ROUND(ROUND(AT844*AG844,2),2)</f>
        <v>0</v>
      </c>
    </row>
    <row r="845" spans="1:107" x14ac:dyDescent="0.2">
      <c r="A845">
        <f>ROW(Source!A617)</f>
        <v>617</v>
      </c>
      <c r="B845">
        <v>16742901</v>
      </c>
      <c r="C845">
        <v>16743879</v>
      </c>
      <c r="D845">
        <v>15247680</v>
      </c>
      <c r="E845">
        <v>1</v>
      </c>
      <c r="F845">
        <v>1</v>
      </c>
      <c r="G845">
        <v>1</v>
      </c>
      <c r="H845">
        <v>2</v>
      </c>
      <c r="I845" t="s">
        <v>1295</v>
      </c>
      <c r="J845" t="s">
        <v>1296</v>
      </c>
      <c r="K845" t="s">
        <v>1297</v>
      </c>
      <c r="L845">
        <v>1368</v>
      </c>
      <c r="N845">
        <v>1011</v>
      </c>
      <c r="O845" t="s">
        <v>1298</v>
      </c>
      <c r="P845" t="s">
        <v>1298</v>
      </c>
      <c r="Q845">
        <v>1</v>
      </c>
      <c r="W845">
        <v>0</v>
      </c>
      <c r="X845">
        <v>-1718674368</v>
      </c>
      <c r="Y845">
        <v>0.11249999999999999</v>
      </c>
      <c r="AA845">
        <v>0</v>
      </c>
      <c r="AB845">
        <v>734.65</v>
      </c>
      <c r="AC845">
        <v>13.5</v>
      </c>
      <c r="AD845">
        <v>0</v>
      </c>
      <c r="AE845">
        <v>0</v>
      </c>
      <c r="AF845">
        <v>111.99</v>
      </c>
      <c r="AG845">
        <v>13.5</v>
      </c>
      <c r="AH845">
        <v>0</v>
      </c>
      <c r="AI845">
        <v>1</v>
      </c>
      <c r="AJ845">
        <v>6.56</v>
      </c>
      <c r="AK845">
        <v>1</v>
      </c>
      <c r="AL845">
        <v>1</v>
      </c>
      <c r="AN845">
        <v>0</v>
      </c>
      <c r="AO845">
        <v>1</v>
      </c>
      <c r="AP845">
        <v>1</v>
      </c>
      <c r="AQ845">
        <v>0</v>
      </c>
      <c r="AR845">
        <v>0</v>
      </c>
      <c r="AS845" t="s">
        <v>6</v>
      </c>
      <c r="AT845">
        <v>0.09</v>
      </c>
      <c r="AU845" t="s">
        <v>187</v>
      </c>
      <c r="AV845">
        <v>0</v>
      </c>
      <c r="AW845">
        <v>2</v>
      </c>
      <c r="AX845">
        <v>16743898</v>
      </c>
      <c r="AY845">
        <v>1</v>
      </c>
      <c r="AZ845">
        <v>0</v>
      </c>
      <c r="BA845">
        <v>775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Y845*Source!I617</f>
        <v>5.383124999999999E-2</v>
      </c>
      <c r="CY845">
        <f>AB845</f>
        <v>734.65</v>
      </c>
      <c r="CZ845">
        <f>AF845</f>
        <v>111.99</v>
      </c>
      <c r="DA845">
        <f>AJ845</f>
        <v>6.56</v>
      </c>
      <c r="DB845">
        <f>ROUND((ROUND(AT845*CZ845,2)*1.25),2)</f>
        <v>12.6</v>
      </c>
      <c r="DC845">
        <f>ROUND((ROUND(AT845*AG845,2)*1.25),2)</f>
        <v>1.53</v>
      </c>
    </row>
    <row r="846" spans="1:107" x14ac:dyDescent="0.2">
      <c r="A846">
        <f>ROW(Source!A617)</f>
        <v>617</v>
      </c>
      <c r="B846">
        <v>16742901</v>
      </c>
      <c r="C846">
        <v>16743879</v>
      </c>
      <c r="D846">
        <v>15247974</v>
      </c>
      <c r="E846">
        <v>1</v>
      </c>
      <c r="F846">
        <v>1</v>
      </c>
      <c r="G846">
        <v>1</v>
      </c>
      <c r="H846">
        <v>2</v>
      </c>
      <c r="I846" t="s">
        <v>1314</v>
      </c>
      <c r="J846" t="s">
        <v>1315</v>
      </c>
      <c r="K846" t="s">
        <v>1316</v>
      </c>
      <c r="L846">
        <v>1368</v>
      </c>
      <c r="N846">
        <v>1011</v>
      </c>
      <c r="O846" t="s">
        <v>1298</v>
      </c>
      <c r="P846" t="s">
        <v>1298</v>
      </c>
      <c r="Q846">
        <v>1</v>
      </c>
      <c r="W846">
        <v>0</v>
      </c>
      <c r="X846">
        <v>1188625873</v>
      </c>
      <c r="Y846">
        <v>1.4874999999999998</v>
      </c>
      <c r="AA846">
        <v>0</v>
      </c>
      <c r="AB846">
        <v>205.07</v>
      </c>
      <c r="AC846">
        <v>13.5</v>
      </c>
      <c r="AD846">
        <v>0</v>
      </c>
      <c r="AE846">
        <v>0</v>
      </c>
      <c r="AF846">
        <v>31.26</v>
      </c>
      <c r="AG846">
        <v>13.5</v>
      </c>
      <c r="AH846">
        <v>0</v>
      </c>
      <c r="AI846">
        <v>1</v>
      </c>
      <c r="AJ846">
        <v>6.56</v>
      </c>
      <c r="AK846">
        <v>1</v>
      </c>
      <c r="AL846">
        <v>1</v>
      </c>
      <c r="AN846">
        <v>0</v>
      </c>
      <c r="AO846">
        <v>1</v>
      </c>
      <c r="AP846">
        <v>1</v>
      </c>
      <c r="AQ846">
        <v>0</v>
      </c>
      <c r="AR846">
        <v>0</v>
      </c>
      <c r="AS846" t="s">
        <v>6</v>
      </c>
      <c r="AT846">
        <v>1.19</v>
      </c>
      <c r="AU846" t="s">
        <v>187</v>
      </c>
      <c r="AV846">
        <v>0</v>
      </c>
      <c r="AW846">
        <v>2</v>
      </c>
      <c r="AX846">
        <v>16743899</v>
      </c>
      <c r="AY846">
        <v>1</v>
      </c>
      <c r="AZ846">
        <v>0</v>
      </c>
      <c r="BA846">
        <v>776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Y846*Source!I617</f>
        <v>0.71176874999999984</v>
      </c>
      <c r="CY846">
        <f>AB846</f>
        <v>205.07</v>
      </c>
      <c r="CZ846">
        <f>AF846</f>
        <v>31.26</v>
      </c>
      <c r="DA846">
        <f>AJ846</f>
        <v>6.56</v>
      </c>
      <c r="DB846">
        <f>ROUND((ROUND(AT846*CZ846,2)*1.25),2)</f>
        <v>46.5</v>
      </c>
      <c r="DC846">
        <f>ROUND((ROUND(AT846*AG846,2)*1.25),2)</f>
        <v>20.09</v>
      </c>
    </row>
    <row r="847" spans="1:107" x14ac:dyDescent="0.2">
      <c r="A847">
        <f>ROW(Source!A617)</f>
        <v>617</v>
      </c>
      <c r="B847">
        <v>16742901</v>
      </c>
      <c r="C847">
        <v>16743879</v>
      </c>
      <c r="D847">
        <v>15248793</v>
      </c>
      <c r="E847">
        <v>1</v>
      </c>
      <c r="F847">
        <v>1</v>
      </c>
      <c r="G847">
        <v>1</v>
      </c>
      <c r="H847">
        <v>2</v>
      </c>
      <c r="I847" t="s">
        <v>1781</v>
      </c>
      <c r="J847" t="s">
        <v>1782</v>
      </c>
      <c r="K847" t="s">
        <v>1783</v>
      </c>
      <c r="L847">
        <v>1368</v>
      </c>
      <c r="N847">
        <v>1011</v>
      </c>
      <c r="O847" t="s">
        <v>1298</v>
      </c>
      <c r="P847" t="s">
        <v>1298</v>
      </c>
      <c r="Q847">
        <v>1</v>
      </c>
      <c r="W847">
        <v>0</v>
      </c>
      <c r="X847">
        <v>-1347092713</v>
      </c>
      <c r="Y847">
        <v>1</v>
      </c>
      <c r="AA847">
        <v>0</v>
      </c>
      <c r="AB847">
        <v>194.64</v>
      </c>
      <c r="AC847">
        <v>0</v>
      </c>
      <c r="AD847">
        <v>0</v>
      </c>
      <c r="AE847">
        <v>0</v>
      </c>
      <c r="AF847">
        <v>29.67</v>
      </c>
      <c r="AG847">
        <v>0</v>
      </c>
      <c r="AH847">
        <v>0</v>
      </c>
      <c r="AI847">
        <v>1</v>
      </c>
      <c r="AJ847">
        <v>6.56</v>
      </c>
      <c r="AK847">
        <v>1</v>
      </c>
      <c r="AL847">
        <v>1</v>
      </c>
      <c r="AN847">
        <v>0</v>
      </c>
      <c r="AO847">
        <v>1</v>
      </c>
      <c r="AP847">
        <v>1</v>
      </c>
      <c r="AQ847">
        <v>0</v>
      </c>
      <c r="AR847">
        <v>0</v>
      </c>
      <c r="AS847" t="s">
        <v>6</v>
      </c>
      <c r="AT847">
        <v>0.8</v>
      </c>
      <c r="AU847" t="s">
        <v>187</v>
      </c>
      <c r="AV847">
        <v>0</v>
      </c>
      <c r="AW847">
        <v>2</v>
      </c>
      <c r="AX847">
        <v>16743900</v>
      </c>
      <c r="AY847">
        <v>1</v>
      </c>
      <c r="AZ847">
        <v>0</v>
      </c>
      <c r="BA847">
        <v>777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Y847*Source!I617</f>
        <v>0.47849999999999998</v>
      </c>
      <c r="CY847">
        <f>AB847</f>
        <v>194.64</v>
      </c>
      <c r="CZ847">
        <f>AF847</f>
        <v>29.67</v>
      </c>
      <c r="DA847">
        <f>AJ847</f>
        <v>6.56</v>
      </c>
      <c r="DB847">
        <f>ROUND((ROUND(AT847*CZ847,2)*1.25),2)</f>
        <v>29.68</v>
      </c>
      <c r="DC847">
        <f>ROUND((ROUND(AT847*AG847,2)*1.25),2)</f>
        <v>0</v>
      </c>
    </row>
    <row r="848" spans="1:107" x14ac:dyDescent="0.2">
      <c r="A848">
        <f>ROW(Source!A617)</f>
        <v>617</v>
      </c>
      <c r="B848">
        <v>16742901</v>
      </c>
      <c r="C848">
        <v>16743879</v>
      </c>
      <c r="D848">
        <v>15249073</v>
      </c>
      <c r="E848">
        <v>1</v>
      </c>
      <c r="F848">
        <v>1</v>
      </c>
      <c r="G848">
        <v>1</v>
      </c>
      <c r="H848">
        <v>2</v>
      </c>
      <c r="I848" t="s">
        <v>1299</v>
      </c>
      <c r="J848" t="s">
        <v>1300</v>
      </c>
      <c r="K848" t="s">
        <v>1301</v>
      </c>
      <c r="L848">
        <v>1368</v>
      </c>
      <c r="N848">
        <v>1011</v>
      </c>
      <c r="O848" t="s">
        <v>1298</v>
      </c>
      <c r="P848" t="s">
        <v>1298</v>
      </c>
      <c r="Q848">
        <v>1</v>
      </c>
      <c r="W848">
        <v>0</v>
      </c>
      <c r="X848">
        <v>1372534845</v>
      </c>
      <c r="Y848">
        <v>2.3125</v>
      </c>
      <c r="AA848">
        <v>0</v>
      </c>
      <c r="AB848">
        <v>431.06</v>
      </c>
      <c r="AC848">
        <v>11.6</v>
      </c>
      <c r="AD848">
        <v>0</v>
      </c>
      <c r="AE848">
        <v>0</v>
      </c>
      <c r="AF848">
        <v>65.709999999999994</v>
      </c>
      <c r="AG848">
        <v>11.6</v>
      </c>
      <c r="AH848">
        <v>0</v>
      </c>
      <c r="AI848">
        <v>1</v>
      </c>
      <c r="AJ848">
        <v>6.56</v>
      </c>
      <c r="AK848">
        <v>1</v>
      </c>
      <c r="AL848">
        <v>1</v>
      </c>
      <c r="AN848">
        <v>0</v>
      </c>
      <c r="AO848">
        <v>1</v>
      </c>
      <c r="AP848">
        <v>1</v>
      </c>
      <c r="AQ848">
        <v>0</v>
      </c>
      <c r="AR848">
        <v>0</v>
      </c>
      <c r="AS848" t="s">
        <v>6</v>
      </c>
      <c r="AT848">
        <v>1.85</v>
      </c>
      <c r="AU848" t="s">
        <v>187</v>
      </c>
      <c r="AV848">
        <v>0</v>
      </c>
      <c r="AW848">
        <v>2</v>
      </c>
      <c r="AX848">
        <v>16743901</v>
      </c>
      <c r="AY848">
        <v>1</v>
      </c>
      <c r="AZ848">
        <v>0</v>
      </c>
      <c r="BA848">
        <v>778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Y848*Source!I617</f>
        <v>1.10653125</v>
      </c>
      <c r="CY848">
        <f>AB848</f>
        <v>431.06</v>
      </c>
      <c r="CZ848">
        <f>AF848</f>
        <v>65.709999999999994</v>
      </c>
      <c r="DA848">
        <f>AJ848</f>
        <v>6.56</v>
      </c>
      <c r="DB848">
        <f>ROUND((ROUND(AT848*CZ848,2)*1.25),2)</f>
        <v>151.94999999999999</v>
      </c>
      <c r="DC848">
        <f>ROUND((ROUND(AT848*AG848,2)*1.25),2)</f>
        <v>26.83</v>
      </c>
    </row>
    <row r="849" spans="1:107" x14ac:dyDescent="0.2">
      <c r="A849">
        <f>ROW(Source!A617)</f>
        <v>617</v>
      </c>
      <c r="B849">
        <v>16742901</v>
      </c>
      <c r="C849">
        <v>16743879</v>
      </c>
      <c r="D849">
        <v>15166084</v>
      </c>
      <c r="E849">
        <v>1</v>
      </c>
      <c r="F849">
        <v>1</v>
      </c>
      <c r="G849">
        <v>1</v>
      </c>
      <c r="H849">
        <v>3</v>
      </c>
      <c r="I849" t="s">
        <v>1784</v>
      </c>
      <c r="J849" t="s">
        <v>1785</v>
      </c>
      <c r="K849" t="s">
        <v>1786</v>
      </c>
      <c r="L849">
        <v>1339</v>
      </c>
      <c r="N849">
        <v>1007</v>
      </c>
      <c r="O849" t="s">
        <v>301</v>
      </c>
      <c r="P849" t="s">
        <v>301</v>
      </c>
      <c r="Q849">
        <v>1</v>
      </c>
      <c r="W849">
        <v>0</v>
      </c>
      <c r="X849">
        <v>2048996427</v>
      </c>
      <c r="Y849">
        <v>0.67</v>
      </c>
      <c r="AA849">
        <v>300.64</v>
      </c>
      <c r="AB849">
        <v>0</v>
      </c>
      <c r="AC849">
        <v>0</v>
      </c>
      <c r="AD849">
        <v>0</v>
      </c>
      <c r="AE849">
        <v>45.83</v>
      </c>
      <c r="AF849">
        <v>0</v>
      </c>
      <c r="AG849">
        <v>0</v>
      </c>
      <c r="AH849">
        <v>0</v>
      </c>
      <c r="AI849">
        <v>6.56</v>
      </c>
      <c r="AJ849">
        <v>1</v>
      </c>
      <c r="AK849">
        <v>1</v>
      </c>
      <c r="AL849">
        <v>1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6</v>
      </c>
      <c r="AT849">
        <v>0.67</v>
      </c>
      <c r="AU849" t="s">
        <v>6</v>
      </c>
      <c r="AV849">
        <v>0</v>
      </c>
      <c r="AW849">
        <v>2</v>
      </c>
      <c r="AX849">
        <v>16743902</v>
      </c>
      <c r="AY849">
        <v>1</v>
      </c>
      <c r="AZ849">
        <v>0</v>
      </c>
      <c r="BA849">
        <v>779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Y849*Source!I617</f>
        <v>0.32059500000000002</v>
      </c>
      <c r="CY849">
        <f t="shared" ref="CY849:CY855" si="155">AA849</f>
        <v>300.64</v>
      </c>
      <c r="CZ849">
        <f t="shared" ref="CZ849:CZ855" si="156">AE849</f>
        <v>45.83</v>
      </c>
      <c r="DA849">
        <f t="shared" ref="DA849:DA855" si="157">AI849</f>
        <v>6.56</v>
      </c>
      <c r="DB849">
        <f t="shared" ref="DB849:DB855" si="158">ROUND(ROUND(AT849*CZ849,2),2)</f>
        <v>30.71</v>
      </c>
      <c r="DC849">
        <f t="shared" ref="DC849:DC855" si="159">ROUND(ROUND(AT849*AG849,2),2)</f>
        <v>0</v>
      </c>
    </row>
    <row r="850" spans="1:107" x14ac:dyDescent="0.2">
      <c r="A850">
        <f>ROW(Source!A617)</f>
        <v>617</v>
      </c>
      <c r="B850">
        <v>16742901</v>
      </c>
      <c r="C850">
        <v>16743879</v>
      </c>
      <c r="D850">
        <v>15167286</v>
      </c>
      <c r="E850">
        <v>1</v>
      </c>
      <c r="F850">
        <v>1</v>
      </c>
      <c r="G850">
        <v>1</v>
      </c>
      <c r="H850">
        <v>3</v>
      </c>
      <c r="I850" t="s">
        <v>1317</v>
      </c>
      <c r="J850" t="s">
        <v>1318</v>
      </c>
      <c r="K850" t="s">
        <v>1319</v>
      </c>
      <c r="L850">
        <v>1339</v>
      </c>
      <c r="N850">
        <v>1007</v>
      </c>
      <c r="O850" t="s">
        <v>301</v>
      </c>
      <c r="P850" t="s">
        <v>301</v>
      </c>
      <c r="Q850">
        <v>1</v>
      </c>
      <c r="W850">
        <v>0</v>
      </c>
      <c r="X850">
        <v>-1660354250</v>
      </c>
      <c r="Y850">
        <v>15</v>
      </c>
      <c r="AA850">
        <v>16.010000000000002</v>
      </c>
      <c r="AB850">
        <v>0</v>
      </c>
      <c r="AC850">
        <v>0</v>
      </c>
      <c r="AD850">
        <v>0</v>
      </c>
      <c r="AE850">
        <v>2.44</v>
      </c>
      <c r="AF850">
        <v>0</v>
      </c>
      <c r="AG850">
        <v>0</v>
      </c>
      <c r="AH850">
        <v>0</v>
      </c>
      <c r="AI850">
        <v>6.56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6</v>
      </c>
      <c r="AT850">
        <v>15</v>
      </c>
      <c r="AU850" t="s">
        <v>6</v>
      </c>
      <c r="AV850">
        <v>0</v>
      </c>
      <c r="AW850">
        <v>2</v>
      </c>
      <c r="AX850">
        <v>16743903</v>
      </c>
      <c r="AY850">
        <v>1</v>
      </c>
      <c r="AZ850">
        <v>0</v>
      </c>
      <c r="BA850">
        <v>780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Y850*Source!I617</f>
        <v>7.1774999999999993</v>
      </c>
      <c r="CY850">
        <f t="shared" si="155"/>
        <v>16.010000000000002</v>
      </c>
      <c r="CZ850">
        <f t="shared" si="156"/>
        <v>2.44</v>
      </c>
      <c r="DA850">
        <f t="shared" si="157"/>
        <v>6.56</v>
      </c>
      <c r="DB850">
        <f t="shared" si="158"/>
        <v>36.6</v>
      </c>
      <c r="DC850">
        <f t="shared" si="159"/>
        <v>0</v>
      </c>
    </row>
    <row r="851" spans="1:107" x14ac:dyDescent="0.2">
      <c r="A851">
        <f>ROW(Source!A617)</f>
        <v>617</v>
      </c>
      <c r="B851">
        <v>16742901</v>
      </c>
      <c r="C851">
        <v>16743879</v>
      </c>
      <c r="D851">
        <v>15212828</v>
      </c>
      <c r="E851">
        <v>1</v>
      </c>
      <c r="F851">
        <v>1</v>
      </c>
      <c r="G851">
        <v>1</v>
      </c>
      <c r="H851">
        <v>3</v>
      </c>
      <c r="I851" t="s">
        <v>1787</v>
      </c>
      <c r="J851" t="s">
        <v>1788</v>
      </c>
      <c r="K851" t="s">
        <v>1789</v>
      </c>
      <c r="L851">
        <v>1035</v>
      </c>
      <c r="N851">
        <v>1013</v>
      </c>
      <c r="O851" t="s">
        <v>249</v>
      </c>
      <c r="P851" t="s">
        <v>249</v>
      </c>
      <c r="Q851">
        <v>1</v>
      </c>
      <c r="W851">
        <v>0</v>
      </c>
      <c r="X851">
        <v>-1223829238</v>
      </c>
      <c r="Y851">
        <v>44.2</v>
      </c>
      <c r="AA851">
        <v>162.36000000000001</v>
      </c>
      <c r="AB851">
        <v>0</v>
      </c>
      <c r="AC851">
        <v>0</v>
      </c>
      <c r="AD851">
        <v>0</v>
      </c>
      <c r="AE851">
        <v>24.75</v>
      </c>
      <c r="AF851">
        <v>0</v>
      </c>
      <c r="AG851">
        <v>0</v>
      </c>
      <c r="AH851">
        <v>0</v>
      </c>
      <c r="AI851">
        <v>6.56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6</v>
      </c>
      <c r="AT851">
        <v>44.2</v>
      </c>
      <c r="AU851" t="s">
        <v>6</v>
      </c>
      <c r="AV851">
        <v>0</v>
      </c>
      <c r="AW851">
        <v>2</v>
      </c>
      <c r="AX851">
        <v>16743906</v>
      </c>
      <c r="AY851">
        <v>1</v>
      </c>
      <c r="AZ851">
        <v>0</v>
      </c>
      <c r="BA851">
        <v>783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Y851*Source!I617</f>
        <v>21.149699999999999</v>
      </c>
      <c r="CY851">
        <f t="shared" si="155"/>
        <v>162.36000000000001</v>
      </c>
      <c r="CZ851">
        <f t="shared" si="156"/>
        <v>24.75</v>
      </c>
      <c r="DA851">
        <f t="shared" si="157"/>
        <v>6.56</v>
      </c>
      <c r="DB851">
        <f t="shared" si="158"/>
        <v>1093.95</v>
      </c>
      <c r="DC851">
        <f t="shared" si="159"/>
        <v>0</v>
      </c>
    </row>
    <row r="852" spans="1:107" x14ac:dyDescent="0.2">
      <c r="A852">
        <f>ROW(Source!A617)</f>
        <v>617</v>
      </c>
      <c r="B852">
        <v>16742901</v>
      </c>
      <c r="C852">
        <v>16743879</v>
      </c>
      <c r="D852">
        <v>15213163</v>
      </c>
      <c r="E852">
        <v>1</v>
      </c>
      <c r="F852">
        <v>1</v>
      </c>
      <c r="G852">
        <v>1</v>
      </c>
      <c r="H852">
        <v>3</v>
      </c>
      <c r="I852" t="s">
        <v>1048</v>
      </c>
      <c r="J852" t="s">
        <v>1050</v>
      </c>
      <c r="K852" t="s">
        <v>1049</v>
      </c>
      <c r="L852">
        <v>1354</v>
      </c>
      <c r="N852">
        <v>1010</v>
      </c>
      <c r="O852" t="s">
        <v>73</v>
      </c>
      <c r="P852" t="s">
        <v>73</v>
      </c>
      <c r="Q852">
        <v>1</v>
      </c>
      <c r="W852">
        <v>0</v>
      </c>
      <c r="X852">
        <v>198083887</v>
      </c>
      <c r="Y852">
        <v>8.3594570000000008</v>
      </c>
      <c r="AA852">
        <v>7174.02</v>
      </c>
      <c r="AB852">
        <v>0</v>
      </c>
      <c r="AC852">
        <v>0</v>
      </c>
      <c r="AD852">
        <v>0</v>
      </c>
      <c r="AE852">
        <v>1093.5999999999999</v>
      </c>
      <c r="AF852">
        <v>0</v>
      </c>
      <c r="AG852">
        <v>0</v>
      </c>
      <c r="AH852">
        <v>0</v>
      </c>
      <c r="AI852">
        <v>6.56</v>
      </c>
      <c r="AJ852">
        <v>1</v>
      </c>
      <c r="AK852">
        <v>1</v>
      </c>
      <c r="AL852">
        <v>1</v>
      </c>
      <c r="AN852">
        <v>0</v>
      </c>
      <c r="AO852">
        <v>0</v>
      </c>
      <c r="AP852">
        <v>0</v>
      </c>
      <c r="AQ852">
        <v>0</v>
      </c>
      <c r="AR852">
        <v>0</v>
      </c>
      <c r="AS852" t="s">
        <v>6</v>
      </c>
      <c r="AT852">
        <v>8.3594570000000008</v>
      </c>
      <c r="AU852" t="s">
        <v>6</v>
      </c>
      <c r="AV852">
        <v>0</v>
      </c>
      <c r="AW852">
        <v>1</v>
      </c>
      <c r="AX852">
        <v>-1</v>
      </c>
      <c r="AY852">
        <v>0</v>
      </c>
      <c r="AZ852">
        <v>0</v>
      </c>
      <c r="BA852" t="s">
        <v>6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Y852*Source!I617</f>
        <v>4.0000001745000002</v>
      </c>
      <c r="CY852">
        <f t="shared" si="155"/>
        <v>7174.02</v>
      </c>
      <c r="CZ852">
        <f t="shared" si="156"/>
        <v>1093.5999999999999</v>
      </c>
      <c r="DA852">
        <f t="shared" si="157"/>
        <v>6.56</v>
      </c>
      <c r="DB852">
        <f t="shared" si="158"/>
        <v>9141.9</v>
      </c>
      <c r="DC852">
        <f t="shared" si="159"/>
        <v>0</v>
      </c>
    </row>
    <row r="853" spans="1:107" x14ac:dyDescent="0.2">
      <c r="A853">
        <f>ROW(Source!A617)</f>
        <v>617</v>
      </c>
      <c r="B853">
        <v>16742901</v>
      </c>
      <c r="C853">
        <v>16743879</v>
      </c>
      <c r="D853">
        <v>15213165</v>
      </c>
      <c r="E853">
        <v>1</v>
      </c>
      <c r="F853">
        <v>1</v>
      </c>
      <c r="G853">
        <v>1</v>
      </c>
      <c r="H853">
        <v>3</v>
      </c>
      <c r="I853" t="s">
        <v>1044</v>
      </c>
      <c r="J853" t="s">
        <v>1046</v>
      </c>
      <c r="K853" t="s">
        <v>1045</v>
      </c>
      <c r="L853">
        <v>1354</v>
      </c>
      <c r="N853">
        <v>1010</v>
      </c>
      <c r="O853" t="s">
        <v>73</v>
      </c>
      <c r="P853" t="s">
        <v>73</v>
      </c>
      <c r="Q853">
        <v>1</v>
      </c>
      <c r="W853">
        <v>0</v>
      </c>
      <c r="X853">
        <v>821608564</v>
      </c>
      <c r="Y853">
        <v>27.168234000000002</v>
      </c>
      <c r="AA853">
        <v>8967.52</v>
      </c>
      <c r="AB853">
        <v>0</v>
      </c>
      <c r="AC853">
        <v>0</v>
      </c>
      <c r="AD853">
        <v>0</v>
      </c>
      <c r="AE853">
        <v>1367</v>
      </c>
      <c r="AF853">
        <v>0</v>
      </c>
      <c r="AG853">
        <v>0</v>
      </c>
      <c r="AH853">
        <v>0</v>
      </c>
      <c r="AI853">
        <v>6.56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6</v>
      </c>
      <c r="AT853">
        <v>27.168234000000002</v>
      </c>
      <c r="AU853" t="s">
        <v>6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6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Y853*Source!I617</f>
        <v>12.999999969000001</v>
      </c>
      <c r="CY853">
        <f t="shared" si="155"/>
        <v>8967.52</v>
      </c>
      <c r="CZ853">
        <f t="shared" si="156"/>
        <v>1367</v>
      </c>
      <c r="DA853">
        <f t="shared" si="157"/>
        <v>6.56</v>
      </c>
      <c r="DB853">
        <f t="shared" si="158"/>
        <v>37138.980000000003</v>
      </c>
      <c r="DC853">
        <f t="shared" si="159"/>
        <v>0</v>
      </c>
    </row>
    <row r="854" spans="1:107" x14ac:dyDescent="0.2">
      <c r="A854">
        <f>ROW(Source!A617)</f>
        <v>617</v>
      </c>
      <c r="B854">
        <v>16742901</v>
      </c>
      <c r="C854">
        <v>16743879</v>
      </c>
      <c r="D854">
        <v>15213166</v>
      </c>
      <c r="E854">
        <v>1</v>
      </c>
      <c r="F854">
        <v>1</v>
      </c>
      <c r="G854">
        <v>1</v>
      </c>
      <c r="H854">
        <v>3</v>
      </c>
      <c r="I854" t="s">
        <v>1052</v>
      </c>
      <c r="J854" t="s">
        <v>1054</v>
      </c>
      <c r="K854" t="s">
        <v>1053</v>
      </c>
      <c r="L854">
        <v>1354</v>
      </c>
      <c r="N854">
        <v>1010</v>
      </c>
      <c r="O854" t="s">
        <v>73</v>
      </c>
      <c r="P854" t="s">
        <v>73</v>
      </c>
      <c r="Q854">
        <v>1</v>
      </c>
      <c r="W854">
        <v>0</v>
      </c>
      <c r="X854">
        <v>-1985748630</v>
      </c>
      <c r="Y854">
        <v>18.808776999999999</v>
      </c>
      <c r="AA854">
        <v>9864.2099999999991</v>
      </c>
      <c r="AB854">
        <v>0</v>
      </c>
      <c r="AC854">
        <v>0</v>
      </c>
      <c r="AD854">
        <v>0</v>
      </c>
      <c r="AE854">
        <v>1503.69</v>
      </c>
      <c r="AF854">
        <v>0</v>
      </c>
      <c r="AG854">
        <v>0</v>
      </c>
      <c r="AH854">
        <v>0</v>
      </c>
      <c r="AI854">
        <v>6.56</v>
      </c>
      <c r="AJ854">
        <v>1</v>
      </c>
      <c r="AK854">
        <v>1</v>
      </c>
      <c r="AL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 t="s">
        <v>6</v>
      </c>
      <c r="AT854">
        <v>18.808776999999999</v>
      </c>
      <c r="AU854" t="s">
        <v>6</v>
      </c>
      <c r="AV854">
        <v>0</v>
      </c>
      <c r="AW854">
        <v>1</v>
      </c>
      <c r="AX854">
        <v>-1</v>
      </c>
      <c r="AY854">
        <v>0</v>
      </c>
      <c r="AZ854">
        <v>0</v>
      </c>
      <c r="BA854" t="s">
        <v>6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Y854*Source!I617</f>
        <v>8.999999794499999</v>
      </c>
      <c r="CY854">
        <f t="shared" si="155"/>
        <v>9864.2099999999991</v>
      </c>
      <c r="CZ854">
        <f t="shared" si="156"/>
        <v>1503.69</v>
      </c>
      <c r="DA854">
        <f t="shared" si="157"/>
        <v>6.56</v>
      </c>
      <c r="DB854">
        <f t="shared" si="158"/>
        <v>28282.57</v>
      </c>
      <c r="DC854">
        <f t="shared" si="159"/>
        <v>0</v>
      </c>
    </row>
    <row r="855" spans="1:107" x14ac:dyDescent="0.2">
      <c r="A855">
        <f>ROW(Source!A617)</f>
        <v>617</v>
      </c>
      <c r="B855">
        <v>16742901</v>
      </c>
      <c r="C855">
        <v>16743879</v>
      </c>
      <c r="D855">
        <v>15163239</v>
      </c>
      <c r="E855">
        <v>17</v>
      </c>
      <c r="F855">
        <v>1</v>
      </c>
      <c r="G855">
        <v>1</v>
      </c>
      <c r="H855">
        <v>3</v>
      </c>
      <c r="I855" t="s">
        <v>1056</v>
      </c>
      <c r="J855" t="s">
        <v>6</v>
      </c>
      <c r="K855" t="s">
        <v>1057</v>
      </c>
      <c r="L855">
        <v>1033</v>
      </c>
      <c r="N855">
        <v>1013</v>
      </c>
      <c r="O855" t="s">
        <v>1058</v>
      </c>
      <c r="P855" t="s">
        <v>1058</v>
      </c>
      <c r="Q855">
        <v>1</v>
      </c>
      <c r="W855">
        <v>0</v>
      </c>
      <c r="X855">
        <v>704408924</v>
      </c>
      <c r="Y855">
        <v>100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6.56</v>
      </c>
      <c r="AJ855">
        <v>1</v>
      </c>
      <c r="AK855">
        <v>1</v>
      </c>
      <c r="AL855">
        <v>1</v>
      </c>
      <c r="AN855">
        <v>0</v>
      </c>
      <c r="AO855">
        <v>0</v>
      </c>
      <c r="AP855">
        <v>0</v>
      </c>
      <c r="AQ855">
        <v>0</v>
      </c>
      <c r="AR855">
        <v>0</v>
      </c>
      <c r="AS855" t="s">
        <v>6</v>
      </c>
      <c r="AT855">
        <v>100</v>
      </c>
      <c r="AU855" t="s">
        <v>6</v>
      </c>
      <c r="AV855">
        <v>0</v>
      </c>
      <c r="AW855">
        <v>2</v>
      </c>
      <c r="AX855">
        <v>16743907</v>
      </c>
      <c r="AY855">
        <v>1</v>
      </c>
      <c r="AZ855">
        <v>0</v>
      </c>
      <c r="BA855">
        <v>784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Y855*Source!I617</f>
        <v>47.85</v>
      </c>
      <c r="CY855">
        <f t="shared" si="155"/>
        <v>0</v>
      </c>
      <c r="CZ855">
        <f t="shared" si="156"/>
        <v>0</v>
      </c>
      <c r="DA855">
        <f t="shared" si="157"/>
        <v>6.56</v>
      </c>
      <c r="DB855">
        <f t="shared" si="158"/>
        <v>0</v>
      </c>
      <c r="DC855">
        <f t="shared" si="159"/>
        <v>0</v>
      </c>
    </row>
    <row r="856" spans="1:107" x14ac:dyDescent="0.2">
      <c r="A856">
        <f>ROW(Source!A622)</f>
        <v>622</v>
      </c>
      <c r="B856">
        <v>16742901</v>
      </c>
      <c r="C856">
        <v>16743912</v>
      </c>
      <c r="D856">
        <v>15436556</v>
      </c>
      <c r="E856">
        <v>1</v>
      </c>
      <c r="F856">
        <v>1</v>
      </c>
      <c r="G856">
        <v>1</v>
      </c>
      <c r="H856">
        <v>1</v>
      </c>
      <c r="I856" t="s">
        <v>1490</v>
      </c>
      <c r="J856" t="s">
        <v>6</v>
      </c>
      <c r="K856" t="s">
        <v>1491</v>
      </c>
      <c r="L856">
        <v>1191</v>
      </c>
      <c r="N856">
        <v>1013</v>
      </c>
      <c r="O856" t="s">
        <v>1287</v>
      </c>
      <c r="P856" t="s">
        <v>1287</v>
      </c>
      <c r="Q856">
        <v>1</v>
      </c>
      <c r="W856">
        <v>0</v>
      </c>
      <c r="X856">
        <v>1069510174</v>
      </c>
      <c r="Y856">
        <v>37.915499999999994</v>
      </c>
      <c r="AA856">
        <v>0</v>
      </c>
      <c r="AB856">
        <v>0</v>
      </c>
      <c r="AC856">
        <v>0</v>
      </c>
      <c r="AD856">
        <v>63.11</v>
      </c>
      <c r="AE856">
        <v>0</v>
      </c>
      <c r="AF856">
        <v>0</v>
      </c>
      <c r="AG856">
        <v>0</v>
      </c>
      <c r="AH856">
        <v>9.6199999999999992</v>
      </c>
      <c r="AI856">
        <v>1</v>
      </c>
      <c r="AJ856">
        <v>1</v>
      </c>
      <c r="AK856">
        <v>1</v>
      </c>
      <c r="AL856">
        <v>6.56</v>
      </c>
      <c r="AN856">
        <v>0</v>
      </c>
      <c r="AO856">
        <v>1</v>
      </c>
      <c r="AP856">
        <v>1</v>
      </c>
      <c r="AQ856">
        <v>0</v>
      </c>
      <c r="AR856">
        <v>0</v>
      </c>
      <c r="AS856" t="s">
        <v>6</v>
      </c>
      <c r="AT856">
        <v>32.97</v>
      </c>
      <c r="AU856" t="s">
        <v>188</v>
      </c>
      <c r="AV856">
        <v>1</v>
      </c>
      <c r="AW856">
        <v>2</v>
      </c>
      <c r="AX856">
        <v>16743930</v>
      </c>
      <c r="AY856">
        <v>1</v>
      </c>
      <c r="AZ856">
        <v>0</v>
      </c>
      <c r="BA856">
        <v>785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Y856*Source!I622</f>
        <v>75.830999999999989</v>
      </c>
      <c r="CY856">
        <f>AD856</f>
        <v>63.11</v>
      </c>
      <c r="CZ856">
        <f>AH856</f>
        <v>9.6199999999999992</v>
      </c>
      <c r="DA856">
        <f>AL856</f>
        <v>6.56</v>
      </c>
      <c r="DB856">
        <f>ROUND((ROUND(AT856*CZ856,2)*1.15),2)</f>
        <v>364.75</v>
      </c>
      <c r="DC856">
        <f>ROUND((ROUND(AT856*AG856,2)*1.15),2)</f>
        <v>0</v>
      </c>
    </row>
    <row r="857" spans="1:107" x14ac:dyDescent="0.2">
      <c r="A857">
        <f>ROW(Source!A622)</f>
        <v>622</v>
      </c>
      <c r="B857">
        <v>16742901</v>
      </c>
      <c r="C857">
        <v>16743912</v>
      </c>
      <c r="D857">
        <v>15430395</v>
      </c>
      <c r="E857">
        <v>1</v>
      </c>
      <c r="F857">
        <v>1</v>
      </c>
      <c r="G857">
        <v>1</v>
      </c>
      <c r="H857">
        <v>1</v>
      </c>
      <c r="I857" t="s">
        <v>1293</v>
      </c>
      <c r="J857" t="s">
        <v>6</v>
      </c>
      <c r="K857" t="s">
        <v>1294</v>
      </c>
      <c r="L857">
        <v>1191</v>
      </c>
      <c r="N857">
        <v>1013</v>
      </c>
      <c r="O857" t="s">
        <v>1287</v>
      </c>
      <c r="P857" t="s">
        <v>1287</v>
      </c>
      <c r="Q857">
        <v>1</v>
      </c>
      <c r="W857">
        <v>0</v>
      </c>
      <c r="X857">
        <v>-1417349443</v>
      </c>
      <c r="Y857">
        <v>0.5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1</v>
      </c>
      <c r="AJ857">
        <v>1</v>
      </c>
      <c r="AK857">
        <v>6.56</v>
      </c>
      <c r="AL857">
        <v>1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6</v>
      </c>
      <c r="AT857">
        <v>0.5</v>
      </c>
      <c r="AU857" t="s">
        <v>6</v>
      </c>
      <c r="AV857">
        <v>2</v>
      </c>
      <c r="AW857">
        <v>2</v>
      </c>
      <c r="AX857">
        <v>16743931</v>
      </c>
      <c r="AY857">
        <v>1</v>
      </c>
      <c r="AZ857">
        <v>2048</v>
      </c>
      <c r="BA857">
        <v>786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Y857*Source!I622</f>
        <v>1</v>
      </c>
      <c r="CY857">
        <f>AD857</f>
        <v>0</v>
      </c>
      <c r="CZ857">
        <f>AH857</f>
        <v>0</v>
      </c>
      <c r="DA857">
        <f>AL857</f>
        <v>1</v>
      </c>
      <c r="DB857">
        <f>ROUND(ROUND(AT857*CZ857,2),2)</f>
        <v>0</v>
      </c>
      <c r="DC857">
        <f>ROUND(ROUND(AT857*AG857,2),2)</f>
        <v>0</v>
      </c>
    </row>
    <row r="858" spans="1:107" x14ac:dyDescent="0.2">
      <c r="A858">
        <f>ROW(Source!A622)</f>
        <v>622</v>
      </c>
      <c r="B858">
        <v>16742901</v>
      </c>
      <c r="C858">
        <v>16743912</v>
      </c>
      <c r="D858">
        <v>15247578</v>
      </c>
      <c r="E858">
        <v>1</v>
      </c>
      <c r="F858">
        <v>1</v>
      </c>
      <c r="G858">
        <v>1</v>
      </c>
      <c r="H858">
        <v>2</v>
      </c>
      <c r="I858" t="s">
        <v>1408</v>
      </c>
      <c r="J858" t="s">
        <v>1409</v>
      </c>
      <c r="K858" t="s">
        <v>1410</v>
      </c>
      <c r="L858">
        <v>1368</v>
      </c>
      <c r="N858">
        <v>1011</v>
      </c>
      <c r="O858" t="s">
        <v>1298</v>
      </c>
      <c r="P858" t="s">
        <v>1298</v>
      </c>
      <c r="Q858">
        <v>1</v>
      </c>
      <c r="W858">
        <v>0</v>
      </c>
      <c r="X858">
        <v>-1460065968</v>
      </c>
      <c r="Y858">
        <v>0.1</v>
      </c>
      <c r="AA858">
        <v>0</v>
      </c>
      <c r="AB858">
        <v>566.78</v>
      </c>
      <c r="AC858">
        <v>13.5</v>
      </c>
      <c r="AD858">
        <v>0</v>
      </c>
      <c r="AE858">
        <v>0</v>
      </c>
      <c r="AF858">
        <v>86.4</v>
      </c>
      <c r="AG858">
        <v>13.5</v>
      </c>
      <c r="AH858">
        <v>0</v>
      </c>
      <c r="AI858">
        <v>1</v>
      </c>
      <c r="AJ858">
        <v>6.56</v>
      </c>
      <c r="AK858">
        <v>1</v>
      </c>
      <c r="AL858">
        <v>1</v>
      </c>
      <c r="AN858">
        <v>0</v>
      </c>
      <c r="AO858">
        <v>1</v>
      </c>
      <c r="AP858">
        <v>1</v>
      </c>
      <c r="AQ858">
        <v>0</v>
      </c>
      <c r="AR858">
        <v>0</v>
      </c>
      <c r="AS858" t="s">
        <v>6</v>
      </c>
      <c r="AT858">
        <v>0.08</v>
      </c>
      <c r="AU858" t="s">
        <v>187</v>
      </c>
      <c r="AV858">
        <v>0</v>
      </c>
      <c r="AW858">
        <v>2</v>
      </c>
      <c r="AX858">
        <v>16743932</v>
      </c>
      <c r="AY858">
        <v>1</v>
      </c>
      <c r="AZ858">
        <v>0</v>
      </c>
      <c r="BA858">
        <v>787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Y858*Source!I622</f>
        <v>0.2</v>
      </c>
      <c r="CY858">
        <f>AB858</f>
        <v>566.78</v>
      </c>
      <c r="CZ858">
        <f>AF858</f>
        <v>86.4</v>
      </c>
      <c r="DA858">
        <f>AJ858</f>
        <v>6.56</v>
      </c>
      <c r="DB858">
        <f>ROUND((ROUND(AT858*CZ858,2)*1.25),2)</f>
        <v>8.64</v>
      </c>
      <c r="DC858">
        <f>ROUND((ROUND(AT858*AG858,2)*1.25),2)</f>
        <v>1.35</v>
      </c>
    </row>
    <row r="859" spans="1:107" x14ac:dyDescent="0.2">
      <c r="A859">
        <f>ROW(Source!A622)</f>
        <v>622</v>
      </c>
      <c r="B859">
        <v>16742901</v>
      </c>
      <c r="C859">
        <v>16743912</v>
      </c>
      <c r="D859">
        <v>15247680</v>
      </c>
      <c r="E859">
        <v>1</v>
      </c>
      <c r="F859">
        <v>1</v>
      </c>
      <c r="G859">
        <v>1</v>
      </c>
      <c r="H859">
        <v>2</v>
      </c>
      <c r="I859" t="s">
        <v>1295</v>
      </c>
      <c r="J859" t="s">
        <v>1296</v>
      </c>
      <c r="K859" t="s">
        <v>1297</v>
      </c>
      <c r="L859">
        <v>1368</v>
      </c>
      <c r="N859">
        <v>1011</v>
      </c>
      <c r="O859" t="s">
        <v>1298</v>
      </c>
      <c r="P859" t="s">
        <v>1298</v>
      </c>
      <c r="Q859">
        <v>1</v>
      </c>
      <c r="W859">
        <v>0</v>
      </c>
      <c r="X859">
        <v>-1718674368</v>
      </c>
      <c r="Y859">
        <v>8.7500000000000008E-2</v>
      </c>
      <c r="AA859">
        <v>0</v>
      </c>
      <c r="AB859">
        <v>734.65</v>
      </c>
      <c r="AC859">
        <v>13.5</v>
      </c>
      <c r="AD859">
        <v>0</v>
      </c>
      <c r="AE859">
        <v>0</v>
      </c>
      <c r="AF859">
        <v>111.99</v>
      </c>
      <c r="AG859">
        <v>13.5</v>
      </c>
      <c r="AH859">
        <v>0</v>
      </c>
      <c r="AI859">
        <v>1</v>
      </c>
      <c r="AJ859">
        <v>6.56</v>
      </c>
      <c r="AK859">
        <v>1</v>
      </c>
      <c r="AL859">
        <v>1</v>
      </c>
      <c r="AN859">
        <v>0</v>
      </c>
      <c r="AO859">
        <v>1</v>
      </c>
      <c r="AP859">
        <v>1</v>
      </c>
      <c r="AQ859">
        <v>0</v>
      </c>
      <c r="AR859">
        <v>0</v>
      </c>
      <c r="AS859" t="s">
        <v>6</v>
      </c>
      <c r="AT859">
        <v>7.0000000000000007E-2</v>
      </c>
      <c r="AU859" t="s">
        <v>187</v>
      </c>
      <c r="AV859">
        <v>0</v>
      </c>
      <c r="AW859">
        <v>2</v>
      </c>
      <c r="AX859">
        <v>16743933</v>
      </c>
      <c r="AY859">
        <v>1</v>
      </c>
      <c r="AZ859">
        <v>0</v>
      </c>
      <c r="BA859">
        <v>788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Y859*Source!I622</f>
        <v>0.17500000000000002</v>
      </c>
      <c r="CY859">
        <f>AB859</f>
        <v>734.65</v>
      </c>
      <c r="CZ859">
        <f>AF859</f>
        <v>111.99</v>
      </c>
      <c r="DA859">
        <f>AJ859</f>
        <v>6.56</v>
      </c>
      <c r="DB859">
        <f>ROUND((ROUND(AT859*CZ859,2)*1.25),2)</f>
        <v>9.8000000000000007</v>
      </c>
      <c r="DC859">
        <f>ROUND((ROUND(AT859*AG859,2)*1.25),2)</f>
        <v>1.19</v>
      </c>
    </row>
    <row r="860" spans="1:107" x14ac:dyDescent="0.2">
      <c r="A860">
        <f>ROW(Source!A622)</f>
        <v>622</v>
      </c>
      <c r="B860">
        <v>16742901</v>
      </c>
      <c r="C860">
        <v>16743912</v>
      </c>
      <c r="D860">
        <v>15249073</v>
      </c>
      <c r="E860">
        <v>1</v>
      </c>
      <c r="F860">
        <v>1</v>
      </c>
      <c r="G860">
        <v>1</v>
      </c>
      <c r="H860">
        <v>2</v>
      </c>
      <c r="I860" t="s">
        <v>1299</v>
      </c>
      <c r="J860" t="s">
        <v>1300</v>
      </c>
      <c r="K860" t="s">
        <v>1301</v>
      </c>
      <c r="L860">
        <v>1368</v>
      </c>
      <c r="N860">
        <v>1011</v>
      </c>
      <c r="O860" t="s">
        <v>1298</v>
      </c>
      <c r="P860" t="s">
        <v>1298</v>
      </c>
      <c r="Q860">
        <v>1</v>
      </c>
      <c r="W860">
        <v>0</v>
      </c>
      <c r="X860">
        <v>1372534845</v>
      </c>
      <c r="Y860">
        <v>0.4375</v>
      </c>
      <c r="AA860">
        <v>0</v>
      </c>
      <c r="AB860">
        <v>431.06</v>
      </c>
      <c r="AC860">
        <v>11.6</v>
      </c>
      <c r="AD860">
        <v>0</v>
      </c>
      <c r="AE860">
        <v>0</v>
      </c>
      <c r="AF860">
        <v>65.709999999999994</v>
      </c>
      <c r="AG860">
        <v>11.6</v>
      </c>
      <c r="AH860">
        <v>0</v>
      </c>
      <c r="AI860">
        <v>1</v>
      </c>
      <c r="AJ860">
        <v>6.56</v>
      </c>
      <c r="AK860">
        <v>1</v>
      </c>
      <c r="AL860">
        <v>1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6</v>
      </c>
      <c r="AT860">
        <v>0.35</v>
      </c>
      <c r="AU860" t="s">
        <v>187</v>
      </c>
      <c r="AV860">
        <v>0</v>
      </c>
      <c r="AW860">
        <v>2</v>
      </c>
      <c r="AX860">
        <v>16743934</v>
      </c>
      <c r="AY860">
        <v>1</v>
      </c>
      <c r="AZ860">
        <v>0</v>
      </c>
      <c r="BA860">
        <v>789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Y860*Source!I622</f>
        <v>0.875</v>
      </c>
      <c r="CY860">
        <f>AB860</f>
        <v>431.06</v>
      </c>
      <c r="CZ860">
        <f>AF860</f>
        <v>65.709999999999994</v>
      </c>
      <c r="DA860">
        <f>AJ860</f>
        <v>6.56</v>
      </c>
      <c r="DB860">
        <f>ROUND((ROUND(AT860*CZ860,2)*1.25),2)</f>
        <v>28.75</v>
      </c>
      <c r="DC860">
        <f>ROUND((ROUND(AT860*AG860,2)*1.25),2)</f>
        <v>5.08</v>
      </c>
    </row>
    <row r="861" spans="1:107" x14ac:dyDescent="0.2">
      <c r="A861">
        <f>ROW(Source!A622)</f>
        <v>622</v>
      </c>
      <c r="B861">
        <v>16742901</v>
      </c>
      <c r="C861">
        <v>16743912</v>
      </c>
      <c r="D861">
        <v>15249308</v>
      </c>
      <c r="E861">
        <v>1</v>
      </c>
      <c r="F861">
        <v>1</v>
      </c>
      <c r="G861">
        <v>1</v>
      </c>
      <c r="H861">
        <v>2</v>
      </c>
      <c r="I861" t="s">
        <v>1350</v>
      </c>
      <c r="J861" t="s">
        <v>1351</v>
      </c>
      <c r="K861" t="s">
        <v>1352</v>
      </c>
      <c r="L861">
        <v>1368</v>
      </c>
      <c r="N861">
        <v>1011</v>
      </c>
      <c r="O861" t="s">
        <v>1298</v>
      </c>
      <c r="P861" t="s">
        <v>1298</v>
      </c>
      <c r="Q861">
        <v>1</v>
      </c>
      <c r="W861">
        <v>0</v>
      </c>
      <c r="X861">
        <v>792402865</v>
      </c>
      <c r="Y861">
        <v>1.4375</v>
      </c>
      <c r="AA861">
        <v>0</v>
      </c>
      <c r="AB861">
        <v>7.87</v>
      </c>
      <c r="AC861">
        <v>0</v>
      </c>
      <c r="AD861">
        <v>0</v>
      </c>
      <c r="AE861">
        <v>0</v>
      </c>
      <c r="AF861">
        <v>1.2</v>
      </c>
      <c r="AG861">
        <v>0</v>
      </c>
      <c r="AH861">
        <v>0</v>
      </c>
      <c r="AI861">
        <v>1</v>
      </c>
      <c r="AJ861">
        <v>6.56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6</v>
      </c>
      <c r="AT861">
        <v>1.1499999999999999</v>
      </c>
      <c r="AU861" t="s">
        <v>187</v>
      </c>
      <c r="AV861">
        <v>0</v>
      </c>
      <c r="AW861">
        <v>2</v>
      </c>
      <c r="AX861">
        <v>16743935</v>
      </c>
      <c r="AY861">
        <v>1</v>
      </c>
      <c r="AZ861">
        <v>0</v>
      </c>
      <c r="BA861">
        <v>790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Y861*Source!I622</f>
        <v>2.875</v>
      </c>
      <c r="CY861">
        <f>AB861</f>
        <v>7.87</v>
      </c>
      <c r="CZ861">
        <f>AF861</f>
        <v>1.2</v>
      </c>
      <c r="DA861">
        <f>AJ861</f>
        <v>6.56</v>
      </c>
      <c r="DB861">
        <f>ROUND((ROUND(AT861*CZ861,2)*1.25),2)</f>
        <v>1.73</v>
      </c>
      <c r="DC861">
        <f>ROUND((ROUND(AT861*AG861,2)*1.25),2)</f>
        <v>0</v>
      </c>
    </row>
    <row r="862" spans="1:107" x14ac:dyDescent="0.2">
      <c r="A862">
        <f>ROW(Source!A622)</f>
        <v>622</v>
      </c>
      <c r="B862">
        <v>16742901</v>
      </c>
      <c r="C862">
        <v>16743912</v>
      </c>
      <c r="D862">
        <v>15165635</v>
      </c>
      <c r="E862">
        <v>1</v>
      </c>
      <c r="F862">
        <v>1</v>
      </c>
      <c r="G862">
        <v>1</v>
      </c>
      <c r="H862">
        <v>3</v>
      </c>
      <c r="I862" t="s">
        <v>1790</v>
      </c>
      <c r="J862" t="s">
        <v>1791</v>
      </c>
      <c r="K862" t="s">
        <v>1792</v>
      </c>
      <c r="L862">
        <v>1348</v>
      </c>
      <c r="N862">
        <v>1009</v>
      </c>
      <c r="O862" t="s">
        <v>100</v>
      </c>
      <c r="P862" t="s">
        <v>100</v>
      </c>
      <c r="Q862">
        <v>1000</v>
      </c>
      <c r="W862">
        <v>0</v>
      </c>
      <c r="X862">
        <v>993149205</v>
      </c>
      <c r="Y862">
        <v>1.2999999999999999E-4</v>
      </c>
      <c r="AA862">
        <v>215364.8</v>
      </c>
      <c r="AB862">
        <v>0</v>
      </c>
      <c r="AC862">
        <v>0</v>
      </c>
      <c r="AD862">
        <v>0</v>
      </c>
      <c r="AE862">
        <v>32830</v>
      </c>
      <c r="AF862">
        <v>0</v>
      </c>
      <c r="AG862">
        <v>0</v>
      </c>
      <c r="AH862">
        <v>0</v>
      </c>
      <c r="AI862">
        <v>6.56</v>
      </c>
      <c r="AJ862">
        <v>1</v>
      </c>
      <c r="AK862">
        <v>1</v>
      </c>
      <c r="AL862">
        <v>1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6</v>
      </c>
      <c r="AT862">
        <v>1.2999999999999999E-4</v>
      </c>
      <c r="AU862" t="s">
        <v>6</v>
      </c>
      <c r="AV862">
        <v>0</v>
      </c>
      <c r="AW862">
        <v>2</v>
      </c>
      <c r="AX862">
        <v>16743936</v>
      </c>
      <c r="AY862">
        <v>1</v>
      </c>
      <c r="AZ862">
        <v>0</v>
      </c>
      <c r="BA862">
        <v>791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Y862*Source!I622</f>
        <v>2.5999999999999998E-4</v>
      </c>
      <c r="CY862">
        <f t="shared" ref="CY862:CY872" si="160">AA862</f>
        <v>215364.8</v>
      </c>
      <c r="CZ862">
        <f t="shared" ref="CZ862:CZ872" si="161">AE862</f>
        <v>32830</v>
      </c>
      <c r="DA862">
        <f t="shared" ref="DA862:DA872" si="162">AI862</f>
        <v>6.56</v>
      </c>
      <c r="DB862">
        <f t="shared" ref="DB862:DB873" si="163">ROUND(ROUND(AT862*CZ862,2),2)</f>
        <v>4.2699999999999996</v>
      </c>
      <c r="DC862">
        <f t="shared" ref="DC862:DC873" si="164">ROUND(ROUND(AT862*AG862,2),2)</f>
        <v>0</v>
      </c>
    </row>
    <row r="863" spans="1:107" x14ac:dyDescent="0.2">
      <c r="A863">
        <f>ROW(Source!A622)</f>
        <v>622</v>
      </c>
      <c r="B863">
        <v>16742901</v>
      </c>
      <c r="C863">
        <v>16743912</v>
      </c>
      <c r="D863">
        <v>15165653</v>
      </c>
      <c r="E863">
        <v>1</v>
      </c>
      <c r="F863">
        <v>1</v>
      </c>
      <c r="G863">
        <v>1</v>
      </c>
      <c r="H863">
        <v>3</v>
      </c>
      <c r="I863" t="s">
        <v>1356</v>
      </c>
      <c r="J863" t="s">
        <v>1357</v>
      </c>
      <c r="K863" t="s">
        <v>1358</v>
      </c>
      <c r="L863">
        <v>1339</v>
      </c>
      <c r="N863">
        <v>1007</v>
      </c>
      <c r="O863" t="s">
        <v>301</v>
      </c>
      <c r="P863" t="s">
        <v>301</v>
      </c>
      <c r="Q863">
        <v>1</v>
      </c>
      <c r="W863">
        <v>0</v>
      </c>
      <c r="X863">
        <v>1262771840</v>
      </c>
      <c r="Y863">
        <v>0.28100000000000003</v>
      </c>
      <c r="AA863">
        <v>40.799999999999997</v>
      </c>
      <c r="AB863">
        <v>0</v>
      </c>
      <c r="AC863">
        <v>0</v>
      </c>
      <c r="AD863">
        <v>0</v>
      </c>
      <c r="AE863">
        <v>6.22</v>
      </c>
      <c r="AF863">
        <v>0</v>
      </c>
      <c r="AG863">
        <v>0</v>
      </c>
      <c r="AH863">
        <v>0</v>
      </c>
      <c r="AI863">
        <v>6.56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6</v>
      </c>
      <c r="AT863">
        <v>0.28100000000000003</v>
      </c>
      <c r="AU863" t="s">
        <v>6</v>
      </c>
      <c r="AV863">
        <v>0</v>
      </c>
      <c r="AW863">
        <v>2</v>
      </c>
      <c r="AX863">
        <v>16743937</v>
      </c>
      <c r="AY863">
        <v>1</v>
      </c>
      <c r="AZ863">
        <v>0</v>
      </c>
      <c r="BA863">
        <v>792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Y863*Source!I622</f>
        <v>0.56200000000000006</v>
      </c>
      <c r="CY863">
        <f t="shared" si="160"/>
        <v>40.799999999999997</v>
      </c>
      <c r="CZ863">
        <f t="shared" si="161"/>
        <v>6.22</v>
      </c>
      <c r="DA863">
        <f t="shared" si="162"/>
        <v>6.56</v>
      </c>
      <c r="DB863">
        <f t="shared" si="163"/>
        <v>1.75</v>
      </c>
      <c r="DC863">
        <f t="shared" si="164"/>
        <v>0</v>
      </c>
    </row>
    <row r="864" spans="1:107" x14ac:dyDescent="0.2">
      <c r="A864">
        <f>ROW(Source!A622)</f>
        <v>622</v>
      </c>
      <c r="B864">
        <v>16742901</v>
      </c>
      <c r="C864">
        <v>16743912</v>
      </c>
      <c r="D864">
        <v>15167286</v>
      </c>
      <c r="E864">
        <v>1</v>
      </c>
      <c r="F864">
        <v>1</v>
      </c>
      <c r="G864">
        <v>1</v>
      </c>
      <c r="H864">
        <v>3</v>
      </c>
      <c r="I864" t="s">
        <v>1317</v>
      </c>
      <c r="J864" t="s">
        <v>1318</v>
      </c>
      <c r="K864" t="s">
        <v>1319</v>
      </c>
      <c r="L864">
        <v>1339</v>
      </c>
      <c r="N864">
        <v>1007</v>
      </c>
      <c r="O864" t="s">
        <v>301</v>
      </c>
      <c r="P864" t="s">
        <v>301</v>
      </c>
      <c r="Q864">
        <v>1</v>
      </c>
      <c r="W864">
        <v>0</v>
      </c>
      <c r="X864">
        <v>-1660354250</v>
      </c>
      <c r="Y864">
        <v>0.44</v>
      </c>
      <c r="AA864">
        <v>16.010000000000002</v>
      </c>
      <c r="AB864">
        <v>0</v>
      </c>
      <c r="AC864">
        <v>0</v>
      </c>
      <c r="AD864">
        <v>0</v>
      </c>
      <c r="AE864">
        <v>2.44</v>
      </c>
      <c r="AF864">
        <v>0</v>
      </c>
      <c r="AG864">
        <v>0</v>
      </c>
      <c r="AH864">
        <v>0</v>
      </c>
      <c r="AI864">
        <v>6.56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6</v>
      </c>
      <c r="AT864">
        <v>0.44</v>
      </c>
      <c r="AU864" t="s">
        <v>6</v>
      </c>
      <c r="AV864">
        <v>0</v>
      </c>
      <c r="AW864">
        <v>2</v>
      </c>
      <c r="AX864">
        <v>16743938</v>
      </c>
      <c r="AY864">
        <v>1</v>
      </c>
      <c r="AZ864">
        <v>0</v>
      </c>
      <c r="BA864">
        <v>793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Y864*Source!I622</f>
        <v>0.88</v>
      </c>
      <c r="CY864">
        <f t="shared" si="160"/>
        <v>16.010000000000002</v>
      </c>
      <c r="CZ864">
        <f t="shared" si="161"/>
        <v>2.44</v>
      </c>
      <c r="DA864">
        <f t="shared" si="162"/>
        <v>6.56</v>
      </c>
      <c r="DB864">
        <f t="shared" si="163"/>
        <v>1.07</v>
      </c>
      <c r="DC864">
        <f t="shared" si="164"/>
        <v>0</v>
      </c>
    </row>
    <row r="865" spans="1:107" x14ac:dyDescent="0.2">
      <c r="A865">
        <f>ROW(Source!A622)</f>
        <v>622</v>
      </c>
      <c r="B865">
        <v>16742901</v>
      </c>
      <c r="C865">
        <v>16743912</v>
      </c>
      <c r="D865">
        <v>15167963</v>
      </c>
      <c r="E865">
        <v>1</v>
      </c>
      <c r="F865">
        <v>1</v>
      </c>
      <c r="G865">
        <v>1</v>
      </c>
      <c r="H865">
        <v>3</v>
      </c>
      <c r="I865" t="s">
        <v>1793</v>
      </c>
      <c r="J865" t="s">
        <v>1794</v>
      </c>
      <c r="K865" t="s">
        <v>1795</v>
      </c>
      <c r="L865">
        <v>1346</v>
      </c>
      <c r="N865">
        <v>1009</v>
      </c>
      <c r="O865" t="s">
        <v>341</v>
      </c>
      <c r="P865" t="s">
        <v>341</v>
      </c>
      <c r="Q865">
        <v>1</v>
      </c>
      <c r="W865">
        <v>0</v>
      </c>
      <c r="X865">
        <v>-490687590</v>
      </c>
      <c r="Y865">
        <v>0.06</v>
      </c>
      <c r="AA865">
        <v>244.62</v>
      </c>
      <c r="AB865">
        <v>0</v>
      </c>
      <c r="AC865">
        <v>0</v>
      </c>
      <c r="AD865">
        <v>0</v>
      </c>
      <c r="AE865">
        <v>37.29</v>
      </c>
      <c r="AF865">
        <v>0</v>
      </c>
      <c r="AG865">
        <v>0</v>
      </c>
      <c r="AH865">
        <v>0</v>
      </c>
      <c r="AI865">
        <v>6.56</v>
      </c>
      <c r="AJ865">
        <v>1</v>
      </c>
      <c r="AK865">
        <v>1</v>
      </c>
      <c r="AL865">
        <v>1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6</v>
      </c>
      <c r="AT865">
        <v>0.06</v>
      </c>
      <c r="AU865" t="s">
        <v>6</v>
      </c>
      <c r="AV865">
        <v>0</v>
      </c>
      <c r="AW865">
        <v>2</v>
      </c>
      <c r="AX865">
        <v>16743939</v>
      </c>
      <c r="AY865">
        <v>1</v>
      </c>
      <c r="AZ865">
        <v>0</v>
      </c>
      <c r="BA865">
        <v>794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Y865*Source!I622</f>
        <v>0.12</v>
      </c>
      <c r="CY865">
        <f t="shared" si="160"/>
        <v>244.62</v>
      </c>
      <c r="CZ865">
        <f t="shared" si="161"/>
        <v>37.29</v>
      </c>
      <c r="DA865">
        <f t="shared" si="162"/>
        <v>6.56</v>
      </c>
      <c r="DB865">
        <f t="shared" si="163"/>
        <v>2.2400000000000002</v>
      </c>
      <c r="DC865">
        <f t="shared" si="164"/>
        <v>0</v>
      </c>
    </row>
    <row r="866" spans="1:107" x14ac:dyDescent="0.2">
      <c r="A866">
        <f>ROW(Source!A622)</f>
        <v>622</v>
      </c>
      <c r="B866">
        <v>16742901</v>
      </c>
      <c r="C866">
        <v>16743912</v>
      </c>
      <c r="D866">
        <v>15168695</v>
      </c>
      <c r="E866">
        <v>1</v>
      </c>
      <c r="F866">
        <v>1</v>
      </c>
      <c r="G866">
        <v>1</v>
      </c>
      <c r="H866">
        <v>3</v>
      </c>
      <c r="I866" t="s">
        <v>1796</v>
      </c>
      <c r="J866" t="s">
        <v>1797</v>
      </c>
      <c r="K866" t="s">
        <v>1798</v>
      </c>
      <c r="L866">
        <v>1348</v>
      </c>
      <c r="N866">
        <v>1009</v>
      </c>
      <c r="O866" t="s">
        <v>100</v>
      </c>
      <c r="P866" t="s">
        <v>100</v>
      </c>
      <c r="Q866">
        <v>1000</v>
      </c>
      <c r="W866">
        <v>0</v>
      </c>
      <c r="X866">
        <v>-531507062</v>
      </c>
      <c r="Y866">
        <v>1.7000000000000001E-4</v>
      </c>
      <c r="AA866">
        <v>88953.600000000006</v>
      </c>
      <c r="AB866">
        <v>0</v>
      </c>
      <c r="AC866">
        <v>0</v>
      </c>
      <c r="AD866">
        <v>0</v>
      </c>
      <c r="AE866">
        <v>13560</v>
      </c>
      <c r="AF866">
        <v>0</v>
      </c>
      <c r="AG866">
        <v>0</v>
      </c>
      <c r="AH866">
        <v>0</v>
      </c>
      <c r="AI866">
        <v>6.56</v>
      </c>
      <c r="AJ866">
        <v>1</v>
      </c>
      <c r="AK866">
        <v>1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6</v>
      </c>
      <c r="AT866">
        <v>1.7000000000000001E-4</v>
      </c>
      <c r="AU866" t="s">
        <v>6</v>
      </c>
      <c r="AV866">
        <v>0</v>
      </c>
      <c r="AW866">
        <v>2</v>
      </c>
      <c r="AX866">
        <v>16743940</v>
      </c>
      <c r="AY866">
        <v>1</v>
      </c>
      <c r="AZ866">
        <v>0</v>
      </c>
      <c r="BA866">
        <v>795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Y866*Source!I622</f>
        <v>3.4000000000000002E-4</v>
      </c>
      <c r="CY866">
        <f t="shared" si="160"/>
        <v>88953.600000000006</v>
      </c>
      <c r="CZ866">
        <f t="shared" si="161"/>
        <v>13560</v>
      </c>
      <c r="DA866">
        <f t="shared" si="162"/>
        <v>6.56</v>
      </c>
      <c r="DB866">
        <f t="shared" si="163"/>
        <v>2.31</v>
      </c>
      <c r="DC866">
        <f t="shared" si="164"/>
        <v>0</v>
      </c>
    </row>
    <row r="867" spans="1:107" x14ac:dyDescent="0.2">
      <c r="A867">
        <f>ROW(Source!A622)</f>
        <v>622</v>
      </c>
      <c r="B867">
        <v>16742901</v>
      </c>
      <c r="C867">
        <v>16743912</v>
      </c>
      <c r="D867">
        <v>15172018</v>
      </c>
      <c r="E867">
        <v>1</v>
      </c>
      <c r="F867">
        <v>1</v>
      </c>
      <c r="G867">
        <v>1</v>
      </c>
      <c r="H867">
        <v>3</v>
      </c>
      <c r="I867" t="s">
        <v>1799</v>
      </c>
      <c r="J867" t="s">
        <v>1800</v>
      </c>
      <c r="K867" t="s">
        <v>1801</v>
      </c>
      <c r="L867">
        <v>1346</v>
      </c>
      <c r="N867">
        <v>1009</v>
      </c>
      <c r="O867" t="s">
        <v>341</v>
      </c>
      <c r="P867" t="s">
        <v>341</v>
      </c>
      <c r="Q867">
        <v>1</v>
      </c>
      <c r="W867">
        <v>0</v>
      </c>
      <c r="X867">
        <v>450790165</v>
      </c>
      <c r="Y867">
        <v>1.6000000000000001E-3</v>
      </c>
      <c r="AA867">
        <v>14.1</v>
      </c>
      <c r="AB867">
        <v>0</v>
      </c>
      <c r="AC867">
        <v>0</v>
      </c>
      <c r="AD867">
        <v>0</v>
      </c>
      <c r="AE867">
        <v>2.15</v>
      </c>
      <c r="AF867">
        <v>0</v>
      </c>
      <c r="AG867">
        <v>0</v>
      </c>
      <c r="AH867">
        <v>0</v>
      </c>
      <c r="AI867">
        <v>6.56</v>
      </c>
      <c r="AJ867">
        <v>1</v>
      </c>
      <c r="AK867">
        <v>1</v>
      </c>
      <c r="AL867">
        <v>1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6</v>
      </c>
      <c r="AT867">
        <v>1.6000000000000001E-3</v>
      </c>
      <c r="AU867" t="s">
        <v>6</v>
      </c>
      <c r="AV867">
        <v>0</v>
      </c>
      <c r="AW867">
        <v>2</v>
      </c>
      <c r="AX867">
        <v>16743941</v>
      </c>
      <c r="AY867">
        <v>1</v>
      </c>
      <c r="AZ867">
        <v>0</v>
      </c>
      <c r="BA867">
        <v>796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Y867*Source!I622</f>
        <v>3.2000000000000002E-3</v>
      </c>
      <c r="CY867">
        <f t="shared" si="160"/>
        <v>14.1</v>
      </c>
      <c r="CZ867">
        <f t="shared" si="161"/>
        <v>2.15</v>
      </c>
      <c r="DA867">
        <f t="shared" si="162"/>
        <v>6.56</v>
      </c>
      <c r="DB867">
        <f t="shared" si="163"/>
        <v>0</v>
      </c>
      <c r="DC867">
        <f t="shared" si="164"/>
        <v>0</v>
      </c>
    </row>
    <row r="868" spans="1:107" x14ac:dyDescent="0.2">
      <c r="A868">
        <f>ROW(Source!A622)</f>
        <v>622</v>
      </c>
      <c r="B868">
        <v>16742901</v>
      </c>
      <c r="C868">
        <v>16743912</v>
      </c>
      <c r="D868">
        <v>15203740</v>
      </c>
      <c r="E868">
        <v>1</v>
      </c>
      <c r="F868">
        <v>1</v>
      </c>
      <c r="G868">
        <v>1</v>
      </c>
      <c r="H868">
        <v>3</v>
      </c>
      <c r="I868" t="s">
        <v>1802</v>
      </c>
      <c r="J868" t="s">
        <v>1803</v>
      </c>
      <c r="K868" t="s">
        <v>1804</v>
      </c>
      <c r="L868">
        <v>1348</v>
      </c>
      <c r="N868">
        <v>1009</v>
      </c>
      <c r="O868" t="s">
        <v>100</v>
      </c>
      <c r="P868" t="s">
        <v>100</v>
      </c>
      <c r="Q868">
        <v>1000</v>
      </c>
      <c r="W868">
        <v>0</v>
      </c>
      <c r="X868">
        <v>570223526</v>
      </c>
      <c r="Y868">
        <v>4.4000000000000002E-4</v>
      </c>
      <c r="AA868">
        <v>99180.64</v>
      </c>
      <c r="AB868">
        <v>0</v>
      </c>
      <c r="AC868">
        <v>0</v>
      </c>
      <c r="AD868">
        <v>0</v>
      </c>
      <c r="AE868">
        <v>15119</v>
      </c>
      <c r="AF868">
        <v>0</v>
      </c>
      <c r="AG868">
        <v>0</v>
      </c>
      <c r="AH868">
        <v>0</v>
      </c>
      <c r="AI868">
        <v>6.56</v>
      </c>
      <c r="AJ868">
        <v>1</v>
      </c>
      <c r="AK868">
        <v>1</v>
      </c>
      <c r="AL868">
        <v>1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6</v>
      </c>
      <c r="AT868">
        <v>4.4000000000000002E-4</v>
      </c>
      <c r="AU868" t="s">
        <v>6</v>
      </c>
      <c r="AV868">
        <v>0</v>
      </c>
      <c r="AW868">
        <v>2</v>
      </c>
      <c r="AX868">
        <v>16743942</v>
      </c>
      <c r="AY868">
        <v>1</v>
      </c>
      <c r="AZ868">
        <v>0</v>
      </c>
      <c r="BA868">
        <v>797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Y868*Source!I622</f>
        <v>8.8000000000000003E-4</v>
      </c>
      <c r="CY868">
        <f t="shared" si="160"/>
        <v>99180.64</v>
      </c>
      <c r="CZ868">
        <f t="shared" si="161"/>
        <v>15119</v>
      </c>
      <c r="DA868">
        <f t="shared" si="162"/>
        <v>6.56</v>
      </c>
      <c r="DB868">
        <f t="shared" si="163"/>
        <v>6.65</v>
      </c>
      <c r="DC868">
        <f t="shared" si="164"/>
        <v>0</v>
      </c>
    </row>
    <row r="869" spans="1:107" x14ac:dyDescent="0.2">
      <c r="A869">
        <f>ROW(Source!A622)</f>
        <v>622</v>
      </c>
      <c r="B869">
        <v>16742901</v>
      </c>
      <c r="C869">
        <v>16743912</v>
      </c>
      <c r="D869">
        <v>15204468</v>
      </c>
      <c r="E869">
        <v>1</v>
      </c>
      <c r="F869">
        <v>1</v>
      </c>
      <c r="G869">
        <v>1</v>
      </c>
      <c r="H869">
        <v>3</v>
      </c>
      <c r="I869" t="s">
        <v>1623</v>
      </c>
      <c r="J869" t="s">
        <v>1624</v>
      </c>
      <c r="K869" t="s">
        <v>1625</v>
      </c>
      <c r="L869">
        <v>1348</v>
      </c>
      <c r="N869">
        <v>1009</v>
      </c>
      <c r="O869" t="s">
        <v>100</v>
      </c>
      <c r="P869" t="s">
        <v>100</v>
      </c>
      <c r="Q869">
        <v>1000</v>
      </c>
      <c r="W869">
        <v>0</v>
      </c>
      <c r="X869">
        <v>-909021926</v>
      </c>
      <c r="Y869">
        <v>5.2999999999999998E-4</v>
      </c>
      <c r="AA869">
        <v>111192</v>
      </c>
      <c r="AB869">
        <v>0</v>
      </c>
      <c r="AC869">
        <v>0</v>
      </c>
      <c r="AD869">
        <v>0</v>
      </c>
      <c r="AE869">
        <v>16950</v>
      </c>
      <c r="AF869">
        <v>0</v>
      </c>
      <c r="AG869">
        <v>0</v>
      </c>
      <c r="AH869">
        <v>0</v>
      </c>
      <c r="AI869">
        <v>6.56</v>
      </c>
      <c r="AJ869">
        <v>1</v>
      </c>
      <c r="AK869">
        <v>1</v>
      </c>
      <c r="AL869">
        <v>1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6</v>
      </c>
      <c r="AT869">
        <v>5.2999999999999998E-4</v>
      </c>
      <c r="AU869" t="s">
        <v>6</v>
      </c>
      <c r="AV869">
        <v>0</v>
      </c>
      <c r="AW869">
        <v>2</v>
      </c>
      <c r="AX869">
        <v>16743943</v>
      </c>
      <c r="AY869">
        <v>1</v>
      </c>
      <c r="AZ869">
        <v>0</v>
      </c>
      <c r="BA869">
        <v>798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Y869*Source!I622</f>
        <v>1.06E-3</v>
      </c>
      <c r="CY869">
        <f t="shared" si="160"/>
        <v>111192</v>
      </c>
      <c r="CZ869">
        <f t="shared" si="161"/>
        <v>16950</v>
      </c>
      <c r="DA869">
        <f t="shared" si="162"/>
        <v>6.56</v>
      </c>
      <c r="DB869">
        <f t="shared" si="163"/>
        <v>8.98</v>
      </c>
      <c r="DC869">
        <f t="shared" si="164"/>
        <v>0</v>
      </c>
    </row>
    <row r="870" spans="1:107" x14ac:dyDescent="0.2">
      <c r="A870">
        <f>ROW(Source!A622)</f>
        <v>622</v>
      </c>
      <c r="B870">
        <v>16742901</v>
      </c>
      <c r="C870">
        <v>16743912</v>
      </c>
      <c r="D870">
        <v>15210852</v>
      </c>
      <c r="E870">
        <v>1</v>
      </c>
      <c r="F870">
        <v>1</v>
      </c>
      <c r="G870">
        <v>1</v>
      </c>
      <c r="H870">
        <v>3</v>
      </c>
      <c r="I870" t="s">
        <v>1066</v>
      </c>
      <c r="J870" t="s">
        <v>1068</v>
      </c>
      <c r="K870" t="s">
        <v>1067</v>
      </c>
      <c r="L870">
        <v>1354</v>
      </c>
      <c r="N870">
        <v>1010</v>
      </c>
      <c r="O870" t="s">
        <v>73</v>
      </c>
      <c r="P870" t="s">
        <v>73</v>
      </c>
      <c r="Q870">
        <v>1</v>
      </c>
      <c r="W870">
        <v>0</v>
      </c>
      <c r="X870">
        <v>458687168</v>
      </c>
      <c r="Y870">
        <v>20</v>
      </c>
      <c r="AA870">
        <v>271.64999999999998</v>
      </c>
      <c r="AB870">
        <v>0</v>
      </c>
      <c r="AC870">
        <v>0</v>
      </c>
      <c r="AD870">
        <v>0</v>
      </c>
      <c r="AE870">
        <v>41.41</v>
      </c>
      <c r="AF870">
        <v>0</v>
      </c>
      <c r="AG870">
        <v>0</v>
      </c>
      <c r="AH870">
        <v>0</v>
      </c>
      <c r="AI870">
        <v>6.56</v>
      </c>
      <c r="AJ870">
        <v>1</v>
      </c>
      <c r="AK870">
        <v>1</v>
      </c>
      <c r="AL870">
        <v>1</v>
      </c>
      <c r="AN870">
        <v>0</v>
      </c>
      <c r="AO870">
        <v>0</v>
      </c>
      <c r="AP870">
        <v>0</v>
      </c>
      <c r="AQ870">
        <v>0</v>
      </c>
      <c r="AR870">
        <v>0</v>
      </c>
      <c r="AS870" t="s">
        <v>6</v>
      </c>
      <c r="AT870">
        <v>20</v>
      </c>
      <c r="AU870" t="s">
        <v>6</v>
      </c>
      <c r="AV870">
        <v>0</v>
      </c>
      <c r="AW870">
        <v>1</v>
      </c>
      <c r="AX870">
        <v>-1</v>
      </c>
      <c r="AY870">
        <v>0</v>
      </c>
      <c r="AZ870">
        <v>0</v>
      </c>
      <c r="BA870" t="s">
        <v>6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Y870*Source!I622</f>
        <v>40</v>
      </c>
      <c r="CY870">
        <f t="shared" si="160"/>
        <v>271.64999999999998</v>
      </c>
      <c r="CZ870">
        <f t="shared" si="161"/>
        <v>41.41</v>
      </c>
      <c r="DA870">
        <f t="shared" si="162"/>
        <v>6.56</v>
      </c>
      <c r="DB870">
        <f t="shared" si="163"/>
        <v>828.2</v>
      </c>
      <c r="DC870">
        <f t="shared" si="164"/>
        <v>0</v>
      </c>
    </row>
    <row r="871" spans="1:107" x14ac:dyDescent="0.2">
      <c r="A871">
        <f>ROW(Source!A622)</f>
        <v>622</v>
      </c>
      <c r="B871">
        <v>16742901</v>
      </c>
      <c r="C871">
        <v>16743912</v>
      </c>
      <c r="D871">
        <v>15226740</v>
      </c>
      <c r="E871">
        <v>1</v>
      </c>
      <c r="F871">
        <v>1</v>
      </c>
      <c r="G871">
        <v>1</v>
      </c>
      <c r="H871">
        <v>3</v>
      </c>
      <c r="I871" t="s">
        <v>1070</v>
      </c>
      <c r="J871" t="s">
        <v>1072</v>
      </c>
      <c r="K871" t="s">
        <v>1071</v>
      </c>
      <c r="L871">
        <v>1358</v>
      </c>
      <c r="N871">
        <v>1010</v>
      </c>
      <c r="O871" t="s">
        <v>723</v>
      </c>
      <c r="P871" t="s">
        <v>723</v>
      </c>
      <c r="Q871">
        <v>10</v>
      </c>
      <c r="W871">
        <v>0</v>
      </c>
      <c r="X871">
        <v>-1250603825</v>
      </c>
      <c r="Y871">
        <v>0.3</v>
      </c>
      <c r="AA871">
        <v>377.2</v>
      </c>
      <c r="AB871">
        <v>0</v>
      </c>
      <c r="AC871">
        <v>0</v>
      </c>
      <c r="AD871">
        <v>0</v>
      </c>
      <c r="AE871">
        <v>57.5</v>
      </c>
      <c r="AF871">
        <v>0</v>
      </c>
      <c r="AG871">
        <v>0</v>
      </c>
      <c r="AH871">
        <v>0</v>
      </c>
      <c r="AI871">
        <v>6.56</v>
      </c>
      <c r="AJ871">
        <v>1</v>
      </c>
      <c r="AK871">
        <v>1</v>
      </c>
      <c r="AL871">
        <v>1</v>
      </c>
      <c r="AN871">
        <v>0</v>
      </c>
      <c r="AO871">
        <v>0</v>
      </c>
      <c r="AP871">
        <v>0</v>
      </c>
      <c r="AQ871">
        <v>0</v>
      </c>
      <c r="AR871">
        <v>0</v>
      </c>
      <c r="AS871" t="s">
        <v>6</v>
      </c>
      <c r="AT871">
        <v>0.3</v>
      </c>
      <c r="AU871" t="s">
        <v>6</v>
      </c>
      <c r="AV871">
        <v>0</v>
      </c>
      <c r="AW871">
        <v>1</v>
      </c>
      <c r="AX871">
        <v>-1</v>
      </c>
      <c r="AY871">
        <v>0</v>
      </c>
      <c r="AZ871">
        <v>0</v>
      </c>
      <c r="BA871" t="s">
        <v>6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Y871*Source!I622</f>
        <v>0.6</v>
      </c>
      <c r="CY871">
        <f t="shared" si="160"/>
        <v>377.2</v>
      </c>
      <c r="CZ871">
        <f t="shared" si="161"/>
        <v>57.5</v>
      </c>
      <c r="DA871">
        <f t="shared" si="162"/>
        <v>6.56</v>
      </c>
      <c r="DB871">
        <f t="shared" si="163"/>
        <v>17.25</v>
      </c>
      <c r="DC871">
        <f t="shared" si="164"/>
        <v>0</v>
      </c>
    </row>
    <row r="872" spans="1:107" x14ac:dyDescent="0.2">
      <c r="A872">
        <f>ROW(Source!A622)</f>
        <v>622</v>
      </c>
      <c r="B872">
        <v>16742901</v>
      </c>
      <c r="C872">
        <v>16743912</v>
      </c>
      <c r="D872">
        <v>15227662</v>
      </c>
      <c r="E872">
        <v>1</v>
      </c>
      <c r="F872">
        <v>1</v>
      </c>
      <c r="G872">
        <v>1</v>
      </c>
      <c r="H872">
        <v>3</v>
      </c>
      <c r="I872" t="s">
        <v>1074</v>
      </c>
      <c r="J872" t="s">
        <v>1076</v>
      </c>
      <c r="K872" t="s">
        <v>1075</v>
      </c>
      <c r="L872">
        <v>1301</v>
      </c>
      <c r="N872">
        <v>1003</v>
      </c>
      <c r="O872" t="s">
        <v>220</v>
      </c>
      <c r="P872" t="s">
        <v>220</v>
      </c>
      <c r="Q872">
        <v>1</v>
      </c>
      <c r="W872">
        <v>0</v>
      </c>
      <c r="X872">
        <v>1987173636</v>
      </c>
      <c r="Y872">
        <v>100</v>
      </c>
      <c r="AA872">
        <v>84.82</v>
      </c>
      <c r="AB872">
        <v>0</v>
      </c>
      <c r="AC872">
        <v>0</v>
      </c>
      <c r="AD872">
        <v>0</v>
      </c>
      <c r="AE872">
        <v>12.93</v>
      </c>
      <c r="AF872">
        <v>0</v>
      </c>
      <c r="AG872">
        <v>0</v>
      </c>
      <c r="AH872">
        <v>0</v>
      </c>
      <c r="AI872">
        <v>6.56</v>
      </c>
      <c r="AJ872">
        <v>1</v>
      </c>
      <c r="AK872">
        <v>1</v>
      </c>
      <c r="AL872">
        <v>1</v>
      </c>
      <c r="AN872">
        <v>0</v>
      </c>
      <c r="AO872">
        <v>0</v>
      </c>
      <c r="AP872">
        <v>0</v>
      </c>
      <c r="AQ872">
        <v>0</v>
      </c>
      <c r="AR872">
        <v>0</v>
      </c>
      <c r="AS872" t="s">
        <v>6</v>
      </c>
      <c r="AT872">
        <v>100</v>
      </c>
      <c r="AU872" t="s">
        <v>6</v>
      </c>
      <c r="AV872">
        <v>0</v>
      </c>
      <c r="AW872">
        <v>1</v>
      </c>
      <c r="AX872">
        <v>-1</v>
      </c>
      <c r="AY872">
        <v>0</v>
      </c>
      <c r="AZ872">
        <v>0</v>
      </c>
      <c r="BA872" t="s">
        <v>6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Y872*Source!I622</f>
        <v>200</v>
      </c>
      <c r="CY872">
        <f t="shared" si="160"/>
        <v>84.82</v>
      </c>
      <c r="CZ872">
        <f t="shared" si="161"/>
        <v>12.93</v>
      </c>
      <c r="DA872">
        <f t="shared" si="162"/>
        <v>6.56</v>
      </c>
      <c r="DB872">
        <f t="shared" si="163"/>
        <v>1293</v>
      </c>
      <c r="DC872">
        <f t="shared" si="164"/>
        <v>0</v>
      </c>
    </row>
    <row r="873" spans="1:107" x14ac:dyDescent="0.2">
      <c r="A873">
        <f>ROW(Source!A626)</f>
        <v>626</v>
      </c>
      <c r="B873">
        <v>16742901</v>
      </c>
      <c r="C873">
        <v>16743950</v>
      </c>
      <c r="D873">
        <v>15430767</v>
      </c>
      <c r="E873">
        <v>1</v>
      </c>
      <c r="F873">
        <v>1</v>
      </c>
      <c r="G873">
        <v>1</v>
      </c>
      <c r="H873">
        <v>1</v>
      </c>
      <c r="I873" t="s">
        <v>1285</v>
      </c>
      <c r="J873" t="s">
        <v>6</v>
      </c>
      <c r="K873" t="s">
        <v>1286</v>
      </c>
      <c r="L873">
        <v>1191</v>
      </c>
      <c r="N873">
        <v>1013</v>
      </c>
      <c r="O873" t="s">
        <v>1287</v>
      </c>
      <c r="P873" t="s">
        <v>1287</v>
      </c>
      <c r="Q873">
        <v>1</v>
      </c>
      <c r="W873">
        <v>0</v>
      </c>
      <c r="X873">
        <v>-400197608</v>
      </c>
      <c r="Y873">
        <v>7.28</v>
      </c>
      <c r="AA873">
        <v>0</v>
      </c>
      <c r="AB873">
        <v>0</v>
      </c>
      <c r="AC873">
        <v>0</v>
      </c>
      <c r="AD873">
        <v>55.96</v>
      </c>
      <c r="AE873">
        <v>0</v>
      </c>
      <c r="AF873">
        <v>0</v>
      </c>
      <c r="AG873">
        <v>0</v>
      </c>
      <c r="AH873">
        <v>8.5299999999999994</v>
      </c>
      <c r="AI873">
        <v>1</v>
      </c>
      <c r="AJ873">
        <v>1</v>
      </c>
      <c r="AK873">
        <v>1</v>
      </c>
      <c r="AL873">
        <v>6.56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6</v>
      </c>
      <c r="AT873">
        <v>7.28</v>
      </c>
      <c r="AU873" t="s">
        <v>6</v>
      </c>
      <c r="AV873">
        <v>1</v>
      </c>
      <c r="AW873">
        <v>2</v>
      </c>
      <c r="AX873">
        <v>16743952</v>
      </c>
      <c r="AY873">
        <v>1</v>
      </c>
      <c r="AZ873">
        <v>0</v>
      </c>
      <c r="BA873">
        <v>802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Y873*Source!I626</f>
        <v>0.87360000000000004</v>
      </c>
      <c r="CY873">
        <f>AD873</f>
        <v>55.96</v>
      </c>
      <c r="CZ873">
        <f>AH873</f>
        <v>8.5299999999999994</v>
      </c>
      <c r="DA873">
        <f>AL873</f>
        <v>6.56</v>
      </c>
      <c r="DB873">
        <f t="shared" si="163"/>
        <v>62.1</v>
      </c>
      <c r="DC873">
        <f t="shared" si="164"/>
        <v>0</v>
      </c>
    </row>
    <row r="874" spans="1:107" x14ac:dyDescent="0.2">
      <c r="A874">
        <f>ROW(Source!A627)</f>
        <v>627</v>
      </c>
      <c r="B874">
        <v>16742901</v>
      </c>
      <c r="C874">
        <v>16743954</v>
      </c>
      <c r="D874">
        <v>15436556</v>
      </c>
      <c r="E874">
        <v>1</v>
      </c>
      <c r="F874">
        <v>1</v>
      </c>
      <c r="G874">
        <v>1</v>
      </c>
      <c r="H874">
        <v>1</v>
      </c>
      <c r="I874" t="s">
        <v>1490</v>
      </c>
      <c r="J874" t="s">
        <v>6</v>
      </c>
      <c r="K874" t="s">
        <v>1491</v>
      </c>
      <c r="L874">
        <v>1191</v>
      </c>
      <c r="N874">
        <v>1013</v>
      </c>
      <c r="O874" t="s">
        <v>1287</v>
      </c>
      <c r="P874" t="s">
        <v>1287</v>
      </c>
      <c r="Q874">
        <v>1</v>
      </c>
      <c r="W874">
        <v>0</v>
      </c>
      <c r="X874">
        <v>1069510174</v>
      </c>
      <c r="Y874">
        <v>37.915499999999994</v>
      </c>
      <c r="AA874">
        <v>0</v>
      </c>
      <c r="AB874">
        <v>0</v>
      </c>
      <c r="AC874">
        <v>0</v>
      </c>
      <c r="AD874">
        <v>63.11</v>
      </c>
      <c r="AE874">
        <v>0</v>
      </c>
      <c r="AF874">
        <v>0</v>
      </c>
      <c r="AG874">
        <v>0</v>
      </c>
      <c r="AH874">
        <v>9.6199999999999992</v>
      </c>
      <c r="AI874">
        <v>1</v>
      </c>
      <c r="AJ874">
        <v>1</v>
      </c>
      <c r="AK874">
        <v>1</v>
      </c>
      <c r="AL874">
        <v>6.56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6</v>
      </c>
      <c r="AT874">
        <v>32.97</v>
      </c>
      <c r="AU874" t="s">
        <v>188</v>
      </c>
      <c r="AV874">
        <v>1</v>
      </c>
      <c r="AW874">
        <v>2</v>
      </c>
      <c r="AX874">
        <v>16743971</v>
      </c>
      <c r="AY874">
        <v>1</v>
      </c>
      <c r="AZ874">
        <v>0</v>
      </c>
      <c r="BA874">
        <v>803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Y874*Source!I627</f>
        <v>5.4598319999999987</v>
      </c>
      <c r="CY874">
        <f>AD874</f>
        <v>63.11</v>
      </c>
      <c r="CZ874">
        <f>AH874</f>
        <v>9.6199999999999992</v>
      </c>
      <c r="DA874">
        <f>AL874</f>
        <v>6.56</v>
      </c>
      <c r="DB874">
        <f>ROUND((ROUND(AT874*CZ874,2)*1.15),2)</f>
        <v>364.75</v>
      </c>
      <c r="DC874">
        <f>ROUND((ROUND(AT874*AG874,2)*1.15),2)</f>
        <v>0</v>
      </c>
    </row>
    <row r="875" spans="1:107" x14ac:dyDescent="0.2">
      <c r="A875">
        <f>ROW(Source!A627)</f>
        <v>627</v>
      </c>
      <c r="B875">
        <v>16742901</v>
      </c>
      <c r="C875">
        <v>16743954</v>
      </c>
      <c r="D875">
        <v>15430395</v>
      </c>
      <c r="E875">
        <v>1</v>
      </c>
      <c r="F875">
        <v>1</v>
      </c>
      <c r="G875">
        <v>1</v>
      </c>
      <c r="H875">
        <v>1</v>
      </c>
      <c r="I875" t="s">
        <v>1293</v>
      </c>
      <c r="J875" t="s">
        <v>6</v>
      </c>
      <c r="K875" t="s">
        <v>1294</v>
      </c>
      <c r="L875">
        <v>1191</v>
      </c>
      <c r="N875">
        <v>1013</v>
      </c>
      <c r="O875" t="s">
        <v>1287</v>
      </c>
      <c r="P875" t="s">
        <v>1287</v>
      </c>
      <c r="Q875">
        <v>1</v>
      </c>
      <c r="W875">
        <v>0</v>
      </c>
      <c r="X875">
        <v>-1417349443</v>
      </c>
      <c r="Y875">
        <v>0.5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6.56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6</v>
      </c>
      <c r="AT875">
        <v>0.5</v>
      </c>
      <c r="AU875" t="s">
        <v>6</v>
      </c>
      <c r="AV875">
        <v>2</v>
      </c>
      <c r="AW875">
        <v>2</v>
      </c>
      <c r="AX875">
        <v>16743972</v>
      </c>
      <c r="AY875">
        <v>1</v>
      </c>
      <c r="AZ875">
        <v>2048</v>
      </c>
      <c r="BA875">
        <v>804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Y875*Source!I627</f>
        <v>7.1999999999999995E-2</v>
      </c>
      <c r="CY875">
        <f>AD875</f>
        <v>0</v>
      </c>
      <c r="CZ875">
        <f>AH875</f>
        <v>0</v>
      </c>
      <c r="DA875">
        <f>AL875</f>
        <v>1</v>
      </c>
      <c r="DB875">
        <f>ROUND(ROUND(AT875*CZ875,2),2)</f>
        <v>0</v>
      </c>
      <c r="DC875">
        <f>ROUND(ROUND(AT875*AG875,2),2)</f>
        <v>0</v>
      </c>
    </row>
    <row r="876" spans="1:107" x14ac:dyDescent="0.2">
      <c r="A876">
        <f>ROW(Source!A627)</f>
        <v>627</v>
      </c>
      <c r="B876">
        <v>16742901</v>
      </c>
      <c r="C876">
        <v>16743954</v>
      </c>
      <c r="D876">
        <v>15247578</v>
      </c>
      <c r="E876">
        <v>1</v>
      </c>
      <c r="F876">
        <v>1</v>
      </c>
      <c r="G876">
        <v>1</v>
      </c>
      <c r="H876">
        <v>2</v>
      </c>
      <c r="I876" t="s">
        <v>1408</v>
      </c>
      <c r="J876" t="s">
        <v>1409</v>
      </c>
      <c r="K876" t="s">
        <v>1410</v>
      </c>
      <c r="L876">
        <v>1368</v>
      </c>
      <c r="N876">
        <v>1011</v>
      </c>
      <c r="O876" t="s">
        <v>1298</v>
      </c>
      <c r="P876" t="s">
        <v>1298</v>
      </c>
      <c r="Q876">
        <v>1</v>
      </c>
      <c r="W876">
        <v>0</v>
      </c>
      <c r="X876">
        <v>-1460065968</v>
      </c>
      <c r="Y876">
        <v>0.1</v>
      </c>
      <c r="AA876">
        <v>0</v>
      </c>
      <c r="AB876">
        <v>566.78</v>
      </c>
      <c r="AC876">
        <v>13.5</v>
      </c>
      <c r="AD876">
        <v>0</v>
      </c>
      <c r="AE876">
        <v>0</v>
      </c>
      <c r="AF876">
        <v>86.4</v>
      </c>
      <c r="AG876">
        <v>13.5</v>
      </c>
      <c r="AH876">
        <v>0</v>
      </c>
      <c r="AI876">
        <v>1</v>
      </c>
      <c r="AJ876">
        <v>6.56</v>
      </c>
      <c r="AK876">
        <v>1</v>
      </c>
      <c r="AL876">
        <v>1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6</v>
      </c>
      <c r="AT876">
        <v>0.08</v>
      </c>
      <c r="AU876" t="s">
        <v>187</v>
      </c>
      <c r="AV876">
        <v>0</v>
      </c>
      <c r="AW876">
        <v>2</v>
      </c>
      <c r="AX876">
        <v>16743973</v>
      </c>
      <c r="AY876">
        <v>1</v>
      </c>
      <c r="AZ876">
        <v>0</v>
      </c>
      <c r="BA876">
        <v>805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Y876*Source!I627</f>
        <v>1.44E-2</v>
      </c>
      <c r="CY876">
        <f>AB876</f>
        <v>566.78</v>
      </c>
      <c r="CZ876">
        <f>AF876</f>
        <v>86.4</v>
      </c>
      <c r="DA876">
        <f>AJ876</f>
        <v>6.56</v>
      </c>
      <c r="DB876">
        <f>ROUND((ROUND(AT876*CZ876,2)*1.25),2)</f>
        <v>8.64</v>
      </c>
      <c r="DC876">
        <f>ROUND((ROUND(AT876*AG876,2)*1.25),2)</f>
        <v>1.35</v>
      </c>
    </row>
    <row r="877" spans="1:107" x14ac:dyDescent="0.2">
      <c r="A877">
        <f>ROW(Source!A627)</f>
        <v>627</v>
      </c>
      <c r="B877">
        <v>16742901</v>
      </c>
      <c r="C877">
        <v>16743954</v>
      </c>
      <c r="D877">
        <v>15247680</v>
      </c>
      <c r="E877">
        <v>1</v>
      </c>
      <c r="F877">
        <v>1</v>
      </c>
      <c r="G877">
        <v>1</v>
      </c>
      <c r="H877">
        <v>2</v>
      </c>
      <c r="I877" t="s">
        <v>1295</v>
      </c>
      <c r="J877" t="s">
        <v>1296</v>
      </c>
      <c r="K877" t="s">
        <v>1297</v>
      </c>
      <c r="L877">
        <v>1368</v>
      </c>
      <c r="N877">
        <v>1011</v>
      </c>
      <c r="O877" t="s">
        <v>1298</v>
      </c>
      <c r="P877" t="s">
        <v>1298</v>
      </c>
      <c r="Q877">
        <v>1</v>
      </c>
      <c r="W877">
        <v>0</v>
      </c>
      <c r="X877">
        <v>-1718674368</v>
      </c>
      <c r="Y877">
        <v>8.7500000000000008E-2</v>
      </c>
      <c r="AA877">
        <v>0</v>
      </c>
      <c r="AB877">
        <v>734.65</v>
      </c>
      <c r="AC877">
        <v>13.5</v>
      </c>
      <c r="AD877">
        <v>0</v>
      </c>
      <c r="AE877">
        <v>0</v>
      </c>
      <c r="AF877">
        <v>111.99</v>
      </c>
      <c r="AG877">
        <v>13.5</v>
      </c>
      <c r="AH877">
        <v>0</v>
      </c>
      <c r="AI877">
        <v>1</v>
      </c>
      <c r="AJ877">
        <v>6.56</v>
      </c>
      <c r="AK877">
        <v>1</v>
      </c>
      <c r="AL877">
        <v>1</v>
      </c>
      <c r="AN877">
        <v>0</v>
      </c>
      <c r="AO877">
        <v>1</v>
      </c>
      <c r="AP877">
        <v>1</v>
      </c>
      <c r="AQ877">
        <v>0</v>
      </c>
      <c r="AR877">
        <v>0</v>
      </c>
      <c r="AS877" t="s">
        <v>6</v>
      </c>
      <c r="AT877">
        <v>7.0000000000000007E-2</v>
      </c>
      <c r="AU877" t="s">
        <v>187</v>
      </c>
      <c r="AV877">
        <v>0</v>
      </c>
      <c r="AW877">
        <v>2</v>
      </c>
      <c r="AX877">
        <v>16743974</v>
      </c>
      <c r="AY877">
        <v>1</v>
      </c>
      <c r="AZ877">
        <v>0</v>
      </c>
      <c r="BA877">
        <v>806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Y877*Source!I627</f>
        <v>1.26E-2</v>
      </c>
      <c r="CY877">
        <f>AB877</f>
        <v>734.65</v>
      </c>
      <c r="CZ877">
        <f>AF877</f>
        <v>111.99</v>
      </c>
      <c r="DA877">
        <f>AJ877</f>
        <v>6.56</v>
      </c>
      <c r="DB877">
        <f>ROUND((ROUND(AT877*CZ877,2)*1.25),2)</f>
        <v>9.8000000000000007</v>
      </c>
      <c r="DC877">
        <f>ROUND((ROUND(AT877*AG877,2)*1.25),2)</f>
        <v>1.19</v>
      </c>
    </row>
    <row r="878" spans="1:107" x14ac:dyDescent="0.2">
      <c r="A878">
        <f>ROW(Source!A627)</f>
        <v>627</v>
      </c>
      <c r="B878">
        <v>16742901</v>
      </c>
      <c r="C878">
        <v>16743954</v>
      </c>
      <c r="D878">
        <v>15249073</v>
      </c>
      <c r="E878">
        <v>1</v>
      </c>
      <c r="F878">
        <v>1</v>
      </c>
      <c r="G878">
        <v>1</v>
      </c>
      <c r="H878">
        <v>2</v>
      </c>
      <c r="I878" t="s">
        <v>1299</v>
      </c>
      <c r="J878" t="s">
        <v>1300</v>
      </c>
      <c r="K878" t="s">
        <v>1301</v>
      </c>
      <c r="L878">
        <v>1368</v>
      </c>
      <c r="N878">
        <v>1011</v>
      </c>
      <c r="O878" t="s">
        <v>1298</v>
      </c>
      <c r="P878" t="s">
        <v>1298</v>
      </c>
      <c r="Q878">
        <v>1</v>
      </c>
      <c r="W878">
        <v>0</v>
      </c>
      <c r="X878">
        <v>1372534845</v>
      </c>
      <c r="Y878">
        <v>0.4375</v>
      </c>
      <c r="AA878">
        <v>0</v>
      </c>
      <c r="AB878">
        <v>431.06</v>
      </c>
      <c r="AC878">
        <v>11.6</v>
      </c>
      <c r="AD878">
        <v>0</v>
      </c>
      <c r="AE878">
        <v>0</v>
      </c>
      <c r="AF878">
        <v>65.709999999999994</v>
      </c>
      <c r="AG878">
        <v>11.6</v>
      </c>
      <c r="AH878">
        <v>0</v>
      </c>
      <c r="AI878">
        <v>1</v>
      </c>
      <c r="AJ878">
        <v>6.56</v>
      </c>
      <c r="AK878">
        <v>1</v>
      </c>
      <c r="AL878">
        <v>1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6</v>
      </c>
      <c r="AT878">
        <v>0.35</v>
      </c>
      <c r="AU878" t="s">
        <v>187</v>
      </c>
      <c r="AV878">
        <v>0</v>
      </c>
      <c r="AW878">
        <v>2</v>
      </c>
      <c r="AX878">
        <v>16743975</v>
      </c>
      <c r="AY878">
        <v>1</v>
      </c>
      <c r="AZ878">
        <v>0</v>
      </c>
      <c r="BA878">
        <v>807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Y878*Source!I627</f>
        <v>6.3E-2</v>
      </c>
      <c r="CY878">
        <f>AB878</f>
        <v>431.06</v>
      </c>
      <c r="CZ878">
        <f>AF878</f>
        <v>65.709999999999994</v>
      </c>
      <c r="DA878">
        <f>AJ878</f>
        <v>6.56</v>
      </c>
      <c r="DB878">
        <f>ROUND((ROUND(AT878*CZ878,2)*1.25),2)</f>
        <v>28.75</v>
      </c>
      <c r="DC878">
        <f>ROUND((ROUND(AT878*AG878,2)*1.25),2)</f>
        <v>5.08</v>
      </c>
    </row>
    <row r="879" spans="1:107" x14ac:dyDescent="0.2">
      <c r="A879">
        <f>ROW(Source!A627)</f>
        <v>627</v>
      </c>
      <c r="B879">
        <v>16742901</v>
      </c>
      <c r="C879">
        <v>16743954</v>
      </c>
      <c r="D879">
        <v>15249308</v>
      </c>
      <c r="E879">
        <v>1</v>
      </c>
      <c r="F879">
        <v>1</v>
      </c>
      <c r="G879">
        <v>1</v>
      </c>
      <c r="H879">
        <v>2</v>
      </c>
      <c r="I879" t="s">
        <v>1350</v>
      </c>
      <c r="J879" t="s">
        <v>1351</v>
      </c>
      <c r="K879" t="s">
        <v>1352</v>
      </c>
      <c r="L879">
        <v>1368</v>
      </c>
      <c r="N879">
        <v>1011</v>
      </c>
      <c r="O879" t="s">
        <v>1298</v>
      </c>
      <c r="P879" t="s">
        <v>1298</v>
      </c>
      <c r="Q879">
        <v>1</v>
      </c>
      <c r="W879">
        <v>0</v>
      </c>
      <c r="X879">
        <v>-624296059</v>
      </c>
      <c r="Y879">
        <v>1.4375</v>
      </c>
      <c r="AA879">
        <v>0</v>
      </c>
      <c r="AB879">
        <v>7.87</v>
      </c>
      <c r="AC879">
        <v>0</v>
      </c>
      <c r="AD879">
        <v>0</v>
      </c>
      <c r="AE879">
        <v>0</v>
      </c>
      <c r="AF879">
        <v>1.2</v>
      </c>
      <c r="AG879">
        <v>0</v>
      </c>
      <c r="AH879">
        <v>0</v>
      </c>
      <c r="AI879">
        <v>1</v>
      </c>
      <c r="AJ879">
        <v>6.56</v>
      </c>
      <c r="AK879">
        <v>1</v>
      </c>
      <c r="AL879">
        <v>1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6</v>
      </c>
      <c r="AT879">
        <v>1.1499999999999999</v>
      </c>
      <c r="AU879" t="s">
        <v>187</v>
      </c>
      <c r="AV879">
        <v>0</v>
      </c>
      <c r="AW879">
        <v>2</v>
      </c>
      <c r="AX879">
        <v>16743976</v>
      </c>
      <c r="AY879">
        <v>1</v>
      </c>
      <c r="AZ879">
        <v>0</v>
      </c>
      <c r="BA879">
        <v>808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Y879*Source!I627</f>
        <v>0.20699999999999999</v>
      </c>
      <c r="CY879">
        <f>AB879</f>
        <v>7.87</v>
      </c>
      <c r="CZ879">
        <f>AF879</f>
        <v>1.2</v>
      </c>
      <c r="DA879">
        <f>AJ879</f>
        <v>6.56</v>
      </c>
      <c r="DB879">
        <f>ROUND((ROUND(AT879*CZ879,2)*1.25),2)</f>
        <v>1.73</v>
      </c>
      <c r="DC879">
        <f>ROUND((ROUND(AT879*AG879,2)*1.25),2)</f>
        <v>0</v>
      </c>
    </row>
    <row r="880" spans="1:107" x14ac:dyDescent="0.2">
      <c r="A880">
        <f>ROW(Source!A627)</f>
        <v>627</v>
      </c>
      <c r="B880">
        <v>16742901</v>
      </c>
      <c r="C880">
        <v>16743954</v>
      </c>
      <c r="D880">
        <v>15165635</v>
      </c>
      <c r="E880">
        <v>1</v>
      </c>
      <c r="F880">
        <v>1</v>
      </c>
      <c r="G880">
        <v>1</v>
      </c>
      <c r="H880">
        <v>3</v>
      </c>
      <c r="I880" t="s">
        <v>1790</v>
      </c>
      <c r="J880" t="s">
        <v>1791</v>
      </c>
      <c r="K880" t="s">
        <v>1792</v>
      </c>
      <c r="L880">
        <v>1348</v>
      </c>
      <c r="N880">
        <v>1009</v>
      </c>
      <c r="O880" t="s">
        <v>100</v>
      </c>
      <c r="P880" t="s">
        <v>100</v>
      </c>
      <c r="Q880">
        <v>1000</v>
      </c>
      <c r="W880">
        <v>0</v>
      </c>
      <c r="X880">
        <v>993149205</v>
      </c>
      <c r="Y880">
        <v>1.2999999999999999E-4</v>
      </c>
      <c r="AA880">
        <v>215364.8</v>
      </c>
      <c r="AB880">
        <v>0</v>
      </c>
      <c r="AC880">
        <v>0</v>
      </c>
      <c r="AD880">
        <v>0</v>
      </c>
      <c r="AE880">
        <v>32830</v>
      </c>
      <c r="AF880">
        <v>0</v>
      </c>
      <c r="AG880">
        <v>0</v>
      </c>
      <c r="AH880">
        <v>0</v>
      </c>
      <c r="AI880">
        <v>6.56</v>
      </c>
      <c r="AJ880">
        <v>1</v>
      </c>
      <c r="AK880">
        <v>1</v>
      </c>
      <c r="AL880">
        <v>1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6</v>
      </c>
      <c r="AT880">
        <v>1.2999999999999999E-4</v>
      </c>
      <c r="AU880" t="s">
        <v>6</v>
      </c>
      <c r="AV880">
        <v>0</v>
      </c>
      <c r="AW880">
        <v>2</v>
      </c>
      <c r="AX880">
        <v>16743977</v>
      </c>
      <c r="AY880">
        <v>1</v>
      </c>
      <c r="AZ880">
        <v>0</v>
      </c>
      <c r="BA880">
        <v>809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Y880*Source!I627</f>
        <v>1.8719999999999997E-5</v>
      </c>
      <c r="CY880">
        <f t="shared" ref="CY880:CY888" si="165">AA880</f>
        <v>215364.8</v>
      </c>
      <c r="CZ880">
        <f t="shared" ref="CZ880:CZ888" si="166">AE880</f>
        <v>32830</v>
      </c>
      <c r="DA880">
        <f t="shared" ref="DA880:DA888" si="167">AI880</f>
        <v>6.56</v>
      </c>
      <c r="DB880">
        <f t="shared" ref="DB880:DB897" si="168">ROUND(ROUND(AT880*CZ880,2),2)</f>
        <v>4.2699999999999996</v>
      </c>
      <c r="DC880">
        <f t="shared" ref="DC880:DC897" si="169">ROUND(ROUND(AT880*AG880,2),2)</f>
        <v>0</v>
      </c>
    </row>
    <row r="881" spans="1:107" x14ac:dyDescent="0.2">
      <c r="A881">
        <f>ROW(Source!A627)</f>
        <v>627</v>
      </c>
      <c r="B881">
        <v>16742901</v>
      </c>
      <c r="C881">
        <v>16743954</v>
      </c>
      <c r="D881">
        <v>15165653</v>
      </c>
      <c r="E881">
        <v>1</v>
      </c>
      <c r="F881">
        <v>1</v>
      </c>
      <c r="G881">
        <v>1</v>
      </c>
      <c r="H881">
        <v>3</v>
      </c>
      <c r="I881" t="s">
        <v>1356</v>
      </c>
      <c r="J881" t="s">
        <v>1357</v>
      </c>
      <c r="K881" t="s">
        <v>1358</v>
      </c>
      <c r="L881">
        <v>1339</v>
      </c>
      <c r="N881">
        <v>1007</v>
      </c>
      <c r="O881" t="s">
        <v>301</v>
      </c>
      <c r="P881" t="s">
        <v>301</v>
      </c>
      <c r="Q881">
        <v>1</v>
      </c>
      <c r="W881">
        <v>0</v>
      </c>
      <c r="X881">
        <v>1262771840</v>
      </c>
      <c r="Y881">
        <v>0.28100000000000003</v>
      </c>
      <c r="AA881">
        <v>40.799999999999997</v>
      </c>
      <c r="AB881">
        <v>0</v>
      </c>
      <c r="AC881">
        <v>0</v>
      </c>
      <c r="AD881">
        <v>0</v>
      </c>
      <c r="AE881">
        <v>6.22</v>
      </c>
      <c r="AF881">
        <v>0</v>
      </c>
      <c r="AG881">
        <v>0</v>
      </c>
      <c r="AH881">
        <v>0</v>
      </c>
      <c r="AI881">
        <v>6.56</v>
      </c>
      <c r="AJ881">
        <v>1</v>
      </c>
      <c r="AK881">
        <v>1</v>
      </c>
      <c r="AL881">
        <v>1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6</v>
      </c>
      <c r="AT881">
        <v>0.28100000000000003</v>
      </c>
      <c r="AU881" t="s">
        <v>6</v>
      </c>
      <c r="AV881">
        <v>0</v>
      </c>
      <c r="AW881">
        <v>2</v>
      </c>
      <c r="AX881">
        <v>16743978</v>
      </c>
      <c r="AY881">
        <v>1</v>
      </c>
      <c r="AZ881">
        <v>0</v>
      </c>
      <c r="BA881">
        <v>810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Y881*Source!I627</f>
        <v>4.0464E-2</v>
      </c>
      <c r="CY881">
        <f t="shared" si="165"/>
        <v>40.799999999999997</v>
      </c>
      <c r="CZ881">
        <f t="shared" si="166"/>
        <v>6.22</v>
      </c>
      <c r="DA881">
        <f t="shared" si="167"/>
        <v>6.56</v>
      </c>
      <c r="DB881">
        <f t="shared" si="168"/>
        <v>1.75</v>
      </c>
      <c r="DC881">
        <f t="shared" si="169"/>
        <v>0</v>
      </c>
    </row>
    <row r="882" spans="1:107" x14ac:dyDescent="0.2">
      <c r="A882">
        <f>ROW(Source!A627)</f>
        <v>627</v>
      </c>
      <c r="B882">
        <v>16742901</v>
      </c>
      <c r="C882">
        <v>16743954</v>
      </c>
      <c r="D882">
        <v>15167286</v>
      </c>
      <c r="E882">
        <v>1</v>
      </c>
      <c r="F882">
        <v>1</v>
      </c>
      <c r="G882">
        <v>1</v>
      </c>
      <c r="H882">
        <v>3</v>
      </c>
      <c r="I882" t="s">
        <v>1317</v>
      </c>
      <c r="J882" t="s">
        <v>1318</v>
      </c>
      <c r="K882" t="s">
        <v>1319</v>
      </c>
      <c r="L882">
        <v>1339</v>
      </c>
      <c r="N882">
        <v>1007</v>
      </c>
      <c r="O882" t="s">
        <v>301</v>
      </c>
      <c r="P882" t="s">
        <v>301</v>
      </c>
      <c r="Q882">
        <v>1</v>
      </c>
      <c r="W882">
        <v>0</v>
      </c>
      <c r="X882">
        <v>-1660354250</v>
      </c>
      <c r="Y882">
        <v>1.1299999999999999</v>
      </c>
      <c r="AA882">
        <v>16.010000000000002</v>
      </c>
      <c r="AB882">
        <v>0</v>
      </c>
      <c r="AC882">
        <v>0</v>
      </c>
      <c r="AD882">
        <v>0</v>
      </c>
      <c r="AE882">
        <v>2.44</v>
      </c>
      <c r="AF882">
        <v>0</v>
      </c>
      <c r="AG882">
        <v>0</v>
      </c>
      <c r="AH882">
        <v>0</v>
      </c>
      <c r="AI882">
        <v>6.56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6</v>
      </c>
      <c r="AT882">
        <v>1.1299999999999999</v>
      </c>
      <c r="AU882" t="s">
        <v>6</v>
      </c>
      <c r="AV882">
        <v>0</v>
      </c>
      <c r="AW882">
        <v>2</v>
      </c>
      <c r="AX882">
        <v>16743979</v>
      </c>
      <c r="AY882">
        <v>1</v>
      </c>
      <c r="AZ882">
        <v>0</v>
      </c>
      <c r="BA882">
        <v>811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Y882*Source!I627</f>
        <v>0.16271999999999998</v>
      </c>
      <c r="CY882">
        <f t="shared" si="165"/>
        <v>16.010000000000002</v>
      </c>
      <c r="CZ882">
        <f t="shared" si="166"/>
        <v>2.44</v>
      </c>
      <c r="DA882">
        <f t="shared" si="167"/>
        <v>6.56</v>
      </c>
      <c r="DB882">
        <f t="shared" si="168"/>
        <v>2.76</v>
      </c>
      <c r="DC882">
        <f t="shared" si="169"/>
        <v>0</v>
      </c>
    </row>
    <row r="883" spans="1:107" x14ac:dyDescent="0.2">
      <c r="A883">
        <f>ROW(Source!A627)</f>
        <v>627</v>
      </c>
      <c r="B883">
        <v>16742901</v>
      </c>
      <c r="C883">
        <v>16743954</v>
      </c>
      <c r="D883">
        <v>15167963</v>
      </c>
      <c r="E883">
        <v>1</v>
      </c>
      <c r="F883">
        <v>1</v>
      </c>
      <c r="G883">
        <v>1</v>
      </c>
      <c r="H883">
        <v>3</v>
      </c>
      <c r="I883" t="s">
        <v>1793</v>
      </c>
      <c r="J883" t="s">
        <v>1794</v>
      </c>
      <c r="K883" t="s">
        <v>1795</v>
      </c>
      <c r="L883">
        <v>1346</v>
      </c>
      <c r="N883">
        <v>1009</v>
      </c>
      <c r="O883" t="s">
        <v>341</v>
      </c>
      <c r="P883" t="s">
        <v>341</v>
      </c>
      <c r="Q883">
        <v>1</v>
      </c>
      <c r="W883">
        <v>0</v>
      </c>
      <c r="X883">
        <v>-490687590</v>
      </c>
      <c r="Y883">
        <v>0.06</v>
      </c>
      <c r="AA883">
        <v>244.62</v>
      </c>
      <c r="AB883">
        <v>0</v>
      </c>
      <c r="AC883">
        <v>0</v>
      </c>
      <c r="AD883">
        <v>0</v>
      </c>
      <c r="AE883">
        <v>37.29</v>
      </c>
      <c r="AF883">
        <v>0</v>
      </c>
      <c r="AG883">
        <v>0</v>
      </c>
      <c r="AH883">
        <v>0</v>
      </c>
      <c r="AI883">
        <v>6.56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6</v>
      </c>
      <c r="AT883">
        <v>0.06</v>
      </c>
      <c r="AU883" t="s">
        <v>6</v>
      </c>
      <c r="AV883">
        <v>0</v>
      </c>
      <c r="AW883">
        <v>2</v>
      </c>
      <c r="AX883">
        <v>16743980</v>
      </c>
      <c r="AY883">
        <v>1</v>
      </c>
      <c r="AZ883">
        <v>0</v>
      </c>
      <c r="BA883">
        <v>812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Y883*Source!I627</f>
        <v>8.6399999999999984E-3</v>
      </c>
      <c r="CY883">
        <f t="shared" si="165"/>
        <v>244.62</v>
      </c>
      <c r="CZ883">
        <f t="shared" si="166"/>
        <v>37.29</v>
      </c>
      <c r="DA883">
        <f t="shared" si="167"/>
        <v>6.56</v>
      </c>
      <c r="DB883">
        <f t="shared" si="168"/>
        <v>2.2400000000000002</v>
      </c>
      <c r="DC883">
        <f t="shared" si="169"/>
        <v>0</v>
      </c>
    </row>
    <row r="884" spans="1:107" x14ac:dyDescent="0.2">
      <c r="A884">
        <f>ROW(Source!A627)</f>
        <v>627</v>
      </c>
      <c r="B884">
        <v>16742901</v>
      </c>
      <c r="C884">
        <v>16743954</v>
      </c>
      <c r="D884">
        <v>15168695</v>
      </c>
      <c r="E884">
        <v>1</v>
      </c>
      <c r="F884">
        <v>1</v>
      </c>
      <c r="G884">
        <v>1</v>
      </c>
      <c r="H884">
        <v>3</v>
      </c>
      <c r="I884" t="s">
        <v>1796</v>
      </c>
      <c r="J884" t="s">
        <v>1797</v>
      </c>
      <c r="K884" t="s">
        <v>1798</v>
      </c>
      <c r="L884">
        <v>1348</v>
      </c>
      <c r="N884">
        <v>1009</v>
      </c>
      <c r="O884" t="s">
        <v>100</v>
      </c>
      <c r="P884" t="s">
        <v>100</v>
      </c>
      <c r="Q884">
        <v>1000</v>
      </c>
      <c r="W884">
        <v>0</v>
      </c>
      <c r="X884">
        <v>-531507062</v>
      </c>
      <c r="Y884">
        <v>1.7000000000000001E-4</v>
      </c>
      <c r="AA884">
        <v>88953.600000000006</v>
      </c>
      <c r="AB884">
        <v>0</v>
      </c>
      <c r="AC884">
        <v>0</v>
      </c>
      <c r="AD884">
        <v>0</v>
      </c>
      <c r="AE884">
        <v>13560</v>
      </c>
      <c r="AF884">
        <v>0</v>
      </c>
      <c r="AG884">
        <v>0</v>
      </c>
      <c r="AH884">
        <v>0</v>
      </c>
      <c r="AI884">
        <v>6.56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6</v>
      </c>
      <c r="AT884">
        <v>1.7000000000000001E-4</v>
      </c>
      <c r="AU884" t="s">
        <v>6</v>
      </c>
      <c r="AV884">
        <v>0</v>
      </c>
      <c r="AW884">
        <v>2</v>
      </c>
      <c r="AX884">
        <v>16743981</v>
      </c>
      <c r="AY884">
        <v>1</v>
      </c>
      <c r="AZ884">
        <v>0</v>
      </c>
      <c r="BA884">
        <v>813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Y884*Source!I627</f>
        <v>2.4479999999999999E-5</v>
      </c>
      <c r="CY884">
        <f t="shared" si="165"/>
        <v>88953.600000000006</v>
      </c>
      <c r="CZ884">
        <f t="shared" si="166"/>
        <v>13560</v>
      </c>
      <c r="DA884">
        <f t="shared" si="167"/>
        <v>6.56</v>
      </c>
      <c r="DB884">
        <f t="shared" si="168"/>
        <v>2.31</v>
      </c>
      <c r="DC884">
        <f t="shared" si="169"/>
        <v>0</v>
      </c>
    </row>
    <row r="885" spans="1:107" x14ac:dyDescent="0.2">
      <c r="A885">
        <f>ROW(Source!A627)</f>
        <v>627</v>
      </c>
      <c r="B885">
        <v>16742901</v>
      </c>
      <c r="C885">
        <v>16743954</v>
      </c>
      <c r="D885">
        <v>15172018</v>
      </c>
      <c r="E885">
        <v>1</v>
      </c>
      <c r="F885">
        <v>1</v>
      </c>
      <c r="G885">
        <v>1</v>
      </c>
      <c r="H885">
        <v>3</v>
      </c>
      <c r="I885" t="s">
        <v>1799</v>
      </c>
      <c r="J885" t="s">
        <v>1800</v>
      </c>
      <c r="K885" t="s">
        <v>1801</v>
      </c>
      <c r="L885">
        <v>1346</v>
      </c>
      <c r="N885">
        <v>1009</v>
      </c>
      <c r="O885" t="s">
        <v>341</v>
      </c>
      <c r="P885" t="s">
        <v>341</v>
      </c>
      <c r="Q885">
        <v>1</v>
      </c>
      <c r="W885">
        <v>0</v>
      </c>
      <c r="X885">
        <v>450790165</v>
      </c>
      <c r="Y885">
        <v>4.0000000000000001E-3</v>
      </c>
      <c r="AA885">
        <v>14.1</v>
      </c>
      <c r="AB885">
        <v>0</v>
      </c>
      <c r="AC885">
        <v>0</v>
      </c>
      <c r="AD885">
        <v>0</v>
      </c>
      <c r="AE885">
        <v>2.15</v>
      </c>
      <c r="AF885">
        <v>0</v>
      </c>
      <c r="AG885">
        <v>0</v>
      </c>
      <c r="AH885">
        <v>0</v>
      </c>
      <c r="AI885">
        <v>6.56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6</v>
      </c>
      <c r="AT885">
        <v>4.0000000000000001E-3</v>
      </c>
      <c r="AU885" t="s">
        <v>6</v>
      </c>
      <c r="AV885">
        <v>0</v>
      </c>
      <c r="AW885">
        <v>2</v>
      </c>
      <c r="AX885">
        <v>16743982</v>
      </c>
      <c r="AY885">
        <v>1</v>
      </c>
      <c r="AZ885">
        <v>0</v>
      </c>
      <c r="BA885">
        <v>814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Y885*Source!I627</f>
        <v>5.7600000000000001E-4</v>
      </c>
      <c r="CY885">
        <f t="shared" si="165"/>
        <v>14.1</v>
      </c>
      <c r="CZ885">
        <f t="shared" si="166"/>
        <v>2.15</v>
      </c>
      <c r="DA885">
        <f t="shared" si="167"/>
        <v>6.56</v>
      </c>
      <c r="DB885">
        <f t="shared" si="168"/>
        <v>0.01</v>
      </c>
      <c r="DC885">
        <f t="shared" si="169"/>
        <v>0</v>
      </c>
    </row>
    <row r="886" spans="1:107" x14ac:dyDescent="0.2">
      <c r="A886">
        <f>ROW(Source!A627)</f>
        <v>627</v>
      </c>
      <c r="B886">
        <v>16742901</v>
      </c>
      <c r="C886">
        <v>16743954</v>
      </c>
      <c r="D886">
        <v>15203740</v>
      </c>
      <c r="E886">
        <v>1</v>
      </c>
      <c r="F886">
        <v>1</v>
      </c>
      <c r="G886">
        <v>1</v>
      </c>
      <c r="H886">
        <v>3</v>
      </c>
      <c r="I886" t="s">
        <v>1802</v>
      </c>
      <c r="J886" t="s">
        <v>1803</v>
      </c>
      <c r="K886" t="s">
        <v>1804</v>
      </c>
      <c r="L886">
        <v>1348</v>
      </c>
      <c r="N886">
        <v>1009</v>
      </c>
      <c r="O886" t="s">
        <v>100</v>
      </c>
      <c r="P886" t="s">
        <v>100</v>
      </c>
      <c r="Q886">
        <v>1000</v>
      </c>
      <c r="W886">
        <v>0</v>
      </c>
      <c r="X886">
        <v>570223526</v>
      </c>
      <c r="Y886">
        <v>4.4000000000000002E-4</v>
      </c>
      <c r="AA886">
        <v>99180.64</v>
      </c>
      <c r="AB886">
        <v>0</v>
      </c>
      <c r="AC886">
        <v>0</v>
      </c>
      <c r="AD886">
        <v>0</v>
      </c>
      <c r="AE886">
        <v>15119</v>
      </c>
      <c r="AF886">
        <v>0</v>
      </c>
      <c r="AG886">
        <v>0</v>
      </c>
      <c r="AH886">
        <v>0</v>
      </c>
      <c r="AI886">
        <v>6.56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6</v>
      </c>
      <c r="AT886">
        <v>4.4000000000000002E-4</v>
      </c>
      <c r="AU886" t="s">
        <v>6</v>
      </c>
      <c r="AV886">
        <v>0</v>
      </c>
      <c r="AW886">
        <v>2</v>
      </c>
      <c r="AX886">
        <v>16743983</v>
      </c>
      <c r="AY886">
        <v>1</v>
      </c>
      <c r="AZ886">
        <v>0</v>
      </c>
      <c r="BA886">
        <v>815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Y886*Source!I627</f>
        <v>6.3360000000000003E-5</v>
      </c>
      <c r="CY886">
        <f t="shared" si="165"/>
        <v>99180.64</v>
      </c>
      <c r="CZ886">
        <f t="shared" si="166"/>
        <v>15119</v>
      </c>
      <c r="DA886">
        <f t="shared" si="167"/>
        <v>6.56</v>
      </c>
      <c r="DB886">
        <f t="shared" si="168"/>
        <v>6.65</v>
      </c>
      <c r="DC886">
        <f t="shared" si="169"/>
        <v>0</v>
      </c>
    </row>
    <row r="887" spans="1:107" x14ac:dyDescent="0.2">
      <c r="A887">
        <f>ROW(Source!A627)</f>
        <v>627</v>
      </c>
      <c r="B887">
        <v>16742901</v>
      </c>
      <c r="C887">
        <v>16743954</v>
      </c>
      <c r="D887">
        <v>15204468</v>
      </c>
      <c r="E887">
        <v>1</v>
      </c>
      <c r="F887">
        <v>1</v>
      </c>
      <c r="G887">
        <v>1</v>
      </c>
      <c r="H887">
        <v>3</v>
      </c>
      <c r="I887" t="s">
        <v>1623</v>
      </c>
      <c r="J887" t="s">
        <v>1624</v>
      </c>
      <c r="K887" t="s">
        <v>1625</v>
      </c>
      <c r="L887">
        <v>1348</v>
      </c>
      <c r="N887">
        <v>1009</v>
      </c>
      <c r="O887" t="s">
        <v>100</v>
      </c>
      <c r="P887" t="s">
        <v>100</v>
      </c>
      <c r="Q887">
        <v>1000</v>
      </c>
      <c r="W887">
        <v>0</v>
      </c>
      <c r="X887">
        <v>-909021926</v>
      </c>
      <c r="Y887">
        <v>5.2999999999999998E-4</v>
      </c>
      <c r="AA887">
        <v>111192</v>
      </c>
      <c r="AB887">
        <v>0</v>
      </c>
      <c r="AC887">
        <v>0</v>
      </c>
      <c r="AD887">
        <v>0</v>
      </c>
      <c r="AE887">
        <v>16950</v>
      </c>
      <c r="AF887">
        <v>0</v>
      </c>
      <c r="AG887">
        <v>0</v>
      </c>
      <c r="AH887">
        <v>0</v>
      </c>
      <c r="AI887">
        <v>6.56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6</v>
      </c>
      <c r="AT887">
        <v>5.2999999999999998E-4</v>
      </c>
      <c r="AU887" t="s">
        <v>6</v>
      </c>
      <c r="AV887">
        <v>0</v>
      </c>
      <c r="AW887">
        <v>2</v>
      </c>
      <c r="AX887">
        <v>16743984</v>
      </c>
      <c r="AY887">
        <v>1</v>
      </c>
      <c r="AZ887">
        <v>0</v>
      </c>
      <c r="BA887">
        <v>816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Y887*Source!I627</f>
        <v>7.6319999999999988E-5</v>
      </c>
      <c r="CY887">
        <f t="shared" si="165"/>
        <v>111192</v>
      </c>
      <c r="CZ887">
        <f t="shared" si="166"/>
        <v>16950</v>
      </c>
      <c r="DA887">
        <f t="shared" si="167"/>
        <v>6.56</v>
      </c>
      <c r="DB887">
        <f t="shared" si="168"/>
        <v>8.98</v>
      </c>
      <c r="DC887">
        <f t="shared" si="169"/>
        <v>0</v>
      </c>
    </row>
    <row r="888" spans="1:107" x14ac:dyDescent="0.2">
      <c r="A888">
        <f>ROW(Source!A627)</f>
        <v>627</v>
      </c>
      <c r="B888">
        <v>16742901</v>
      </c>
      <c r="C888">
        <v>16743954</v>
      </c>
      <c r="D888">
        <v>15227636</v>
      </c>
      <c r="E888">
        <v>1</v>
      </c>
      <c r="F888">
        <v>1</v>
      </c>
      <c r="G888">
        <v>1</v>
      </c>
      <c r="H888">
        <v>3</v>
      </c>
      <c r="I888" t="s">
        <v>1086</v>
      </c>
      <c r="J888" t="s">
        <v>1088</v>
      </c>
      <c r="K888" t="s">
        <v>1087</v>
      </c>
      <c r="L888">
        <v>1301</v>
      </c>
      <c r="N888">
        <v>1003</v>
      </c>
      <c r="O888" t="s">
        <v>220</v>
      </c>
      <c r="P888" t="s">
        <v>220</v>
      </c>
      <c r="Q888">
        <v>1</v>
      </c>
      <c r="W888">
        <v>0</v>
      </c>
      <c r="X888">
        <v>2097912475</v>
      </c>
      <c r="Y888">
        <v>100</v>
      </c>
      <c r="AA888">
        <v>133.30000000000001</v>
      </c>
      <c r="AB888">
        <v>0</v>
      </c>
      <c r="AC888">
        <v>0</v>
      </c>
      <c r="AD888">
        <v>0</v>
      </c>
      <c r="AE888">
        <v>20.32</v>
      </c>
      <c r="AF888">
        <v>0</v>
      </c>
      <c r="AG888">
        <v>0</v>
      </c>
      <c r="AH888">
        <v>0</v>
      </c>
      <c r="AI888">
        <v>6.56</v>
      </c>
      <c r="AJ888">
        <v>1</v>
      </c>
      <c r="AK888">
        <v>1</v>
      </c>
      <c r="AL888">
        <v>1</v>
      </c>
      <c r="AN888">
        <v>0</v>
      </c>
      <c r="AO888">
        <v>0</v>
      </c>
      <c r="AP888">
        <v>0</v>
      </c>
      <c r="AQ888">
        <v>0</v>
      </c>
      <c r="AR888">
        <v>0</v>
      </c>
      <c r="AS888" t="s">
        <v>6</v>
      </c>
      <c r="AT888">
        <v>100</v>
      </c>
      <c r="AU888" t="s">
        <v>6</v>
      </c>
      <c r="AV888">
        <v>0</v>
      </c>
      <c r="AW888">
        <v>1</v>
      </c>
      <c r="AX888">
        <v>-1</v>
      </c>
      <c r="AY888">
        <v>0</v>
      </c>
      <c r="AZ888">
        <v>0</v>
      </c>
      <c r="BA888" t="s">
        <v>6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Y888*Source!I627</f>
        <v>14.399999999999999</v>
      </c>
      <c r="CY888">
        <f t="shared" si="165"/>
        <v>133.30000000000001</v>
      </c>
      <c r="CZ888">
        <f t="shared" si="166"/>
        <v>20.32</v>
      </c>
      <c r="DA888">
        <f t="shared" si="167"/>
        <v>6.56</v>
      </c>
      <c r="DB888">
        <f t="shared" si="168"/>
        <v>2032</v>
      </c>
      <c r="DC888">
        <f t="shared" si="169"/>
        <v>0</v>
      </c>
    </row>
    <row r="889" spans="1:107" x14ac:dyDescent="0.2">
      <c r="A889">
        <f>ROW(Source!A629)</f>
        <v>629</v>
      </c>
      <c r="B889">
        <v>16742901</v>
      </c>
      <c r="C889">
        <v>16743990</v>
      </c>
      <c r="D889">
        <v>15446300</v>
      </c>
      <c r="E889">
        <v>1</v>
      </c>
      <c r="F889">
        <v>1</v>
      </c>
      <c r="G889">
        <v>1</v>
      </c>
      <c r="H889">
        <v>1</v>
      </c>
      <c r="I889" t="s">
        <v>1437</v>
      </c>
      <c r="J889" t="s">
        <v>6</v>
      </c>
      <c r="K889" t="s">
        <v>1438</v>
      </c>
      <c r="L889">
        <v>1191</v>
      </c>
      <c r="N889">
        <v>1013</v>
      </c>
      <c r="O889" t="s">
        <v>1287</v>
      </c>
      <c r="P889" t="s">
        <v>1287</v>
      </c>
      <c r="Q889">
        <v>1</v>
      </c>
      <c r="W889">
        <v>0</v>
      </c>
      <c r="X889">
        <v>912892513</v>
      </c>
      <c r="Y889">
        <v>4.46</v>
      </c>
      <c r="AA889">
        <v>0</v>
      </c>
      <c r="AB889">
        <v>0</v>
      </c>
      <c r="AC889">
        <v>0</v>
      </c>
      <c r="AD889">
        <v>65.08</v>
      </c>
      <c r="AE889">
        <v>0</v>
      </c>
      <c r="AF889">
        <v>0</v>
      </c>
      <c r="AG889">
        <v>0</v>
      </c>
      <c r="AH889">
        <v>9.92</v>
      </c>
      <c r="AI889">
        <v>1</v>
      </c>
      <c r="AJ889">
        <v>1</v>
      </c>
      <c r="AK889">
        <v>1</v>
      </c>
      <c r="AL889">
        <v>6.56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6</v>
      </c>
      <c r="AT889">
        <v>4.46</v>
      </c>
      <c r="AU889" t="s">
        <v>6</v>
      </c>
      <c r="AV889">
        <v>1</v>
      </c>
      <c r="AW889">
        <v>2</v>
      </c>
      <c r="AX889">
        <v>16744001</v>
      </c>
      <c r="AY889">
        <v>1</v>
      </c>
      <c r="AZ889">
        <v>0</v>
      </c>
      <c r="BA889">
        <v>820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Y889*Source!I629</f>
        <v>31.22</v>
      </c>
      <c r="CY889">
        <f>AD889</f>
        <v>65.08</v>
      </c>
      <c r="CZ889">
        <f>AH889</f>
        <v>9.92</v>
      </c>
      <c r="DA889">
        <f>AL889</f>
        <v>6.56</v>
      </c>
      <c r="DB889">
        <f t="shared" si="168"/>
        <v>44.24</v>
      </c>
      <c r="DC889">
        <f t="shared" si="169"/>
        <v>0</v>
      </c>
    </row>
    <row r="890" spans="1:107" x14ac:dyDescent="0.2">
      <c r="A890">
        <f>ROW(Source!A629)</f>
        <v>629</v>
      </c>
      <c r="B890">
        <v>16742901</v>
      </c>
      <c r="C890">
        <v>16743990</v>
      </c>
      <c r="D890">
        <v>15430395</v>
      </c>
      <c r="E890">
        <v>1</v>
      </c>
      <c r="F890">
        <v>1</v>
      </c>
      <c r="G890">
        <v>1</v>
      </c>
      <c r="H890">
        <v>1</v>
      </c>
      <c r="I890" t="s">
        <v>1293</v>
      </c>
      <c r="J890" t="s">
        <v>6</v>
      </c>
      <c r="K890" t="s">
        <v>1294</v>
      </c>
      <c r="L890">
        <v>1191</v>
      </c>
      <c r="N890">
        <v>1013</v>
      </c>
      <c r="O890" t="s">
        <v>1287</v>
      </c>
      <c r="P890" t="s">
        <v>1287</v>
      </c>
      <c r="Q890">
        <v>1</v>
      </c>
      <c r="W890">
        <v>0</v>
      </c>
      <c r="X890">
        <v>-1417349443</v>
      </c>
      <c r="Y890">
        <v>0.01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1</v>
      </c>
      <c r="AJ890">
        <v>1</v>
      </c>
      <c r="AK890">
        <v>6.56</v>
      </c>
      <c r="AL890">
        <v>1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6</v>
      </c>
      <c r="AT890">
        <v>0.01</v>
      </c>
      <c r="AU890" t="s">
        <v>6</v>
      </c>
      <c r="AV890">
        <v>2</v>
      </c>
      <c r="AW890">
        <v>2</v>
      </c>
      <c r="AX890">
        <v>16744002</v>
      </c>
      <c r="AY890">
        <v>1</v>
      </c>
      <c r="AZ890">
        <v>0</v>
      </c>
      <c r="BA890">
        <v>821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Y890*Source!I629</f>
        <v>7.0000000000000007E-2</v>
      </c>
      <c r="CY890">
        <f>AD890</f>
        <v>0</v>
      </c>
      <c r="CZ890">
        <f>AH890</f>
        <v>0</v>
      </c>
      <c r="DA890">
        <f>AL890</f>
        <v>1</v>
      </c>
      <c r="DB890">
        <f t="shared" si="168"/>
        <v>0</v>
      </c>
      <c r="DC890">
        <f t="shared" si="169"/>
        <v>0</v>
      </c>
    </row>
    <row r="891" spans="1:107" x14ac:dyDescent="0.2">
      <c r="A891">
        <f>ROW(Source!A629)</f>
        <v>629</v>
      </c>
      <c r="B891">
        <v>16742901</v>
      </c>
      <c r="C891">
        <v>16743990</v>
      </c>
      <c r="D891">
        <v>15249073</v>
      </c>
      <c r="E891">
        <v>1</v>
      </c>
      <c r="F891">
        <v>1</v>
      </c>
      <c r="G891">
        <v>1</v>
      </c>
      <c r="H891">
        <v>2</v>
      </c>
      <c r="I891" t="s">
        <v>1299</v>
      </c>
      <c r="J891" t="s">
        <v>1300</v>
      </c>
      <c r="K891" t="s">
        <v>1301</v>
      </c>
      <c r="L891">
        <v>1368</v>
      </c>
      <c r="N891">
        <v>1011</v>
      </c>
      <c r="O891" t="s">
        <v>1298</v>
      </c>
      <c r="P891" t="s">
        <v>1298</v>
      </c>
      <c r="Q891">
        <v>1</v>
      </c>
      <c r="W891">
        <v>0</v>
      </c>
      <c r="X891">
        <v>1372534845</v>
      </c>
      <c r="Y891">
        <v>0.01</v>
      </c>
      <c r="AA891">
        <v>0</v>
      </c>
      <c r="AB891">
        <v>431.06</v>
      </c>
      <c r="AC891">
        <v>11.6</v>
      </c>
      <c r="AD891">
        <v>0</v>
      </c>
      <c r="AE891">
        <v>0</v>
      </c>
      <c r="AF891">
        <v>65.709999999999994</v>
      </c>
      <c r="AG891">
        <v>11.6</v>
      </c>
      <c r="AH891">
        <v>0</v>
      </c>
      <c r="AI891">
        <v>1</v>
      </c>
      <c r="AJ891">
        <v>6.56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6</v>
      </c>
      <c r="AT891">
        <v>0.01</v>
      </c>
      <c r="AU891" t="s">
        <v>6</v>
      </c>
      <c r="AV891">
        <v>0</v>
      </c>
      <c r="AW891">
        <v>2</v>
      </c>
      <c r="AX891">
        <v>16744003</v>
      </c>
      <c r="AY891">
        <v>1</v>
      </c>
      <c r="AZ891">
        <v>0</v>
      </c>
      <c r="BA891">
        <v>822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Y891*Source!I629</f>
        <v>7.0000000000000007E-2</v>
      </c>
      <c r="CY891">
        <f>AB891</f>
        <v>431.06</v>
      </c>
      <c r="CZ891">
        <f>AF891</f>
        <v>65.709999999999994</v>
      </c>
      <c r="DA891">
        <f>AJ891</f>
        <v>6.56</v>
      </c>
      <c r="DB891">
        <f t="shared" si="168"/>
        <v>0.66</v>
      </c>
      <c r="DC891">
        <f t="shared" si="169"/>
        <v>0.12</v>
      </c>
    </row>
    <row r="892" spans="1:107" x14ac:dyDescent="0.2">
      <c r="A892">
        <f>ROW(Source!A629)</f>
        <v>629</v>
      </c>
      <c r="B892">
        <v>16742901</v>
      </c>
      <c r="C892">
        <v>16743990</v>
      </c>
      <c r="D892">
        <v>15249308</v>
      </c>
      <c r="E892">
        <v>1</v>
      </c>
      <c r="F892">
        <v>1</v>
      </c>
      <c r="G892">
        <v>1</v>
      </c>
      <c r="H892">
        <v>2</v>
      </c>
      <c r="I892" t="s">
        <v>1350</v>
      </c>
      <c r="J892" t="s">
        <v>1351</v>
      </c>
      <c r="K892" t="s">
        <v>1352</v>
      </c>
      <c r="L892">
        <v>1368</v>
      </c>
      <c r="N892">
        <v>1011</v>
      </c>
      <c r="O892" t="s">
        <v>1298</v>
      </c>
      <c r="P892" t="s">
        <v>1298</v>
      </c>
      <c r="Q892">
        <v>1</v>
      </c>
      <c r="W892">
        <v>0</v>
      </c>
      <c r="X892">
        <v>792402865</v>
      </c>
      <c r="Y892">
        <v>0.49</v>
      </c>
      <c r="AA892">
        <v>0</v>
      </c>
      <c r="AB892">
        <v>7.87</v>
      </c>
      <c r="AC892">
        <v>0</v>
      </c>
      <c r="AD892">
        <v>0</v>
      </c>
      <c r="AE892">
        <v>0</v>
      </c>
      <c r="AF892">
        <v>1.2</v>
      </c>
      <c r="AG892">
        <v>0</v>
      </c>
      <c r="AH892">
        <v>0</v>
      </c>
      <c r="AI892">
        <v>1</v>
      </c>
      <c r="AJ892">
        <v>6.56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6</v>
      </c>
      <c r="AT892">
        <v>0.49</v>
      </c>
      <c r="AU892" t="s">
        <v>6</v>
      </c>
      <c r="AV892">
        <v>0</v>
      </c>
      <c r="AW892">
        <v>2</v>
      </c>
      <c r="AX892">
        <v>16744004</v>
      </c>
      <c r="AY892">
        <v>1</v>
      </c>
      <c r="AZ892">
        <v>0</v>
      </c>
      <c r="BA892">
        <v>823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Y892*Source!I629</f>
        <v>3.4299999999999997</v>
      </c>
      <c r="CY892">
        <f>AB892</f>
        <v>7.87</v>
      </c>
      <c r="CZ892">
        <f>AF892</f>
        <v>1.2</v>
      </c>
      <c r="DA892">
        <f>AJ892</f>
        <v>6.56</v>
      </c>
      <c r="DB892">
        <f t="shared" si="168"/>
        <v>0.59</v>
      </c>
      <c r="DC892">
        <f t="shared" si="169"/>
        <v>0</v>
      </c>
    </row>
    <row r="893" spans="1:107" x14ac:dyDescent="0.2">
      <c r="A893">
        <f>ROW(Source!A629)</f>
        <v>629</v>
      </c>
      <c r="B893">
        <v>16742901</v>
      </c>
      <c r="C893">
        <v>16743990</v>
      </c>
      <c r="D893">
        <v>15249377</v>
      </c>
      <c r="E893">
        <v>1</v>
      </c>
      <c r="F893">
        <v>1</v>
      </c>
      <c r="G893">
        <v>1</v>
      </c>
      <c r="H893">
        <v>2</v>
      </c>
      <c r="I893" t="s">
        <v>1302</v>
      </c>
      <c r="J893" t="s">
        <v>1303</v>
      </c>
      <c r="K893" t="s">
        <v>1304</v>
      </c>
      <c r="L893">
        <v>1368</v>
      </c>
      <c r="N893">
        <v>1011</v>
      </c>
      <c r="O893" t="s">
        <v>1298</v>
      </c>
      <c r="P893" t="s">
        <v>1298</v>
      </c>
      <c r="Q893">
        <v>1</v>
      </c>
      <c r="W893">
        <v>0</v>
      </c>
      <c r="X893">
        <v>-353815937</v>
      </c>
      <c r="Y893">
        <v>0.43</v>
      </c>
      <c r="AA893">
        <v>0</v>
      </c>
      <c r="AB893">
        <v>53.14</v>
      </c>
      <c r="AC893">
        <v>0</v>
      </c>
      <c r="AD893">
        <v>0</v>
      </c>
      <c r="AE893">
        <v>0</v>
      </c>
      <c r="AF893">
        <v>8.1</v>
      </c>
      <c r="AG893">
        <v>0</v>
      </c>
      <c r="AH893">
        <v>0</v>
      </c>
      <c r="AI893">
        <v>1</v>
      </c>
      <c r="AJ893">
        <v>6.56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6</v>
      </c>
      <c r="AT893">
        <v>0.43</v>
      </c>
      <c r="AU893" t="s">
        <v>6</v>
      </c>
      <c r="AV893">
        <v>0</v>
      </c>
      <c r="AW893">
        <v>2</v>
      </c>
      <c r="AX893">
        <v>16744005</v>
      </c>
      <c r="AY893">
        <v>1</v>
      </c>
      <c r="AZ893">
        <v>0</v>
      </c>
      <c r="BA893">
        <v>824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Y893*Source!I629</f>
        <v>3.01</v>
      </c>
      <c r="CY893">
        <f>AB893</f>
        <v>53.14</v>
      </c>
      <c r="CZ893">
        <f>AF893</f>
        <v>8.1</v>
      </c>
      <c r="DA893">
        <f>AJ893</f>
        <v>6.56</v>
      </c>
      <c r="DB893">
        <f t="shared" si="168"/>
        <v>3.48</v>
      </c>
      <c r="DC893">
        <f t="shared" si="169"/>
        <v>0</v>
      </c>
    </row>
    <row r="894" spans="1:107" x14ac:dyDescent="0.2">
      <c r="A894">
        <f>ROW(Source!A629)</f>
        <v>629</v>
      </c>
      <c r="B894">
        <v>16742901</v>
      </c>
      <c r="C894">
        <v>16743990</v>
      </c>
      <c r="D894">
        <v>15165634</v>
      </c>
      <c r="E894">
        <v>1</v>
      </c>
      <c r="F894">
        <v>1</v>
      </c>
      <c r="G894">
        <v>1</v>
      </c>
      <c r="H894">
        <v>3</v>
      </c>
      <c r="I894" t="s">
        <v>1778</v>
      </c>
      <c r="J894" t="s">
        <v>1779</v>
      </c>
      <c r="K894" t="s">
        <v>1780</v>
      </c>
      <c r="L894">
        <v>1339</v>
      </c>
      <c r="N894">
        <v>1007</v>
      </c>
      <c r="O894" t="s">
        <v>301</v>
      </c>
      <c r="P894" t="s">
        <v>301</v>
      </c>
      <c r="Q894">
        <v>1</v>
      </c>
      <c r="W894">
        <v>0</v>
      </c>
      <c r="X894">
        <v>1706747518</v>
      </c>
      <c r="Y894">
        <v>8.3999999999999995E-3</v>
      </c>
      <c r="AA894">
        <v>252.63</v>
      </c>
      <c r="AB894">
        <v>0</v>
      </c>
      <c r="AC894">
        <v>0</v>
      </c>
      <c r="AD894">
        <v>0</v>
      </c>
      <c r="AE894">
        <v>38.51</v>
      </c>
      <c r="AF894">
        <v>0</v>
      </c>
      <c r="AG894">
        <v>0</v>
      </c>
      <c r="AH894">
        <v>0</v>
      </c>
      <c r="AI894">
        <v>6.56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6</v>
      </c>
      <c r="AT894">
        <v>8.3999999999999995E-3</v>
      </c>
      <c r="AU894" t="s">
        <v>6</v>
      </c>
      <c r="AV894">
        <v>0</v>
      </c>
      <c r="AW894">
        <v>2</v>
      </c>
      <c r="AX894">
        <v>16744006</v>
      </c>
      <c r="AY894">
        <v>1</v>
      </c>
      <c r="AZ894">
        <v>0</v>
      </c>
      <c r="BA894">
        <v>825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Y894*Source!I629</f>
        <v>5.8799999999999998E-2</v>
      </c>
      <c r="CY894">
        <f>AA894</f>
        <v>252.63</v>
      </c>
      <c r="CZ894">
        <f>AE894</f>
        <v>38.51</v>
      </c>
      <c r="DA894">
        <f>AI894</f>
        <v>6.56</v>
      </c>
      <c r="DB894">
        <f t="shared" si="168"/>
        <v>0.32</v>
      </c>
      <c r="DC894">
        <f t="shared" si="169"/>
        <v>0</v>
      </c>
    </row>
    <row r="895" spans="1:107" x14ac:dyDescent="0.2">
      <c r="A895">
        <f>ROW(Source!A629)</f>
        <v>629</v>
      </c>
      <c r="B895">
        <v>16742901</v>
      </c>
      <c r="C895">
        <v>16743990</v>
      </c>
      <c r="D895">
        <v>15165653</v>
      </c>
      <c r="E895">
        <v>1</v>
      </c>
      <c r="F895">
        <v>1</v>
      </c>
      <c r="G895">
        <v>1</v>
      </c>
      <c r="H895">
        <v>3</v>
      </c>
      <c r="I895" t="s">
        <v>1356</v>
      </c>
      <c r="J895" t="s">
        <v>1357</v>
      </c>
      <c r="K895" t="s">
        <v>1358</v>
      </c>
      <c r="L895">
        <v>1339</v>
      </c>
      <c r="N895">
        <v>1007</v>
      </c>
      <c r="O895" t="s">
        <v>301</v>
      </c>
      <c r="P895" t="s">
        <v>301</v>
      </c>
      <c r="Q895">
        <v>1</v>
      </c>
      <c r="W895">
        <v>0</v>
      </c>
      <c r="X895">
        <v>1262771840</v>
      </c>
      <c r="Y895">
        <v>3.6999999999999998E-2</v>
      </c>
      <c r="AA895">
        <v>40.799999999999997</v>
      </c>
      <c r="AB895">
        <v>0</v>
      </c>
      <c r="AC895">
        <v>0</v>
      </c>
      <c r="AD895">
        <v>0</v>
      </c>
      <c r="AE895">
        <v>6.22</v>
      </c>
      <c r="AF895">
        <v>0</v>
      </c>
      <c r="AG895">
        <v>0</v>
      </c>
      <c r="AH895">
        <v>0</v>
      </c>
      <c r="AI895">
        <v>6.56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6</v>
      </c>
      <c r="AT895">
        <v>3.6999999999999998E-2</v>
      </c>
      <c r="AU895" t="s">
        <v>6</v>
      </c>
      <c r="AV895">
        <v>0</v>
      </c>
      <c r="AW895">
        <v>2</v>
      </c>
      <c r="AX895">
        <v>16744007</v>
      </c>
      <c r="AY895">
        <v>1</v>
      </c>
      <c r="AZ895">
        <v>0</v>
      </c>
      <c r="BA895">
        <v>826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Y895*Source!I629</f>
        <v>0.25900000000000001</v>
      </c>
      <c r="CY895">
        <f>AA895</f>
        <v>40.799999999999997</v>
      </c>
      <c r="CZ895">
        <f>AE895</f>
        <v>6.22</v>
      </c>
      <c r="DA895">
        <f>AI895</f>
        <v>6.56</v>
      </c>
      <c r="DB895">
        <f t="shared" si="168"/>
        <v>0.23</v>
      </c>
      <c r="DC895">
        <f t="shared" si="169"/>
        <v>0</v>
      </c>
    </row>
    <row r="896" spans="1:107" x14ac:dyDescent="0.2">
      <c r="A896">
        <f>ROW(Source!A629)</f>
        <v>629</v>
      </c>
      <c r="B896">
        <v>16742901</v>
      </c>
      <c r="C896">
        <v>16743990</v>
      </c>
      <c r="D896">
        <v>15168763</v>
      </c>
      <c r="E896">
        <v>1</v>
      </c>
      <c r="F896">
        <v>1</v>
      </c>
      <c r="G896">
        <v>1</v>
      </c>
      <c r="H896">
        <v>3</v>
      </c>
      <c r="I896" t="s">
        <v>1305</v>
      </c>
      <c r="J896" t="s">
        <v>1306</v>
      </c>
      <c r="K896" t="s">
        <v>1307</v>
      </c>
      <c r="L896">
        <v>1348</v>
      </c>
      <c r="N896">
        <v>1009</v>
      </c>
      <c r="O896" t="s">
        <v>100</v>
      </c>
      <c r="P896" t="s">
        <v>100</v>
      </c>
      <c r="Q896">
        <v>1000</v>
      </c>
      <c r="W896">
        <v>0</v>
      </c>
      <c r="X896">
        <v>-1068056325</v>
      </c>
      <c r="Y896">
        <v>1.4999999999999999E-4</v>
      </c>
      <c r="AA896">
        <v>67974.720000000001</v>
      </c>
      <c r="AB896">
        <v>0</v>
      </c>
      <c r="AC896">
        <v>0</v>
      </c>
      <c r="AD896">
        <v>0</v>
      </c>
      <c r="AE896">
        <v>10362</v>
      </c>
      <c r="AF896">
        <v>0</v>
      </c>
      <c r="AG896">
        <v>0</v>
      </c>
      <c r="AH896">
        <v>0</v>
      </c>
      <c r="AI896">
        <v>6.56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6</v>
      </c>
      <c r="AT896">
        <v>1.4999999999999999E-4</v>
      </c>
      <c r="AU896" t="s">
        <v>6</v>
      </c>
      <c r="AV896">
        <v>0</v>
      </c>
      <c r="AW896">
        <v>2</v>
      </c>
      <c r="AX896">
        <v>16744008</v>
      </c>
      <c r="AY896">
        <v>1</v>
      </c>
      <c r="AZ896">
        <v>0</v>
      </c>
      <c r="BA896">
        <v>827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Y896*Source!I629</f>
        <v>1.0499999999999999E-3</v>
      </c>
      <c r="CY896">
        <f>AA896</f>
        <v>67974.720000000001</v>
      </c>
      <c r="CZ896">
        <f>AE896</f>
        <v>10362</v>
      </c>
      <c r="DA896">
        <f>AI896</f>
        <v>6.56</v>
      </c>
      <c r="DB896">
        <f t="shared" si="168"/>
        <v>1.55</v>
      </c>
      <c r="DC896">
        <f t="shared" si="169"/>
        <v>0</v>
      </c>
    </row>
    <row r="897" spans="1:107" x14ac:dyDescent="0.2">
      <c r="A897">
        <f>ROW(Source!A629)</f>
        <v>629</v>
      </c>
      <c r="B897">
        <v>16742901</v>
      </c>
      <c r="C897">
        <v>16743990</v>
      </c>
      <c r="D897">
        <v>15227601</v>
      </c>
      <c r="E897">
        <v>1</v>
      </c>
      <c r="F897">
        <v>1</v>
      </c>
      <c r="G897">
        <v>1</v>
      </c>
      <c r="H897">
        <v>3</v>
      </c>
      <c r="I897" t="s">
        <v>1805</v>
      </c>
      <c r="J897" t="s">
        <v>1806</v>
      </c>
      <c r="K897" t="s">
        <v>1807</v>
      </c>
      <c r="L897">
        <v>1301</v>
      </c>
      <c r="N897">
        <v>1003</v>
      </c>
      <c r="O897" t="s">
        <v>220</v>
      </c>
      <c r="P897" t="s">
        <v>220</v>
      </c>
      <c r="Q897">
        <v>1</v>
      </c>
      <c r="W897">
        <v>0</v>
      </c>
      <c r="X897">
        <v>1300183388</v>
      </c>
      <c r="Y897">
        <v>0.4</v>
      </c>
      <c r="AA897">
        <v>164.66</v>
      </c>
      <c r="AB897">
        <v>0</v>
      </c>
      <c r="AC897">
        <v>0</v>
      </c>
      <c r="AD897">
        <v>0</v>
      </c>
      <c r="AE897">
        <v>25.1</v>
      </c>
      <c r="AF897">
        <v>0</v>
      </c>
      <c r="AG897">
        <v>0</v>
      </c>
      <c r="AH897">
        <v>0</v>
      </c>
      <c r="AI897">
        <v>6.56</v>
      </c>
      <c r="AJ897">
        <v>1</v>
      </c>
      <c r="AK897">
        <v>1</v>
      </c>
      <c r="AL897">
        <v>1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6</v>
      </c>
      <c r="AT897">
        <v>0.4</v>
      </c>
      <c r="AU897" t="s">
        <v>6</v>
      </c>
      <c r="AV897">
        <v>0</v>
      </c>
      <c r="AW897">
        <v>2</v>
      </c>
      <c r="AX897">
        <v>16744010</v>
      </c>
      <c r="AY897">
        <v>1</v>
      </c>
      <c r="AZ897">
        <v>0</v>
      </c>
      <c r="BA897">
        <v>829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Y897*Source!I629</f>
        <v>2.8000000000000003</v>
      </c>
      <c r="CY897">
        <f>AA897</f>
        <v>164.66</v>
      </c>
      <c r="CZ897">
        <f>AE897</f>
        <v>25.1</v>
      </c>
      <c r="DA897">
        <f>AI897</f>
        <v>6.56</v>
      </c>
      <c r="DB897">
        <f t="shared" si="168"/>
        <v>10.039999999999999</v>
      </c>
      <c r="DC897">
        <f t="shared" si="169"/>
        <v>0</v>
      </c>
    </row>
    <row r="898" spans="1:107" x14ac:dyDescent="0.2">
      <c r="A898">
        <f>ROW(Source!A630)</f>
        <v>630</v>
      </c>
      <c r="B898">
        <v>16742901</v>
      </c>
      <c r="C898">
        <v>16744013</v>
      </c>
      <c r="D898">
        <v>15430497</v>
      </c>
      <c r="E898">
        <v>1</v>
      </c>
      <c r="F898">
        <v>1</v>
      </c>
      <c r="G898">
        <v>1</v>
      </c>
      <c r="H898">
        <v>1</v>
      </c>
      <c r="I898" t="s">
        <v>1519</v>
      </c>
      <c r="J898" t="s">
        <v>6</v>
      </c>
      <c r="K898" t="s">
        <v>1520</v>
      </c>
      <c r="L898">
        <v>1191</v>
      </c>
      <c r="N898">
        <v>1013</v>
      </c>
      <c r="O898" t="s">
        <v>1287</v>
      </c>
      <c r="P898" t="s">
        <v>1287</v>
      </c>
      <c r="Q898">
        <v>1</v>
      </c>
      <c r="W898">
        <v>0</v>
      </c>
      <c r="X898">
        <v>-719309759</v>
      </c>
      <c r="Y898">
        <v>81.718999999999994</v>
      </c>
      <c r="AA898">
        <v>0</v>
      </c>
      <c r="AB898">
        <v>0</v>
      </c>
      <c r="AC898">
        <v>0</v>
      </c>
      <c r="AD898">
        <v>58.12</v>
      </c>
      <c r="AE898">
        <v>0</v>
      </c>
      <c r="AF898">
        <v>0</v>
      </c>
      <c r="AG898">
        <v>0</v>
      </c>
      <c r="AH898">
        <v>8.86</v>
      </c>
      <c r="AI898">
        <v>1</v>
      </c>
      <c r="AJ898">
        <v>1</v>
      </c>
      <c r="AK898">
        <v>1</v>
      </c>
      <c r="AL898">
        <v>6.56</v>
      </c>
      <c r="AN898">
        <v>0</v>
      </c>
      <c r="AO898">
        <v>1</v>
      </c>
      <c r="AP898">
        <v>1</v>
      </c>
      <c r="AQ898">
        <v>0</v>
      </c>
      <c r="AR898">
        <v>0</v>
      </c>
      <c r="AS898" t="s">
        <v>6</v>
      </c>
      <c r="AT898">
        <v>71.06</v>
      </c>
      <c r="AU898" t="s">
        <v>188</v>
      </c>
      <c r="AV898">
        <v>1</v>
      </c>
      <c r="AW898">
        <v>2</v>
      </c>
      <c r="AX898">
        <v>16744022</v>
      </c>
      <c r="AY898">
        <v>1</v>
      </c>
      <c r="AZ898">
        <v>0</v>
      </c>
      <c r="BA898">
        <v>830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Y898*Source!I630</f>
        <v>19.383746799999997</v>
      </c>
      <c r="CY898">
        <f>AD898</f>
        <v>58.12</v>
      </c>
      <c r="CZ898">
        <f>AH898</f>
        <v>8.86</v>
      </c>
      <c r="DA898">
        <f>AL898</f>
        <v>6.56</v>
      </c>
      <c r="DB898">
        <f>ROUND((ROUND(AT898*CZ898,2)*1.15),2)</f>
        <v>724.03</v>
      </c>
      <c r="DC898">
        <f>ROUND((ROUND(AT898*AG898,2)*1.15),2)</f>
        <v>0</v>
      </c>
    </row>
    <row r="899" spans="1:107" x14ac:dyDescent="0.2">
      <c r="A899">
        <f>ROW(Source!A630)</f>
        <v>630</v>
      </c>
      <c r="B899">
        <v>16742901</v>
      </c>
      <c r="C899">
        <v>16744013</v>
      </c>
      <c r="D899">
        <v>15430395</v>
      </c>
      <c r="E899">
        <v>1</v>
      </c>
      <c r="F899">
        <v>1</v>
      </c>
      <c r="G899">
        <v>1</v>
      </c>
      <c r="H899">
        <v>1</v>
      </c>
      <c r="I899" t="s">
        <v>1293</v>
      </c>
      <c r="J899" t="s">
        <v>6</v>
      </c>
      <c r="K899" t="s">
        <v>1294</v>
      </c>
      <c r="L899">
        <v>1191</v>
      </c>
      <c r="N899">
        <v>1013</v>
      </c>
      <c r="O899" t="s">
        <v>1287</v>
      </c>
      <c r="P899" t="s">
        <v>1287</v>
      </c>
      <c r="Q899">
        <v>1</v>
      </c>
      <c r="W899">
        <v>0</v>
      </c>
      <c r="X899">
        <v>-1417349443</v>
      </c>
      <c r="Y899">
        <v>0.04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1</v>
      </c>
      <c r="AJ899">
        <v>1</v>
      </c>
      <c r="AK899">
        <v>6.56</v>
      </c>
      <c r="AL899">
        <v>1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6</v>
      </c>
      <c r="AT899">
        <v>0.04</v>
      </c>
      <c r="AU899" t="s">
        <v>6</v>
      </c>
      <c r="AV899">
        <v>2</v>
      </c>
      <c r="AW899">
        <v>2</v>
      </c>
      <c r="AX899">
        <v>16744023</v>
      </c>
      <c r="AY899">
        <v>1</v>
      </c>
      <c r="AZ899">
        <v>2048</v>
      </c>
      <c r="BA899">
        <v>831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Y899*Source!I630</f>
        <v>9.4879999999999999E-3</v>
      </c>
      <c r="CY899">
        <f>AD899</f>
        <v>0</v>
      </c>
      <c r="CZ899">
        <f>AH899</f>
        <v>0</v>
      </c>
      <c r="DA899">
        <f>AL899</f>
        <v>1</v>
      </c>
      <c r="DB899">
        <f>ROUND(ROUND(AT899*CZ899,2),2)</f>
        <v>0</v>
      </c>
      <c r="DC899">
        <f>ROUND(ROUND(AT899*AG899,2),2)</f>
        <v>0</v>
      </c>
    </row>
    <row r="900" spans="1:107" x14ac:dyDescent="0.2">
      <c r="A900">
        <f>ROW(Source!A630)</f>
        <v>630</v>
      </c>
      <c r="B900">
        <v>16742901</v>
      </c>
      <c r="C900">
        <v>16744013</v>
      </c>
      <c r="D900">
        <v>15247974</v>
      </c>
      <c r="E900">
        <v>1</v>
      </c>
      <c r="F900">
        <v>1</v>
      </c>
      <c r="G900">
        <v>1</v>
      </c>
      <c r="H900">
        <v>2</v>
      </c>
      <c r="I900" t="s">
        <v>1314</v>
      </c>
      <c r="J900" t="s">
        <v>1315</v>
      </c>
      <c r="K900" t="s">
        <v>1316</v>
      </c>
      <c r="L900">
        <v>1368</v>
      </c>
      <c r="N900">
        <v>1011</v>
      </c>
      <c r="O900" t="s">
        <v>1298</v>
      </c>
      <c r="P900" t="s">
        <v>1298</v>
      </c>
      <c r="Q900">
        <v>1</v>
      </c>
      <c r="W900">
        <v>0</v>
      </c>
      <c r="X900">
        <v>1188625873</v>
      </c>
      <c r="Y900">
        <v>1.2500000000000001E-2</v>
      </c>
      <c r="AA900">
        <v>0</v>
      </c>
      <c r="AB900">
        <v>205.07</v>
      </c>
      <c r="AC900">
        <v>13.5</v>
      </c>
      <c r="AD900">
        <v>0</v>
      </c>
      <c r="AE900">
        <v>0</v>
      </c>
      <c r="AF900">
        <v>31.26</v>
      </c>
      <c r="AG900">
        <v>13.5</v>
      </c>
      <c r="AH900">
        <v>0</v>
      </c>
      <c r="AI900">
        <v>1</v>
      </c>
      <c r="AJ900">
        <v>6.56</v>
      </c>
      <c r="AK900">
        <v>1</v>
      </c>
      <c r="AL900">
        <v>1</v>
      </c>
      <c r="AN900">
        <v>0</v>
      </c>
      <c r="AO900">
        <v>1</v>
      </c>
      <c r="AP900">
        <v>1</v>
      </c>
      <c r="AQ900">
        <v>0</v>
      </c>
      <c r="AR900">
        <v>0</v>
      </c>
      <c r="AS900" t="s">
        <v>6</v>
      </c>
      <c r="AT900">
        <v>0.01</v>
      </c>
      <c r="AU900" t="s">
        <v>187</v>
      </c>
      <c r="AV900">
        <v>0</v>
      </c>
      <c r="AW900">
        <v>2</v>
      </c>
      <c r="AX900">
        <v>16744024</v>
      </c>
      <c r="AY900">
        <v>1</v>
      </c>
      <c r="AZ900">
        <v>0</v>
      </c>
      <c r="BA900">
        <v>832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Y900*Source!I630</f>
        <v>2.9650000000000002E-3</v>
      </c>
      <c r="CY900">
        <f>AB900</f>
        <v>205.07</v>
      </c>
      <c r="CZ900">
        <f>AF900</f>
        <v>31.26</v>
      </c>
      <c r="DA900">
        <f>AJ900</f>
        <v>6.56</v>
      </c>
      <c r="DB900">
        <f>ROUND((ROUND(AT900*CZ900,2)*1.25),2)</f>
        <v>0.39</v>
      </c>
      <c r="DC900">
        <f>ROUND((ROUND(AT900*AG900,2)*1.25),2)</f>
        <v>0.18</v>
      </c>
    </row>
    <row r="901" spans="1:107" x14ac:dyDescent="0.2">
      <c r="A901">
        <f>ROW(Source!A630)</f>
        <v>630</v>
      </c>
      <c r="B901">
        <v>16742901</v>
      </c>
      <c r="C901">
        <v>16744013</v>
      </c>
      <c r="D901">
        <v>15249073</v>
      </c>
      <c r="E901">
        <v>1</v>
      </c>
      <c r="F901">
        <v>1</v>
      </c>
      <c r="G901">
        <v>1</v>
      </c>
      <c r="H901">
        <v>2</v>
      </c>
      <c r="I901" t="s">
        <v>1299</v>
      </c>
      <c r="J901" t="s">
        <v>1300</v>
      </c>
      <c r="K901" t="s">
        <v>1301</v>
      </c>
      <c r="L901">
        <v>1368</v>
      </c>
      <c r="N901">
        <v>1011</v>
      </c>
      <c r="O901" t="s">
        <v>1298</v>
      </c>
      <c r="P901" t="s">
        <v>1298</v>
      </c>
      <c r="Q901">
        <v>1</v>
      </c>
      <c r="W901">
        <v>0</v>
      </c>
      <c r="X901">
        <v>1372534845</v>
      </c>
      <c r="Y901">
        <v>3.7499999999999999E-2</v>
      </c>
      <c r="AA901">
        <v>0</v>
      </c>
      <c r="AB901">
        <v>431.06</v>
      </c>
      <c r="AC901">
        <v>11.6</v>
      </c>
      <c r="AD901">
        <v>0</v>
      </c>
      <c r="AE901">
        <v>0</v>
      </c>
      <c r="AF901">
        <v>65.709999999999994</v>
      </c>
      <c r="AG901">
        <v>11.6</v>
      </c>
      <c r="AH901">
        <v>0</v>
      </c>
      <c r="AI901">
        <v>1</v>
      </c>
      <c r="AJ901">
        <v>6.56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6</v>
      </c>
      <c r="AT901">
        <v>0.03</v>
      </c>
      <c r="AU901" t="s">
        <v>187</v>
      </c>
      <c r="AV901">
        <v>0</v>
      </c>
      <c r="AW901">
        <v>2</v>
      </c>
      <c r="AX901">
        <v>16744025</v>
      </c>
      <c r="AY901">
        <v>1</v>
      </c>
      <c r="AZ901">
        <v>0</v>
      </c>
      <c r="BA901">
        <v>833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Y901*Source!I630</f>
        <v>8.8950000000000001E-3</v>
      </c>
      <c r="CY901">
        <f>AB901</f>
        <v>431.06</v>
      </c>
      <c r="CZ901">
        <f>AF901</f>
        <v>65.709999999999994</v>
      </c>
      <c r="DA901">
        <f>AJ901</f>
        <v>6.56</v>
      </c>
      <c r="DB901">
        <f>ROUND((ROUND(AT901*CZ901,2)*1.25),2)</f>
        <v>2.46</v>
      </c>
      <c r="DC901">
        <f>ROUND((ROUND(AT901*AG901,2)*1.25),2)</f>
        <v>0.44</v>
      </c>
    </row>
    <row r="902" spans="1:107" x14ac:dyDescent="0.2">
      <c r="A902">
        <f>ROW(Source!A630)</f>
        <v>630</v>
      </c>
      <c r="B902">
        <v>16742901</v>
      </c>
      <c r="C902">
        <v>16744013</v>
      </c>
      <c r="D902">
        <v>15171018</v>
      </c>
      <c r="E902">
        <v>1</v>
      </c>
      <c r="F902">
        <v>1</v>
      </c>
      <c r="G902">
        <v>1</v>
      </c>
      <c r="H902">
        <v>3</v>
      </c>
      <c r="I902" t="s">
        <v>1431</v>
      </c>
      <c r="J902" t="s">
        <v>1432</v>
      </c>
      <c r="K902" t="s">
        <v>1433</v>
      </c>
      <c r="L902">
        <v>1346</v>
      </c>
      <c r="N902">
        <v>1009</v>
      </c>
      <c r="O902" t="s">
        <v>341</v>
      </c>
      <c r="P902" t="s">
        <v>341</v>
      </c>
      <c r="Q902">
        <v>1</v>
      </c>
      <c r="W902">
        <v>0</v>
      </c>
      <c r="X902">
        <v>813963326</v>
      </c>
      <c r="Y902">
        <v>0.3</v>
      </c>
      <c r="AA902">
        <v>11.94</v>
      </c>
      <c r="AB902">
        <v>0</v>
      </c>
      <c r="AC902">
        <v>0</v>
      </c>
      <c r="AD902">
        <v>0</v>
      </c>
      <c r="AE902">
        <v>1.82</v>
      </c>
      <c r="AF902">
        <v>0</v>
      </c>
      <c r="AG902">
        <v>0</v>
      </c>
      <c r="AH902">
        <v>0</v>
      </c>
      <c r="AI902">
        <v>6.56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6</v>
      </c>
      <c r="AT902">
        <v>0.3</v>
      </c>
      <c r="AU902" t="s">
        <v>6</v>
      </c>
      <c r="AV902">
        <v>0</v>
      </c>
      <c r="AW902">
        <v>2</v>
      </c>
      <c r="AX902">
        <v>16744026</v>
      </c>
      <c r="AY902">
        <v>1</v>
      </c>
      <c r="AZ902">
        <v>0</v>
      </c>
      <c r="BA902">
        <v>834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Y902*Source!I630</f>
        <v>7.1160000000000001E-2</v>
      </c>
      <c r="CY902">
        <f>AA902</f>
        <v>11.94</v>
      </c>
      <c r="CZ902">
        <f>AE902</f>
        <v>1.82</v>
      </c>
      <c r="DA902">
        <f>AI902</f>
        <v>6.56</v>
      </c>
      <c r="DB902">
        <f>ROUND(ROUND(AT902*CZ902,2),2)</f>
        <v>0.55000000000000004</v>
      </c>
      <c r="DC902">
        <f>ROUND(ROUND(AT902*AG902,2),2)</f>
        <v>0</v>
      </c>
    </row>
    <row r="903" spans="1:107" x14ac:dyDescent="0.2">
      <c r="A903">
        <f>ROW(Source!A630)</f>
        <v>630</v>
      </c>
      <c r="B903">
        <v>16742901</v>
      </c>
      <c r="C903">
        <v>16744013</v>
      </c>
      <c r="D903">
        <v>15163068</v>
      </c>
      <c r="E903">
        <v>17</v>
      </c>
      <c r="F903">
        <v>1</v>
      </c>
      <c r="G903">
        <v>1</v>
      </c>
      <c r="H903">
        <v>3</v>
      </c>
      <c r="I903" t="s">
        <v>640</v>
      </c>
      <c r="J903" t="s">
        <v>6</v>
      </c>
      <c r="K903" t="s">
        <v>648</v>
      </c>
      <c r="L903">
        <v>1348</v>
      </c>
      <c r="N903">
        <v>1009</v>
      </c>
      <c r="O903" t="s">
        <v>100</v>
      </c>
      <c r="P903" t="s">
        <v>100</v>
      </c>
      <c r="Q903">
        <v>1000</v>
      </c>
      <c r="W903">
        <v>0</v>
      </c>
      <c r="X903">
        <v>84301199</v>
      </c>
      <c r="Y903">
        <v>2.46E-2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6.56</v>
      </c>
      <c r="AJ903">
        <v>1</v>
      </c>
      <c r="AK903">
        <v>1</v>
      </c>
      <c r="AL903">
        <v>1</v>
      </c>
      <c r="AN903">
        <v>0</v>
      </c>
      <c r="AO903">
        <v>0</v>
      </c>
      <c r="AP903">
        <v>0</v>
      </c>
      <c r="AQ903">
        <v>0</v>
      </c>
      <c r="AR903">
        <v>0</v>
      </c>
      <c r="AS903" t="s">
        <v>6</v>
      </c>
      <c r="AT903">
        <v>2.46E-2</v>
      </c>
      <c r="AU903" t="s">
        <v>6</v>
      </c>
      <c r="AV903">
        <v>0</v>
      </c>
      <c r="AW903">
        <v>2</v>
      </c>
      <c r="AX903">
        <v>16744027</v>
      </c>
      <c r="AY903">
        <v>1</v>
      </c>
      <c r="AZ903">
        <v>0</v>
      </c>
      <c r="BA903">
        <v>835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Y903*Source!I630</f>
        <v>5.8351200000000001E-3</v>
      </c>
      <c r="CY903">
        <f>AA903</f>
        <v>0</v>
      </c>
      <c r="CZ903">
        <f>AE903</f>
        <v>0</v>
      </c>
      <c r="DA903">
        <f>AI903</f>
        <v>6.56</v>
      </c>
      <c r="DB903">
        <f>ROUND(ROUND(AT903*CZ903,2),2)</f>
        <v>0</v>
      </c>
      <c r="DC903">
        <f>ROUND(ROUND(AT903*AG903,2),2)</f>
        <v>0</v>
      </c>
    </row>
    <row r="904" spans="1:107" x14ac:dyDescent="0.2">
      <c r="A904">
        <f>ROW(Source!A630)</f>
        <v>630</v>
      </c>
      <c r="B904">
        <v>16742901</v>
      </c>
      <c r="C904">
        <v>16744013</v>
      </c>
      <c r="D904">
        <v>15203725</v>
      </c>
      <c r="E904">
        <v>1</v>
      </c>
      <c r="F904">
        <v>1</v>
      </c>
      <c r="G904">
        <v>1</v>
      </c>
      <c r="H904">
        <v>3</v>
      </c>
      <c r="I904" t="s">
        <v>636</v>
      </c>
      <c r="J904" t="s">
        <v>638</v>
      </c>
      <c r="K904" t="s">
        <v>637</v>
      </c>
      <c r="L904">
        <v>1348</v>
      </c>
      <c r="N904">
        <v>1009</v>
      </c>
      <c r="O904" t="s">
        <v>100</v>
      </c>
      <c r="P904" t="s">
        <v>100</v>
      </c>
      <c r="Q904">
        <v>1000</v>
      </c>
      <c r="W904">
        <v>0</v>
      </c>
      <c r="X904">
        <v>-777870615</v>
      </c>
      <c r="Y904">
        <v>2.46E-2</v>
      </c>
      <c r="AA904">
        <v>278853.73</v>
      </c>
      <c r="AB904">
        <v>0</v>
      </c>
      <c r="AC904">
        <v>0</v>
      </c>
      <c r="AD904">
        <v>0</v>
      </c>
      <c r="AE904">
        <v>42508.19</v>
      </c>
      <c r="AF904">
        <v>0</v>
      </c>
      <c r="AG904">
        <v>0</v>
      </c>
      <c r="AH904">
        <v>0</v>
      </c>
      <c r="AI904">
        <v>6.56</v>
      </c>
      <c r="AJ904">
        <v>1</v>
      </c>
      <c r="AK904">
        <v>1</v>
      </c>
      <c r="AL904">
        <v>1</v>
      </c>
      <c r="AN904">
        <v>0</v>
      </c>
      <c r="AO904">
        <v>0</v>
      </c>
      <c r="AP904">
        <v>0</v>
      </c>
      <c r="AQ904">
        <v>0</v>
      </c>
      <c r="AR904">
        <v>0</v>
      </c>
      <c r="AS904" t="s">
        <v>6</v>
      </c>
      <c r="AT904">
        <v>2.46E-2</v>
      </c>
      <c r="AU904" t="s">
        <v>6</v>
      </c>
      <c r="AV904">
        <v>0</v>
      </c>
      <c r="AW904">
        <v>1</v>
      </c>
      <c r="AX904">
        <v>-1</v>
      </c>
      <c r="AY904">
        <v>0</v>
      </c>
      <c r="AZ904">
        <v>0</v>
      </c>
      <c r="BA904" t="s">
        <v>6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Y904*Source!I630</f>
        <v>5.8351200000000001E-3</v>
      </c>
      <c r="CY904">
        <f>AA904</f>
        <v>278853.73</v>
      </c>
      <c r="CZ904">
        <f>AE904</f>
        <v>42508.19</v>
      </c>
      <c r="DA904">
        <f>AI904</f>
        <v>6.56</v>
      </c>
      <c r="DB904">
        <f>ROUND(ROUND(AT904*CZ904,2),2)</f>
        <v>1045.7</v>
      </c>
      <c r="DC904">
        <f>ROUND(ROUND(AT904*AG904,2),2)</f>
        <v>0</v>
      </c>
    </row>
    <row r="905" spans="1:107" x14ac:dyDescent="0.2">
      <c r="A905">
        <f>ROW(Source!A630)</f>
        <v>630</v>
      </c>
      <c r="B905">
        <v>16742901</v>
      </c>
      <c r="C905">
        <v>16744013</v>
      </c>
      <c r="D905">
        <v>15204471</v>
      </c>
      <c r="E905">
        <v>1</v>
      </c>
      <c r="F905">
        <v>1</v>
      </c>
      <c r="G905">
        <v>1</v>
      </c>
      <c r="H905">
        <v>3</v>
      </c>
      <c r="I905" t="s">
        <v>1775</v>
      </c>
      <c r="J905" t="s">
        <v>1776</v>
      </c>
      <c r="K905" t="s">
        <v>1777</v>
      </c>
      <c r="L905">
        <v>1346</v>
      </c>
      <c r="N905">
        <v>1009</v>
      </c>
      <c r="O905" t="s">
        <v>341</v>
      </c>
      <c r="P905" t="s">
        <v>341</v>
      </c>
      <c r="Q905">
        <v>1</v>
      </c>
      <c r="W905">
        <v>0</v>
      </c>
      <c r="X905">
        <v>-608190322</v>
      </c>
      <c r="Y905">
        <v>2.7</v>
      </c>
      <c r="AA905">
        <v>213.86</v>
      </c>
      <c r="AB905">
        <v>0</v>
      </c>
      <c r="AC905">
        <v>0</v>
      </c>
      <c r="AD905">
        <v>0</v>
      </c>
      <c r="AE905">
        <v>32.6</v>
      </c>
      <c r="AF905">
        <v>0</v>
      </c>
      <c r="AG905">
        <v>0</v>
      </c>
      <c r="AH905">
        <v>0</v>
      </c>
      <c r="AI905">
        <v>6.56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6</v>
      </c>
      <c r="AT905">
        <v>2.7</v>
      </c>
      <c r="AU905" t="s">
        <v>6</v>
      </c>
      <c r="AV905">
        <v>0</v>
      </c>
      <c r="AW905">
        <v>2</v>
      </c>
      <c r="AX905">
        <v>16744028</v>
      </c>
      <c r="AY905">
        <v>1</v>
      </c>
      <c r="AZ905">
        <v>0</v>
      </c>
      <c r="BA905">
        <v>836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Y905*Source!I630</f>
        <v>0.64044000000000001</v>
      </c>
      <c r="CY905">
        <f>AA905</f>
        <v>213.86</v>
      </c>
      <c r="CZ905">
        <f>AE905</f>
        <v>32.6</v>
      </c>
      <c r="DA905">
        <f>AI905</f>
        <v>6.56</v>
      </c>
      <c r="DB905">
        <f>ROUND(ROUND(AT905*CZ905,2),2)</f>
        <v>88.02</v>
      </c>
      <c r="DC905">
        <f>ROUND(ROUND(AT905*AG905,2),2)</f>
        <v>0</v>
      </c>
    </row>
    <row r="906" spans="1:107" x14ac:dyDescent="0.2">
      <c r="A906">
        <f>ROW(Source!A633)</f>
        <v>633</v>
      </c>
      <c r="B906">
        <v>16742901</v>
      </c>
      <c r="C906">
        <v>16744031</v>
      </c>
      <c r="D906">
        <v>15478831</v>
      </c>
      <c r="E906">
        <v>1</v>
      </c>
      <c r="F906">
        <v>1</v>
      </c>
      <c r="G906">
        <v>1</v>
      </c>
      <c r="H906">
        <v>1</v>
      </c>
      <c r="I906" t="s">
        <v>1808</v>
      </c>
      <c r="J906" t="s">
        <v>6</v>
      </c>
      <c r="K906" t="s">
        <v>1809</v>
      </c>
      <c r="L906">
        <v>1191</v>
      </c>
      <c r="N906">
        <v>1013</v>
      </c>
      <c r="O906" t="s">
        <v>1287</v>
      </c>
      <c r="P906" t="s">
        <v>1287</v>
      </c>
      <c r="Q906">
        <v>1</v>
      </c>
      <c r="W906">
        <v>0</v>
      </c>
      <c r="X906">
        <v>-1658069037</v>
      </c>
      <c r="Y906">
        <v>5.761499999999999</v>
      </c>
      <c r="AA906">
        <v>0</v>
      </c>
      <c r="AB906">
        <v>0</v>
      </c>
      <c r="AC906">
        <v>0</v>
      </c>
      <c r="AD906">
        <v>76.36</v>
      </c>
      <c r="AE906">
        <v>0</v>
      </c>
      <c r="AF906">
        <v>0</v>
      </c>
      <c r="AG906">
        <v>0</v>
      </c>
      <c r="AH906">
        <v>11.64</v>
      </c>
      <c r="AI906">
        <v>1</v>
      </c>
      <c r="AJ906">
        <v>1</v>
      </c>
      <c r="AK906">
        <v>1</v>
      </c>
      <c r="AL906">
        <v>6.56</v>
      </c>
      <c r="AN906">
        <v>0</v>
      </c>
      <c r="AO906">
        <v>1</v>
      </c>
      <c r="AP906">
        <v>1</v>
      </c>
      <c r="AQ906">
        <v>0</v>
      </c>
      <c r="AR906">
        <v>0</v>
      </c>
      <c r="AS906" t="s">
        <v>6</v>
      </c>
      <c r="AT906">
        <v>5.01</v>
      </c>
      <c r="AU906" t="s">
        <v>188</v>
      </c>
      <c r="AV906">
        <v>1</v>
      </c>
      <c r="AW906">
        <v>2</v>
      </c>
      <c r="AX906">
        <v>16744038</v>
      </c>
      <c r="AY906">
        <v>1</v>
      </c>
      <c r="AZ906">
        <v>0</v>
      </c>
      <c r="BA906">
        <v>837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Y906*Source!I633</f>
        <v>11.522999999999998</v>
      </c>
      <c r="CY906">
        <f>AD906</f>
        <v>76.36</v>
      </c>
      <c r="CZ906">
        <f>AH906</f>
        <v>11.64</v>
      </c>
      <c r="DA906">
        <f>AL906</f>
        <v>6.56</v>
      </c>
      <c r="DB906">
        <f>ROUND((ROUND(AT906*CZ906,2)*1.15),2)</f>
        <v>67.069999999999993</v>
      </c>
      <c r="DC906">
        <f>ROUND((ROUND(AT906*AG906,2)*1.15),2)</f>
        <v>0</v>
      </c>
    </row>
    <row r="907" spans="1:107" x14ac:dyDescent="0.2">
      <c r="A907">
        <f>ROW(Source!A633)</f>
        <v>633</v>
      </c>
      <c r="B907">
        <v>16742901</v>
      </c>
      <c r="C907">
        <v>16744031</v>
      </c>
      <c r="D907">
        <v>15248793</v>
      </c>
      <c r="E907">
        <v>1</v>
      </c>
      <c r="F907">
        <v>1</v>
      </c>
      <c r="G907">
        <v>1</v>
      </c>
      <c r="H907">
        <v>2</v>
      </c>
      <c r="I907" t="s">
        <v>1781</v>
      </c>
      <c r="J907" t="s">
        <v>1782</v>
      </c>
      <c r="K907" t="s">
        <v>1783</v>
      </c>
      <c r="L907">
        <v>1368</v>
      </c>
      <c r="N907">
        <v>1011</v>
      </c>
      <c r="O907" t="s">
        <v>1298</v>
      </c>
      <c r="P907" t="s">
        <v>1298</v>
      </c>
      <c r="Q907">
        <v>1</v>
      </c>
      <c r="W907">
        <v>0</v>
      </c>
      <c r="X907">
        <v>-1347092713</v>
      </c>
      <c r="Y907">
        <v>1.875</v>
      </c>
      <c r="AA907">
        <v>0</v>
      </c>
      <c r="AB907">
        <v>194.64</v>
      </c>
      <c r="AC907">
        <v>0</v>
      </c>
      <c r="AD907">
        <v>0</v>
      </c>
      <c r="AE907">
        <v>0</v>
      </c>
      <c r="AF907">
        <v>29.67</v>
      </c>
      <c r="AG907">
        <v>0</v>
      </c>
      <c r="AH907">
        <v>0</v>
      </c>
      <c r="AI907">
        <v>1</v>
      </c>
      <c r="AJ907">
        <v>6.56</v>
      </c>
      <c r="AK907">
        <v>1</v>
      </c>
      <c r="AL907">
        <v>1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6</v>
      </c>
      <c r="AT907">
        <v>1.5</v>
      </c>
      <c r="AU907" t="s">
        <v>187</v>
      </c>
      <c r="AV907">
        <v>0</v>
      </c>
      <c r="AW907">
        <v>2</v>
      </c>
      <c r="AX907">
        <v>16744039</v>
      </c>
      <c r="AY907">
        <v>1</v>
      </c>
      <c r="AZ907">
        <v>0</v>
      </c>
      <c r="BA907">
        <v>838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Y907*Source!I633</f>
        <v>3.75</v>
      </c>
      <c r="CY907">
        <f>AB907</f>
        <v>194.64</v>
      </c>
      <c r="CZ907">
        <f>AF907</f>
        <v>29.67</v>
      </c>
      <c r="DA907">
        <f>AJ907</f>
        <v>6.56</v>
      </c>
      <c r="DB907">
        <f>ROUND((ROUND(AT907*CZ907,2)*1.25),2)</f>
        <v>55.64</v>
      </c>
      <c r="DC907">
        <f>ROUND((ROUND(AT907*AG907,2)*1.25),2)</f>
        <v>0</v>
      </c>
    </row>
    <row r="908" spans="1:107" x14ac:dyDescent="0.2">
      <c r="A908">
        <f>ROW(Source!A633)</f>
        <v>633</v>
      </c>
      <c r="B908">
        <v>16742901</v>
      </c>
      <c r="C908">
        <v>16744031</v>
      </c>
      <c r="D908">
        <v>15167286</v>
      </c>
      <c r="E908">
        <v>1</v>
      </c>
      <c r="F908">
        <v>1</v>
      </c>
      <c r="G908">
        <v>1</v>
      </c>
      <c r="H908">
        <v>3</v>
      </c>
      <c r="I908" t="s">
        <v>1317</v>
      </c>
      <c r="J908" t="s">
        <v>1318</v>
      </c>
      <c r="K908" t="s">
        <v>1319</v>
      </c>
      <c r="L908">
        <v>1339</v>
      </c>
      <c r="N908">
        <v>1007</v>
      </c>
      <c r="O908" t="s">
        <v>301</v>
      </c>
      <c r="P908" t="s">
        <v>301</v>
      </c>
      <c r="Q908">
        <v>1</v>
      </c>
      <c r="W908">
        <v>0</v>
      </c>
      <c r="X908">
        <v>-1660354250</v>
      </c>
      <c r="Y908">
        <v>1</v>
      </c>
      <c r="AA908">
        <v>16.010000000000002</v>
      </c>
      <c r="AB908">
        <v>0</v>
      </c>
      <c r="AC908">
        <v>0</v>
      </c>
      <c r="AD908">
        <v>0</v>
      </c>
      <c r="AE908">
        <v>2.44</v>
      </c>
      <c r="AF908">
        <v>0</v>
      </c>
      <c r="AG908">
        <v>0</v>
      </c>
      <c r="AH908">
        <v>0</v>
      </c>
      <c r="AI908">
        <v>6.56</v>
      </c>
      <c r="AJ908">
        <v>1</v>
      </c>
      <c r="AK908">
        <v>1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6</v>
      </c>
      <c r="AT908">
        <v>1</v>
      </c>
      <c r="AU908" t="s">
        <v>6</v>
      </c>
      <c r="AV908">
        <v>0</v>
      </c>
      <c r="AW908">
        <v>2</v>
      </c>
      <c r="AX908">
        <v>16744040</v>
      </c>
      <c r="AY908">
        <v>1</v>
      </c>
      <c r="AZ908">
        <v>0</v>
      </c>
      <c r="BA908">
        <v>839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Y908*Source!I633</f>
        <v>2</v>
      </c>
      <c r="CY908">
        <f>AA908</f>
        <v>16.010000000000002</v>
      </c>
      <c r="CZ908">
        <f>AE908</f>
        <v>2.44</v>
      </c>
      <c r="DA908">
        <f>AI908</f>
        <v>6.56</v>
      </c>
      <c r="DB908">
        <f t="shared" ref="DB908:DB915" si="170">ROUND(ROUND(AT908*CZ908,2),2)</f>
        <v>2.44</v>
      </c>
      <c r="DC908">
        <f t="shared" ref="DC908:DC915" si="171">ROUND(ROUND(AT908*AG908,2),2)</f>
        <v>0</v>
      </c>
    </row>
    <row r="909" spans="1:107" x14ac:dyDescent="0.2">
      <c r="A909">
        <f>ROW(Source!A633)</f>
        <v>633</v>
      </c>
      <c r="B909">
        <v>16742901</v>
      </c>
      <c r="C909">
        <v>16744031</v>
      </c>
      <c r="D909">
        <v>15167963</v>
      </c>
      <c r="E909">
        <v>1</v>
      </c>
      <c r="F909">
        <v>1</v>
      </c>
      <c r="G909">
        <v>1</v>
      </c>
      <c r="H909">
        <v>3</v>
      </c>
      <c r="I909" t="s">
        <v>1793</v>
      </c>
      <c r="J909" t="s">
        <v>1794</v>
      </c>
      <c r="K909" t="s">
        <v>1795</v>
      </c>
      <c r="L909">
        <v>1346</v>
      </c>
      <c r="N909">
        <v>1009</v>
      </c>
      <c r="O909" t="s">
        <v>341</v>
      </c>
      <c r="P909" t="s">
        <v>341</v>
      </c>
      <c r="Q909">
        <v>1</v>
      </c>
      <c r="W909">
        <v>0</v>
      </c>
      <c r="X909">
        <v>-490687590</v>
      </c>
      <c r="Y909">
        <v>0.02</v>
      </c>
      <c r="AA909">
        <v>244.62</v>
      </c>
      <c r="AB909">
        <v>0</v>
      </c>
      <c r="AC909">
        <v>0</v>
      </c>
      <c r="AD909">
        <v>0</v>
      </c>
      <c r="AE909">
        <v>37.29</v>
      </c>
      <c r="AF909">
        <v>0</v>
      </c>
      <c r="AG909">
        <v>0</v>
      </c>
      <c r="AH909">
        <v>0</v>
      </c>
      <c r="AI909">
        <v>6.56</v>
      </c>
      <c r="AJ909">
        <v>1</v>
      </c>
      <c r="AK909">
        <v>1</v>
      </c>
      <c r="AL909">
        <v>1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6</v>
      </c>
      <c r="AT909">
        <v>0.02</v>
      </c>
      <c r="AU909" t="s">
        <v>6</v>
      </c>
      <c r="AV909">
        <v>0</v>
      </c>
      <c r="AW909">
        <v>2</v>
      </c>
      <c r="AX909">
        <v>16744041</v>
      </c>
      <c r="AY909">
        <v>1</v>
      </c>
      <c r="AZ909">
        <v>0</v>
      </c>
      <c r="BA909">
        <v>840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Y909*Source!I633</f>
        <v>0.04</v>
      </c>
      <c r="CY909">
        <f>AA909</f>
        <v>244.62</v>
      </c>
      <c r="CZ909">
        <f>AE909</f>
        <v>37.29</v>
      </c>
      <c r="DA909">
        <f>AI909</f>
        <v>6.56</v>
      </c>
      <c r="DB909">
        <f t="shared" si="170"/>
        <v>0.75</v>
      </c>
      <c r="DC909">
        <f t="shared" si="171"/>
        <v>0</v>
      </c>
    </row>
    <row r="910" spans="1:107" x14ac:dyDescent="0.2">
      <c r="A910">
        <f>ROW(Source!A633)</f>
        <v>633</v>
      </c>
      <c r="B910">
        <v>16742901</v>
      </c>
      <c r="C910">
        <v>16744031</v>
      </c>
      <c r="D910">
        <v>15203740</v>
      </c>
      <c r="E910">
        <v>1</v>
      </c>
      <c r="F910">
        <v>1</v>
      </c>
      <c r="G910">
        <v>1</v>
      </c>
      <c r="H910">
        <v>3</v>
      </c>
      <c r="I910" t="s">
        <v>1802</v>
      </c>
      <c r="J910" t="s">
        <v>1803</v>
      </c>
      <c r="K910" t="s">
        <v>1804</v>
      </c>
      <c r="L910">
        <v>1348</v>
      </c>
      <c r="N910">
        <v>1009</v>
      </c>
      <c r="O910" t="s">
        <v>100</v>
      </c>
      <c r="P910" t="s">
        <v>100</v>
      </c>
      <c r="Q910">
        <v>1000</v>
      </c>
      <c r="W910">
        <v>0</v>
      </c>
      <c r="X910">
        <v>570223526</v>
      </c>
      <c r="Y910">
        <v>5.0000000000000002E-5</v>
      </c>
      <c r="AA910">
        <v>99180.64</v>
      </c>
      <c r="AB910">
        <v>0</v>
      </c>
      <c r="AC910">
        <v>0</v>
      </c>
      <c r="AD910">
        <v>0</v>
      </c>
      <c r="AE910">
        <v>15119</v>
      </c>
      <c r="AF910">
        <v>0</v>
      </c>
      <c r="AG910">
        <v>0</v>
      </c>
      <c r="AH910">
        <v>0</v>
      </c>
      <c r="AI910">
        <v>6.56</v>
      </c>
      <c r="AJ910">
        <v>1</v>
      </c>
      <c r="AK910">
        <v>1</v>
      </c>
      <c r="AL910">
        <v>1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6</v>
      </c>
      <c r="AT910">
        <v>5.0000000000000002E-5</v>
      </c>
      <c r="AU910" t="s">
        <v>6</v>
      </c>
      <c r="AV910">
        <v>0</v>
      </c>
      <c r="AW910">
        <v>2</v>
      </c>
      <c r="AX910">
        <v>16744042</v>
      </c>
      <c r="AY910">
        <v>1</v>
      </c>
      <c r="AZ910">
        <v>0</v>
      </c>
      <c r="BA910">
        <v>841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Y910*Source!I633</f>
        <v>1E-4</v>
      </c>
      <c r="CY910">
        <f>AA910</f>
        <v>99180.64</v>
      </c>
      <c r="CZ910">
        <f>AE910</f>
        <v>15119</v>
      </c>
      <c r="DA910">
        <f>AI910</f>
        <v>6.56</v>
      </c>
      <c r="DB910">
        <f t="shared" si="170"/>
        <v>0.76</v>
      </c>
      <c r="DC910">
        <f t="shared" si="171"/>
        <v>0</v>
      </c>
    </row>
    <row r="911" spans="1:107" x14ac:dyDescent="0.2">
      <c r="A911">
        <f>ROW(Source!A633)</f>
        <v>633</v>
      </c>
      <c r="B911">
        <v>16742901</v>
      </c>
      <c r="C911">
        <v>16744031</v>
      </c>
      <c r="D911">
        <v>15204468</v>
      </c>
      <c r="E911">
        <v>1</v>
      </c>
      <c r="F911">
        <v>1</v>
      </c>
      <c r="G911">
        <v>1</v>
      </c>
      <c r="H911">
        <v>3</v>
      </c>
      <c r="I911" t="s">
        <v>1623</v>
      </c>
      <c r="J911" t="s">
        <v>1624</v>
      </c>
      <c r="K911" t="s">
        <v>1625</v>
      </c>
      <c r="L911">
        <v>1348</v>
      </c>
      <c r="N911">
        <v>1009</v>
      </c>
      <c r="O911" t="s">
        <v>100</v>
      </c>
      <c r="P911" t="s">
        <v>100</v>
      </c>
      <c r="Q911">
        <v>1000</v>
      </c>
      <c r="W911">
        <v>0</v>
      </c>
      <c r="X911">
        <v>-909021926</v>
      </c>
      <c r="Y911">
        <v>2.0000000000000002E-5</v>
      </c>
      <c r="AA911">
        <v>111192</v>
      </c>
      <c r="AB911">
        <v>0</v>
      </c>
      <c r="AC911">
        <v>0</v>
      </c>
      <c r="AD911">
        <v>0</v>
      </c>
      <c r="AE911">
        <v>16950</v>
      </c>
      <c r="AF911">
        <v>0</v>
      </c>
      <c r="AG911">
        <v>0</v>
      </c>
      <c r="AH911">
        <v>0</v>
      </c>
      <c r="AI911">
        <v>6.56</v>
      </c>
      <c r="AJ911">
        <v>1</v>
      </c>
      <c r="AK911">
        <v>1</v>
      </c>
      <c r="AL911">
        <v>1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6</v>
      </c>
      <c r="AT911">
        <v>2.0000000000000002E-5</v>
      </c>
      <c r="AU911" t="s">
        <v>6</v>
      </c>
      <c r="AV911">
        <v>0</v>
      </c>
      <c r="AW911">
        <v>2</v>
      </c>
      <c r="AX911">
        <v>16744043</v>
      </c>
      <c r="AY911">
        <v>1</v>
      </c>
      <c r="AZ911">
        <v>0</v>
      </c>
      <c r="BA911">
        <v>842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Y911*Source!I633</f>
        <v>4.0000000000000003E-5</v>
      </c>
      <c r="CY911">
        <f>AA911</f>
        <v>111192</v>
      </c>
      <c r="CZ911">
        <f>AE911</f>
        <v>16950</v>
      </c>
      <c r="DA911">
        <f>AI911</f>
        <v>6.56</v>
      </c>
      <c r="DB911">
        <f t="shared" si="170"/>
        <v>0.34</v>
      </c>
      <c r="DC911">
        <f t="shared" si="171"/>
        <v>0</v>
      </c>
    </row>
    <row r="912" spans="1:107" x14ac:dyDescent="0.2">
      <c r="A912">
        <f>ROW(Source!A668)</f>
        <v>668</v>
      </c>
      <c r="B912">
        <v>16742901</v>
      </c>
      <c r="C912">
        <v>16744044</v>
      </c>
      <c r="D912">
        <v>15432356</v>
      </c>
      <c r="E912">
        <v>1</v>
      </c>
      <c r="F912">
        <v>1</v>
      </c>
      <c r="G912">
        <v>1</v>
      </c>
      <c r="H912">
        <v>1</v>
      </c>
      <c r="I912" t="s">
        <v>1598</v>
      </c>
      <c r="J912" t="s">
        <v>6</v>
      </c>
      <c r="K912" t="s">
        <v>1599</v>
      </c>
      <c r="L912">
        <v>1191</v>
      </c>
      <c r="N912">
        <v>1013</v>
      </c>
      <c r="O912" t="s">
        <v>1287</v>
      </c>
      <c r="P912" t="s">
        <v>1287</v>
      </c>
      <c r="Q912">
        <v>1</v>
      </c>
      <c r="W912">
        <v>0</v>
      </c>
      <c r="X912">
        <v>1850719656</v>
      </c>
      <c r="Y912">
        <v>34.659999999999997</v>
      </c>
      <c r="AA912">
        <v>0</v>
      </c>
      <c r="AB912">
        <v>0</v>
      </c>
      <c r="AC912">
        <v>0</v>
      </c>
      <c r="AD912">
        <v>54.51</v>
      </c>
      <c r="AE912">
        <v>0</v>
      </c>
      <c r="AF912">
        <v>0</v>
      </c>
      <c r="AG912">
        <v>0</v>
      </c>
      <c r="AH912">
        <v>8.31</v>
      </c>
      <c r="AI912">
        <v>1</v>
      </c>
      <c r="AJ912">
        <v>1</v>
      </c>
      <c r="AK912">
        <v>1</v>
      </c>
      <c r="AL912">
        <v>6.56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6</v>
      </c>
      <c r="AT912">
        <v>34.659999999999997</v>
      </c>
      <c r="AU912" t="s">
        <v>6</v>
      </c>
      <c r="AV912">
        <v>1</v>
      </c>
      <c r="AW912">
        <v>2</v>
      </c>
      <c r="AX912">
        <v>16744051</v>
      </c>
      <c r="AY912">
        <v>1</v>
      </c>
      <c r="AZ912">
        <v>0</v>
      </c>
      <c r="BA912">
        <v>843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Y912*Source!I668</f>
        <v>16.636799999999997</v>
      </c>
      <c r="CY912">
        <f>AD912</f>
        <v>54.51</v>
      </c>
      <c r="CZ912">
        <f>AH912</f>
        <v>8.31</v>
      </c>
      <c r="DA912">
        <f>AL912</f>
        <v>6.56</v>
      </c>
      <c r="DB912">
        <f t="shared" si="170"/>
        <v>288.02</v>
      </c>
      <c r="DC912">
        <f t="shared" si="171"/>
        <v>0</v>
      </c>
    </row>
    <row r="913" spans="1:107" x14ac:dyDescent="0.2">
      <c r="A913">
        <f>ROW(Source!A668)</f>
        <v>668</v>
      </c>
      <c r="B913">
        <v>16742901</v>
      </c>
      <c r="C913">
        <v>16744044</v>
      </c>
      <c r="D913">
        <v>15430395</v>
      </c>
      <c r="E913">
        <v>1</v>
      </c>
      <c r="F913">
        <v>1</v>
      </c>
      <c r="G913">
        <v>1</v>
      </c>
      <c r="H913">
        <v>1</v>
      </c>
      <c r="I913" t="s">
        <v>1293</v>
      </c>
      <c r="J913" t="s">
        <v>6</v>
      </c>
      <c r="K913" t="s">
        <v>1294</v>
      </c>
      <c r="L913">
        <v>1191</v>
      </c>
      <c r="N913">
        <v>1013</v>
      </c>
      <c r="O913" t="s">
        <v>1287</v>
      </c>
      <c r="P913" t="s">
        <v>1287</v>
      </c>
      <c r="Q913">
        <v>1</v>
      </c>
      <c r="W913">
        <v>0</v>
      </c>
      <c r="X913">
        <v>-1417349443</v>
      </c>
      <c r="Y913">
        <v>0.1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1</v>
      </c>
      <c r="AJ913">
        <v>1</v>
      </c>
      <c r="AK913">
        <v>6.56</v>
      </c>
      <c r="AL913">
        <v>1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6</v>
      </c>
      <c r="AT913">
        <v>0.1</v>
      </c>
      <c r="AU913" t="s">
        <v>6</v>
      </c>
      <c r="AV913">
        <v>2</v>
      </c>
      <c r="AW913">
        <v>2</v>
      </c>
      <c r="AX913">
        <v>16744052</v>
      </c>
      <c r="AY913">
        <v>1</v>
      </c>
      <c r="AZ913">
        <v>0</v>
      </c>
      <c r="BA913">
        <v>844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Y913*Source!I668</f>
        <v>4.8000000000000001E-2</v>
      </c>
      <c r="CY913">
        <f>AD913</f>
        <v>0</v>
      </c>
      <c r="CZ913">
        <f>AH913</f>
        <v>0</v>
      </c>
      <c r="DA913">
        <f>AL913</f>
        <v>1</v>
      </c>
      <c r="DB913">
        <f t="shared" si="170"/>
        <v>0</v>
      </c>
      <c r="DC913">
        <f t="shared" si="171"/>
        <v>0</v>
      </c>
    </row>
    <row r="914" spans="1:107" x14ac:dyDescent="0.2">
      <c r="A914">
        <f>ROW(Source!A668)</f>
        <v>668</v>
      </c>
      <c r="B914">
        <v>16742901</v>
      </c>
      <c r="C914">
        <v>16744044</v>
      </c>
      <c r="D914">
        <v>15247974</v>
      </c>
      <c r="E914">
        <v>1</v>
      </c>
      <c r="F914">
        <v>1</v>
      </c>
      <c r="G914">
        <v>1</v>
      </c>
      <c r="H914">
        <v>2</v>
      </c>
      <c r="I914" t="s">
        <v>1314</v>
      </c>
      <c r="J914" t="s">
        <v>1315</v>
      </c>
      <c r="K914" t="s">
        <v>1316</v>
      </c>
      <c r="L914">
        <v>1368</v>
      </c>
      <c r="N914">
        <v>1011</v>
      </c>
      <c r="O914" t="s">
        <v>1298</v>
      </c>
      <c r="P914" t="s">
        <v>1298</v>
      </c>
      <c r="Q914">
        <v>1</v>
      </c>
      <c r="W914">
        <v>0</v>
      </c>
      <c r="X914">
        <v>1188625873</v>
      </c>
      <c r="Y914">
        <v>0.1</v>
      </c>
      <c r="AA914">
        <v>0</v>
      </c>
      <c r="AB914">
        <v>205.07</v>
      </c>
      <c r="AC914">
        <v>13.5</v>
      </c>
      <c r="AD914">
        <v>0</v>
      </c>
      <c r="AE914">
        <v>0</v>
      </c>
      <c r="AF914">
        <v>31.26</v>
      </c>
      <c r="AG914">
        <v>13.5</v>
      </c>
      <c r="AH914">
        <v>0</v>
      </c>
      <c r="AI914">
        <v>1</v>
      </c>
      <c r="AJ914">
        <v>6.56</v>
      </c>
      <c r="AK914">
        <v>1</v>
      </c>
      <c r="AL914">
        <v>1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6</v>
      </c>
      <c r="AT914">
        <v>0.1</v>
      </c>
      <c r="AU914" t="s">
        <v>6</v>
      </c>
      <c r="AV914">
        <v>0</v>
      </c>
      <c r="AW914">
        <v>2</v>
      </c>
      <c r="AX914">
        <v>16744053</v>
      </c>
      <c r="AY914">
        <v>1</v>
      </c>
      <c r="AZ914">
        <v>0</v>
      </c>
      <c r="BA914">
        <v>845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Y914*Source!I668</f>
        <v>4.8000000000000001E-2</v>
      </c>
      <c r="CY914">
        <f>AB914</f>
        <v>205.07</v>
      </c>
      <c r="CZ914">
        <f>AF914</f>
        <v>31.26</v>
      </c>
      <c r="DA914">
        <f>AJ914</f>
        <v>6.56</v>
      </c>
      <c r="DB914">
        <f t="shared" si="170"/>
        <v>3.13</v>
      </c>
      <c r="DC914">
        <f t="shared" si="171"/>
        <v>1.35</v>
      </c>
    </row>
    <row r="915" spans="1:107" x14ac:dyDescent="0.2">
      <c r="A915">
        <f>ROW(Source!A668)</f>
        <v>668</v>
      </c>
      <c r="B915">
        <v>16742901</v>
      </c>
      <c r="C915">
        <v>16744044</v>
      </c>
      <c r="D915">
        <v>15249308</v>
      </c>
      <c r="E915">
        <v>1</v>
      </c>
      <c r="F915">
        <v>1</v>
      </c>
      <c r="G915">
        <v>1</v>
      </c>
      <c r="H915">
        <v>2</v>
      </c>
      <c r="I915" t="s">
        <v>1350</v>
      </c>
      <c r="J915" t="s">
        <v>1351</v>
      </c>
      <c r="K915" t="s">
        <v>1352</v>
      </c>
      <c r="L915">
        <v>1368</v>
      </c>
      <c r="N915">
        <v>1011</v>
      </c>
      <c r="O915" t="s">
        <v>1298</v>
      </c>
      <c r="P915" t="s">
        <v>1298</v>
      </c>
      <c r="Q915">
        <v>1</v>
      </c>
      <c r="W915">
        <v>0</v>
      </c>
      <c r="X915">
        <v>-624296059</v>
      </c>
      <c r="Y915">
        <v>3.3</v>
      </c>
      <c r="AA915">
        <v>0</v>
      </c>
      <c r="AB915">
        <v>7.87</v>
      </c>
      <c r="AC915">
        <v>0</v>
      </c>
      <c r="AD915">
        <v>0</v>
      </c>
      <c r="AE915">
        <v>0</v>
      </c>
      <c r="AF915">
        <v>1.2</v>
      </c>
      <c r="AG915">
        <v>0</v>
      </c>
      <c r="AH915">
        <v>0</v>
      </c>
      <c r="AI915">
        <v>1</v>
      </c>
      <c r="AJ915">
        <v>6.56</v>
      </c>
      <c r="AK915">
        <v>1</v>
      </c>
      <c r="AL915">
        <v>1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6</v>
      </c>
      <c r="AT915">
        <v>3.3</v>
      </c>
      <c r="AU915" t="s">
        <v>6</v>
      </c>
      <c r="AV915">
        <v>0</v>
      </c>
      <c r="AW915">
        <v>2</v>
      </c>
      <c r="AX915">
        <v>16744054</v>
      </c>
      <c r="AY915">
        <v>1</v>
      </c>
      <c r="AZ915">
        <v>0</v>
      </c>
      <c r="BA915">
        <v>846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Y915*Source!I668</f>
        <v>1.5839999999999999</v>
      </c>
      <c r="CY915">
        <f>AB915</f>
        <v>7.87</v>
      </c>
      <c r="CZ915">
        <f>AF915</f>
        <v>1.2</v>
      </c>
      <c r="DA915">
        <f>AJ915</f>
        <v>6.56</v>
      </c>
      <c r="DB915">
        <f t="shared" si="170"/>
        <v>3.96</v>
      </c>
      <c r="DC915">
        <f t="shared" si="171"/>
        <v>0</v>
      </c>
    </row>
    <row r="916" spans="1:107" x14ac:dyDescent="0.2">
      <c r="A916">
        <f>ROW(Source!A668)</f>
        <v>668</v>
      </c>
      <c r="B916">
        <v>16742901</v>
      </c>
      <c r="C916">
        <v>16744044</v>
      </c>
      <c r="D916">
        <v>15165634</v>
      </c>
      <c r="E916">
        <v>1</v>
      </c>
      <c r="F916">
        <v>1</v>
      </c>
      <c r="G916">
        <v>1</v>
      </c>
      <c r="H916">
        <v>3</v>
      </c>
      <c r="I916" t="s">
        <v>1778</v>
      </c>
      <c r="J916" t="s">
        <v>1779</v>
      </c>
      <c r="K916" t="s">
        <v>1780</v>
      </c>
      <c r="L916">
        <v>1339</v>
      </c>
      <c r="N916">
        <v>1007</v>
      </c>
      <c r="O916" t="s">
        <v>301</v>
      </c>
      <c r="P916" t="s">
        <v>301</v>
      </c>
      <c r="Q916">
        <v>1</v>
      </c>
      <c r="W916">
        <v>0</v>
      </c>
      <c r="X916">
        <v>1706747518</v>
      </c>
      <c r="Y916">
        <v>0</v>
      </c>
      <c r="AA916">
        <v>252.63</v>
      </c>
      <c r="AB916">
        <v>0</v>
      </c>
      <c r="AC916">
        <v>0</v>
      </c>
      <c r="AD916">
        <v>0</v>
      </c>
      <c r="AE916">
        <v>38.51</v>
      </c>
      <c r="AF916">
        <v>0</v>
      </c>
      <c r="AG916">
        <v>0</v>
      </c>
      <c r="AH916">
        <v>0</v>
      </c>
      <c r="AI916">
        <v>6.56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1</v>
      </c>
      <c r="AQ916">
        <v>0</v>
      </c>
      <c r="AR916">
        <v>0</v>
      </c>
      <c r="AS916" t="s">
        <v>6</v>
      </c>
      <c r="AT916">
        <v>0.43</v>
      </c>
      <c r="AU916" t="s">
        <v>48</v>
      </c>
      <c r="AV916">
        <v>0</v>
      </c>
      <c r="AW916">
        <v>2</v>
      </c>
      <c r="AX916">
        <v>16744055</v>
      </c>
      <c r="AY916">
        <v>1</v>
      </c>
      <c r="AZ916">
        <v>0</v>
      </c>
      <c r="BA916">
        <v>847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Y916*Source!I668</f>
        <v>0</v>
      </c>
      <c r="CY916">
        <f>AA916</f>
        <v>252.63</v>
      </c>
      <c r="CZ916">
        <f>AE916</f>
        <v>38.51</v>
      </c>
      <c r="DA916">
        <f>AI916</f>
        <v>6.56</v>
      </c>
      <c r="DB916">
        <f>ROUND((ROUND(AT916*CZ916,2)*0),2)</f>
        <v>0</v>
      </c>
      <c r="DC916">
        <f>ROUND((ROUND(AT916*AG916,2)*0),2)</f>
        <v>0</v>
      </c>
    </row>
    <row r="917" spans="1:107" x14ac:dyDescent="0.2">
      <c r="A917">
        <f>ROW(Source!A668)</f>
        <v>668</v>
      </c>
      <c r="B917">
        <v>16742901</v>
      </c>
      <c r="C917">
        <v>16744044</v>
      </c>
      <c r="D917">
        <v>15165653</v>
      </c>
      <c r="E917">
        <v>1</v>
      </c>
      <c r="F917">
        <v>1</v>
      </c>
      <c r="G917">
        <v>1</v>
      </c>
      <c r="H917">
        <v>3</v>
      </c>
      <c r="I917" t="s">
        <v>1356</v>
      </c>
      <c r="J917" t="s">
        <v>1357</v>
      </c>
      <c r="K917" t="s">
        <v>1358</v>
      </c>
      <c r="L917">
        <v>1339</v>
      </c>
      <c r="N917">
        <v>1007</v>
      </c>
      <c r="O917" t="s">
        <v>301</v>
      </c>
      <c r="P917" t="s">
        <v>301</v>
      </c>
      <c r="Q917">
        <v>1</v>
      </c>
      <c r="W917">
        <v>0</v>
      </c>
      <c r="X917">
        <v>1262771840</v>
      </c>
      <c r="Y917">
        <v>0</v>
      </c>
      <c r="AA917">
        <v>40.799999999999997</v>
      </c>
      <c r="AB917">
        <v>0</v>
      </c>
      <c r="AC917">
        <v>0</v>
      </c>
      <c r="AD917">
        <v>0</v>
      </c>
      <c r="AE917">
        <v>6.22</v>
      </c>
      <c r="AF917">
        <v>0</v>
      </c>
      <c r="AG917">
        <v>0</v>
      </c>
      <c r="AH917">
        <v>0</v>
      </c>
      <c r="AI917">
        <v>6.56</v>
      </c>
      <c r="AJ917">
        <v>1</v>
      </c>
      <c r="AK917">
        <v>1</v>
      </c>
      <c r="AL917">
        <v>1</v>
      </c>
      <c r="AN917">
        <v>0</v>
      </c>
      <c r="AO917">
        <v>1</v>
      </c>
      <c r="AP917">
        <v>1</v>
      </c>
      <c r="AQ917">
        <v>0</v>
      </c>
      <c r="AR917">
        <v>0</v>
      </c>
      <c r="AS917" t="s">
        <v>6</v>
      </c>
      <c r="AT917">
        <v>2.74</v>
      </c>
      <c r="AU917" t="s">
        <v>48</v>
      </c>
      <c r="AV917">
        <v>0</v>
      </c>
      <c r="AW917">
        <v>2</v>
      </c>
      <c r="AX917">
        <v>16744056</v>
      </c>
      <c r="AY917">
        <v>1</v>
      </c>
      <c r="AZ917">
        <v>0</v>
      </c>
      <c r="BA917">
        <v>848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Y917*Source!I668</f>
        <v>0</v>
      </c>
      <c r="CY917">
        <f>AA917</f>
        <v>40.799999999999997</v>
      </c>
      <c r="CZ917">
        <f>AE917</f>
        <v>6.22</v>
      </c>
      <c r="DA917">
        <f>AI917</f>
        <v>6.56</v>
      </c>
      <c r="DB917">
        <f>ROUND((ROUND(AT917*CZ917,2)*0),2)</f>
        <v>0</v>
      </c>
      <c r="DC917">
        <f>ROUND((ROUND(AT917*AG917,2)*0),2)</f>
        <v>0</v>
      </c>
    </row>
    <row r="918" spans="1:107" x14ac:dyDescent="0.2">
      <c r="A918">
        <f>ROW(Source!A669)</f>
        <v>669</v>
      </c>
      <c r="B918">
        <v>16742901</v>
      </c>
      <c r="C918">
        <v>16744058</v>
      </c>
      <c r="D918">
        <v>15430767</v>
      </c>
      <c r="E918">
        <v>1</v>
      </c>
      <c r="F918">
        <v>1</v>
      </c>
      <c r="G918">
        <v>1</v>
      </c>
      <c r="H918">
        <v>1</v>
      </c>
      <c r="I918" t="s">
        <v>1285</v>
      </c>
      <c r="J918" t="s">
        <v>6</v>
      </c>
      <c r="K918" t="s">
        <v>1286</v>
      </c>
      <c r="L918">
        <v>1191</v>
      </c>
      <c r="N918">
        <v>1013</v>
      </c>
      <c r="O918" t="s">
        <v>1287</v>
      </c>
      <c r="P918" t="s">
        <v>1287</v>
      </c>
      <c r="Q918">
        <v>1</v>
      </c>
      <c r="W918">
        <v>0</v>
      </c>
      <c r="X918">
        <v>-400197608</v>
      </c>
      <c r="Y918">
        <v>51.3</v>
      </c>
      <c r="AA918">
        <v>0</v>
      </c>
      <c r="AB918">
        <v>0</v>
      </c>
      <c r="AC918">
        <v>0</v>
      </c>
      <c r="AD918">
        <v>55.96</v>
      </c>
      <c r="AE918">
        <v>0</v>
      </c>
      <c r="AF918">
        <v>0</v>
      </c>
      <c r="AG918">
        <v>0</v>
      </c>
      <c r="AH918">
        <v>8.5299999999999994</v>
      </c>
      <c r="AI918">
        <v>1</v>
      </c>
      <c r="AJ918">
        <v>1</v>
      </c>
      <c r="AK918">
        <v>1</v>
      </c>
      <c r="AL918">
        <v>6.56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6</v>
      </c>
      <c r="AT918">
        <v>51.3</v>
      </c>
      <c r="AU918" t="s">
        <v>6</v>
      </c>
      <c r="AV918">
        <v>1</v>
      </c>
      <c r="AW918">
        <v>2</v>
      </c>
      <c r="AX918">
        <v>16744062</v>
      </c>
      <c r="AY918">
        <v>1</v>
      </c>
      <c r="AZ918">
        <v>0</v>
      </c>
      <c r="BA918">
        <v>850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Y918*Source!I669</f>
        <v>1.026</v>
      </c>
      <c r="CY918">
        <f>AD918</f>
        <v>55.96</v>
      </c>
      <c r="CZ918">
        <f>AH918</f>
        <v>8.5299999999999994</v>
      </c>
      <c r="DA918">
        <f>AL918</f>
        <v>6.56</v>
      </c>
      <c r="DB918">
        <f>ROUND(ROUND(AT918*CZ918,2),2)</f>
        <v>437.59</v>
      </c>
      <c r="DC918">
        <f>ROUND(ROUND(AT918*AG918,2),2)</f>
        <v>0</v>
      </c>
    </row>
    <row r="919" spans="1:107" x14ac:dyDescent="0.2">
      <c r="A919">
        <f>ROW(Source!A669)</f>
        <v>669</v>
      </c>
      <c r="B919">
        <v>16742901</v>
      </c>
      <c r="C919">
        <v>16744058</v>
      </c>
      <c r="D919">
        <v>15430395</v>
      </c>
      <c r="E919">
        <v>1</v>
      </c>
      <c r="F919">
        <v>1</v>
      </c>
      <c r="G919">
        <v>1</v>
      </c>
      <c r="H919">
        <v>1</v>
      </c>
      <c r="I919" t="s">
        <v>1293</v>
      </c>
      <c r="J919" t="s">
        <v>6</v>
      </c>
      <c r="K919" t="s">
        <v>1294</v>
      </c>
      <c r="L919">
        <v>1191</v>
      </c>
      <c r="N919">
        <v>1013</v>
      </c>
      <c r="O919" t="s">
        <v>1287</v>
      </c>
      <c r="P919" t="s">
        <v>1287</v>
      </c>
      <c r="Q919">
        <v>1</v>
      </c>
      <c r="W919">
        <v>0</v>
      </c>
      <c r="X919">
        <v>-1417349443</v>
      </c>
      <c r="Y919">
        <v>0.26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1</v>
      </c>
      <c r="AJ919">
        <v>1</v>
      </c>
      <c r="AK919">
        <v>6.56</v>
      </c>
      <c r="AL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6</v>
      </c>
      <c r="AT919">
        <v>0.26</v>
      </c>
      <c r="AU919" t="s">
        <v>6</v>
      </c>
      <c r="AV919">
        <v>2</v>
      </c>
      <c r="AW919">
        <v>2</v>
      </c>
      <c r="AX919">
        <v>16744063</v>
      </c>
      <c r="AY919">
        <v>1</v>
      </c>
      <c r="AZ919">
        <v>0</v>
      </c>
      <c r="BA919">
        <v>851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Y919*Source!I669</f>
        <v>5.2000000000000006E-3</v>
      </c>
      <c r="CY919">
        <f>AD919</f>
        <v>0</v>
      </c>
      <c r="CZ919">
        <f>AH919</f>
        <v>0</v>
      </c>
      <c r="DA919">
        <f>AL919</f>
        <v>1</v>
      </c>
      <c r="DB919">
        <f>ROUND(ROUND(AT919*CZ919,2),2)</f>
        <v>0</v>
      </c>
      <c r="DC919">
        <f>ROUND(ROUND(AT919*AG919,2),2)</f>
        <v>0</v>
      </c>
    </row>
    <row r="920" spans="1:107" x14ac:dyDescent="0.2">
      <c r="A920">
        <f>ROW(Source!A669)</f>
        <v>669</v>
      </c>
      <c r="B920">
        <v>16742901</v>
      </c>
      <c r="C920">
        <v>16744058</v>
      </c>
      <c r="D920">
        <v>15247974</v>
      </c>
      <c r="E920">
        <v>1</v>
      </c>
      <c r="F920">
        <v>1</v>
      </c>
      <c r="G920">
        <v>1</v>
      </c>
      <c r="H920">
        <v>2</v>
      </c>
      <c r="I920" t="s">
        <v>1314</v>
      </c>
      <c r="J920" t="s">
        <v>1315</v>
      </c>
      <c r="K920" t="s">
        <v>1316</v>
      </c>
      <c r="L920">
        <v>1368</v>
      </c>
      <c r="N920">
        <v>1011</v>
      </c>
      <c r="O920" t="s">
        <v>1298</v>
      </c>
      <c r="P920" t="s">
        <v>1298</v>
      </c>
      <c r="Q920">
        <v>1</v>
      </c>
      <c r="W920">
        <v>0</v>
      </c>
      <c r="X920">
        <v>1188625873</v>
      </c>
      <c r="Y920">
        <v>0.26</v>
      </c>
      <c r="AA920">
        <v>0</v>
      </c>
      <c r="AB920">
        <v>205.07</v>
      </c>
      <c r="AC920">
        <v>13.5</v>
      </c>
      <c r="AD920">
        <v>0</v>
      </c>
      <c r="AE920">
        <v>0</v>
      </c>
      <c r="AF920">
        <v>31.26</v>
      </c>
      <c r="AG920">
        <v>13.5</v>
      </c>
      <c r="AH920">
        <v>0</v>
      </c>
      <c r="AI920">
        <v>1</v>
      </c>
      <c r="AJ920">
        <v>6.56</v>
      </c>
      <c r="AK920">
        <v>1</v>
      </c>
      <c r="AL920">
        <v>1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6</v>
      </c>
      <c r="AT920">
        <v>0.26</v>
      </c>
      <c r="AU920" t="s">
        <v>6</v>
      </c>
      <c r="AV920">
        <v>0</v>
      </c>
      <c r="AW920">
        <v>2</v>
      </c>
      <c r="AX920">
        <v>16744064</v>
      </c>
      <c r="AY920">
        <v>1</v>
      </c>
      <c r="AZ920">
        <v>0</v>
      </c>
      <c r="BA920">
        <v>852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Y920*Source!I669</f>
        <v>5.2000000000000006E-3</v>
      </c>
      <c r="CY920">
        <f>AB920</f>
        <v>205.07</v>
      </c>
      <c r="CZ920">
        <f>AF920</f>
        <v>31.26</v>
      </c>
      <c r="DA920">
        <f>AJ920</f>
        <v>6.56</v>
      </c>
      <c r="DB920">
        <f>ROUND(ROUND(AT920*CZ920,2),2)</f>
        <v>8.1300000000000008</v>
      </c>
      <c r="DC920">
        <f>ROUND(ROUND(AT920*AG920,2),2)</f>
        <v>3.51</v>
      </c>
    </row>
    <row r="921" spans="1:107" x14ac:dyDescent="0.2">
      <c r="A921">
        <f>ROW(Source!A670)</f>
        <v>670</v>
      </c>
      <c r="B921">
        <v>16742901</v>
      </c>
      <c r="C921">
        <v>16744066</v>
      </c>
      <c r="D921">
        <v>15446300</v>
      </c>
      <c r="E921">
        <v>1</v>
      </c>
      <c r="F921">
        <v>1</v>
      </c>
      <c r="G921">
        <v>1</v>
      </c>
      <c r="H921">
        <v>1</v>
      </c>
      <c r="I921" t="s">
        <v>1437</v>
      </c>
      <c r="J921" t="s">
        <v>6</v>
      </c>
      <c r="K921" t="s">
        <v>1438</v>
      </c>
      <c r="L921">
        <v>1191</v>
      </c>
      <c r="N921">
        <v>1013</v>
      </c>
      <c r="O921" t="s">
        <v>1287</v>
      </c>
      <c r="P921" t="s">
        <v>1287</v>
      </c>
      <c r="Q921">
        <v>1</v>
      </c>
      <c r="W921">
        <v>0</v>
      </c>
      <c r="X921">
        <v>912892513</v>
      </c>
      <c r="Y921">
        <v>218.77599999999998</v>
      </c>
      <c r="AA921">
        <v>0</v>
      </c>
      <c r="AB921">
        <v>0</v>
      </c>
      <c r="AC921">
        <v>0</v>
      </c>
      <c r="AD921">
        <v>65.08</v>
      </c>
      <c r="AE921">
        <v>0</v>
      </c>
      <c r="AF921">
        <v>0</v>
      </c>
      <c r="AG921">
        <v>0</v>
      </c>
      <c r="AH921">
        <v>9.92</v>
      </c>
      <c r="AI921">
        <v>1</v>
      </c>
      <c r="AJ921">
        <v>1</v>
      </c>
      <c r="AK921">
        <v>1</v>
      </c>
      <c r="AL921">
        <v>6.56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6</v>
      </c>
      <c r="AT921">
        <v>190.24</v>
      </c>
      <c r="AU921" t="s">
        <v>188</v>
      </c>
      <c r="AV921">
        <v>1</v>
      </c>
      <c r="AW921">
        <v>2</v>
      </c>
      <c r="AX921">
        <v>16744083</v>
      </c>
      <c r="AY921">
        <v>1</v>
      </c>
      <c r="AZ921">
        <v>0</v>
      </c>
      <c r="BA921">
        <v>854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Y921*Source!I670</f>
        <v>150.08033599999999</v>
      </c>
      <c r="CY921">
        <f>AD921</f>
        <v>65.08</v>
      </c>
      <c r="CZ921">
        <f>AH921</f>
        <v>9.92</v>
      </c>
      <c r="DA921">
        <f>AL921</f>
        <v>6.56</v>
      </c>
      <c r="DB921">
        <f>ROUND((ROUND(AT921*CZ921,2)*1.15),2)</f>
        <v>2170.2600000000002</v>
      </c>
      <c r="DC921">
        <f>ROUND((ROUND(AT921*AG921,2)*1.15),2)</f>
        <v>0</v>
      </c>
    </row>
    <row r="922" spans="1:107" x14ac:dyDescent="0.2">
      <c r="A922">
        <f>ROW(Source!A670)</f>
        <v>670</v>
      </c>
      <c r="B922">
        <v>16742901</v>
      </c>
      <c r="C922">
        <v>16744066</v>
      </c>
      <c r="D922">
        <v>15430395</v>
      </c>
      <c r="E922">
        <v>1</v>
      </c>
      <c r="F922">
        <v>1</v>
      </c>
      <c r="G922">
        <v>1</v>
      </c>
      <c r="H922">
        <v>1</v>
      </c>
      <c r="I922" t="s">
        <v>1293</v>
      </c>
      <c r="J922" t="s">
        <v>6</v>
      </c>
      <c r="K922" t="s">
        <v>1294</v>
      </c>
      <c r="L922">
        <v>1191</v>
      </c>
      <c r="N922">
        <v>1013</v>
      </c>
      <c r="O922" t="s">
        <v>1287</v>
      </c>
      <c r="P922" t="s">
        <v>1287</v>
      </c>
      <c r="Q922">
        <v>1</v>
      </c>
      <c r="W922">
        <v>0</v>
      </c>
      <c r="X922">
        <v>-1417349443</v>
      </c>
      <c r="Y922">
        <v>13.64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1</v>
      </c>
      <c r="AJ922">
        <v>1</v>
      </c>
      <c r="AK922">
        <v>6.56</v>
      </c>
      <c r="AL922">
        <v>1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6</v>
      </c>
      <c r="AT922">
        <v>13.64</v>
      </c>
      <c r="AU922" t="s">
        <v>6</v>
      </c>
      <c r="AV922">
        <v>2</v>
      </c>
      <c r="AW922">
        <v>2</v>
      </c>
      <c r="AX922">
        <v>16744084</v>
      </c>
      <c r="AY922">
        <v>1</v>
      </c>
      <c r="AZ922">
        <v>2048</v>
      </c>
      <c r="BA922">
        <v>855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Y922*Source!I670</f>
        <v>9.3570400000000014</v>
      </c>
      <c r="CY922">
        <f>AD922</f>
        <v>0</v>
      </c>
      <c r="CZ922">
        <f>AH922</f>
        <v>0</v>
      </c>
      <c r="DA922">
        <f>AL922</f>
        <v>1</v>
      </c>
      <c r="DB922">
        <f>ROUND(ROUND(AT922*CZ922,2),2)</f>
        <v>0</v>
      </c>
      <c r="DC922">
        <f>ROUND(ROUND(AT922*AG922,2),2)</f>
        <v>0</v>
      </c>
    </row>
    <row r="923" spans="1:107" x14ac:dyDescent="0.2">
      <c r="A923">
        <f>ROW(Source!A670)</f>
        <v>670</v>
      </c>
      <c r="B923">
        <v>16742901</v>
      </c>
      <c r="C923">
        <v>16744066</v>
      </c>
      <c r="D923">
        <v>15247578</v>
      </c>
      <c r="E923">
        <v>1</v>
      </c>
      <c r="F923">
        <v>1</v>
      </c>
      <c r="G923">
        <v>1</v>
      </c>
      <c r="H923">
        <v>2</v>
      </c>
      <c r="I923" t="s">
        <v>1408</v>
      </c>
      <c r="J923" t="s">
        <v>1409</v>
      </c>
      <c r="K923" t="s">
        <v>1410</v>
      </c>
      <c r="L923">
        <v>1368</v>
      </c>
      <c r="N923">
        <v>1011</v>
      </c>
      <c r="O923" t="s">
        <v>1298</v>
      </c>
      <c r="P923" t="s">
        <v>1298</v>
      </c>
      <c r="Q923">
        <v>1</v>
      </c>
      <c r="W923">
        <v>0</v>
      </c>
      <c r="X923">
        <v>-1460065968</v>
      </c>
      <c r="Y923">
        <v>6.25E-2</v>
      </c>
      <c r="AA923">
        <v>0</v>
      </c>
      <c r="AB923">
        <v>566.78</v>
      </c>
      <c r="AC923">
        <v>13.5</v>
      </c>
      <c r="AD923">
        <v>0</v>
      </c>
      <c r="AE923">
        <v>0</v>
      </c>
      <c r="AF923">
        <v>86.4</v>
      </c>
      <c r="AG923">
        <v>13.5</v>
      </c>
      <c r="AH923">
        <v>0</v>
      </c>
      <c r="AI923">
        <v>1</v>
      </c>
      <c r="AJ923">
        <v>6.56</v>
      </c>
      <c r="AK923">
        <v>1</v>
      </c>
      <c r="AL923">
        <v>1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6</v>
      </c>
      <c r="AT923">
        <v>0.05</v>
      </c>
      <c r="AU923" t="s">
        <v>187</v>
      </c>
      <c r="AV923">
        <v>0</v>
      </c>
      <c r="AW923">
        <v>2</v>
      </c>
      <c r="AX923">
        <v>16744085</v>
      </c>
      <c r="AY923">
        <v>1</v>
      </c>
      <c r="AZ923">
        <v>0</v>
      </c>
      <c r="BA923">
        <v>856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Y923*Source!I670</f>
        <v>4.2875000000000003E-2</v>
      </c>
      <c r="CY923">
        <f>AB923</f>
        <v>566.78</v>
      </c>
      <c r="CZ923">
        <f>AF923</f>
        <v>86.4</v>
      </c>
      <c r="DA923">
        <f>AJ923</f>
        <v>6.56</v>
      </c>
      <c r="DB923">
        <f>ROUND((ROUND(AT923*CZ923,2)*1.25),2)</f>
        <v>5.4</v>
      </c>
      <c r="DC923">
        <f>ROUND((ROUND(AT923*AG923,2)*1.25),2)</f>
        <v>0.85</v>
      </c>
    </row>
    <row r="924" spans="1:107" x14ac:dyDescent="0.2">
      <c r="A924">
        <f>ROW(Source!A670)</f>
        <v>670</v>
      </c>
      <c r="B924">
        <v>16742901</v>
      </c>
      <c r="C924">
        <v>16744066</v>
      </c>
      <c r="D924">
        <v>15247680</v>
      </c>
      <c r="E924">
        <v>1</v>
      </c>
      <c r="F924">
        <v>1</v>
      </c>
      <c r="G924">
        <v>1</v>
      </c>
      <c r="H924">
        <v>2</v>
      </c>
      <c r="I924" t="s">
        <v>1295</v>
      </c>
      <c r="J924" t="s">
        <v>1296</v>
      </c>
      <c r="K924" t="s">
        <v>1297</v>
      </c>
      <c r="L924">
        <v>1368</v>
      </c>
      <c r="N924">
        <v>1011</v>
      </c>
      <c r="O924" t="s">
        <v>1298</v>
      </c>
      <c r="P924" t="s">
        <v>1298</v>
      </c>
      <c r="Q924">
        <v>1</v>
      </c>
      <c r="W924">
        <v>0</v>
      </c>
      <c r="X924">
        <v>-1718674368</v>
      </c>
      <c r="Y924">
        <v>3.7499999999999999E-2</v>
      </c>
      <c r="AA924">
        <v>0</v>
      </c>
      <c r="AB924">
        <v>734.65</v>
      </c>
      <c r="AC924">
        <v>13.5</v>
      </c>
      <c r="AD924">
        <v>0</v>
      </c>
      <c r="AE924">
        <v>0</v>
      </c>
      <c r="AF924">
        <v>111.99</v>
      </c>
      <c r="AG924">
        <v>13.5</v>
      </c>
      <c r="AH924">
        <v>0</v>
      </c>
      <c r="AI924">
        <v>1</v>
      </c>
      <c r="AJ924">
        <v>6.56</v>
      </c>
      <c r="AK924">
        <v>1</v>
      </c>
      <c r="AL924">
        <v>1</v>
      </c>
      <c r="AN924">
        <v>0</v>
      </c>
      <c r="AO924">
        <v>1</v>
      </c>
      <c r="AP924">
        <v>1</v>
      </c>
      <c r="AQ924">
        <v>0</v>
      </c>
      <c r="AR924">
        <v>0</v>
      </c>
      <c r="AS924" t="s">
        <v>6</v>
      </c>
      <c r="AT924">
        <v>0.03</v>
      </c>
      <c r="AU924" t="s">
        <v>187</v>
      </c>
      <c r="AV924">
        <v>0</v>
      </c>
      <c r="AW924">
        <v>2</v>
      </c>
      <c r="AX924">
        <v>16744086</v>
      </c>
      <c r="AY924">
        <v>1</v>
      </c>
      <c r="AZ924">
        <v>0</v>
      </c>
      <c r="BA924">
        <v>857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Y924*Source!I670</f>
        <v>2.5725000000000001E-2</v>
      </c>
      <c r="CY924">
        <f>AB924</f>
        <v>734.65</v>
      </c>
      <c r="CZ924">
        <f>AF924</f>
        <v>111.99</v>
      </c>
      <c r="DA924">
        <f>AJ924</f>
        <v>6.56</v>
      </c>
      <c r="DB924">
        <f>ROUND((ROUND(AT924*CZ924,2)*1.25),2)</f>
        <v>4.2</v>
      </c>
      <c r="DC924">
        <f>ROUND((ROUND(AT924*AG924,2)*1.25),2)</f>
        <v>0.51</v>
      </c>
    </row>
    <row r="925" spans="1:107" x14ac:dyDescent="0.2">
      <c r="A925">
        <f>ROW(Source!A670)</f>
        <v>670</v>
      </c>
      <c r="B925">
        <v>16742901</v>
      </c>
      <c r="C925">
        <v>16744066</v>
      </c>
      <c r="D925">
        <v>15249073</v>
      </c>
      <c r="E925">
        <v>1</v>
      </c>
      <c r="F925">
        <v>1</v>
      </c>
      <c r="G925">
        <v>1</v>
      </c>
      <c r="H925">
        <v>2</v>
      </c>
      <c r="I925" t="s">
        <v>1299</v>
      </c>
      <c r="J925" t="s">
        <v>1300</v>
      </c>
      <c r="K925" t="s">
        <v>1301</v>
      </c>
      <c r="L925">
        <v>1368</v>
      </c>
      <c r="N925">
        <v>1011</v>
      </c>
      <c r="O925" t="s">
        <v>1298</v>
      </c>
      <c r="P925" t="s">
        <v>1298</v>
      </c>
      <c r="Q925">
        <v>1</v>
      </c>
      <c r="W925">
        <v>0</v>
      </c>
      <c r="X925">
        <v>1372534845</v>
      </c>
      <c r="Y925">
        <v>0.27500000000000002</v>
      </c>
      <c r="AA925">
        <v>0</v>
      </c>
      <c r="AB925">
        <v>431.06</v>
      </c>
      <c r="AC925">
        <v>11.6</v>
      </c>
      <c r="AD925">
        <v>0</v>
      </c>
      <c r="AE925">
        <v>0</v>
      </c>
      <c r="AF925">
        <v>65.709999999999994</v>
      </c>
      <c r="AG925">
        <v>11.6</v>
      </c>
      <c r="AH925">
        <v>0</v>
      </c>
      <c r="AI925">
        <v>1</v>
      </c>
      <c r="AJ925">
        <v>6.56</v>
      </c>
      <c r="AK925">
        <v>1</v>
      </c>
      <c r="AL925">
        <v>1</v>
      </c>
      <c r="AN925">
        <v>0</v>
      </c>
      <c r="AO925">
        <v>1</v>
      </c>
      <c r="AP925">
        <v>1</v>
      </c>
      <c r="AQ925">
        <v>0</v>
      </c>
      <c r="AR925">
        <v>0</v>
      </c>
      <c r="AS925" t="s">
        <v>6</v>
      </c>
      <c r="AT925">
        <v>0.22</v>
      </c>
      <c r="AU925" t="s">
        <v>187</v>
      </c>
      <c r="AV925">
        <v>0</v>
      </c>
      <c r="AW925">
        <v>2</v>
      </c>
      <c r="AX925">
        <v>16744087</v>
      </c>
      <c r="AY925">
        <v>1</v>
      </c>
      <c r="AZ925">
        <v>0</v>
      </c>
      <c r="BA925">
        <v>858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Y925*Source!I670</f>
        <v>0.18865000000000004</v>
      </c>
      <c r="CY925">
        <f>AB925</f>
        <v>431.06</v>
      </c>
      <c r="CZ925">
        <f>AF925</f>
        <v>65.709999999999994</v>
      </c>
      <c r="DA925">
        <f>AJ925</f>
        <v>6.56</v>
      </c>
      <c r="DB925">
        <f>ROUND((ROUND(AT925*CZ925,2)*1.25),2)</f>
        <v>18.079999999999998</v>
      </c>
      <c r="DC925">
        <f>ROUND((ROUND(AT925*AG925,2)*1.25),2)</f>
        <v>3.19</v>
      </c>
    </row>
    <row r="926" spans="1:107" x14ac:dyDescent="0.2">
      <c r="A926">
        <f>ROW(Source!A670)</f>
        <v>670</v>
      </c>
      <c r="B926">
        <v>16742901</v>
      </c>
      <c r="C926">
        <v>16744066</v>
      </c>
      <c r="D926">
        <v>15249291</v>
      </c>
      <c r="E926">
        <v>1</v>
      </c>
      <c r="F926">
        <v>1</v>
      </c>
      <c r="G926">
        <v>1</v>
      </c>
      <c r="H926">
        <v>2</v>
      </c>
      <c r="I926" t="s">
        <v>1810</v>
      </c>
      <c r="J926" t="s">
        <v>1811</v>
      </c>
      <c r="K926" t="s">
        <v>1812</v>
      </c>
      <c r="L926">
        <v>1368</v>
      </c>
      <c r="N926">
        <v>1011</v>
      </c>
      <c r="O926" t="s">
        <v>1298</v>
      </c>
      <c r="P926" t="s">
        <v>1298</v>
      </c>
      <c r="Q926">
        <v>1</v>
      </c>
      <c r="W926">
        <v>0</v>
      </c>
      <c r="X926">
        <v>917635847</v>
      </c>
      <c r="Y926">
        <v>16.675000000000001</v>
      </c>
      <c r="AA926">
        <v>0</v>
      </c>
      <c r="AB926">
        <v>656.66</v>
      </c>
      <c r="AC926">
        <v>13.5</v>
      </c>
      <c r="AD926">
        <v>0</v>
      </c>
      <c r="AE926">
        <v>0</v>
      </c>
      <c r="AF926">
        <v>100.1</v>
      </c>
      <c r="AG926">
        <v>13.5</v>
      </c>
      <c r="AH926">
        <v>0</v>
      </c>
      <c r="AI926">
        <v>1</v>
      </c>
      <c r="AJ926">
        <v>6.56</v>
      </c>
      <c r="AK926">
        <v>1</v>
      </c>
      <c r="AL926">
        <v>1</v>
      </c>
      <c r="AN926">
        <v>0</v>
      </c>
      <c r="AO926">
        <v>1</v>
      </c>
      <c r="AP926">
        <v>1</v>
      </c>
      <c r="AQ926">
        <v>0</v>
      </c>
      <c r="AR926">
        <v>0</v>
      </c>
      <c r="AS926" t="s">
        <v>6</v>
      </c>
      <c r="AT926">
        <v>13.34</v>
      </c>
      <c r="AU926" t="s">
        <v>187</v>
      </c>
      <c r="AV926">
        <v>0</v>
      </c>
      <c r="AW926">
        <v>2</v>
      </c>
      <c r="AX926">
        <v>16744088</v>
      </c>
      <c r="AY926">
        <v>1</v>
      </c>
      <c r="AZ926">
        <v>0</v>
      </c>
      <c r="BA926">
        <v>859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Y926*Source!I670</f>
        <v>11.439050000000002</v>
      </c>
      <c r="CY926">
        <f>AB926</f>
        <v>656.66</v>
      </c>
      <c r="CZ926">
        <f>AF926</f>
        <v>100.1</v>
      </c>
      <c r="DA926">
        <f>AJ926</f>
        <v>6.56</v>
      </c>
      <c r="DB926">
        <f>ROUND((ROUND(AT926*CZ926,2)*1.25),2)</f>
        <v>1669.16</v>
      </c>
      <c r="DC926">
        <f>ROUND((ROUND(AT926*AG926,2)*1.25),2)</f>
        <v>225.11</v>
      </c>
    </row>
    <row r="927" spans="1:107" x14ac:dyDescent="0.2">
      <c r="A927">
        <f>ROW(Source!A670)</f>
        <v>670</v>
      </c>
      <c r="B927">
        <v>16742901</v>
      </c>
      <c r="C927">
        <v>16744066</v>
      </c>
      <c r="D927">
        <v>15166105</v>
      </c>
      <c r="E927">
        <v>1</v>
      </c>
      <c r="F927">
        <v>1</v>
      </c>
      <c r="G927">
        <v>1</v>
      </c>
      <c r="H927">
        <v>3</v>
      </c>
      <c r="I927" t="s">
        <v>1813</v>
      </c>
      <c r="J927" t="s">
        <v>1814</v>
      </c>
      <c r="K927" t="s">
        <v>1815</v>
      </c>
      <c r="L927">
        <v>1346</v>
      </c>
      <c r="N927">
        <v>1009</v>
      </c>
      <c r="O927" t="s">
        <v>341</v>
      </c>
      <c r="P927" t="s">
        <v>341</v>
      </c>
      <c r="Q927">
        <v>1</v>
      </c>
      <c r="W927">
        <v>0</v>
      </c>
      <c r="X927">
        <v>-1168800073</v>
      </c>
      <c r="Y927">
        <v>0.25</v>
      </c>
      <c r="AA927">
        <v>77.41</v>
      </c>
      <c r="AB927">
        <v>0</v>
      </c>
      <c r="AC927">
        <v>0</v>
      </c>
      <c r="AD927">
        <v>0</v>
      </c>
      <c r="AE927">
        <v>11.8</v>
      </c>
      <c r="AF927">
        <v>0</v>
      </c>
      <c r="AG927">
        <v>0</v>
      </c>
      <c r="AH927">
        <v>0</v>
      </c>
      <c r="AI927">
        <v>6.56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6</v>
      </c>
      <c r="AT927">
        <v>0.25</v>
      </c>
      <c r="AU927" t="s">
        <v>6</v>
      </c>
      <c r="AV927">
        <v>0</v>
      </c>
      <c r="AW927">
        <v>2</v>
      </c>
      <c r="AX927">
        <v>16744089</v>
      </c>
      <c r="AY927">
        <v>1</v>
      </c>
      <c r="AZ927">
        <v>0</v>
      </c>
      <c r="BA927">
        <v>860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Y927*Source!I670</f>
        <v>0.17150000000000001</v>
      </c>
      <c r="CY927">
        <f t="shared" ref="CY927:CY935" si="172">AA927</f>
        <v>77.41</v>
      </c>
      <c r="CZ927">
        <f t="shared" ref="CZ927:CZ935" si="173">AE927</f>
        <v>11.8</v>
      </c>
      <c r="DA927">
        <f t="shared" ref="DA927:DA935" si="174">AI927</f>
        <v>6.56</v>
      </c>
      <c r="DB927">
        <f t="shared" ref="DB927:DB935" si="175">ROUND(ROUND(AT927*CZ927,2),2)</f>
        <v>2.95</v>
      </c>
      <c r="DC927">
        <f t="shared" ref="DC927:DC935" si="176">ROUND(ROUND(AT927*AG927,2),2)</f>
        <v>0</v>
      </c>
    </row>
    <row r="928" spans="1:107" x14ac:dyDescent="0.2">
      <c r="A928">
        <f>ROW(Source!A670)</f>
        <v>670</v>
      </c>
      <c r="B928">
        <v>16742901</v>
      </c>
      <c r="C928">
        <v>16744066</v>
      </c>
      <c r="D928">
        <v>15167286</v>
      </c>
      <c r="E928">
        <v>1</v>
      </c>
      <c r="F928">
        <v>1</v>
      </c>
      <c r="G928">
        <v>1</v>
      </c>
      <c r="H928">
        <v>3</v>
      </c>
      <c r="I928" t="s">
        <v>1317</v>
      </c>
      <c r="J928" t="s">
        <v>1318</v>
      </c>
      <c r="K928" t="s">
        <v>1319</v>
      </c>
      <c r="L928">
        <v>1339</v>
      </c>
      <c r="N928">
        <v>1007</v>
      </c>
      <c r="O928" t="s">
        <v>301</v>
      </c>
      <c r="P928" t="s">
        <v>301</v>
      </c>
      <c r="Q928">
        <v>1</v>
      </c>
      <c r="W928">
        <v>0</v>
      </c>
      <c r="X928">
        <v>-1660354250</v>
      </c>
      <c r="Y928">
        <v>0.47</v>
      </c>
      <c r="AA928">
        <v>16.010000000000002</v>
      </c>
      <c r="AB928">
        <v>0</v>
      </c>
      <c r="AC928">
        <v>0</v>
      </c>
      <c r="AD928">
        <v>0</v>
      </c>
      <c r="AE928">
        <v>2.44</v>
      </c>
      <c r="AF928">
        <v>0</v>
      </c>
      <c r="AG928">
        <v>0</v>
      </c>
      <c r="AH928">
        <v>0</v>
      </c>
      <c r="AI928">
        <v>6.56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6</v>
      </c>
      <c r="AT928">
        <v>0.47</v>
      </c>
      <c r="AU928" t="s">
        <v>6</v>
      </c>
      <c r="AV928">
        <v>0</v>
      </c>
      <c r="AW928">
        <v>2</v>
      </c>
      <c r="AX928">
        <v>16744090</v>
      </c>
      <c r="AY928">
        <v>1</v>
      </c>
      <c r="AZ928">
        <v>0</v>
      </c>
      <c r="BA928">
        <v>861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Y928*Source!I670</f>
        <v>0.32241999999999998</v>
      </c>
      <c r="CY928">
        <f t="shared" si="172"/>
        <v>16.010000000000002</v>
      </c>
      <c r="CZ928">
        <f t="shared" si="173"/>
        <v>2.44</v>
      </c>
      <c r="DA928">
        <f t="shared" si="174"/>
        <v>6.56</v>
      </c>
      <c r="DB928">
        <f t="shared" si="175"/>
        <v>1.1499999999999999</v>
      </c>
      <c r="DC928">
        <f t="shared" si="176"/>
        <v>0</v>
      </c>
    </row>
    <row r="929" spans="1:107" x14ac:dyDescent="0.2">
      <c r="A929">
        <f>ROW(Source!A670)</f>
        <v>670</v>
      </c>
      <c r="B929">
        <v>16742901</v>
      </c>
      <c r="C929">
        <v>16744066</v>
      </c>
      <c r="D929">
        <v>15167787</v>
      </c>
      <c r="E929">
        <v>1</v>
      </c>
      <c r="F929">
        <v>1</v>
      </c>
      <c r="G929">
        <v>1</v>
      </c>
      <c r="H929">
        <v>3</v>
      </c>
      <c r="I929" t="s">
        <v>1816</v>
      </c>
      <c r="J929" t="s">
        <v>1817</v>
      </c>
      <c r="K929" t="s">
        <v>1818</v>
      </c>
      <c r="L929">
        <v>1356</v>
      </c>
      <c r="N929">
        <v>1010</v>
      </c>
      <c r="O929" t="s">
        <v>306</v>
      </c>
      <c r="P929" t="s">
        <v>306</v>
      </c>
      <c r="Q929">
        <v>1000</v>
      </c>
      <c r="W929">
        <v>0</v>
      </c>
      <c r="X929">
        <v>72387144</v>
      </c>
      <c r="Y929">
        <v>0.1</v>
      </c>
      <c r="AA929">
        <v>1664.93</v>
      </c>
      <c r="AB929">
        <v>0</v>
      </c>
      <c r="AC929">
        <v>0</v>
      </c>
      <c r="AD929">
        <v>0</v>
      </c>
      <c r="AE929">
        <v>253.8</v>
      </c>
      <c r="AF929">
        <v>0</v>
      </c>
      <c r="AG929">
        <v>0</v>
      </c>
      <c r="AH929">
        <v>0</v>
      </c>
      <c r="AI929">
        <v>6.56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6</v>
      </c>
      <c r="AT929">
        <v>0.1</v>
      </c>
      <c r="AU929" t="s">
        <v>6</v>
      </c>
      <c r="AV929">
        <v>0</v>
      </c>
      <c r="AW929">
        <v>2</v>
      </c>
      <c r="AX929">
        <v>16744091</v>
      </c>
      <c r="AY929">
        <v>1</v>
      </c>
      <c r="AZ929">
        <v>0</v>
      </c>
      <c r="BA929">
        <v>862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Y929*Source!I670</f>
        <v>6.8600000000000008E-2</v>
      </c>
      <c r="CY929">
        <f t="shared" si="172"/>
        <v>1664.93</v>
      </c>
      <c r="CZ929">
        <f t="shared" si="173"/>
        <v>253.8</v>
      </c>
      <c r="DA929">
        <f t="shared" si="174"/>
        <v>6.56</v>
      </c>
      <c r="DB929">
        <f t="shared" si="175"/>
        <v>25.38</v>
      </c>
      <c r="DC929">
        <f t="shared" si="176"/>
        <v>0</v>
      </c>
    </row>
    <row r="930" spans="1:107" x14ac:dyDescent="0.2">
      <c r="A930">
        <f>ROW(Source!A670)</f>
        <v>670</v>
      </c>
      <c r="B930">
        <v>16742901</v>
      </c>
      <c r="C930">
        <v>16744066</v>
      </c>
      <c r="D930">
        <v>15170090</v>
      </c>
      <c r="E930">
        <v>1</v>
      </c>
      <c r="F930">
        <v>1</v>
      </c>
      <c r="G930">
        <v>1</v>
      </c>
      <c r="H930">
        <v>3</v>
      </c>
      <c r="I930" t="s">
        <v>1819</v>
      </c>
      <c r="J930" t="s">
        <v>1820</v>
      </c>
      <c r="K930" t="s">
        <v>1821</v>
      </c>
      <c r="L930">
        <v>1348</v>
      </c>
      <c r="N930">
        <v>1009</v>
      </c>
      <c r="O930" t="s">
        <v>100</v>
      </c>
      <c r="P930" t="s">
        <v>100</v>
      </c>
      <c r="Q930">
        <v>1000</v>
      </c>
      <c r="W930">
        <v>0</v>
      </c>
      <c r="X930">
        <v>-735561281</v>
      </c>
      <c r="Y930">
        <v>8.4999999999999995E-4</v>
      </c>
      <c r="AA930">
        <v>147980.48000000001</v>
      </c>
      <c r="AB930">
        <v>0</v>
      </c>
      <c r="AC930">
        <v>0</v>
      </c>
      <c r="AD930">
        <v>0</v>
      </c>
      <c r="AE930">
        <v>22558</v>
      </c>
      <c r="AF930">
        <v>0</v>
      </c>
      <c r="AG930">
        <v>0</v>
      </c>
      <c r="AH930">
        <v>0</v>
      </c>
      <c r="AI930">
        <v>6.56</v>
      </c>
      <c r="AJ930">
        <v>1</v>
      </c>
      <c r="AK930">
        <v>1</v>
      </c>
      <c r="AL930">
        <v>1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6</v>
      </c>
      <c r="AT930">
        <v>8.4999999999999995E-4</v>
      </c>
      <c r="AU930" t="s">
        <v>6</v>
      </c>
      <c r="AV930">
        <v>0</v>
      </c>
      <c r="AW930">
        <v>2</v>
      </c>
      <c r="AX930">
        <v>16744092</v>
      </c>
      <c r="AY930">
        <v>1</v>
      </c>
      <c r="AZ930">
        <v>0</v>
      </c>
      <c r="BA930">
        <v>863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Y930*Source!I670</f>
        <v>5.8310000000000002E-4</v>
      </c>
      <c r="CY930">
        <f t="shared" si="172"/>
        <v>147980.48000000001</v>
      </c>
      <c r="CZ930">
        <f t="shared" si="173"/>
        <v>22558</v>
      </c>
      <c r="DA930">
        <f t="shared" si="174"/>
        <v>6.56</v>
      </c>
      <c r="DB930">
        <f t="shared" si="175"/>
        <v>19.170000000000002</v>
      </c>
      <c r="DC930">
        <f t="shared" si="176"/>
        <v>0</v>
      </c>
    </row>
    <row r="931" spans="1:107" x14ac:dyDescent="0.2">
      <c r="A931">
        <f>ROW(Source!A670)</f>
        <v>670</v>
      </c>
      <c r="B931">
        <v>16742901</v>
      </c>
      <c r="C931">
        <v>16744066</v>
      </c>
      <c r="D931">
        <v>15172018</v>
      </c>
      <c r="E931">
        <v>1</v>
      </c>
      <c r="F931">
        <v>1</v>
      </c>
      <c r="G931">
        <v>1</v>
      </c>
      <c r="H931">
        <v>3</v>
      </c>
      <c r="I931" t="s">
        <v>1799</v>
      </c>
      <c r="J931" t="s">
        <v>1800</v>
      </c>
      <c r="K931" t="s">
        <v>1801</v>
      </c>
      <c r="L931">
        <v>1346</v>
      </c>
      <c r="N931">
        <v>1009</v>
      </c>
      <c r="O931" t="s">
        <v>341</v>
      </c>
      <c r="P931" t="s">
        <v>341</v>
      </c>
      <c r="Q931">
        <v>1</v>
      </c>
      <c r="W931">
        <v>0</v>
      </c>
      <c r="X931">
        <v>450790165</v>
      </c>
      <c r="Y931">
        <v>1.6000000000000001E-3</v>
      </c>
      <c r="AA931">
        <v>14.1</v>
      </c>
      <c r="AB931">
        <v>0</v>
      </c>
      <c r="AC931">
        <v>0</v>
      </c>
      <c r="AD931">
        <v>0</v>
      </c>
      <c r="AE931">
        <v>2.15</v>
      </c>
      <c r="AF931">
        <v>0</v>
      </c>
      <c r="AG931">
        <v>0</v>
      </c>
      <c r="AH931">
        <v>0</v>
      </c>
      <c r="AI931">
        <v>6.56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6</v>
      </c>
      <c r="AT931">
        <v>1.6000000000000001E-3</v>
      </c>
      <c r="AU931" t="s">
        <v>6</v>
      </c>
      <c r="AV931">
        <v>0</v>
      </c>
      <c r="AW931">
        <v>2</v>
      </c>
      <c r="AX931">
        <v>16744093</v>
      </c>
      <c r="AY931">
        <v>1</v>
      </c>
      <c r="AZ931">
        <v>0</v>
      </c>
      <c r="BA931">
        <v>864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Y931*Source!I670</f>
        <v>1.0976000000000002E-3</v>
      </c>
      <c r="CY931">
        <f t="shared" si="172"/>
        <v>14.1</v>
      </c>
      <c r="CZ931">
        <f t="shared" si="173"/>
        <v>2.15</v>
      </c>
      <c r="DA931">
        <f t="shared" si="174"/>
        <v>6.56</v>
      </c>
      <c r="DB931">
        <f t="shared" si="175"/>
        <v>0</v>
      </c>
      <c r="DC931">
        <f t="shared" si="176"/>
        <v>0</v>
      </c>
    </row>
    <row r="932" spans="1:107" x14ac:dyDescent="0.2">
      <c r="A932">
        <f>ROW(Source!A670)</f>
        <v>670</v>
      </c>
      <c r="B932">
        <v>16742901</v>
      </c>
      <c r="C932">
        <v>16744066</v>
      </c>
      <c r="D932">
        <v>15202502</v>
      </c>
      <c r="E932">
        <v>1</v>
      </c>
      <c r="F932">
        <v>1</v>
      </c>
      <c r="G932">
        <v>1</v>
      </c>
      <c r="H932">
        <v>3</v>
      </c>
      <c r="I932" t="s">
        <v>1822</v>
      </c>
      <c r="J932" t="s">
        <v>1823</v>
      </c>
      <c r="K932" t="s">
        <v>1824</v>
      </c>
      <c r="L932">
        <v>1346</v>
      </c>
      <c r="N932">
        <v>1009</v>
      </c>
      <c r="O932" t="s">
        <v>341</v>
      </c>
      <c r="P932" t="s">
        <v>341</v>
      </c>
      <c r="Q932">
        <v>1</v>
      </c>
      <c r="W932">
        <v>0</v>
      </c>
      <c r="X932">
        <v>497371595</v>
      </c>
      <c r="Y932">
        <v>0.25</v>
      </c>
      <c r="AA932">
        <v>189.78</v>
      </c>
      <c r="AB932">
        <v>0</v>
      </c>
      <c r="AC932">
        <v>0</v>
      </c>
      <c r="AD932">
        <v>0</v>
      </c>
      <c r="AE932">
        <v>28.93</v>
      </c>
      <c r="AF932">
        <v>0</v>
      </c>
      <c r="AG932">
        <v>0</v>
      </c>
      <c r="AH932">
        <v>0</v>
      </c>
      <c r="AI932">
        <v>6.56</v>
      </c>
      <c r="AJ932">
        <v>1</v>
      </c>
      <c r="AK932">
        <v>1</v>
      </c>
      <c r="AL932">
        <v>1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6</v>
      </c>
      <c r="AT932">
        <v>0.25</v>
      </c>
      <c r="AU932" t="s">
        <v>6</v>
      </c>
      <c r="AV932">
        <v>0</v>
      </c>
      <c r="AW932">
        <v>2</v>
      </c>
      <c r="AX932">
        <v>16744095</v>
      </c>
      <c r="AY932">
        <v>1</v>
      </c>
      <c r="AZ932">
        <v>0</v>
      </c>
      <c r="BA932">
        <v>866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Y932*Source!I670</f>
        <v>0.17150000000000001</v>
      </c>
      <c r="CY932">
        <f t="shared" si="172"/>
        <v>189.78</v>
      </c>
      <c r="CZ932">
        <f t="shared" si="173"/>
        <v>28.93</v>
      </c>
      <c r="DA932">
        <f t="shared" si="174"/>
        <v>6.56</v>
      </c>
      <c r="DB932">
        <f t="shared" si="175"/>
        <v>7.23</v>
      </c>
      <c r="DC932">
        <f t="shared" si="176"/>
        <v>0</v>
      </c>
    </row>
    <row r="933" spans="1:107" x14ac:dyDescent="0.2">
      <c r="A933">
        <f>ROW(Source!A670)</f>
        <v>670</v>
      </c>
      <c r="B933">
        <v>16742901</v>
      </c>
      <c r="C933">
        <v>16744066</v>
      </c>
      <c r="D933">
        <v>15210852</v>
      </c>
      <c r="E933">
        <v>1</v>
      </c>
      <c r="F933">
        <v>1</v>
      </c>
      <c r="G933">
        <v>1</v>
      </c>
      <c r="H933">
        <v>3</v>
      </c>
      <c r="I933" t="s">
        <v>1066</v>
      </c>
      <c r="J933" t="s">
        <v>1068</v>
      </c>
      <c r="K933" t="s">
        <v>1114</v>
      </c>
      <c r="L933">
        <v>1354</v>
      </c>
      <c r="N933">
        <v>1010</v>
      </c>
      <c r="O933" t="s">
        <v>73</v>
      </c>
      <c r="P933" t="s">
        <v>73</v>
      </c>
      <c r="Q933">
        <v>1</v>
      </c>
      <c r="W933">
        <v>0</v>
      </c>
      <c r="X933">
        <v>-1182410368</v>
      </c>
      <c r="Y933">
        <v>17.492711</v>
      </c>
      <c r="AA933">
        <v>271.64999999999998</v>
      </c>
      <c r="AB933">
        <v>0</v>
      </c>
      <c r="AC933">
        <v>0</v>
      </c>
      <c r="AD933">
        <v>0</v>
      </c>
      <c r="AE933">
        <v>41.41</v>
      </c>
      <c r="AF933">
        <v>0</v>
      </c>
      <c r="AG933">
        <v>0</v>
      </c>
      <c r="AH933">
        <v>0</v>
      </c>
      <c r="AI933">
        <v>6.56</v>
      </c>
      <c r="AJ933">
        <v>1</v>
      </c>
      <c r="AK933">
        <v>1</v>
      </c>
      <c r="AL933">
        <v>1</v>
      </c>
      <c r="AN933">
        <v>0</v>
      </c>
      <c r="AO933">
        <v>0</v>
      </c>
      <c r="AP933">
        <v>0</v>
      </c>
      <c r="AQ933">
        <v>0</v>
      </c>
      <c r="AR933">
        <v>0</v>
      </c>
      <c r="AS933" t="s">
        <v>6</v>
      </c>
      <c r="AT933">
        <v>17.492711</v>
      </c>
      <c r="AU933" t="s">
        <v>6</v>
      </c>
      <c r="AV933">
        <v>0</v>
      </c>
      <c r="AW933">
        <v>1</v>
      </c>
      <c r="AX933">
        <v>-1</v>
      </c>
      <c r="AY933">
        <v>0</v>
      </c>
      <c r="AZ933">
        <v>0</v>
      </c>
      <c r="BA933" t="s">
        <v>6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Y933*Source!I670</f>
        <v>11.999999746</v>
      </c>
      <c r="CY933">
        <f t="shared" si="172"/>
        <v>271.64999999999998</v>
      </c>
      <c r="CZ933">
        <f t="shared" si="173"/>
        <v>41.41</v>
      </c>
      <c r="DA933">
        <f t="shared" si="174"/>
        <v>6.56</v>
      </c>
      <c r="DB933">
        <f t="shared" si="175"/>
        <v>724.37</v>
      </c>
      <c r="DC933">
        <f t="shared" si="176"/>
        <v>0</v>
      </c>
    </row>
    <row r="934" spans="1:107" x14ac:dyDescent="0.2">
      <c r="A934">
        <f>ROW(Source!A670)</f>
        <v>670</v>
      </c>
      <c r="B934">
        <v>16742901</v>
      </c>
      <c r="C934">
        <v>16744066</v>
      </c>
      <c r="D934">
        <v>15233484</v>
      </c>
      <c r="E934">
        <v>1</v>
      </c>
      <c r="F934">
        <v>1</v>
      </c>
      <c r="G934">
        <v>1</v>
      </c>
      <c r="H934">
        <v>3</v>
      </c>
      <c r="I934" t="s">
        <v>1116</v>
      </c>
      <c r="J934" t="s">
        <v>1118</v>
      </c>
      <c r="K934" t="s">
        <v>1117</v>
      </c>
      <c r="L934">
        <v>1301</v>
      </c>
      <c r="N934">
        <v>1003</v>
      </c>
      <c r="O934" t="s">
        <v>220</v>
      </c>
      <c r="P934" t="s">
        <v>220</v>
      </c>
      <c r="Q934">
        <v>1</v>
      </c>
      <c r="W934">
        <v>0</v>
      </c>
      <c r="X934">
        <v>-2002545417</v>
      </c>
      <c r="Y934">
        <v>34.985422999999997</v>
      </c>
      <c r="AA934">
        <v>30.18</v>
      </c>
      <c r="AB934">
        <v>0</v>
      </c>
      <c r="AC934">
        <v>0</v>
      </c>
      <c r="AD934">
        <v>0</v>
      </c>
      <c r="AE934">
        <v>4.5999999999999996</v>
      </c>
      <c r="AF934">
        <v>0</v>
      </c>
      <c r="AG934">
        <v>0</v>
      </c>
      <c r="AH934">
        <v>0</v>
      </c>
      <c r="AI934">
        <v>6.56</v>
      </c>
      <c r="AJ934">
        <v>1</v>
      </c>
      <c r="AK934">
        <v>1</v>
      </c>
      <c r="AL934">
        <v>1</v>
      </c>
      <c r="AN934">
        <v>0</v>
      </c>
      <c r="AO934">
        <v>0</v>
      </c>
      <c r="AP934">
        <v>0</v>
      </c>
      <c r="AQ934">
        <v>0</v>
      </c>
      <c r="AR934">
        <v>0</v>
      </c>
      <c r="AS934" t="s">
        <v>6</v>
      </c>
      <c r="AT934">
        <v>34.985422999999997</v>
      </c>
      <c r="AU934" t="s">
        <v>6</v>
      </c>
      <c r="AV934">
        <v>0</v>
      </c>
      <c r="AW934">
        <v>1</v>
      </c>
      <c r="AX934">
        <v>-1</v>
      </c>
      <c r="AY934">
        <v>0</v>
      </c>
      <c r="AZ934">
        <v>0</v>
      </c>
      <c r="BA934" t="s">
        <v>6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Y934*Source!I670</f>
        <v>24.000000178000001</v>
      </c>
      <c r="CY934">
        <f t="shared" si="172"/>
        <v>30.18</v>
      </c>
      <c r="CZ934">
        <f t="shared" si="173"/>
        <v>4.5999999999999996</v>
      </c>
      <c r="DA934">
        <f t="shared" si="174"/>
        <v>6.56</v>
      </c>
      <c r="DB934">
        <f t="shared" si="175"/>
        <v>160.93</v>
      </c>
      <c r="DC934">
        <f t="shared" si="176"/>
        <v>0</v>
      </c>
    </row>
    <row r="935" spans="1:107" x14ac:dyDescent="0.2">
      <c r="A935">
        <f>ROW(Source!A670)</f>
        <v>670</v>
      </c>
      <c r="B935">
        <v>16742901</v>
      </c>
      <c r="C935">
        <v>16744066</v>
      </c>
      <c r="D935">
        <v>15233494</v>
      </c>
      <c r="E935">
        <v>1</v>
      </c>
      <c r="F935">
        <v>1</v>
      </c>
      <c r="G935">
        <v>1</v>
      </c>
      <c r="H935">
        <v>3</v>
      </c>
      <c r="I935" t="s">
        <v>1120</v>
      </c>
      <c r="J935" t="s">
        <v>1122</v>
      </c>
      <c r="K935" t="s">
        <v>1121</v>
      </c>
      <c r="L935">
        <v>1301</v>
      </c>
      <c r="N935">
        <v>1003</v>
      </c>
      <c r="O935" t="s">
        <v>220</v>
      </c>
      <c r="P935" t="s">
        <v>220</v>
      </c>
      <c r="Q935">
        <v>1</v>
      </c>
      <c r="W935">
        <v>0</v>
      </c>
      <c r="X935">
        <v>-1238824711</v>
      </c>
      <c r="Y935">
        <v>65.014577000000003</v>
      </c>
      <c r="AA935">
        <v>64.22</v>
      </c>
      <c r="AB935">
        <v>0</v>
      </c>
      <c r="AC935">
        <v>0</v>
      </c>
      <c r="AD935">
        <v>0</v>
      </c>
      <c r="AE935">
        <v>9.7899999999999991</v>
      </c>
      <c r="AF935">
        <v>0</v>
      </c>
      <c r="AG935">
        <v>0</v>
      </c>
      <c r="AH935">
        <v>0</v>
      </c>
      <c r="AI935">
        <v>6.56</v>
      </c>
      <c r="AJ935">
        <v>1</v>
      </c>
      <c r="AK935">
        <v>1</v>
      </c>
      <c r="AL935">
        <v>1</v>
      </c>
      <c r="AN935">
        <v>0</v>
      </c>
      <c r="AO935">
        <v>0</v>
      </c>
      <c r="AP935">
        <v>0</v>
      </c>
      <c r="AQ935">
        <v>0</v>
      </c>
      <c r="AR935">
        <v>0</v>
      </c>
      <c r="AS935" t="s">
        <v>6</v>
      </c>
      <c r="AT935">
        <v>65.014577000000003</v>
      </c>
      <c r="AU935" t="s">
        <v>6</v>
      </c>
      <c r="AV935">
        <v>0</v>
      </c>
      <c r="AW935">
        <v>1</v>
      </c>
      <c r="AX935">
        <v>-1</v>
      </c>
      <c r="AY935">
        <v>0</v>
      </c>
      <c r="AZ935">
        <v>0</v>
      </c>
      <c r="BA935" t="s">
        <v>6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Y935*Source!I670</f>
        <v>44.599999822000008</v>
      </c>
      <c r="CY935">
        <f t="shared" si="172"/>
        <v>64.22</v>
      </c>
      <c r="CZ935">
        <f t="shared" si="173"/>
        <v>9.7899999999999991</v>
      </c>
      <c r="DA935">
        <f t="shared" si="174"/>
        <v>6.56</v>
      </c>
      <c r="DB935">
        <f t="shared" si="175"/>
        <v>636.49</v>
      </c>
      <c r="DC935">
        <f t="shared" si="176"/>
        <v>0</v>
      </c>
    </row>
    <row r="936" spans="1:107" x14ac:dyDescent="0.2">
      <c r="A936">
        <f>ROW(Source!A674)</f>
        <v>674</v>
      </c>
      <c r="B936">
        <v>16742901</v>
      </c>
      <c r="C936">
        <v>16744103</v>
      </c>
      <c r="D936">
        <v>15436556</v>
      </c>
      <c r="E936">
        <v>1</v>
      </c>
      <c r="F936">
        <v>1</v>
      </c>
      <c r="G936">
        <v>1</v>
      </c>
      <c r="H936">
        <v>1</v>
      </c>
      <c r="I936" t="s">
        <v>1490</v>
      </c>
      <c r="J936" t="s">
        <v>6</v>
      </c>
      <c r="K936" t="s">
        <v>1491</v>
      </c>
      <c r="L936">
        <v>1191</v>
      </c>
      <c r="N936">
        <v>1013</v>
      </c>
      <c r="O936" t="s">
        <v>1287</v>
      </c>
      <c r="P936" t="s">
        <v>1287</v>
      </c>
      <c r="Q936">
        <v>1</v>
      </c>
      <c r="W936">
        <v>0</v>
      </c>
      <c r="X936">
        <v>1069510174</v>
      </c>
      <c r="Y936">
        <v>10.3385</v>
      </c>
      <c r="AA936">
        <v>0</v>
      </c>
      <c r="AB936">
        <v>0</v>
      </c>
      <c r="AC936">
        <v>0</v>
      </c>
      <c r="AD936">
        <v>63.11</v>
      </c>
      <c r="AE936">
        <v>0</v>
      </c>
      <c r="AF936">
        <v>0</v>
      </c>
      <c r="AG936">
        <v>0</v>
      </c>
      <c r="AH936">
        <v>9.6199999999999992</v>
      </c>
      <c r="AI936">
        <v>1</v>
      </c>
      <c r="AJ936">
        <v>1</v>
      </c>
      <c r="AK936">
        <v>1</v>
      </c>
      <c r="AL936">
        <v>6.56</v>
      </c>
      <c r="AN936">
        <v>0</v>
      </c>
      <c r="AO936">
        <v>1</v>
      </c>
      <c r="AP936">
        <v>1</v>
      </c>
      <c r="AQ936">
        <v>0</v>
      </c>
      <c r="AR936">
        <v>0</v>
      </c>
      <c r="AS936" t="s">
        <v>6</v>
      </c>
      <c r="AT936">
        <v>8.99</v>
      </c>
      <c r="AU936" t="s">
        <v>188</v>
      </c>
      <c r="AV936">
        <v>1</v>
      </c>
      <c r="AW936">
        <v>2</v>
      </c>
      <c r="AX936">
        <v>16744118</v>
      </c>
      <c r="AY936">
        <v>1</v>
      </c>
      <c r="AZ936">
        <v>0</v>
      </c>
      <c r="BA936">
        <v>871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Y936*Source!I674</f>
        <v>4.1353999999999997</v>
      </c>
      <c r="CY936">
        <f>AD936</f>
        <v>63.11</v>
      </c>
      <c r="CZ936">
        <f>AH936</f>
        <v>9.6199999999999992</v>
      </c>
      <c r="DA936">
        <f>AL936</f>
        <v>6.56</v>
      </c>
      <c r="DB936">
        <f>ROUND((ROUND(AT936*CZ936,2)*1.15),2)</f>
        <v>99.45</v>
      </c>
      <c r="DC936">
        <f>ROUND((ROUND(AT936*AG936,2)*1.15),2)</f>
        <v>0</v>
      </c>
    </row>
    <row r="937" spans="1:107" x14ac:dyDescent="0.2">
      <c r="A937">
        <f>ROW(Source!A674)</f>
        <v>674</v>
      </c>
      <c r="B937">
        <v>16742901</v>
      </c>
      <c r="C937">
        <v>16744103</v>
      </c>
      <c r="D937">
        <v>15430395</v>
      </c>
      <c r="E937">
        <v>1</v>
      </c>
      <c r="F937">
        <v>1</v>
      </c>
      <c r="G937">
        <v>1</v>
      </c>
      <c r="H937">
        <v>1</v>
      </c>
      <c r="I937" t="s">
        <v>1293</v>
      </c>
      <c r="J937" t="s">
        <v>6</v>
      </c>
      <c r="K937" t="s">
        <v>1294</v>
      </c>
      <c r="L937">
        <v>1191</v>
      </c>
      <c r="N937">
        <v>1013</v>
      </c>
      <c r="O937" t="s">
        <v>1287</v>
      </c>
      <c r="P937" t="s">
        <v>1287</v>
      </c>
      <c r="Q937">
        <v>1</v>
      </c>
      <c r="W937">
        <v>0</v>
      </c>
      <c r="X937">
        <v>-1417349443</v>
      </c>
      <c r="Y937">
        <v>0.21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1</v>
      </c>
      <c r="AJ937">
        <v>1</v>
      </c>
      <c r="AK937">
        <v>6.56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6</v>
      </c>
      <c r="AT937">
        <v>0.21</v>
      </c>
      <c r="AU937" t="s">
        <v>6</v>
      </c>
      <c r="AV937">
        <v>2</v>
      </c>
      <c r="AW937">
        <v>2</v>
      </c>
      <c r="AX937">
        <v>16744119</v>
      </c>
      <c r="AY937">
        <v>1</v>
      </c>
      <c r="AZ937">
        <v>2048</v>
      </c>
      <c r="BA937">
        <v>872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Y937*Source!I674</f>
        <v>8.4000000000000005E-2</v>
      </c>
      <c r="CY937">
        <f>AD937</f>
        <v>0</v>
      </c>
      <c r="CZ937">
        <f>AH937</f>
        <v>0</v>
      </c>
      <c r="DA937">
        <f>AL937</f>
        <v>1</v>
      </c>
      <c r="DB937">
        <f>ROUND(ROUND(AT937*CZ937,2),2)</f>
        <v>0</v>
      </c>
      <c r="DC937">
        <f>ROUND(ROUND(AT937*AG937,2),2)</f>
        <v>0</v>
      </c>
    </row>
    <row r="938" spans="1:107" x14ac:dyDescent="0.2">
      <c r="A938">
        <f>ROW(Source!A674)</f>
        <v>674</v>
      </c>
      <c r="B938">
        <v>16742901</v>
      </c>
      <c r="C938">
        <v>16744103</v>
      </c>
      <c r="D938">
        <v>15247974</v>
      </c>
      <c r="E938">
        <v>1</v>
      </c>
      <c r="F938">
        <v>1</v>
      </c>
      <c r="G938">
        <v>1</v>
      </c>
      <c r="H938">
        <v>2</v>
      </c>
      <c r="I938" t="s">
        <v>1314</v>
      </c>
      <c r="J938" t="s">
        <v>1315</v>
      </c>
      <c r="K938" t="s">
        <v>1316</v>
      </c>
      <c r="L938">
        <v>1368</v>
      </c>
      <c r="N938">
        <v>1011</v>
      </c>
      <c r="O938" t="s">
        <v>1298</v>
      </c>
      <c r="P938" t="s">
        <v>1298</v>
      </c>
      <c r="Q938">
        <v>1</v>
      </c>
      <c r="W938">
        <v>0</v>
      </c>
      <c r="X938">
        <v>1188625873</v>
      </c>
      <c r="Y938">
        <v>8.7500000000000008E-2</v>
      </c>
      <c r="AA938">
        <v>0</v>
      </c>
      <c r="AB938">
        <v>205.07</v>
      </c>
      <c r="AC938">
        <v>13.5</v>
      </c>
      <c r="AD938">
        <v>0</v>
      </c>
      <c r="AE938">
        <v>0</v>
      </c>
      <c r="AF938">
        <v>31.26</v>
      </c>
      <c r="AG938">
        <v>13.5</v>
      </c>
      <c r="AH938">
        <v>0</v>
      </c>
      <c r="AI938">
        <v>1</v>
      </c>
      <c r="AJ938">
        <v>6.56</v>
      </c>
      <c r="AK938">
        <v>1</v>
      </c>
      <c r="AL938">
        <v>1</v>
      </c>
      <c r="AN938">
        <v>0</v>
      </c>
      <c r="AO938">
        <v>1</v>
      </c>
      <c r="AP938">
        <v>1</v>
      </c>
      <c r="AQ938">
        <v>0</v>
      </c>
      <c r="AR938">
        <v>0</v>
      </c>
      <c r="AS938" t="s">
        <v>6</v>
      </c>
      <c r="AT938">
        <v>7.0000000000000007E-2</v>
      </c>
      <c r="AU938" t="s">
        <v>187</v>
      </c>
      <c r="AV938">
        <v>0</v>
      </c>
      <c r="AW938">
        <v>2</v>
      </c>
      <c r="AX938">
        <v>16744120</v>
      </c>
      <c r="AY938">
        <v>1</v>
      </c>
      <c r="AZ938">
        <v>0</v>
      </c>
      <c r="BA938">
        <v>873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Y938*Source!I674</f>
        <v>3.5000000000000003E-2</v>
      </c>
      <c r="CY938">
        <f>AB938</f>
        <v>205.07</v>
      </c>
      <c r="CZ938">
        <f>AF938</f>
        <v>31.26</v>
      </c>
      <c r="DA938">
        <f>AJ938</f>
        <v>6.56</v>
      </c>
      <c r="DB938">
        <f>ROUND((ROUND(AT938*CZ938,2)*1.25),2)</f>
        <v>2.74</v>
      </c>
      <c r="DC938">
        <f>ROUND((ROUND(AT938*AG938,2)*1.25),2)</f>
        <v>1.19</v>
      </c>
    </row>
    <row r="939" spans="1:107" x14ac:dyDescent="0.2">
      <c r="A939">
        <f>ROW(Source!A674)</f>
        <v>674</v>
      </c>
      <c r="B939">
        <v>16742901</v>
      </c>
      <c r="C939">
        <v>16744103</v>
      </c>
      <c r="D939">
        <v>15249073</v>
      </c>
      <c r="E939">
        <v>1</v>
      </c>
      <c r="F939">
        <v>1</v>
      </c>
      <c r="G939">
        <v>1</v>
      </c>
      <c r="H939">
        <v>2</v>
      </c>
      <c r="I939" t="s">
        <v>1299</v>
      </c>
      <c r="J939" t="s">
        <v>1300</v>
      </c>
      <c r="K939" t="s">
        <v>1301</v>
      </c>
      <c r="L939">
        <v>1368</v>
      </c>
      <c r="N939">
        <v>1011</v>
      </c>
      <c r="O939" t="s">
        <v>1298</v>
      </c>
      <c r="P939" t="s">
        <v>1298</v>
      </c>
      <c r="Q939">
        <v>1</v>
      </c>
      <c r="W939">
        <v>0</v>
      </c>
      <c r="X939">
        <v>1372534845</v>
      </c>
      <c r="Y939">
        <v>0.17500000000000002</v>
      </c>
      <c r="AA939">
        <v>0</v>
      </c>
      <c r="AB939">
        <v>431.06</v>
      </c>
      <c r="AC939">
        <v>11.6</v>
      </c>
      <c r="AD939">
        <v>0</v>
      </c>
      <c r="AE939">
        <v>0</v>
      </c>
      <c r="AF939">
        <v>65.709999999999994</v>
      </c>
      <c r="AG939">
        <v>11.6</v>
      </c>
      <c r="AH939">
        <v>0</v>
      </c>
      <c r="AI939">
        <v>1</v>
      </c>
      <c r="AJ939">
        <v>6.56</v>
      </c>
      <c r="AK939">
        <v>1</v>
      </c>
      <c r="AL939">
        <v>1</v>
      </c>
      <c r="AN939">
        <v>0</v>
      </c>
      <c r="AO939">
        <v>1</v>
      </c>
      <c r="AP939">
        <v>1</v>
      </c>
      <c r="AQ939">
        <v>0</v>
      </c>
      <c r="AR939">
        <v>0</v>
      </c>
      <c r="AS939" t="s">
        <v>6</v>
      </c>
      <c r="AT939">
        <v>0.14000000000000001</v>
      </c>
      <c r="AU939" t="s">
        <v>187</v>
      </c>
      <c r="AV939">
        <v>0</v>
      </c>
      <c r="AW939">
        <v>2</v>
      </c>
      <c r="AX939">
        <v>16744121</v>
      </c>
      <c r="AY939">
        <v>1</v>
      </c>
      <c r="AZ939">
        <v>0</v>
      </c>
      <c r="BA939">
        <v>874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Y939*Source!I674</f>
        <v>7.0000000000000007E-2</v>
      </c>
      <c r="CY939">
        <f>AB939</f>
        <v>431.06</v>
      </c>
      <c r="CZ939">
        <f>AF939</f>
        <v>65.709999999999994</v>
      </c>
      <c r="DA939">
        <f>AJ939</f>
        <v>6.56</v>
      </c>
      <c r="DB939">
        <f>ROUND((ROUND(AT939*CZ939,2)*1.25),2)</f>
        <v>11.5</v>
      </c>
      <c r="DC939">
        <f>ROUND((ROUND(AT939*AG939,2)*1.25),2)</f>
        <v>2.0299999999999998</v>
      </c>
    </row>
    <row r="940" spans="1:107" x14ac:dyDescent="0.2">
      <c r="A940">
        <f>ROW(Source!A674)</f>
        <v>674</v>
      </c>
      <c r="B940">
        <v>16742901</v>
      </c>
      <c r="C940">
        <v>16744103</v>
      </c>
      <c r="D940">
        <v>15167955</v>
      </c>
      <c r="E940">
        <v>1</v>
      </c>
      <c r="F940">
        <v>1</v>
      </c>
      <c r="G940">
        <v>1</v>
      </c>
      <c r="H940">
        <v>3</v>
      </c>
      <c r="I940" t="s">
        <v>1825</v>
      </c>
      <c r="J940" t="s">
        <v>1826</v>
      </c>
      <c r="K940" t="s">
        <v>1827</v>
      </c>
      <c r="L940">
        <v>1348</v>
      </c>
      <c r="N940">
        <v>1009</v>
      </c>
      <c r="O940" t="s">
        <v>100</v>
      </c>
      <c r="P940" t="s">
        <v>100</v>
      </c>
      <c r="Q940">
        <v>1000</v>
      </c>
      <c r="W940">
        <v>0</v>
      </c>
      <c r="X940">
        <v>-1699345571</v>
      </c>
      <c r="Y940">
        <v>1.4E-3</v>
      </c>
      <c r="AA940">
        <v>196996.8</v>
      </c>
      <c r="AB940">
        <v>0</v>
      </c>
      <c r="AC940">
        <v>0</v>
      </c>
      <c r="AD940">
        <v>0</v>
      </c>
      <c r="AE940">
        <v>30030</v>
      </c>
      <c r="AF940">
        <v>0</v>
      </c>
      <c r="AG940">
        <v>0</v>
      </c>
      <c r="AH940">
        <v>0</v>
      </c>
      <c r="AI940">
        <v>6.56</v>
      </c>
      <c r="AJ940">
        <v>1</v>
      </c>
      <c r="AK940">
        <v>1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6</v>
      </c>
      <c r="AT940">
        <v>1.4E-3</v>
      </c>
      <c r="AU940" t="s">
        <v>6</v>
      </c>
      <c r="AV940">
        <v>0</v>
      </c>
      <c r="AW940">
        <v>2</v>
      </c>
      <c r="AX940">
        <v>16744122</v>
      </c>
      <c r="AY940">
        <v>1</v>
      </c>
      <c r="AZ940">
        <v>0</v>
      </c>
      <c r="BA940">
        <v>875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Y940*Source!I674</f>
        <v>5.6000000000000006E-4</v>
      </c>
      <c r="CY940">
        <f t="shared" ref="CY940:CY947" si="177">AA940</f>
        <v>196996.8</v>
      </c>
      <c r="CZ940">
        <f t="shared" ref="CZ940:CZ947" si="178">AE940</f>
        <v>30030</v>
      </c>
      <c r="DA940">
        <f t="shared" ref="DA940:DA947" si="179">AI940</f>
        <v>6.56</v>
      </c>
      <c r="DB940">
        <f t="shared" ref="DB940:DB947" si="180">ROUND(ROUND(AT940*CZ940,2),2)</f>
        <v>42.04</v>
      </c>
      <c r="DC940">
        <f t="shared" ref="DC940:DC947" si="181">ROUND(ROUND(AT940*AG940,2),2)</f>
        <v>0</v>
      </c>
    </row>
    <row r="941" spans="1:107" x14ac:dyDescent="0.2">
      <c r="A941">
        <f>ROW(Source!A674)</f>
        <v>674</v>
      </c>
      <c r="B941">
        <v>16742901</v>
      </c>
      <c r="C941">
        <v>16744103</v>
      </c>
      <c r="D941">
        <v>15167963</v>
      </c>
      <c r="E941">
        <v>1</v>
      </c>
      <c r="F941">
        <v>1</v>
      </c>
      <c r="G941">
        <v>1</v>
      </c>
      <c r="H941">
        <v>3</v>
      </c>
      <c r="I941" t="s">
        <v>1793</v>
      </c>
      <c r="J941" t="s">
        <v>1794</v>
      </c>
      <c r="K941" t="s">
        <v>1795</v>
      </c>
      <c r="L941">
        <v>1346</v>
      </c>
      <c r="N941">
        <v>1009</v>
      </c>
      <c r="O941" t="s">
        <v>341</v>
      </c>
      <c r="P941" t="s">
        <v>341</v>
      </c>
      <c r="Q941">
        <v>1</v>
      </c>
      <c r="W941">
        <v>0</v>
      </c>
      <c r="X941">
        <v>-490687590</v>
      </c>
      <c r="Y941">
        <v>0.02</v>
      </c>
      <c r="AA941">
        <v>244.62</v>
      </c>
      <c r="AB941">
        <v>0</v>
      </c>
      <c r="AC941">
        <v>0</v>
      </c>
      <c r="AD941">
        <v>0</v>
      </c>
      <c r="AE941">
        <v>37.29</v>
      </c>
      <c r="AF941">
        <v>0</v>
      </c>
      <c r="AG941">
        <v>0</v>
      </c>
      <c r="AH941">
        <v>0</v>
      </c>
      <c r="AI941">
        <v>6.56</v>
      </c>
      <c r="AJ941">
        <v>1</v>
      </c>
      <c r="AK941">
        <v>1</v>
      </c>
      <c r="AL941">
        <v>1</v>
      </c>
      <c r="AN941">
        <v>0</v>
      </c>
      <c r="AO941">
        <v>1</v>
      </c>
      <c r="AP941">
        <v>0</v>
      </c>
      <c r="AQ941">
        <v>0</v>
      </c>
      <c r="AR941">
        <v>0</v>
      </c>
      <c r="AS941" t="s">
        <v>6</v>
      </c>
      <c r="AT941">
        <v>0.02</v>
      </c>
      <c r="AU941" t="s">
        <v>6</v>
      </c>
      <c r="AV941">
        <v>0</v>
      </c>
      <c r="AW941">
        <v>2</v>
      </c>
      <c r="AX941">
        <v>16744123</v>
      </c>
      <c r="AY941">
        <v>1</v>
      </c>
      <c r="AZ941">
        <v>0</v>
      </c>
      <c r="BA941">
        <v>876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Y941*Source!I674</f>
        <v>8.0000000000000002E-3</v>
      </c>
      <c r="CY941">
        <f t="shared" si="177"/>
        <v>244.62</v>
      </c>
      <c r="CZ941">
        <f t="shared" si="178"/>
        <v>37.29</v>
      </c>
      <c r="DA941">
        <f t="shared" si="179"/>
        <v>6.56</v>
      </c>
      <c r="DB941">
        <f t="shared" si="180"/>
        <v>0.75</v>
      </c>
      <c r="DC941">
        <f t="shared" si="181"/>
        <v>0</v>
      </c>
    </row>
    <row r="942" spans="1:107" x14ac:dyDescent="0.2">
      <c r="A942">
        <f>ROW(Source!A674)</f>
        <v>674</v>
      </c>
      <c r="B942">
        <v>16742901</v>
      </c>
      <c r="C942">
        <v>16744103</v>
      </c>
      <c r="D942">
        <v>15172117</v>
      </c>
      <c r="E942">
        <v>1</v>
      </c>
      <c r="F942">
        <v>1</v>
      </c>
      <c r="G942">
        <v>1</v>
      </c>
      <c r="H942">
        <v>3</v>
      </c>
      <c r="I942" t="s">
        <v>1828</v>
      </c>
      <c r="J942" t="s">
        <v>1829</v>
      </c>
      <c r="K942" t="s">
        <v>1830</v>
      </c>
      <c r="L942">
        <v>1348</v>
      </c>
      <c r="N942">
        <v>1009</v>
      </c>
      <c r="O942" t="s">
        <v>100</v>
      </c>
      <c r="P942" t="s">
        <v>100</v>
      </c>
      <c r="Q942">
        <v>1000</v>
      </c>
      <c r="W942">
        <v>0</v>
      </c>
      <c r="X942">
        <v>1529337430</v>
      </c>
      <c r="Y942">
        <v>2E-3</v>
      </c>
      <c r="AA942">
        <v>12044.16</v>
      </c>
      <c r="AB942">
        <v>0</v>
      </c>
      <c r="AC942">
        <v>0</v>
      </c>
      <c r="AD942">
        <v>0</v>
      </c>
      <c r="AE942">
        <v>1836</v>
      </c>
      <c r="AF942">
        <v>0</v>
      </c>
      <c r="AG942">
        <v>0</v>
      </c>
      <c r="AH942">
        <v>0</v>
      </c>
      <c r="AI942">
        <v>6.56</v>
      </c>
      <c r="AJ942">
        <v>1</v>
      </c>
      <c r="AK942">
        <v>1</v>
      </c>
      <c r="AL942">
        <v>1</v>
      </c>
      <c r="AN942">
        <v>0</v>
      </c>
      <c r="AO942">
        <v>1</v>
      </c>
      <c r="AP942">
        <v>0</v>
      </c>
      <c r="AQ942">
        <v>0</v>
      </c>
      <c r="AR942">
        <v>0</v>
      </c>
      <c r="AS942" t="s">
        <v>6</v>
      </c>
      <c r="AT942">
        <v>2E-3</v>
      </c>
      <c r="AU942" t="s">
        <v>6</v>
      </c>
      <c r="AV942">
        <v>0</v>
      </c>
      <c r="AW942">
        <v>2</v>
      </c>
      <c r="AX942">
        <v>16744126</v>
      </c>
      <c r="AY942">
        <v>1</v>
      </c>
      <c r="AZ942">
        <v>0</v>
      </c>
      <c r="BA942">
        <v>879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Y942*Source!I674</f>
        <v>8.0000000000000004E-4</v>
      </c>
      <c r="CY942">
        <f t="shared" si="177"/>
        <v>12044.16</v>
      </c>
      <c r="CZ942">
        <f t="shared" si="178"/>
        <v>1836</v>
      </c>
      <c r="DA942">
        <f t="shared" si="179"/>
        <v>6.56</v>
      </c>
      <c r="DB942">
        <f t="shared" si="180"/>
        <v>3.67</v>
      </c>
      <c r="DC942">
        <f t="shared" si="181"/>
        <v>0</v>
      </c>
    </row>
    <row r="943" spans="1:107" x14ac:dyDescent="0.2">
      <c r="A943">
        <f>ROW(Source!A674)</f>
        <v>674</v>
      </c>
      <c r="B943">
        <v>16742901</v>
      </c>
      <c r="C943">
        <v>16744103</v>
      </c>
      <c r="D943">
        <v>15203740</v>
      </c>
      <c r="E943">
        <v>1</v>
      </c>
      <c r="F943">
        <v>1</v>
      </c>
      <c r="G943">
        <v>1</v>
      </c>
      <c r="H943">
        <v>3</v>
      </c>
      <c r="I943" t="s">
        <v>1802</v>
      </c>
      <c r="J943" t="s">
        <v>1803</v>
      </c>
      <c r="K943" t="s">
        <v>1804</v>
      </c>
      <c r="L943">
        <v>1348</v>
      </c>
      <c r="N943">
        <v>1009</v>
      </c>
      <c r="O943" t="s">
        <v>100</v>
      </c>
      <c r="P943" t="s">
        <v>100</v>
      </c>
      <c r="Q943">
        <v>1000</v>
      </c>
      <c r="W943">
        <v>0</v>
      </c>
      <c r="X943">
        <v>570223526</v>
      </c>
      <c r="Y943">
        <v>4.0000000000000002E-4</v>
      </c>
      <c r="AA943">
        <v>99180.64</v>
      </c>
      <c r="AB943">
        <v>0</v>
      </c>
      <c r="AC943">
        <v>0</v>
      </c>
      <c r="AD943">
        <v>0</v>
      </c>
      <c r="AE943">
        <v>15119</v>
      </c>
      <c r="AF943">
        <v>0</v>
      </c>
      <c r="AG943">
        <v>0</v>
      </c>
      <c r="AH943">
        <v>0</v>
      </c>
      <c r="AI943">
        <v>6.56</v>
      </c>
      <c r="AJ943">
        <v>1</v>
      </c>
      <c r="AK943">
        <v>1</v>
      </c>
      <c r="AL943">
        <v>1</v>
      </c>
      <c r="AN943">
        <v>0</v>
      </c>
      <c r="AO943">
        <v>1</v>
      </c>
      <c r="AP943">
        <v>0</v>
      </c>
      <c r="AQ943">
        <v>0</v>
      </c>
      <c r="AR943">
        <v>0</v>
      </c>
      <c r="AS943" t="s">
        <v>6</v>
      </c>
      <c r="AT943">
        <v>4.0000000000000002E-4</v>
      </c>
      <c r="AU943" t="s">
        <v>6</v>
      </c>
      <c r="AV943">
        <v>0</v>
      </c>
      <c r="AW943">
        <v>2</v>
      </c>
      <c r="AX943">
        <v>16744127</v>
      </c>
      <c r="AY943">
        <v>1</v>
      </c>
      <c r="AZ943">
        <v>0</v>
      </c>
      <c r="BA943">
        <v>880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Y943*Source!I674</f>
        <v>1.6000000000000001E-4</v>
      </c>
      <c r="CY943">
        <f t="shared" si="177"/>
        <v>99180.64</v>
      </c>
      <c r="CZ943">
        <f t="shared" si="178"/>
        <v>15119</v>
      </c>
      <c r="DA943">
        <f t="shared" si="179"/>
        <v>6.56</v>
      </c>
      <c r="DB943">
        <f t="shared" si="180"/>
        <v>6.05</v>
      </c>
      <c r="DC943">
        <f t="shared" si="181"/>
        <v>0</v>
      </c>
    </row>
    <row r="944" spans="1:107" x14ac:dyDescent="0.2">
      <c r="A944">
        <f>ROW(Source!A674)</f>
        <v>674</v>
      </c>
      <c r="B944">
        <v>16742901</v>
      </c>
      <c r="C944">
        <v>16744103</v>
      </c>
      <c r="D944">
        <v>15204468</v>
      </c>
      <c r="E944">
        <v>1</v>
      </c>
      <c r="F944">
        <v>1</v>
      </c>
      <c r="G944">
        <v>1</v>
      </c>
      <c r="H944">
        <v>3</v>
      </c>
      <c r="I944" t="s">
        <v>1623</v>
      </c>
      <c r="J944" t="s">
        <v>1624</v>
      </c>
      <c r="K944" t="s">
        <v>1625</v>
      </c>
      <c r="L944">
        <v>1348</v>
      </c>
      <c r="N944">
        <v>1009</v>
      </c>
      <c r="O944" t="s">
        <v>100</v>
      </c>
      <c r="P944" t="s">
        <v>100</v>
      </c>
      <c r="Q944">
        <v>1000</v>
      </c>
      <c r="W944">
        <v>0</v>
      </c>
      <c r="X944">
        <v>-909021926</v>
      </c>
      <c r="Y944">
        <v>2.0000000000000001E-4</v>
      </c>
      <c r="AA944">
        <v>111192</v>
      </c>
      <c r="AB944">
        <v>0</v>
      </c>
      <c r="AC944">
        <v>0</v>
      </c>
      <c r="AD944">
        <v>0</v>
      </c>
      <c r="AE944">
        <v>16950</v>
      </c>
      <c r="AF944">
        <v>0</v>
      </c>
      <c r="AG944">
        <v>0</v>
      </c>
      <c r="AH944">
        <v>0</v>
      </c>
      <c r="AI944">
        <v>6.56</v>
      </c>
      <c r="AJ944">
        <v>1</v>
      </c>
      <c r="AK944">
        <v>1</v>
      </c>
      <c r="AL944">
        <v>1</v>
      </c>
      <c r="AN944">
        <v>0</v>
      </c>
      <c r="AO944">
        <v>1</v>
      </c>
      <c r="AP944">
        <v>0</v>
      </c>
      <c r="AQ944">
        <v>0</v>
      </c>
      <c r="AR944">
        <v>0</v>
      </c>
      <c r="AS944" t="s">
        <v>6</v>
      </c>
      <c r="AT944">
        <v>2.0000000000000001E-4</v>
      </c>
      <c r="AU944" t="s">
        <v>6</v>
      </c>
      <c r="AV944">
        <v>0</v>
      </c>
      <c r="AW944">
        <v>2</v>
      </c>
      <c r="AX944">
        <v>16744129</v>
      </c>
      <c r="AY944">
        <v>1</v>
      </c>
      <c r="AZ944">
        <v>0</v>
      </c>
      <c r="BA944">
        <v>882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Y944*Source!I674</f>
        <v>8.0000000000000007E-5</v>
      </c>
      <c r="CY944">
        <f t="shared" si="177"/>
        <v>111192</v>
      </c>
      <c r="CZ944">
        <f t="shared" si="178"/>
        <v>16950</v>
      </c>
      <c r="DA944">
        <f t="shared" si="179"/>
        <v>6.56</v>
      </c>
      <c r="DB944">
        <f t="shared" si="180"/>
        <v>3.39</v>
      </c>
      <c r="DC944">
        <f t="shared" si="181"/>
        <v>0</v>
      </c>
    </row>
    <row r="945" spans="1:107" x14ac:dyDescent="0.2">
      <c r="A945">
        <f>ROW(Source!A674)</f>
        <v>674</v>
      </c>
      <c r="B945">
        <v>16742901</v>
      </c>
      <c r="C945">
        <v>16744103</v>
      </c>
      <c r="D945">
        <v>15211688</v>
      </c>
      <c r="E945">
        <v>1</v>
      </c>
      <c r="F945">
        <v>1</v>
      </c>
      <c r="G945">
        <v>1</v>
      </c>
      <c r="H945">
        <v>3</v>
      </c>
      <c r="I945" t="s">
        <v>1135</v>
      </c>
      <c r="J945" t="s">
        <v>1137</v>
      </c>
      <c r="K945" t="s">
        <v>1136</v>
      </c>
      <c r="L945">
        <v>1035</v>
      </c>
      <c r="N945">
        <v>1013</v>
      </c>
      <c r="O945" t="s">
        <v>249</v>
      </c>
      <c r="P945" t="s">
        <v>249</v>
      </c>
      <c r="Q945">
        <v>1</v>
      </c>
      <c r="W945">
        <v>0</v>
      </c>
      <c r="X945">
        <v>311523077</v>
      </c>
      <c r="Y945">
        <v>10</v>
      </c>
      <c r="AA945">
        <v>2341.92</v>
      </c>
      <c r="AB945">
        <v>0</v>
      </c>
      <c r="AC945">
        <v>0</v>
      </c>
      <c r="AD945">
        <v>0</v>
      </c>
      <c r="AE945">
        <v>357</v>
      </c>
      <c r="AF945">
        <v>0</v>
      </c>
      <c r="AG945">
        <v>0</v>
      </c>
      <c r="AH945">
        <v>0</v>
      </c>
      <c r="AI945">
        <v>6.56</v>
      </c>
      <c r="AJ945">
        <v>1</v>
      </c>
      <c r="AK945">
        <v>1</v>
      </c>
      <c r="AL945">
        <v>1</v>
      </c>
      <c r="AN945">
        <v>0</v>
      </c>
      <c r="AO945">
        <v>0</v>
      </c>
      <c r="AP945">
        <v>0</v>
      </c>
      <c r="AQ945">
        <v>0</v>
      </c>
      <c r="AR945">
        <v>0</v>
      </c>
      <c r="AS945" t="s">
        <v>6</v>
      </c>
      <c r="AT945">
        <v>10</v>
      </c>
      <c r="AU945" t="s">
        <v>6</v>
      </c>
      <c r="AV945">
        <v>0</v>
      </c>
      <c r="AW945">
        <v>1</v>
      </c>
      <c r="AX945">
        <v>-1</v>
      </c>
      <c r="AY945">
        <v>0</v>
      </c>
      <c r="AZ945">
        <v>0</v>
      </c>
      <c r="BA945" t="s">
        <v>6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Y945*Source!I674</f>
        <v>4</v>
      </c>
      <c r="CY945">
        <f t="shared" si="177"/>
        <v>2341.92</v>
      </c>
      <c r="CZ945">
        <f t="shared" si="178"/>
        <v>357</v>
      </c>
      <c r="DA945">
        <f t="shared" si="179"/>
        <v>6.56</v>
      </c>
      <c r="DB945">
        <f t="shared" si="180"/>
        <v>3570</v>
      </c>
      <c r="DC945">
        <f t="shared" si="181"/>
        <v>0</v>
      </c>
    </row>
    <row r="946" spans="1:107" x14ac:dyDescent="0.2">
      <c r="A946">
        <f>ROW(Source!A674)</f>
        <v>674</v>
      </c>
      <c r="B946">
        <v>16742901</v>
      </c>
      <c r="C946">
        <v>16744103</v>
      </c>
      <c r="D946">
        <v>15211966</v>
      </c>
      <c r="E946">
        <v>1</v>
      </c>
      <c r="F946">
        <v>1</v>
      </c>
      <c r="G946">
        <v>1</v>
      </c>
      <c r="H946">
        <v>3</v>
      </c>
      <c r="I946" t="s">
        <v>1139</v>
      </c>
      <c r="J946" t="s">
        <v>1141</v>
      </c>
      <c r="K946" t="s">
        <v>1140</v>
      </c>
      <c r="L946">
        <v>1358</v>
      </c>
      <c r="N946">
        <v>1010</v>
      </c>
      <c r="O946" t="s">
        <v>723</v>
      </c>
      <c r="P946" t="s">
        <v>723</v>
      </c>
      <c r="Q946">
        <v>10</v>
      </c>
      <c r="W946">
        <v>0</v>
      </c>
      <c r="X946">
        <v>-62785007</v>
      </c>
      <c r="Y946">
        <v>1</v>
      </c>
      <c r="AA946">
        <v>1050.9100000000001</v>
      </c>
      <c r="AB946">
        <v>0</v>
      </c>
      <c r="AC946">
        <v>0</v>
      </c>
      <c r="AD946">
        <v>0</v>
      </c>
      <c r="AE946">
        <v>160.19999999999999</v>
      </c>
      <c r="AF946">
        <v>0</v>
      </c>
      <c r="AG946">
        <v>0</v>
      </c>
      <c r="AH946">
        <v>0</v>
      </c>
      <c r="AI946">
        <v>6.56</v>
      </c>
      <c r="AJ946">
        <v>1</v>
      </c>
      <c r="AK946">
        <v>1</v>
      </c>
      <c r="AL946">
        <v>1</v>
      </c>
      <c r="AN946">
        <v>0</v>
      </c>
      <c r="AO946">
        <v>0</v>
      </c>
      <c r="AP946">
        <v>0</v>
      </c>
      <c r="AQ946">
        <v>0</v>
      </c>
      <c r="AR946">
        <v>0</v>
      </c>
      <c r="AS946" t="s">
        <v>6</v>
      </c>
      <c r="AT946">
        <v>1</v>
      </c>
      <c r="AU946" t="s">
        <v>6</v>
      </c>
      <c r="AV946">
        <v>0</v>
      </c>
      <c r="AW946">
        <v>1</v>
      </c>
      <c r="AX946">
        <v>-1</v>
      </c>
      <c r="AY946">
        <v>0</v>
      </c>
      <c r="AZ946">
        <v>0</v>
      </c>
      <c r="BA946" t="s">
        <v>6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Y946*Source!I674</f>
        <v>0.4</v>
      </c>
      <c r="CY946">
        <f t="shared" si="177"/>
        <v>1050.9100000000001</v>
      </c>
      <c r="CZ946">
        <f t="shared" si="178"/>
        <v>160.19999999999999</v>
      </c>
      <c r="DA946">
        <f t="shared" si="179"/>
        <v>6.56</v>
      </c>
      <c r="DB946">
        <f t="shared" si="180"/>
        <v>160.19999999999999</v>
      </c>
      <c r="DC946">
        <f t="shared" si="181"/>
        <v>0</v>
      </c>
    </row>
    <row r="947" spans="1:107" x14ac:dyDescent="0.2">
      <c r="A947">
        <f>ROW(Source!A674)</f>
        <v>674</v>
      </c>
      <c r="B947">
        <v>16742901</v>
      </c>
      <c r="C947">
        <v>16744103</v>
      </c>
      <c r="D947">
        <v>15212000</v>
      </c>
      <c r="E947">
        <v>1</v>
      </c>
      <c r="F947">
        <v>1</v>
      </c>
      <c r="G947">
        <v>1</v>
      </c>
      <c r="H947">
        <v>3</v>
      </c>
      <c r="I947" t="s">
        <v>1131</v>
      </c>
      <c r="J947" t="s">
        <v>1133</v>
      </c>
      <c r="K947" t="s">
        <v>1132</v>
      </c>
      <c r="L947">
        <v>1354</v>
      </c>
      <c r="N947">
        <v>1010</v>
      </c>
      <c r="O947" t="s">
        <v>73</v>
      </c>
      <c r="P947" t="s">
        <v>73</v>
      </c>
      <c r="Q947">
        <v>1</v>
      </c>
      <c r="W947">
        <v>0</v>
      </c>
      <c r="X947">
        <v>1658146140</v>
      </c>
      <c r="Y947">
        <v>10</v>
      </c>
      <c r="AA947">
        <v>856.28</v>
      </c>
      <c r="AB947">
        <v>0</v>
      </c>
      <c r="AC947">
        <v>0</v>
      </c>
      <c r="AD947">
        <v>0</v>
      </c>
      <c r="AE947">
        <v>130.53</v>
      </c>
      <c r="AF947">
        <v>0</v>
      </c>
      <c r="AG947">
        <v>0</v>
      </c>
      <c r="AH947">
        <v>0</v>
      </c>
      <c r="AI947">
        <v>6.56</v>
      </c>
      <c r="AJ947">
        <v>1</v>
      </c>
      <c r="AK947">
        <v>1</v>
      </c>
      <c r="AL947">
        <v>1</v>
      </c>
      <c r="AN947">
        <v>0</v>
      </c>
      <c r="AO947">
        <v>0</v>
      </c>
      <c r="AP947">
        <v>0</v>
      </c>
      <c r="AQ947">
        <v>0</v>
      </c>
      <c r="AR947">
        <v>0</v>
      </c>
      <c r="AS947" t="s">
        <v>6</v>
      </c>
      <c r="AT947">
        <v>10</v>
      </c>
      <c r="AU947" t="s">
        <v>6</v>
      </c>
      <c r="AV947">
        <v>0</v>
      </c>
      <c r="AW947">
        <v>1</v>
      </c>
      <c r="AX947">
        <v>-1</v>
      </c>
      <c r="AY947">
        <v>0</v>
      </c>
      <c r="AZ947">
        <v>0</v>
      </c>
      <c r="BA947" t="s">
        <v>6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Y947*Source!I674</f>
        <v>4</v>
      </c>
      <c r="CY947">
        <f t="shared" si="177"/>
        <v>856.28</v>
      </c>
      <c r="CZ947">
        <f t="shared" si="178"/>
        <v>130.53</v>
      </c>
      <c r="DA947">
        <f t="shared" si="179"/>
        <v>6.56</v>
      </c>
      <c r="DB947">
        <f t="shared" si="180"/>
        <v>1305.3</v>
      </c>
      <c r="DC947">
        <f t="shared" si="181"/>
        <v>0</v>
      </c>
    </row>
    <row r="948" spans="1:107" x14ac:dyDescent="0.2">
      <c r="A948">
        <f>ROW(Source!A678)</f>
        <v>678</v>
      </c>
      <c r="B948">
        <v>16742901</v>
      </c>
      <c r="C948">
        <v>16744135</v>
      </c>
      <c r="D948">
        <v>15436556</v>
      </c>
      <c r="E948">
        <v>1</v>
      </c>
      <c r="F948">
        <v>1</v>
      </c>
      <c r="G948">
        <v>1</v>
      </c>
      <c r="H948">
        <v>1</v>
      </c>
      <c r="I948" t="s">
        <v>1490</v>
      </c>
      <c r="J948" t="s">
        <v>6</v>
      </c>
      <c r="K948" t="s">
        <v>1491</v>
      </c>
      <c r="L948">
        <v>1191</v>
      </c>
      <c r="N948">
        <v>1013</v>
      </c>
      <c r="O948" t="s">
        <v>1287</v>
      </c>
      <c r="P948" t="s">
        <v>1287</v>
      </c>
      <c r="Q948">
        <v>1</v>
      </c>
      <c r="W948">
        <v>0</v>
      </c>
      <c r="X948">
        <v>1069510174</v>
      </c>
      <c r="Y948">
        <v>8.0499999999999989</v>
      </c>
      <c r="AA948">
        <v>0</v>
      </c>
      <c r="AB948">
        <v>0</v>
      </c>
      <c r="AC948">
        <v>0</v>
      </c>
      <c r="AD948">
        <v>63.11</v>
      </c>
      <c r="AE948">
        <v>0</v>
      </c>
      <c r="AF948">
        <v>0</v>
      </c>
      <c r="AG948">
        <v>0</v>
      </c>
      <c r="AH948">
        <v>9.6199999999999992</v>
      </c>
      <c r="AI948">
        <v>1</v>
      </c>
      <c r="AJ948">
        <v>1</v>
      </c>
      <c r="AK948">
        <v>1</v>
      </c>
      <c r="AL948">
        <v>6.56</v>
      </c>
      <c r="AN948">
        <v>0</v>
      </c>
      <c r="AO948">
        <v>1</v>
      </c>
      <c r="AP948">
        <v>1</v>
      </c>
      <c r="AQ948">
        <v>0</v>
      </c>
      <c r="AR948">
        <v>0</v>
      </c>
      <c r="AS948" t="s">
        <v>6</v>
      </c>
      <c r="AT948">
        <v>7</v>
      </c>
      <c r="AU948" t="s">
        <v>188</v>
      </c>
      <c r="AV948">
        <v>1</v>
      </c>
      <c r="AW948">
        <v>2</v>
      </c>
      <c r="AX948">
        <v>16744140</v>
      </c>
      <c r="AY948">
        <v>1</v>
      </c>
      <c r="AZ948">
        <v>0</v>
      </c>
      <c r="BA948">
        <v>884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Y948*Source!I678</f>
        <v>3.2199999999999998</v>
      </c>
      <c r="CY948">
        <f>AD948</f>
        <v>63.11</v>
      </c>
      <c r="CZ948">
        <f>AH948</f>
        <v>9.6199999999999992</v>
      </c>
      <c r="DA948">
        <f>AL948</f>
        <v>6.56</v>
      </c>
      <c r="DB948">
        <f>ROUND((ROUND(AT948*CZ948,2)*1.15),2)</f>
        <v>77.44</v>
      </c>
      <c r="DC948">
        <f>ROUND((ROUND(AT948*AG948,2)*1.15),2)</f>
        <v>0</v>
      </c>
    </row>
    <row r="949" spans="1:107" x14ac:dyDescent="0.2">
      <c r="A949">
        <f>ROW(Source!A678)</f>
        <v>678</v>
      </c>
      <c r="B949">
        <v>16742901</v>
      </c>
      <c r="C949">
        <v>16744135</v>
      </c>
      <c r="D949">
        <v>15167963</v>
      </c>
      <c r="E949">
        <v>1</v>
      </c>
      <c r="F949">
        <v>1</v>
      </c>
      <c r="G949">
        <v>1</v>
      </c>
      <c r="H949">
        <v>3</v>
      </c>
      <c r="I949" t="s">
        <v>1793</v>
      </c>
      <c r="J949" t="s">
        <v>1794</v>
      </c>
      <c r="K949" t="s">
        <v>1795</v>
      </c>
      <c r="L949">
        <v>1346</v>
      </c>
      <c r="N949">
        <v>1009</v>
      </c>
      <c r="O949" t="s">
        <v>341</v>
      </c>
      <c r="P949" t="s">
        <v>341</v>
      </c>
      <c r="Q949">
        <v>1</v>
      </c>
      <c r="W949">
        <v>0</v>
      </c>
      <c r="X949">
        <v>-490687590</v>
      </c>
      <c r="Y949">
        <v>0.13</v>
      </c>
      <c r="AA949">
        <v>244.62</v>
      </c>
      <c r="AB949">
        <v>0</v>
      </c>
      <c r="AC949">
        <v>0</v>
      </c>
      <c r="AD949">
        <v>0</v>
      </c>
      <c r="AE949">
        <v>37.29</v>
      </c>
      <c r="AF949">
        <v>0</v>
      </c>
      <c r="AG949">
        <v>0</v>
      </c>
      <c r="AH949">
        <v>0</v>
      </c>
      <c r="AI949">
        <v>6.56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6</v>
      </c>
      <c r="AT949">
        <v>0.13</v>
      </c>
      <c r="AU949" t="s">
        <v>6</v>
      </c>
      <c r="AV949">
        <v>0</v>
      </c>
      <c r="AW949">
        <v>2</v>
      </c>
      <c r="AX949">
        <v>16744141</v>
      </c>
      <c r="AY949">
        <v>1</v>
      </c>
      <c r="AZ949">
        <v>0</v>
      </c>
      <c r="BA949">
        <v>885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Y949*Source!I678</f>
        <v>5.2000000000000005E-2</v>
      </c>
      <c r="CY949">
        <f>AA949</f>
        <v>244.62</v>
      </c>
      <c r="CZ949">
        <f>AE949</f>
        <v>37.29</v>
      </c>
      <c r="DA949">
        <f>AI949</f>
        <v>6.56</v>
      </c>
      <c r="DB949">
        <f>ROUND(ROUND(AT949*CZ949,2),2)</f>
        <v>4.8499999999999996</v>
      </c>
      <c r="DC949">
        <f>ROUND(ROUND(AT949*AG949,2),2)</f>
        <v>0</v>
      </c>
    </row>
    <row r="950" spans="1:107" x14ac:dyDescent="0.2">
      <c r="A950">
        <f>ROW(Source!A678)</f>
        <v>678</v>
      </c>
      <c r="B950">
        <v>16742901</v>
      </c>
      <c r="C950">
        <v>16744135</v>
      </c>
      <c r="D950">
        <v>15203740</v>
      </c>
      <c r="E950">
        <v>1</v>
      </c>
      <c r="F950">
        <v>1</v>
      </c>
      <c r="G950">
        <v>1</v>
      </c>
      <c r="H950">
        <v>3</v>
      </c>
      <c r="I950" t="s">
        <v>1802</v>
      </c>
      <c r="J950" t="s">
        <v>1803</v>
      </c>
      <c r="K950" t="s">
        <v>1804</v>
      </c>
      <c r="L950">
        <v>1348</v>
      </c>
      <c r="N950">
        <v>1009</v>
      </c>
      <c r="O950" t="s">
        <v>100</v>
      </c>
      <c r="P950" t="s">
        <v>100</v>
      </c>
      <c r="Q950">
        <v>1000</v>
      </c>
      <c r="W950">
        <v>0</v>
      </c>
      <c r="X950">
        <v>570223526</v>
      </c>
      <c r="Y950">
        <v>2.5999999999999998E-4</v>
      </c>
      <c r="AA950">
        <v>99180.64</v>
      </c>
      <c r="AB950">
        <v>0</v>
      </c>
      <c r="AC950">
        <v>0</v>
      </c>
      <c r="AD950">
        <v>0</v>
      </c>
      <c r="AE950">
        <v>15119</v>
      </c>
      <c r="AF950">
        <v>0</v>
      </c>
      <c r="AG950">
        <v>0</v>
      </c>
      <c r="AH950">
        <v>0</v>
      </c>
      <c r="AI950">
        <v>6.56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6</v>
      </c>
      <c r="AT950">
        <v>2.5999999999999998E-4</v>
      </c>
      <c r="AU950" t="s">
        <v>6</v>
      </c>
      <c r="AV950">
        <v>0</v>
      </c>
      <c r="AW950">
        <v>2</v>
      </c>
      <c r="AX950">
        <v>16744144</v>
      </c>
      <c r="AY950">
        <v>1</v>
      </c>
      <c r="AZ950">
        <v>0</v>
      </c>
      <c r="BA950">
        <v>888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Y950*Source!I678</f>
        <v>1.0399999999999999E-4</v>
      </c>
      <c r="CY950">
        <f>AA950</f>
        <v>99180.64</v>
      </c>
      <c r="CZ950">
        <f>AE950</f>
        <v>15119</v>
      </c>
      <c r="DA950">
        <f>AI950</f>
        <v>6.56</v>
      </c>
      <c r="DB950">
        <f>ROUND(ROUND(AT950*CZ950,2),2)</f>
        <v>3.93</v>
      </c>
      <c r="DC950">
        <f>ROUND(ROUND(AT950*AG950,2),2)</f>
        <v>0</v>
      </c>
    </row>
    <row r="951" spans="1:107" x14ac:dyDescent="0.2">
      <c r="A951">
        <f>ROW(Source!A678)</f>
        <v>678</v>
      </c>
      <c r="B951">
        <v>16742901</v>
      </c>
      <c r="C951">
        <v>16744135</v>
      </c>
      <c r="D951">
        <v>15204468</v>
      </c>
      <c r="E951">
        <v>1</v>
      </c>
      <c r="F951">
        <v>1</v>
      </c>
      <c r="G951">
        <v>1</v>
      </c>
      <c r="H951">
        <v>3</v>
      </c>
      <c r="I951" t="s">
        <v>1623</v>
      </c>
      <c r="J951" t="s">
        <v>1624</v>
      </c>
      <c r="K951" t="s">
        <v>1625</v>
      </c>
      <c r="L951">
        <v>1348</v>
      </c>
      <c r="N951">
        <v>1009</v>
      </c>
      <c r="O951" t="s">
        <v>100</v>
      </c>
      <c r="P951" t="s">
        <v>100</v>
      </c>
      <c r="Q951">
        <v>1000</v>
      </c>
      <c r="W951">
        <v>0</v>
      </c>
      <c r="X951">
        <v>-909021926</v>
      </c>
      <c r="Y951">
        <v>1.2999999999999999E-4</v>
      </c>
      <c r="AA951">
        <v>111192</v>
      </c>
      <c r="AB951">
        <v>0</v>
      </c>
      <c r="AC951">
        <v>0</v>
      </c>
      <c r="AD951">
        <v>0</v>
      </c>
      <c r="AE951">
        <v>16950</v>
      </c>
      <c r="AF951">
        <v>0</v>
      </c>
      <c r="AG951">
        <v>0</v>
      </c>
      <c r="AH951">
        <v>0</v>
      </c>
      <c r="AI951">
        <v>6.56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6</v>
      </c>
      <c r="AT951">
        <v>1.2999999999999999E-4</v>
      </c>
      <c r="AU951" t="s">
        <v>6</v>
      </c>
      <c r="AV951">
        <v>0</v>
      </c>
      <c r="AW951">
        <v>2</v>
      </c>
      <c r="AX951">
        <v>16744145</v>
      </c>
      <c r="AY951">
        <v>1</v>
      </c>
      <c r="AZ951">
        <v>0</v>
      </c>
      <c r="BA951">
        <v>889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Y951*Source!I678</f>
        <v>5.1999999999999997E-5</v>
      </c>
      <c r="CY951">
        <f>AA951</f>
        <v>111192</v>
      </c>
      <c r="CZ951">
        <f>AE951</f>
        <v>16950</v>
      </c>
      <c r="DA951">
        <f>AI951</f>
        <v>6.56</v>
      </c>
      <c r="DB951">
        <f>ROUND(ROUND(AT951*CZ951,2),2)</f>
        <v>2.2000000000000002</v>
      </c>
      <c r="DC951">
        <f>ROUND(ROUND(AT951*AG951,2),2)</f>
        <v>0</v>
      </c>
    </row>
    <row r="952" spans="1:107" x14ac:dyDescent="0.2">
      <c r="A952">
        <f>ROW(Source!A679)</f>
        <v>679</v>
      </c>
      <c r="B952">
        <v>16742901</v>
      </c>
      <c r="C952">
        <v>16744147</v>
      </c>
      <c r="D952">
        <v>15478831</v>
      </c>
      <c r="E952">
        <v>1</v>
      </c>
      <c r="F952">
        <v>1</v>
      </c>
      <c r="G952">
        <v>1</v>
      </c>
      <c r="H952">
        <v>1</v>
      </c>
      <c r="I952" t="s">
        <v>1808</v>
      </c>
      <c r="J952" t="s">
        <v>6</v>
      </c>
      <c r="K952" t="s">
        <v>1809</v>
      </c>
      <c r="L952">
        <v>1191</v>
      </c>
      <c r="N952">
        <v>1013</v>
      </c>
      <c r="O952" t="s">
        <v>1287</v>
      </c>
      <c r="P952" t="s">
        <v>1287</v>
      </c>
      <c r="Q952">
        <v>1</v>
      </c>
      <c r="W952">
        <v>0</v>
      </c>
      <c r="X952">
        <v>-1658069037</v>
      </c>
      <c r="Y952">
        <v>6.6257249999999983</v>
      </c>
      <c r="AA952">
        <v>0</v>
      </c>
      <c r="AB952">
        <v>0</v>
      </c>
      <c r="AC952">
        <v>0</v>
      </c>
      <c r="AD952">
        <v>76.36</v>
      </c>
      <c r="AE952">
        <v>0</v>
      </c>
      <c r="AF952">
        <v>0</v>
      </c>
      <c r="AG952">
        <v>0</v>
      </c>
      <c r="AH952">
        <v>11.64</v>
      </c>
      <c r="AI952">
        <v>1</v>
      </c>
      <c r="AJ952">
        <v>1</v>
      </c>
      <c r="AK952">
        <v>1</v>
      </c>
      <c r="AL952">
        <v>6.56</v>
      </c>
      <c r="AN952">
        <v>0</v>
      </c>
      <c r="AO952">
        <v>1</v>
      </c>
      <c r="AP952">
        <v>1</v>
      </c>
      <c r="AQ952">
        <v>0</v>
      </c>
      <c r="AR952">
        <v>0</v>
      </c>
      <c r="AS952" t="s">
        <v>6</v>
      </c>
      <c r="AT952">
        <v>5.01</v>
      </c>
      <c r="AU952" t="s">
        <v>1149</v>
      </c>
      <c r="AV952">
        <v>1</v>
      </c>
      <c r="AW952">
        <v>2</v>
      </c>
      <c r="AX952">
        <v>16744154</v>
      </c>
      <c r="AY952">
        <v>1</v>
      </c>
      <c r="AZ952">
        <v>0</v>
      </c>
      <c r="BA952">
        <v>891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Y952*Source!I679</f>
        <v>4.5452473499999995</v>
      </c>
      <c r="CY952">
        <f>AD952</f>
        <v>76.36</v>
      </c>
      <c r="CZ952">
        <f>AH952</f>
        <v>11.64</v>
      </c>
      <c r="DA952">
        <f>AL952</f>
        <v>6.56</v>
      </c>
      <c r="DB952">
        <f>ROUND(((ROUND(AT952*CZ952,2)*1.15)*1.15),2)</f>
        <v>77.13</v>
      </c>
      <c r="DC952">
        <f>ROUND(((ROUND(AT952*AG952,2)*1.15)*1.15),2)</f>
        <v>0</v>
      </c>
    </row>
    <row r="953" spans="1:107" x14ac:dyDescent="0.2">
      <c r="A953">
        <f>ROW(Source!A679)</f>
        <v>679</v>
      </c>
      <c r="B953">
        <v>16742901</v>
      </c>
      <c r="C953">
        <v>16744147</v>
      </c>
      <c r="D953">
        <v>15248793</v>
      </c>
      <c r="E953">
        <v>1</v>
      </c>
      <c r="F953">
        <v>1</v>
      </c>
      <c r="G953">
        <v>1</v>
      </c>
      <c r="H953">
        <v>2</v>
      </c>
      <c r="I953" t="s">
        <v>1781</v>
      </c>
      <c r="J953" t="s">
        <v>1782</v>
      </c>
      <c r="K953" t="s">
        <v>1783</v>
      </c>
      <c r="L953">
        <v>1368</v>
      </c>
      <c r="N953">
        <v>1011</v>
      </c>
      <c r="O953" t="s">
        <v>1298</v>
      </c>
      <c r="P953" t="s">
        <v>1298</v>
      </c>
      <c r="Q953">
        <v>1</v>
      </c>
      <c r="W953">
        <v>0</v>
      </c>
      <c r="X953">
        <v>-1347092713</v>
      </c>
      <c r="Y953">
        <v>2.34375</v>
      </c>
      <c r="AA953">
        <v>0</v>
      </c>
      <c r="AB953">
        <v>194.64</v>
      </c>
      <c r="AC953">
        <v>0</v>
      </c>
      <c r="AD953">
        <v>0</v>
      </c>
      <c r="AE953">
        <v>0</v>
      </c>
      <c r="AF953">
        <v>29.67</v>
      </c>
      <c r="AG953">
        <v>0</v>
      </c>
      <c r="AH953">
        <v>0</v>
      </c>
      <c r="AI953">
        <v>1</v>
      </c>
      <c r="AJ953">
        <v>6.56</v>
      </c>
      <c r="AK953">
        <v>1</v>
      </c>
      <c r="AL953">
        <v>1</v>
      </c>
      <c r="AN953">
        <v>0</v>
      </c>
      <c r="AO953">
        <v>1</v>
      </c>
      <c r="AP953">
        <v>1</v>
      </c>
      <c r="AQ953">
        <v>0</v>
      </c>
      <c r="AR953">
        <v>0</v>
      </c>
      <c r="AS953" t="s">
        <v>6</v>
      </c>
      <c r="AT953">
        <v>1.5</v>
      </c>
      <c r="AU953" t="s">
        <v>1148</v>
      </c>
      <c r="AV953">
        <v>0</v>
      </c>
      <c r="AW953">
        <v>2</v>
      </c>
      <c r="AX953">
        <v>16744155</v>
      </c>
      <c r="AY953">
        <v>1</v>
      </c>
      <c r="AZ953">
        <v>0</v>
      </c>
      <c r="BA953">
        <v>892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Y953*Source!I679</f>
        <v>1.6078125000000001</v>
      </c>
      <c r="CY953">
        <f>AB953</f>
        <v>194.64</v>
      </c>
      <c r="CZ953">
        <f>AF953</f>
        <v>29.67</v>
      </c>
      <c r="DA953">
        <f>AJ953</f>
        <v>6.56</v>
      </c>
      <c r="DB953">
        <f>ROUND(((ROUND(AT953*CZ953,2)*1.25)*1.25),2)</f>
        <v>69.55</v>
      </c>
      <c r="DC953">
        <f>ROUND(((ROUND(AT953*AG953,2)*1.25)*1.25),2)</f>
        <v>0</v>
      </c>
    </row>
    <row r="954" spans="1:107" x14ac:dyDescent="0.2">
      <c r="A954">
        <f>ROW(Source!A679)</f>
        <v>679</v>
      </c>
      <c r="B954">
        <v>16742901</v>
      </c>
      <c r="C954">
        <v>16744147</v>
      </c>
      <c r="D954">
        <v>15167286</v>
      </c>
      <c r="E954">
        <v>1</v>
      </c>
      <c r="F954">
        <v>1</v>
      </c>
      <c r="G954">
        <v>1</v>
      </c>
      <c r="H954">
        <v>3</v>
      </c>
      <c r="I954" t="s">
        <v>1317</v>
      </c>
      <c r="J954" t="s">
        <v>1318</v>
      </c>
      <c r="K954" t="s">
        <v>1319</v>
      </c>
      <c r="L954">
        <v>1339</v>
      </c>
      <c r="N954">
        <v>1007</v>
      </c>
      <c r="O954" t="s">
        <v>301</v>
      </c>
      <c r="P954" t="s">
        <v>301</v>
      </c>
      <c r="Q954">
        <v>1</v>
      </c>
      <c r="W954">
        <v>0</v>
      </c>
      <c r="X954">
        <v>-1660354250</v>
      </c>
      <c r="Y954">
        <v>1</v>
      </c>
      <c r="AA954">
        <v>16.010000000000002</v>
      </c>
      <c r="AB954">
        <v>0</v>
      </c>
      <c r="AC954">
        <v>0</v>
      </c>
      <c r="AD954">
        <v>0</v>
      </c>
      <c r="AE954">
        <v>2.44</v>
      </c>
      <c r="AF954">
        <v>0</v>
      </c>
      <c r="AG954">
        <v>0</v>
      </c>
      <c r="AH954">
        <v>0</v>
      </c>
      <c r="AI954">
        <v>6.56</v>
      </c>
      <c r="AJ954">
        <v>1</v>
      </c>
      <c r="AK954">
        <v>1</v>
      </c>
      <c r="AL954">
        <v>1</v>
      </c>
      <c r="AN954">
        <v>0</v>
      </c>
      <c r="AO954">
        <v>1</v>
      </c>
      <c r="AP954">
        <v>0</v>
      </c>
      <c r="AQ954">
        <v>0</v>
      </c>
      <c r="AR954">
        <v>0</v>
      </c>
      <c r="AS954" t="s">
        <v>6</v>
      </c>
      <c r="AT954">
        <v>1</v>
      </c>
      <c r="AU954" t="s">
        <v>6</v>
      </c>
      <c r="AV954">
        <v>0</v>
      </c>
      <c r="AW954">
        <v>2</v>
      </c>
      <c r="AX954">
        <v>16744156</v>
      </c>
      <c r="AY954">
        <v>1</v>
      </c>
      <c r="AZ954">
        <v>0</v>
      </c>
      <c r="BA954">
        <v>893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Y954*Source!I679</f>
        <v>0.68600000000000005</v>
      </c>
      <c r="CY954">
        <f>AA954</f>
        <v>16.010000000000002</v>
      </c>
      <c r="CZ954">
        <f>AE954</f>
        <v>2.44</v>
      </c>
      <c r="DA954">
        <f>AI954</f>
        <v>6.56</v>
      </c>
      <c r="DB954">
        <f t="shared" ref="DB954:DB960" si="182">ROUND(ROUND(AT954*CZ954,2),2)</f>
        <v>2.44</v>
      </c>
      <c r="DC954">
        <f t="shared" ref="DC954:DC960" si="183">ROUND(ROUND(AT954*AG954,2),2)</f>
        <v>0</v>
      </c>
    </row>
    <row r="955" spans="1:107" x14ac:dyDescent="0.2">
      <c r="A955">
        <f>ROW(Source!A679)</f>
        <v>679</v>
      </c>
      <c r="B955">
        <v>16742901</v>
      </c>
      <c r="C955">
        <v>16744147</v>
      </c>
      <c r="D955">
        <v>15167963</v>
      </c>
      <c r="E955">
        <v>1</v>
      </c>
      <c r="F955">
        <v>1</v>
      </c>
      <c r="G955">
        <v>1</v>
      </c>
      <c r="H955">
        <v>3</v>
      </c>
      <c r="I955" t="s">
        <v>1793</v>
      </c>
      <c r="J955" t="s">
        <v>1794</v>
      </c>
      <c r="K955" t="s">
        <v>1795</v>
      </c>
      <c r="L955">
        <v>1346</v>
      </c>
      <c r="N955">
        <v>1009</v>
      </c>
      <c r="O955" t="s">
        <v>341</v>
      </c>
      <c r="P955" t="s">
        <v>341</v>
      </c>
      <c r="Q955">
        <v>1</v>
      </c>
      <c r="W955">
        <v>0</v>
      </c>
      <c r="X955">
        <v>-490687590</v>
      </c>
      <c r="Y955">
        <v>0.02</v>
      </c>
      <c r="AA955">
        <v>244.62</v>
      </c>
      <c r="AB955">
        <v>0</v>
      </c>
      <c r="AC955">
        <v>0</v>
      </c>
      <c r="AD955">
        <v>0</v>
      </c>
      <c r="AE955">
        <v>37.29</v>
      </c>
      <c r="AF955">
        <v>0</v>
      </c>
      <c r="AG955">
        <v>0</v>
      </c>
      <c r="AH955">
        <v>0</v>
      </c>
      <c r="AI955">
        <v>6.56</v>
      </c>
      <c r="AJ955">
        <v>1</v>
      </c>
      <c r="AK955">
        <v>1</v>
      </c>
      <c r="AL955">
        <v>1</v>
      </c>
      <c r="AN955">
        <v>0</v>
      </c>
      <c r="AO955">
        <v>1</v>
      </c>
      <c r="AP955">
        <v>0</v>
      </c>
      <c r="AQ955">
        <v>0</v>
      </c>
      <c r="AR955">
        <v>0</v>
      </c>
      <c r="AS955" t="s">
        <v>6</v>
      </c>
      <c r="AT955">
        <v>0.02</v>
      </c>
      <c r="AU955" t="s">
        <v>6</v>
      </c>
      <c r="AV955">
        <v>0</v>
      </c>
      <c r="AW955">
        <v>2</v>
      </c>
      <c r="AX955">
        <v>16744157</v>
      </c>
      <c r="AY955">
        <v>1</v>
      </c>
      <c r="AZ955">
        <v>0</v>
      </c>
      <c r="BA955">
        <v>894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Y955*Source!I679</f>
        <v>1.3720000000000001E-2</v>
      </c>
      <c r="CY955">
        <f>AA955</f>
        <v>244.62</v>
      </c>
      <c r="CZ955">
        <f>AE955</f>
        <v>37.29</v>
      </c>
      <c r="DA955">
        <f>AI955</f>
        <v>6.56</v>
      </c>
      <c r="DB955">
        <f t="shared" si="182"/>
        <v>0.75</v>
      </c>
      <c r="DC955">
        <f t="shared" si="183"/>
        <v>0</v>
      </c>
    </row>
    <row r="956" spans="1:107" x14ac:dyDescent="0.2">
      <c r="A956">
        <f>ROW(Source!A679)</f>
        <v>679</v>
      </c>
      <c r="B956">
        <v>16742901</v>
      </c>
      <c r="C956">
        <v>16744147</v>
      </c>
      <c r="D956">
        <v>15203740</v>
      </c>
      <c r="E956">
        <v>1</v>
      </c>
      <c r="F956">
        <v>1</v>
      </c>
      <c r="G956">
        <v>1</v>
      </c>
      <c r="H956">
        <v>3</v>
      </c>
      <c r="I956" t="s">
        <v>1802</v>
      </c>
      <c r="J956" t="s">
        <v>1803</v>
      </c>
      <c r="K956" t="s">
        <v>1804</v>
      </c>
      <c r="L956">
        <v>1348</v>
      </c>
      <c r="N956">
        <v>1009</v>
      </c>
      <c r="O956" t="s">
        <v>100</v>
      </c>
      <c r="P956" t="s">
        <v>100</v>
      </c>
      <c r="Q956">
        <v>1000</v>
      </c>
      <c r="W956">
        <v>0</v>
      </c>
      <c r="X956">
        <v>570223526</v>
      </c>
      <c r="Y956">
        <v>5.0000000000000002E-5</v>
      </c>
      <c r="AA956">
        <v>99180.64</v>
      </c>
      <c r="AB956">
        <v>0</v>
      </c>
      <c r="AC956">
        <v>0</v>
      </c>
      <c r="AD956">
        <v>0</v>
      </c>
      <c r="AE956">
        <v>15119</v>
      </c>
      <c r="AF956">
        <v>0</v>
      </c>
      <c r="AG956">
        <v>0</v>
      </c>
      <c r="AH956">
        <v>0</v>
      </c>
      <c r="AI956">
        <v>6.56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6</v>
      </c>
      <c r="AT956">
        <v>5.0000000000000002E-5</v>
      </c>
      <c r="AU956" t="s">
        <v>6</v>
      </c>
      <c r="AV956">
        <v>0</v>
      </c>
      <c r="AW956">
        <v>2</v>
      </c>
      <c r="AX956">
        <v>16744158</v>
      </c>
      <c r="AY956">
        <v>1</v>
      </c>
      <c r="AZ956">
        <v>0</v>
      </c>
      <c r="BA956">
        <v>895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Y956*Source!I679</f>
        <v>3.4300000000000007E-5</v>
      </c>
      <c r="CY956">
        <f>AA956</f>
        <v>99180.64</v>
      </c>
      <c r="CZ956">
        <f>AE956</f>
        <v>15119</v>
      </c>
      <c r="DA956">
        <f>AI956</f>
        <v>6.56</v>
      </c>
      <c r="DB956">
        <f t="shared" si="182"/>
        <v>0.76</v>
      </c>
      <c r="DC956">
        <f t="shared" si="183"/>
        <v>0</v>
      </c>
    </row>
    <row r="957" spans="1:107" x14ac:dyDescent="0.2">
      <c r="A957">
        <f>ROW(Source!A679)</f>
        <v>679</v>
      </c>
      <c r="B957">
        <v>16742901</v>
      </c>
      <c r="C957">
        <v>16744147</v>
      </c>
      <c r="D957">
        <v>15204468</v>
      </c>
      <c r="E957">
        <v>1</v>
      </c>
      <c r="F957">
        <v>1</v>
      </c>
      <c r="G957">
        <v>1</v>
      </c>
      <c r="H957">
        <v>3</v>
      </c>
      <c r="I957" t="s">
        <v>1623</v>
      </c>
      <c r="J957" t="s">
        <v>1624</v>
      </c>
      <c r="K957" t="s">
        <v>1625</v>
      </c>
      <c r="L957">
        <v>1348</v>
      </c>
      <c r="N957">
        <v>1009</v>
      </c>
      <c r="O957" t="s">
        <v>100</v>
      </c>
      <c r="P957" t="s">
        <v>100</v>
      </c>
      <c r="Q957">
        <v>1000</v>
      </c>
      <c r="W957">
        <v>0</v>
      </c>
      <c r="X957">
        <v>-909021926</v>
      </c>
      <c r="Y957">
        <v>2.0000000000000002E-5</v>
      </c>
      <c r="AA957">
        <v>111192</v>
      </c>
      <c r="AB957">
        <v>0</v>
      </c>
      <c r="AC957">
        <v>0</v>
      </c>
      <c r="AD957">
        <v>0</v>
      </c>
      <c r="AE957">
        <v>16950</v>
      </c>
      <c r="AF957">
        <v>0</v>
      </c>
      <c r="AG957">
        <v>0</v>
      </c>
      <c r="AH957">
        <v>0</v>
      </c>
      <c r="AI957">
        <v>6.56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6</v>
      </c>
      <c r="AT957">
        <v>2.0000000000000002E-5</v>
      </c>
      <c r="AU957" t="s">
        <v>6</v>
      </c>
      <c r="AV957">
        <v>0</v>
      </c>
      <c r="AW957">
        <v>2</v>
      </c>
      <c r="AX957">
        <v>16744159</v>
      </c>
      <c r="AY957">
        <v>1</v>
      </c>
      <c r="AZ957">
        <v>0</v>
      </c>
      <c r="BA957">
        <v>896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Y957*Source!I679</f>
        <v>1.3720000000000002E-5</v>
      </c>
      <c r="CY957">
        <f>AA957</f>
        <v>111192</v>
      </c>
      <c r="CZ957">
        <f>AE957</f>
        <v>16950</v>
      </c>
      <c r="DA957">
        <f>AI957</f>
        <v>6.56</v>
      </c>
      <c r="DB957">
        <f t="shared" si="182"/>
        <v>0.34</v>
      </c>
      <c r="DC957">
        <f t="shared" si="183"/>
        <v>0</v>
      </c>
    </row>
    <row r="958" spans="1:107" x14ac:dyDescent="0.2">
      <c r="A958">
        <f>ROW(Source!A714)</f>
        <v>714</v>
      </c>
      <c r="B958">
        <v>16742901</v>
      </c>
      <c r="C958">
        <v>16744160</v>
      </c>
      <c r="D958">
        <v>15432258</v>
      </c>
      <c r="E958">
        <v>1</v>
      </c>
      <c r="F958">
        <v>1</v>
      </c>
      <c r="G958">
        <v>1</v>
      </c>
      <c r="H958">
        <v>1</v>
      </c>
      <c r="I958" t="s">
        <v>1474</v>
      </c>
      <c r="J958" t="s">
        <v>6</v>
      </c>
      <c r="K958" t="s">
        <v>1475</v>
      </c>
      <c r="L958">
        <v>1191</v>
      </c>
      <c r="N958">
        <v>1013</v>
      </c>
      <c r="O958" t="s">
        <v>1287</v>
      </c>
      <c r="P958" t="s">
        <v>1287</v>
      </c>
      <c r="Q958">
        <v>1</v>
      </c>
      <c r="W958">
        <v>0</v>
      </c>
      <c r="X958">
        <v>-608433632</v>
      </c>
      <c r="Y958">
        <v>85.3</v>
      </c>
      <c r="AA958">
        <v>0</v>
      </c>
      <c r="AB958">
        <v>0</v>
      </c>
      <c r="AC958">
        <v>0</v>
      </c>
      <c r="AD958">
        <v>55.5</v>
      </c>
      <c r="AE958">
        <v>0</v>
      </c>
      <c r="AF958">
        <v>0</v>
      </c>
      <c r="AG958">
        <v>0</v>
      </c>
      <c r="AH958">
        <v>8.4600000000000009</v>
      </c>
      <c r="AI958">
        <v>1</v>
      </c>
      <c r="AJ958">
        <v>1</v>
      </c>
      <c r="AK958">
        <v>1</v>
      </c>
      <c r="AL958">
        <v>6.56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6</v>
      </c>
      <c r="AT958">
        <v>85.3</v>
      </c>
      <c r="AU958" t="s">
        <v>6</v>
      </c>
      <c r="AV958">
        <v>1</v>
      </c>
      <c r="AW958">
        <v>2</v>
      </c>
      <c r="AX958">
        <v>16744164</v>
      </c>
      <c r="AY958">
        <v>1</v>
      </c>
      <c r="AZ958">
        <v>0</v>
      </c>
      <c r="BA958">
        <v>897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Y958*Source!I714</f>
        <v>29.002000000000002</v>
      </c>
      <c r="CY958">
        <f>AD958</f>
        <v>55.5</v>
      </c>
      <c r="CZ958">
        <f>AH958</f>
        <v>8.4600000000000009</v>
      </c>
      <c r="DA958">
        <f>AL958</f>
        <v>6.56</v>
      </c>
      <c r="DB958">
        <f t="shared" si="182"/>
        <v>721.64</v>
      </c>
      <c r="DC958">
        <f t="shared" si="183"/>
        <v>0</v>
      </c>
    </row>
    <row r="959" spans="1:107" x14ac:dyDescent="0.2">
      <c r="A959">
        <f>ROW(Source!A714)</f>
        <v>714</v>
      </c>
      <c r="B959">
        <v>16742901</v>
      </c>
      <c r="C959">
        <v>16744160</v>
      </c>
      <c r="D959">
        <v>15430395</v>
      </c>
      <c r="E959">
        <v>1</v>
      </c>
      <c r="F959">
        <v>1</v>
      </c>
      <c r="G959">
        <v>1</v>
      </c>
      <c r="H959">
        <v>1</v>
      </c>
      <c r="I959" t="s">
        <v>1293</v>
      </c>
      <c r="J959" t="s">
        <v>6</v>
      </c>
      <c r="K959" t="s">
        <v>1294</v>
      </c>
      <c r="L959">
        <v>1191</v>
      </c>
      <c r="N959">
        <v>1013</v>
      </c>
      <c r="O959" t="s">
        <v>1287</v>
      </c>
      <c r="P959" t="s">
        <v>1287</v>
      </c>
      <c r="Q959">
        <v>1</v>
      </c>
      <c r="W959">
        <v>0</v>
      </c>
      <c r="X959">
        <v>-1417349443</v>
      </c>
      <c r="Y959">
        <v>0.32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1</v>
      </c>
      <c r="AJ959">
        <v>1</v>
      </c>
      <c r="AK959">
        <v>6.56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6</v>
      </c>
      <c r="AT959">
        <v>0.32</v>
      </c>
      <c r="AU959" t="s">
        <v>6</v>
      </c>
      <c r="AV959">
        <v>2</v>
      </c>
      <c r="AW959">
        <v>2</v>
      </c>
      <c r="AX959">
        <v>16744165</v>
      </c>
      <c r="AY959">
        <v>1</v>
      </c>
      <c r="AZ959">
        <v>0</v>
      </c>
      <c r="BA959">
        <v>898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Y959*Source!I714</f>
        <v>0.10880000000000001</v>
      </c>
      <c r="CY959">
        <f>AD959</f>
        <v>0</v>
      </c>
      <c r="CZ959">
        <f>AH959</f>
        <v>0</v>
      </c>
      <c r="DA959">
        <f>AL959</f>
        <v>1</v>
      </c>
      <c r="DB959">
        <f t="shared" si="182"/>
        <v>0</v>
      </c>
      <c r="DC959">
        <f t="shared" si="183"/>
        <v>0</v>
      </c>
    </row>
    <row r="960" spans="1:107" x14ac:dyDescent="0.2">
      <c r="A960">
        <f>ROW(Source!A714)</f>
        <v>714</v>
      </c>
      <c r="B960">
        <v>16742901</v>
      </c>
      <c r="C960">
        <v>16744160</v>
      </c>
      <c r="D960">
        <v>15247974</v>
      </c>
      <c r="E960">
        <v>1</v>
      </c>
      <c r="F960">
        <v>1</v>
      </c>
      <c r="G960">
        <v>1</v>
      </c>
      <c r="H960">
        <v>2</v>
      </c>
      <c r="I960" t="s">
        <v>1314</v>
      </c>
      <c r="J960" t="s">
        <v>1315</v>
      </c>
      <c r="K960" t="s">
        <v>1316</v>
      </c>
      <c r="L960">
        <v>1368</v>
      </c>
      <c r="N960">
        <v>1011</v>
      </c>
      <c r="O960" t="s">
        <v>1298</v>
      </c>
      <c r="P960" t="s">
        <v>1298</v>
      </c>
      <c r="Q960">
        <v>1</v>
      </c>
      <c r="W960">
        <v>0</v>
      </c>
      <c r="X960">
        <v>1188625873</v>
      </c>
      <c r="Y960">
        <v>0.32</v>
      </c>
      <c r="AA960">
        <v>0</v>
      </c>
      <c r="AB960">
        <v>205.07</v>
      </c>
      <c r="AC960">
        <v>13.5</v>
      </c>
      <c r="AD960">
        <v>0</v>
      </c>
      <c r="AE960">
        <v>0</v>
      </c>
      <c r="AF960">
        <v>31.26</v>
      </c>
      <c r="AG960">
        <v>13.5</v>
      </c>
      <c r="AH960">
        <v>0</v>
      </c>
      <c r="AI960">
        <v>1</v>
      </c>
      <c r="AJ960">
        <v>6.56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6</v>
      </c>
      <c r="AT960">
        <v>0.32</v>
      </c>
      <c r="AU960" t="s">
        <v>6</v>
      </c>
      <c r="AV960">
        <v>0</v>
      </c>
      <c r="AW960">
        <v>2</v>
      </c>
      <c r="AX960">
        <v>16744166</v>
      </c>
      <c r="AY960">
        <v>1</v>
      </c>
      <c r="AZ960">
        <v>0</v>
      </c>
      <c r="BA960">
        <v>899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Y960*Source!I714</f>
        <v>0.10880000000000001</v>
      </c>
      <c r="CY960">
        <f>AB960</f>
        <v>205.07</v>
      </c>
      <c r="CZ960">
        <f>AF960</f>
        <v>31.26</v>
      </c>
      <c r="DA960">
        <f>AJ960</f>
        <v>6.56</v>
      </c>
      <c r="DB960">
        <f t="shared" si="182"/>
        <v>10</v>
      </c>
      <c r="DC960">
        <f t="shared" si="183"/>
        <v>4.32</v>
      </c>
    </row>
    <row r="961" spans="1:107" x14ac:dyDescent="0.2">
      <c r="A961">
        <f>ROW(Source!A715)</f>
        <v>715</v>
      </c>
      <c r="B961">
        <v>16742901</v>
      </c>
      <c r="C961">
        <v>16744169</v>
      </c>
      <c r="D961">
        <v>15436556</v>
      </c>
      <c r="E961">
        <v>1</v>
      </c>
      <c r="F961">
        <v>1</v>
      </c>
      <c r="G961">
        <v>1</v>
      </c>
      <c r="H961">
        <v>1</v>
      </c>
      <c r="I961" t="s">
        <v>1490</v>
      </c>
      <c r="J961" t="s">
        <v>6</v>
      </c>
      <c r="K961" t="s">
        <v>1491</v>
      </c>
      <c r="L961">
        <v>1191</v>
      </c>
      <c r="N961">
        <v>1013</v>
      </c>
      <c r="O961" t="s">
        <v>1287</v>
      </c>
      <c r="P961" t="s">
        <v>1287</v>
      </c>
      <c r="Q961">
        <v>1</v>
      </c>
      <c r="W961">
        <v>0</v>
      </c>
      <c r="X961">
        <v>1069510174</v>
      </c>
      <c r="Y961">
        <v>3.508</v>
      </c>
      <c r="AA961">
        <v>0</v>
      </c>
      <c r="AB961">
        <v>0</v>
      </c>
      <c r="AC961">
        <v>0</v>
      </c>
      <c r="AD961">
        <v>63.11</v>
      </c>
      <c r="AE961">
        <v>0</v>
      </c>
      <c r="AF961">
        <v>0</v>
      </c>
      <c r="AG961">
        <v>0</v>
      </c>
      <c r="AH961">
        <v>9.6199999999999992</v>
      </c>
      <c r="AI961">
        <v>1</v>
      </c>
      <c r="AJ961">
        <v>1</v>
      </c>
      <c r="AK961">
        <v>1</v>
      </c>
      <c r="AL961">
        <v>6.56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6</v>
      </c>
      <c r="AT961">
        <v>8.77</v>
      </c>
      <c r="AU961" t="s">
        <v>59</v>
      </c>
      <c r="AV961">
        <v>1</v>
      </c>
      <c r="AW961">
        <v>2</v>
      </c>
      <c r="AX961">
        <v>16744176</v>
      </c>
      <c r="AY961">
        <v>1</v>
      </c>
      <c r="AZ961">
        <v>0</v>
      </c>
      <c r="BA961">
        <v>901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Y961*Source!I715</f>
        <v>0.7016</v>
      </c>
      <c r="CY961">
        <f>AD961</f>
        <v>63.11</v>
      </c>
      <c r="CZ961">
        <f>AH961</f>
        <v>9.6199999999999992</v>
      </c>
      <c r="DA961">
        <f>AL961</f>
        <v>6.56</v>
      </c>
      <c r="DB961">
        <f>ROUND((ROUND(AT961*CZ961,2)*0.4),2)</f>
        <v>33.75</v>
      </c>
      <c r="DC961">
        <f>ROUND((ROUND(AT961*AG961,2)*0.4),2)</f>
        <v>0</v>
      </c>
    </row>
    <row r="962" spans="1:107" x14ac:dyDescent="0.2">
      <c r="A962">
        <f>ROW(Source!A715)</f>
        <v>715</v>
      </c>
      <c r="B962">
        <v>16742901</v>
      </c>
      <c r="C962">
        <v>16744169</v>
      </c>
      <c r="D962">
        <v>15430395</v>
      </c>
      <c r="E962">
        <v>1</v>
      </c>
      <c r="F962">
        <v>1</v>
      </c>
      <c r="G962">
        <v>1</v>
      </c>
      <c r="H962">
        <v>1</v>
      </c>
      <c r="I962" t="s">
        <v>1293</v>
      </c>
      <c r="J962" t="s">
        <v>6</v>
      </c>
      <c r="K962" t="s">
        <v>1294</v>
      </c>
      <c r="L962">
        <v>1191</v>
      </c>
      <c r="N962">
        <v>1013</v>
      </c>
      <c r="O962" t="s">
        <v>1287</v>
      </c>
      <c r="P962" t="s">
        <v>1287</v>
      </c>
      <c r="Q962">
        <v>1</v>
      </c>
      <c r="W962">
        <v>0</v>
      </c>
      <c r="X962">
        <v>-1417349443</v>
      </c>
      <c r="Y962">
        <v>0.28999999999999998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1</v>
      </c>
      <c r="AJ962">
        <v>1</v>
      </c>
      <c r="AK962">
        <v>6.56</v>
      </c>
      <c r="AL962">
        <v>1</v>
      </c>
      <c r="AN962">
        <v>0</v>
      </c>
      <c r="AO962">
        <v>1</v>
      </c>
      <c r="AP962">
        <v>0</v>
      </c>
      <c r="AQ962">
        <v>0</v>
      </c>
      <c r="AR962">
        <v>0</v>
      </c>
      <c r="AS962" t="s">
        <v>6</v>
      </c>
      <c r="AT962">
        <v>0.28999999999999998</v>
      </c>
      <c r="AU962" t="s">
        <v>6</v>
      </c>
      <c r="AV962">
        <v>2</v>
      </c>
      <c r="AW962">
        <v>2</v>
      </c>
      <c r="AX962">
        <v>16744177</v>
      </c>
      <c r="AY962">
        <v>1</v>
      </c>
      <c r="AZ962">
        <v>2048</v>
      </c>
      <c r="BA962">
        <v>902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Y962*Source!I715</f>
        <v>5.7999999999999996E-2</v>
      </c>
      <c r="CY962">
        <f>AD962</f>
        <v>0</v>
      </c>
      <c r="CZ962">
        <f>AH962</f>
        <v>0</v>
      </c>
      <c r="DA962">
        <f>AL962</f>
        <v>1</v>
      </c>
      <c r="DB962">
        <f>ROUND(ROUND(AT962*CZ962,2),2)</f>
        <v>0</v>
      </c>
      <c r="DC962">
        <f>ROUND(ROUND(AT962*AG962,2),2)</f>
        <v>0</v>
      </c>
    </row>
    <row r="963" spans="1:107" x14ac:dyDescent="0.2">
      <c r="A963">
        <f>ROW(Source!A715)</f>
        <v>715</v>
      </c>
      <c r="B963">
        <v>16742901</v>
      </c>
      <c r="C963">
        <v>16744169</v>
      </c>
      <c r="D963">
        <v>15247974</v>
      </c>
      <c r="E963">
        <v>1</v>
      </c>
      <c r="F963">
        <v>1</v>
      </c>
      <c r="G963">
        <v>1</v>
      </c>
      <c r="H963">
        <v>2</v>
      </c>
      <c r="I963" t="s">
        <v>1314</v>
      </c>
      <c r="J963" t="s">
        <v>1315</v>
      </c>
      <c r="K963" t="s">
        <v>1316</v>
      </c>
      <c r="L963">
        <v>1368</v>
      </c>
      <c r="N963">
        <v>1011</v>
      </c>
      <c r="O963" t="s">
        <v>1298</v>
      </c>
      <c r="P963" t="s">
        <v>1298</v>
      </c>
      <c r="Q963">
        <v>1</v>
      </c>
      <c r="W963">
        <v>0</v>
      </c>
      <c r="X963">
        <v>1188625873</v>
      </c>
      <c r="Y963">
        <v>4.0000000000000008E-2</v>
      </c>
      <c r="AA963">
        <v>0</v>
      </c>
      <c r="AB963">
        <v>205.07</v>
      </c>
      <c r="AC963">
        <v>13.5</v>
      </c>
      <c r="AD963">
        <v>0</v>
      </c>
      <c r="AE963">
        <v>0</v>
      </c>
      <c r="AF963">
        <v>31.26</v>
      </c>
      <c r="AG963">
        <v>13.5</v>
      </c>
      <c r="AH963">
        <v>0</v>
      </c>
      <c r="AI963">
        <v>1</v>
      </c>
      <c r="AJ963">
        <v>6.56</v>
      </c>
      <c r="AK963">
        <v>1</v>
      </c>
      <c r="AL963">
        <v>1</v>
      </c>
      <c r="AN963">
        <v>0</v>
      </c>
      <c r="AO963">
        <v>1</v>
      </c>
      <c r="AP963">
        <v>1</v>
      </c>
      <c r="AQ963">
        <v>0</v>
      </c>
      <c r="AR963">
        <v>0</v>
      </c>
      <c r="AS963" t="s">
        <v>6</v>
      </c>
      <c r="AT963">
        <v>0.1</v>
      </c>
      <c r="AU963" t="s">
        <v>59</v>
      </c>
      <c r="AV963">
        <v>0</v>
      </c>
      <c r="AW963">
        <v>2</v>
      </c>
      <c r="AX963">
        <v>16744178</v>
      </c>
      <c r="AY963">
        <v>1</v>
      </c>
      <c r="AZ963">
        <v>0</v>
      </c>
      <c r="BA963">
        <v>903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Y963*Source!I715</f>
        <v>8.0000000000000019E-3</v>
      </c>
      <c r="CY963">
        <f>AB963</f>
        <v>205.07</v>
      </c>
      <c r="CZ963">
        <f>AF963</f>
        <v>31.26</v>
      </c>
      <c r="DA963">
        <f>AJ963</f>
        <v>6.56</v>
      </c>
      <c r="DB963">
        <f>ROUND((ROUND(AT963*CZ963,2)*0.4),2)</f>
        <v>1.25</v>
      </c>
      <c r="DC963">
        <f>ROUND((ROUND(AT963*AG963,2)*0.4),2)</f>
        <v>0.54</v>
      </c>
    </row>
    <row r="964" spans="1:107" x14ac:dyDescent="0.2">
      <c r="A964">
        <f>ROW(Source!A715)</f>
        <v>715</v>
      </c>
      <c r="B964">
        <v>16742901</v>
      </c>
      <c r="C964">
        <v>16744169</v>
      </c>
      <c r="D964">
        <v>15249073</v>
      </c>
      <c r="E964">
        <v>1</v>
      </c>
      <c r="F964">
        <v>1</v>
      </c>
      <c r="G964">
        <v>1</v>
      </c>
      <c r="H964">
        <v>2</v>
      </c>
      <c r="I964" t="s">
        <v>1299</v>
      </c>
      <c r="J964" t="s">
        <v>1300</v>
      </c>
      <c r="K964" t="s">
        <v>1301</v>
      </c>
      <c r="L964">
        <v>1368</v>
      </c>
      <c r="N964">
        <v>1011</v>
      </c>
      <c r="O964" t="s">
        <v>1298</v>
      </c>
      <c r="P964" t="s">
        <v>1298</v>
      </c>
      <c r="Q964">
        <v>1</v>
      </c>
      <c r="W964">
        <v>0</v>
      </c>
      <c r="X964">
        <v>1372534845</v>
      </c>
      <c r="Y964">
        <v>7.6000000000000012E-2</v>
      </c>
      <c r="AA964">
        <v>0</v>
      </c>
      <c r="AB964">
        <v>431.06</v>
      </c>
      <c r="AC964">
        <v>11.6</v>
      </c>
      <c r="AD964">
        <v>0</v>
      </c>
      <c r="AE964">
        <v>0</v>
      </c>
      <c r="AF964">
        <v>65.709999999999994</v>
      </c>
      <c r="AG964">
        <v>11.6</v>
      </c>
      <c r="AH964">
        <v>0</v>
      </c>
      <c r="AI964">
        <v>1</v>
      </c>
      <c r="AJ964">
        <v>6.56</v>
      </c>
      <c r="AK964">
        <v>1</v>
      </c>
      <c r="AL964">
        <v>1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6</v>
      </c>
      <c r="AT964">
        <v>0.19</v>
      </c>
      <c r="AU964" t="s">
        <v>59</v>
      </c>
      <c r="AV964">
        <v>0</v>
      </c>
      <c r="AW964">
        <v>2</v>
      </c>
      <c r="AX964">
        <v>16744179</v>
      </c>
      <c r="AY964">
        <v>1</v>
      </c>
      <c r="AZ964">
        <v>0</v>
      </c>
      <c r="BA964">
        <v>904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Y964*Source!I715</f>
        <v>1.5200000000000003E-2</v>
      </c>
      <c r="CY964">
        <f>AB964</f>
        <v>431.06</v>
      </c>
      <c r="CZ964">
        <f>AF964</f>
        <v>65.709999999999994</v>
      </c>
      <c r="DA964">
        <f>AJ964</f>
        <v>6.56</v>
      </c>
      <c r="DB964">
        <f>ROUND((ROUND(AT964*CZ964,2)*0.4),2)</f>
        <v>4.99</v>
      </c>
      <c r="DC964">
        <f>ROUND((ROUND(AT964*AG964,2)*0.4),2)</f>
        <v>0.88</v>
      </c>
    </row>
    <row r="965" spans="1:107" x14ac:dyDescent="0.2">
      <c r="A965">
        <f>ROW(Source!A715)</f>
        <v>715</v>
      </c>
      <c r="B965">
        <v>16742901</v>
      </c>
      <c r="C965">
        <v>16744169</v>
      </c>
      <c r="D965">
        <v>15167955</v>
      </c>
      <c r="E965">
        <v>1</v>
      </c>
      <c r="F965">
        <v>1</v>
      </c>
      <c r="G965">
        <v>1</v>
      </c>
      <c r="H965">
        <v>3</v>
      </c>
      <c r="I965" t="s">
        <v>1825</v>
      </c>
      <c r="J965" t="s">
        <v>1826</v>
      </c>
      <c r="K965" t="s">
        <v>1827</v>
      </c>
      <c r="L965">
        <v>1348</v>
      </c>
      <c r="N965">
        <v>1009</v>
      </c>
      <c r="O965" t="s">
        <v>100</v>
      </c>
      <c r="P965" t="s">
        <v>100</v>
      </c>
      <c r="Q965">
        <v>1000</v>
      </c>
      <c r="W965">
        <v>0</v>
      </c>
      <c r="X965">
        <v>-1699345571</v>
      </c>
      <c r="Y965">
        <v>0</v>
      </c>
      <c r="AA965">
        <v>196996.8</v>
      </c>
      <c r="AB965">
        <v>0</v>
      </c>
      <c r="AC965">
        <v>0</v>
      </c>
      <c r="AD965">
        <v>0</v>
      </c>
      <c r="AE965">
        <v>30030</v>
      </c>
      <c r="AF965">
        <v>0</v>
      </c>
      <c r="AG965">
        <v>0</v>
      </c>
      <c r="AH965">
        <v>0</v>
      </c>
      <c r="AI965">
        <v>6.56</v>
      </c>
      <c r="AJ965">
        <v>1</v>
      </c>
      <c r="AK965">
        <v>1</v>
      </c>
      <c r="AL965">
        <v>1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6</v>
      </c>
      <c r="AT965">
        <v>1.1999999999999999E-3</v>
      </c>
      <c r="AU965" t="s">
        <v>48</v>
      </c>
      <c r="AV965">
        <v>0</v>
      </c>
      <c r="AW965">
        <v>2</v>
      </c>
      <c r="AX965">
        <v>16744180</v>
      </c>
      <c r="AY965">
        <v>1</v>
      </c>
      <c r="AZ965">
        <v>0</v>
      </c>
      <c r="BA965">
        <v>905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Y965*Source!I715</f>
        <v>0</v>
      </c>
      <c r="CY965">
        <f>AA965</f>
        <v>196996.8</v>
      </c>
      <c r="CZ965">
        <f>AE965</f>
        <v>30030</v>
      </c>
      <c r="DA965">
        <f>AI965</f>
        <v>6.56</v>
      </c>
      <c r="DB965">
        <f>ROUND((ROUND(AT965*CZ965,2)*0),2)</f>
        <v>0</v>
      </c>
      <c r="DC965">
        <f>ROUND((ROUND(AT965*AG965,2)*0),2)</f>
        <v>0</v>
      </c>
    </row>
    <row r="966" spans="1:107" x14ac:dyDescent="0.2">
      <c r="A966">
        <f>ROW(Source!A715)</f>
        <v>715</v>
      </c>
      <c r="B966">
        <v>16742901</v>
      </c>
      <c r="C966">
        <v>16744169</v>
      </c>
      <c r="D966">
        <v>15172117</v>
      </c>
      <c r="E966">
        <v>1</v>
      </c>
      <c r="F966">
        <v>1</v>
      </c>
      <c r="G966">
        <v>1</v>
      </c>
      <c r="H966">
        <v>3</v>
      </c>
      <c r="I966" t="s">
        <v>1828</v>
      </c>
      <c r="J966" t="s">
        <v>1829</v>
      </c>
      <c r="K966" t="s">
        <v>1830</v>
      </c>
      <c r="L966">
        <v>1348</v>
      </c>
      <c r="N966">
        <v>1009</v>
      </c>
      <c r="O966" t="s">
        <v>100</v>
      </c>
      <c r="P966" t="s">
        <v>100</v>
      </c>
      <c r="Q966">
        <v>1000</v>
      </c>
      <c r="W966">
        <v>0</v>
      </c>
      <c r="X966">
        <v>1529337430</v>
      </c>
      <c r="Y966">
        <v>0</v>
      </c>
      <c r="AA966">
        <v>12044.16</v>
      </c>
      <c r="AB966">
        <v>0</v>
      </c>
      <c r="AC966">
        <v>0</v>
      </c>
      <c r="AD966">
        <v>0</v>
      </c>
      <c r="AE966">
        <v>1836</v>
      </c>
      <c r="AF966">
        <v>0</v>
      </c>
      <c r="AG966">
        <v>0</v>
      </c>
      <c r="AH966">
        <v>0</v>
      </c>
      <c r="AI966">
        <v>6.56</v>
      </c>
      <c r="AJ966">
        <v>1</v>
      </c>
      <c r="AK966">
        <v>1</v>
      </c>
      <c r="AL966">
        <v>1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6</v>
      </c>
      <c r="AT966">
        <v>3.2000000000000002E-3</v>
      </c>
      <c r="AU966" t="s">
        <v>48</v>
      </c>
      <c r="AV966">
        <v>0</v>
      </c>
      <c r="AW966">
        <v>2</v>
      </c>
      <c r="AX966">
        <v>16744181</v>
      </c>
      <c r="AY966">
        <v>1</v>
      </c>
      <c r="AZ966">
        <v>0</v>
      </c>
      <c r="BA966">
        <v>906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Y966*Source!I715</f>
        <v>0</v>
      </c>
      <c r="CY966">
        <f>AA966</f>
        <v>12044.16</v>
      </c>
      <c r="CZ966">
        <f>AE966</f>
        <v>1836</v>
      </c>
      <c r="DA966">
        <f>AI966</f>
        <v>6.56</v>
      </c>
      <c r="DB966">
        <f>ROUND((ROUND(AT966*CZ966,2)*0),2)</f>
        <v>0</v>
      </c>
      <c r="DC966">
        <f>ROUND((ROUND(AT966*AG966,2)*0),2)</f>
        <v>0</v>
      </c>
    </row>
    <row r="967" spans="1:107" x14ac:dyDescent="0.2">
      <c r="A967">
        <f>ROW(Source!A716)</f>
        <v>716</v>
      </c>
      <c r="B967">
        <v>16742901</v>
      </c>
      <c r="C967">
        <v>16744183</v>
      </c>
      <c r="D967">
        <v>15430767</v>
      </c>
      <c r="E967">
        <v>1</v>
      </c>
      <c r="F967">
        <v>1</v>
      </c>
      <c r="G967">
        <v>1</v>
      </c>
      <c r="H967">
        <v>1</v>
      </c>
      <c r="I967" t="s">
        <v>1285</v>
      </c>
      <c r="J967" t="s">
        <v>6</v>
      </c>
      <c r="K967" t="s">
        <v>1286</v>
      </c>
      <c r="L967">
        <v>1191</v>
      </c>
      <c r="N967">
        <v>1013</v>
      </c>
      <c r="O967" t="s">
        <v>1287</v>
      </c>
      <c r="P967" t="s">
        <v>1287</v>
      </c>
      <c r="Q967">
        <v>1</v>
      </c>
      <c r="W967">
        <v>0</v>
      </c>
      <c r="X967">
        <v>-400197608</v>
      </c>
      <c r="Y967">
        <v>63.84</v>
      </c>
      <c r="AA967">
        <v>0</v>
      </c>
      <c r="AB967">
        <v>0</v>
      </c>
      <c r="AC967">
        <v>0</v>
      </c>
      <c r="AD967">
        <v>55.96</v>
      </c>
      <c r="AE967">
        <v>0</v>
      </c>
      <c r="AF967">
        <v>0</v>
      </c>
      <c r="AG967">
        <v>0</v>
      </c>
      <c r="AH967">
        <v>8.5299999999999994</v>
      </c>
      <c r="AI967">
        <v>1</v>
      </c>
      <c r="AJ967">
        <v>1</v>
      </c>
      <c r="AK967">
        <v>1</v>
      </c>
      <c r="AL967">
        <v>6.56</v>
      </c>
      <c r="AN967">
        <v>0</v>
      </c>
      <c r="AO967">
        <v>1</v>
      </c>
      <c r="AP967">
        <v>0</v>
      </c>
      <c r="AQ967">
        <v>0</v>
      </c>
      <c r="AR967">
        <v>0</v>
      </c>
      <c r="AS967" t="s">
        <v>6</v>
      </c>
      <c r="AT967">
        <v>63.84</v>
      </c>
      <c r="AU967" t="s">
        <v>6</v>
      </c>
      <c r="AV967">
        <v>1</v>
      </c>
      <c r="AW967">
        <v>2</v>
      </c>
      <c r="AX967">
        <v>16744187</v>
      </c>
      <c r="AY967">
        <v>1</v>
      </c>
      <c r="AZ967">
        <v>0</v>
      </c>
      <c r="BA967">
        <v>908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Y967*Source!I716</f>
        <v>2.5536000000000003</v>
      </c>
      <c r="CY967">
        <f>AD967</f>
        <v>55.96</v>
      </c>
      <c r="CZ967">
        <f>AH967</f>
        <v>8.5299999999999994</v>
      </c>
      <c r="DA967">
        <f>AL967</f>
        <v>6.56</v>
      </c>
      <c r="DB967">
        <f>ROUND(ROUND(AT967*CZ967,2),2)</f>
        <v>544.55999999999995</v>
      </c>
      <c r="DC967">
        <f>ROUND(ROUND(AT967*AG967,2),2)</f>
        <v>0</v>
      </c>
    </row>
    <row r="968" spans="1:107" x14ac:dyDescent="0.2">
      <c r="A968">
        <f>ROW(Source!A716)</f>
        <v>716</v>
      </c>
      <c r="B968">
        <v>16742901</v>
      </c>
      <c r="C968">
        <v>16744183</v>
      </c>
      <c r="D968">
        <v>15430395</v>
      </c>
      <c r="E968">
        <v>1</v>
      </c>
      <c r="F968">
        <v>1</v>
      </c>
      <c r="G968">
        <v>1</v>
      </c>
      <c r="H968">
        <v>1</v>
      </c>
      <c r="I968" t="s">
        <v>1293</v>
      </c>
      <c r="J968" t="s">
        <v>6</v>
      </c>
      <c r="K968" t="s">
        <v>1294</v>
      </c>
      <c r="L968">
        <v>1191</v>
      </c>
      <c r="N968">
        <v>1013</v>
      </c>
      <c r="O968" t="s">
        <v>1287</v>
      </c>
      <c r="P968" t="s">
        <v>1287</v>
      </c>
      <c r="Q968">
        <v>1</v>
      </c>
      <c r="W968">
        <v>0</v>
      </c>
      <c r="X968">
        <v>-1417349443</v>
      </c>
      <c r="Y968">
        <v>0.28999999999999998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1</v>
      </c>
      <c r="AJ968">
        <v>1</v>
      </c>
      <c r="AK968">
        <v>6.56</v>
      </c>
      <c r="AL968">
        <v>1</v>
      </c>
      <c r="AN968">
        <v>0</v>
      </c>
      <c r="AO968">
        <v>1</v>
      </c>
      <c r="AP968">
        <v>0</v>
      </c>
      <c r="AQ968">
        <v>0</v>
      </c>
      <c r="AR968">
        <v>0</v>
      </c>
      <c r="AS968" t="s">
        <v>6</v>
      </c>
      <c r="AT968">
        <v>0.28999999999999998</v>
      </c>
      <c r="AU968" t="s">
        <v>6</v>
      </c>
      <c r="AV968">
        <v>2</v>
      </c>
      <c r="AW968">
        <v>2</v>
      </c>
      <c r="AX968">
        <v>16744188</v>
      </c>
      <c r="AY968">
        <v>1</v>
      </c>
      <c r="AZ968">
        <v>0</v>
      </c>
      <c r="BA968">
        <v>909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Y968*Source!I716</f>
        <v>1.1599999999999999E-2</v>
      </c>
      <c r="CY968">
        <f>AD968</f>
        <v>0</v>
      </c>
      <c r="CZ968">
        <f>AH968</f>
        <v>0</v>
      </c>
      <c r="DA968">
        <f>AL968</f>
        <v>1</v>
      </c>
      <c r="DB968">
        <f>ROUND(ROUND(AT968*CZ968,2),2)</f>
        <v>0</v>
      </c>
      <c r="DC968">
        <f>ROUND(ROUND(AT968*AG968,2),2)</f>
        <v>0</v>
      </c>
    </row>
    <row r="969" spans="1:107" x14ac:dyDescent="0.2">
      <c r="A969">
        <f>ROW(Source!A716)</f>
        <v>716</v>
      </c>
      <c r="B969">
        <v>16742901</v>
      </c>
      <c r="C969">
        <v>16744183</v>
      </c>
      <c r="D969">
        <v>15247974</v>
      </c>
      <c r="E969">
        <v>1</v>
      </c>
      <c r="F969">
        <v>1</v>
      </c>
      <c r="G969">
        <v>1</v>
      </c>
      <c r="H969">
        <v>2</v>
      </c>
      <c r="I969" t="s">
        <v>1314</v>
      </c>
      <c r="J969" t="s">
        <v>1315</v>
      </c>
      <c r="K969" t="s">
        <v>1316</v>
      </c>
      <c r="L969">
        <v>1368</v>
      </c>
      <c r="N969">
        <v>1011</v>
      </c>
      <c r="O969" t="s">
        <v>1298</v>
      </c>
      <c r="P969" t="s">
        <v>1298</v>
      </c>
      <c r="Q969">
        <v>1</v>
      </c>
      <c r="W969">
        <v>0</v>
      </c>
      <c r="X969">
        <v>1188625873</v>
      </c>
      <c r="Y969">
        <v>0.28999999999999998</v>
      </c>
      <c r="AA969">
        <v>0</v>
      </c>
      <c r="AB969">
        <v>205.07</v>
      </c>
      <c r="AC969">
        <v>13.5</v>
      </c>
      <c r="AD969">
        <v>0</v>
      </c>
      <c r="AE969">
        <v>0</v>
      </c>
      <c r="AF969">
        <v>31.26</v>
      </c>
      <c r="AG969">
        <v>13.5</v>
      </c>
      <c r="AH969">
        <v>0</v>
      </c>
      <c r="AI969">
        <v>1</v>
      </c>
      <c r="AJ969">
        <v>6.56</v>
      </c>
      <c r="AK969">
        <v>1</v>
      </c>
      <c r="AL969">
        <v>1</v>
      </c>
      <c r="AN969">
        <v>0</v>
      </c>
      <c r="AO969">
        <v>1</v>
      </c>
      <c r="AP969">
        <v>0</v>
      </c>
      <c r="AQ969">
        <v>0</v>
      </c>
      <c r="AR969">
        <v>0</v>
      </c>
      <c r="AS969" t="s">
        <v>6</v>
      </c>
      <c r="AT969">
        <v>0.28999999999999998</v>
      </c>
      <c r="AU969" t="s">
        <v>6</v>
      </c>
      <c r="AV969">
        <v>0</v>
      </c>
      <c r="AW969">
        <v>2</v>
      </c>
      <c r="AX969">
        <v>16744189</v>
      </c>
      <c r="AY969">
        <v>1</v>
      </c>
      <c r="AZ969">
        <v>0</v>
      </c>
      <c r="BA969">
        <v>910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Y969*Source!I716</f>
        <v>1.1599999999999999E-2</v>
      </c>
      <c r="CY969">
        <f>AB969</f>
        <v>205.07</v>
      </c>
      <c r="CZ969">
        <f>AF969</f>
        <v>31.26</v>
      </c>
      <c r="DA969">
        <f>AJ969</f>
        <v>6.56</v>
      </c>
      <c r="DB969">
        <f>ROUND(ROUND(AT969*CZ969,2),2)</f>
        <v>9.07</v>
      </c>
      <c r="DC969">
        <f>ROUND(ROUND(AT969*AG969,2),2)</f>
        <v>3.92</v>
      </c>
    </row>
    <row r="970" spans="1:107" x14ac:dyDescent="0.2">
      <c r="A970">
        <f>ROW(Source!A717)</f>
        <v>717</v>
      </c>
      <c r="B970">
        <v>16742901</v>
      </c>
      <c r="C970">
        <v>16744191</v>
      </c>
      <c r="D970">
        <v>15435721</v>
      </c>
      <c r="E970">
        <v>1</v>
      </c>
      <c r="F970">
        <v>1</v>
      </c>
      <c r="G970">
        <v>1</v>
      </c>
      <c r="H970">
        <v>1</v>
      </c>
      <c r="I970" t="s">
        <v>1609</v>
      </c>
      <c r="J970" t="s">
        <v>6</v>
      </c>
      <c r="K970" t="s">
        <v>1610</v>
      </c>
      <c r="L970">
        <v>1191</v>
      </c>
      <c r="N970">
        <v>1013</v>
      </c>
      <c r="O970" t="s">
        <v>1287</v>
      </c>
      <c r="P970" t="s">
        <v>1287</v>
      </c>
      <c r="Q970">
        <v>1</v>
      </c>
      <c r="W970">
        <v>0</v>
      </c>
      <c r="X970">
        <v>1983201532</v>
      </c>
      <c r="Y970">
        <v>28.335999999999999</v>
      </c>
      <c r="AA970">
        <v>0</v>
      </c>
      <c r="AB970">
        <v>0</v>
      </c>
      <c r="AC970">
        <v>0</v>
      </c>
      <c r="AD970">
        <v>62.39</v>
      </c>
      <c r="AE970">
        <v>0</v>
      </c>
      <c r="AF970">
        <v>0</v>
      </c>
      <c r="AG970">
        <v>0</v>
      </c>
      <c r="AH970">
        <v>9.51</v>
      </c>
      <c r="AI970">
        <v>1</v>
      </c>
      <c r="AJ970">
        <v>1</v>
      </c>
      <c r="AK970">
        <v>1</v>
      </c>
      <c r="AL970">
        <v>6.56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6</v>
      </c>
      <c r="AT970">
        <v>24.64</v>
      </c>
      <c r="AU970" t="s">
        <v>188</v>
      </c>
      <c r="AV970">
        <v>1</v>
      </c>
      <c r="AW970">
        <v>2</v>
      </c>
      <c r="AX970">
        <v>16744206</v>
      </c>
      <c r="AY970">
        <v>1</v>
      </c>
      <c r="AZ970">
        <v>0</v>
      </c>
      <c r="BA970">
        <v>912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Y970*Source!I717</f>
        <v>17.0016</v>
      </c>
      <c r="CY970">
        <f>AD970</f>
        <v>62.39</v>
      </c>
      <c r="CZ970">
        <f>AH970</f>
        <v>9.51</v>
      </c>
      <c r="DA970">
        <f>AL970</f>
        <v>6.56</v>
      </c>
      <c r="DB970">
        <f>ROUND((ROUND(AT970*CZ970,2)*1.15),2)</f>
        <v>269.48</v>
      </c>
      <c r="DC970">
        <f>ROUND((ROUND(AT970*AG970,2)*1.15),2)</f>
        <v>0</v>
      </c>
    </row>
    <row r="971" spans="1:107" x14ac:dyDescent="0.2">
      <c r="A971">
        <f>ROW(Source!A717)</f>
        <v>717</v>
      </c>
      <c r="B971">
        <v>16742901</v>
      </c>
      <c r="C971">
        <v>16744191</v>
      </c>
      <c r="D971">
        <v>15430395</v>
      </c>
      <c r="E971">
        <v>1</v>
      </c>
      <c r="F971">
        <v>1</v>
      </c>
      <c r="G971">
        <v>1</v>
      </c>
      <c r="H971">
        <v>1</v>
      </c>
      <c r="I971" t="s">
        <v>1293</v>
      </c>
      <c r="J971" t="s">
        <v>6</v>
      </c>
      <c r="K971" t="s">
        <v>1294</v>
      </c>
      <c r="L971">
        <v>1191</v>
      </c>
      <c r="N971">
        <v>1013</v>
      </c>
      <c r="O971" t="s">
        <v>1287</v>
      </c>
      <c r="P971" t="s">
        <v>1287</v>
      </c>
      <c r="Q971">
        <v>1</v>
      </c>
      <c r="W971">
        <v>0</v>
      </c>
      <c r="X971">
        <v>-1417349443</v>
      </c>
      <c r="Y971">
        <v>0.71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1</v>
      </c>
      <c r="AJ971">
        <v>1</v>
      </c>
      <c r="AK971">
        <v>6.56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6</v>
      </c>
      <c r="AT971">
        <v>0.71</v>
      </c>
      <c r="AU971" t="s">
        <v>6</v>
      </c>
      <c r="AV971">
        <v>2</v>
      </c>
      <c r="AW971">
        <v>2</v>
      </c>
      <c r="AX971">
        <v>16744207</v>
      </c>
      <c r="AY971">
        <v>1</v>
      </c>
      <c r="AZ971">
        <v>2048</v>
      </c>
      <c r="BA971">
        <v>913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Y971*Source!I717</f>
        <v>0.42599999999999999</v>
      </c>
      <c r="CY971">
        <f>AD971</f>
        <v>0</v>
      </c>
      <c r="CZ971">
        <f>AH971</f>
        <v>0</v>
      </c>
      <c r="DA971">
        <f>AL971</f>
        <v>1</v>
      </c>
      <c r="DB971">
        <f>ROUND(ROUND(AT971*CZ971,2),2)</f>
        <v>0</v>
      </c>
      <c r="DC971">
        <f>ROUND(ROUND(AT971*AG971,2),2)</f>
        <v>0</v>
      </c>
    </row>
    <row r="972" spans="1:107" x14ac:dyDescent="0.2">
      <c r="A972">
        <f>ROW(Source!A717)</f>
        <v>717</v>
      </c>
      <c r="B972">
        <v>16742901</v>
      </c>
      <c r="C972">
        <v>16744191</v>
      </c>
      <c r="D972">
        <v>15247974</v>
      </c>
      <c r="E972">
        <v>1</v>
      </c>
      <c r="F972">
        <v>1</v>
      </c>
      <c r="G972">
        <v>1</v>
      </c>
      <c r="H972">
        <v>2</v>
      </c>
      <c r="I972" t="s">
        <v>1314</v>
      </c>
      <c r="J972" t="s">
        <v>1315</v>
      </c>
      <c r="K972" t="s">
        <v>1316</v>
      </c>
      <c r="L972">
        <v>1368</v>
      </c>
      <c r="N972">
        <v>1011</v>
      </c>
      <c r="O972" t="s">
        <v>1298</v>
      </c>
      <c r="P972" t="s">
        <v>1298</v>
      </c>
      <c r="Q972">
        <v>1</v>
      </c>
      <c r="W972">
        <v>0</v>
      </c>
      <c r="X972">
        <v>1188625873</v>
      </c>
      <c r="Y972">
        <v>0.4</v>
      </c>
      <c r="AA972">
        <v>0</v>
      </c>
      <c r="AB972">
        <v>205.07</v>
      </c>
      <c r="AC972">
        <v>13.5</v>
      </c>
      <c r="AD972">
        <v>0</v>
      </c>
      <c r="AE972">
        <v>0</v>
      </c>
      <c r="AF972">
        <v>31.26</v>
      </c>
      <c r="AG972">
        <v>13.5</v>
      </c>
      <c r="AH972">
        <v>0</v>
      </c>
      <c r="AI972">
        <v>1</v>
      </c>
      <c r="AJ972">
        <v>6.56</v>
      </c>
      <c r="AK972">
        <v>1</v>
      </c>
      <c r="AL972">
        <v>1</v>
      </c>
      <c r="AN972">
        <v>0</v>
      </c>
      <c r="AO972">
        <v>1</v>
      </c>
      <c r="AP972">
        <v>1</v>
      </c>
      <c r="AQ972">
        <v>0</v>
      </c>
      <c r="AR972">
        <v>0</v>
      </c>
      <c r="AS972" t="s">
        <v>6</v>
      </c>
      <c r="AT972">
        <v>0.32</v>
      </c>
      <c r="AU972" t="s">
        <v>187</v>
      </c>
      <c r="AV972">
        <v>0</v>
      </c>
      <c r="AW972">
        <v>2</v>
      </c>
      <c r="AX972">
        <v>16744208</v>
      </c>
      <c r="AY972">
        <v>1</v>
      </c>
      <c r="AZ972">
        <v>0</v>
      </c>
      <c r="BA972">
        <v>914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Y972*Source!I717</f>
        <v>0.24</v>
      </c>
      <c r="CY972">
        <f>AB972</f>
        <v>205.07</v>
      </c>
      <c r="CZ972">
        <f>AF972</f>
        <v>31.26</v>
      </c>
      <c r="DA972">
        <f>AJ972</f>
        <v>6.56</v>
      </c>
      <c r="DB972">
        <f>ROUND((ROUND(AT972*CZ972,2)*1.25),2)</f>
        <v>12.5</v>
      </c>
      <c r="DC972">
        <f>ROUND((ROUND(AT972*AG972,2)*1.25),2)</f>
        <v>5.4</v>
      </c>
    </row>
    <row r="973" spans="1:107" x14ac:dyDescent="0.2">
      <c r="A973">
        <f>ROW(Source!A717)</f>
        <v>717</v>
      </c>
      <c r="B973">
        <v>16742901</v>
      </c>
      <c r="C973">
        <v>16744191</v>
      </c>
      <c r="D973">
        <v>15249073</v>
      </c>
      <c r="E973">
        <v>1</v>
      </c>
      <c r="F973">
        <v>1</v>
      </c>
      <c r="G973">
        <v>1</v>
      </c>
      <c r="H973">
        <v>2</v>
      </c>
      <c r="I973" t="s">
        <v>1299</v>
      </c>
      <c r="J973" t="s">
        <v>1300</v>
      </c>
      <c r="K973" t="s">
        <v>1301</v>
      </c>
      <c r="L973">
        <v>1368</v>
      </c>
      <c r="N973">
        <v>1011</v>
      </c>
      <c r="O973" t="s">
        <v>1298</v>
      </c>
      <c r="P973" t="s">
        <v>1298</v>
      </c>
      <c r="Q973">
        <v>1</v>
      </c>
      <c r="W973">
        <v>0</v>
      </c>
      <c r="X973">
        <v>1372534845</v>
      </c>
      <c r="Y973">
        <v>0.48750000000000004</v>
      </c>
      <c r="AA973">
        <v>0</v>
      </c>
      <c r="AB973">
        <v>431.06</v>
      </c>
      <c r="AC973">
        <v>11.6</v>
      </c>
      <c r="AD973">
        <v>0</v>
      </c>
      <c r="AE973">
        <v>0</v>
      </c>
      <c r="AF973">
        <v>65.709999999999994</v>
      </c>
      <c r="AG973">
        <v>11.6</v>
      </c>
      <c r="AH973">
        <v>0</v>
      </c>
      <c r="AI973">
        <v>1</v>
      </c>
      <c r="AJ973">
        <v>6.56</v>
      </c>
      <c r="AK973">
        <v>1</v>
      </c>
      <c r="AL973">
        <v>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6</v>
      </c>
      <c r="AT973">
        <v>0.39</v>
      </c>
      <c r="AU973" t="s">
        <v>187</v>
      </c>
      <c r="AV973">
        <v>0</v>
      </c>
      <c r="AW973">
        <v>2</v>
      </c>
      <c r="AX973">
        <v>16744209</v>
      </c>
      <c r="AY973">
        <v>1</v>
      </c>
      <c r="AZ973">
        <v>0</v>
      </c>
      <c r="BA973">
        <v>915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Y973*Source!I717</f>
        <v>0.29250000000000004</v>
      </c>
      <c r="CY973">
        <f>AB973</f>
        <v>431.06</v>
      </c>
      <c r="CZ973">
        <f>AF973</f>
        <v>65.709999999999994</v>
      </c>
      <c r="DA973">
        <f>AJ973</f>
        <v>6.56</v>
      </c>
      <c r="DB973">
        <f>ROUND((ROUND(AT973*CZ973,2)*1.25),2)</f>
        <v>32.04</v>
      </c>
      <c r="DC973">
        <f>ROUND((ROUND(AT973*AG973,2)*1.25),2)</f>
        <v>5.65</v>
      </c>
    </row>
    <row r="974" spans="1:107" x14ac:dyDescent="0.2">
      <c r="A974">
        <f>ROW(Source!A717)</f>
        <v>717</v>
      </c>
      <c r="B974">
        <v>16742901</v>
      </c>
      <c r="C974">
        <v>16744191</v>
      </c>
      <c r="D974">
        <v>15167955</v>
      </c>
      <c r="E974">
        <v>1</v>
      </c>
      <c r="F974">
        <v>1</v>
      </c>
      <c r="G974">
        <v>1</v>
      </c>
      <c r="H974">
        <v>3</v>
      </c>
      <c r="I974" t="s">
        <v>1825</v>
      </c>
      <c r="J974" t="s">
        <v>1826</v>
      </c>
      <c r="K974" t="s">
        <v>1827</v>
      </c>
      <c r="L974">
        <v>1348</v>
      </c>
      <c r="N974">
        <v>1009</v>
      </c>
      <c r="O974" t="s">
        <v>100</v>
      </c>
      <c r="P974" t="s">
        <v>100</v>
      </c>
      <c r="Q974">
        <v>1000</v>
      </c>
      <c r="W974">
        <v>0</v>
      </c>
      <c r="X974">
        <v>-1699345571</v>
      </c>
      <c r="Y974">
        <v>1E-3</v>
      </c>
      <c r="AA974">
        <v>196996.8</v>
      </c>
      <c r="AB974">
        <v>0</v>
      </c>
      <c r="AC974">
        <v>0</v>
      </c>
      <c r="AD974">
        <v>0</v>
      </c>
      <c r="AE974">
        <v>30030</v>
      </c>
      <c r="AF974">
        <v>0</v>
      </c>
      <c r="AG974">
        <v>0</v>
      </c>
      <c r="AH974">
        <v>0</v>
      </c>
      <c r="AI974">
        <v>6.56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6</v>
      </c>
      <c r="AT974">
        <v>1E-3</v>
      </c>
      <c r="AU974" t="s">
        <v>6</v>
      </c>
      <c r="AV974">
        <v>0</v>
      </c>
      <c r="AW974">
        <v>2</v>
      </c>
      <c r="AX974">
        <v>16744210</v>
      </c>
      <c r="AY974">
        <v>1</v>
      </c>
      <c r="AZ974">
        <v>0</v>
      </c>
      <c r="BA974">
        <v>916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Y974*Source!I717</f>
        <v>5.9999999999999995E-4</v>
      </c>
      <c r="CY974">
        <f t="shared" ref="CY974:CY982" si="184">AA974</f>
        <v>196996.8</v>
      </c>
      <c r="CZ974">
        <f t="shared" ref="CZ974:CZ982" si="185">AE974</f>
        <v>30030</v>
      </c>
      <c r="DA974">
        <f t="shared" ref="DA974:DA982" si="186">AI974</f>
        <v>6.56</v>
      </c>
      <c r="DB974">
        <f t="shared" ref="DB974:DB982" si="187">ROUND(ROUND(AT974*CZ974,2),2)</f>
        <v>30.03</v>
      </c>
      <c r="DC974">
        <f t="shared" ref="DC974:DC982" si="188">ROUND(ROUND(AT974*AG974,2),2)</f>
        <v>0</v>
      </c>
    </row>
    <row r="975" spans="1:107" x14ac:dyDescent="0.2">
      <c r="A975">
        <f>ROW(Source!A717)</f>
        <v>717</v>
      </c>
      <c r="B975">
        <v>16742901</v>
      </c>
      <c r="C975">
        <v>16744191</v>
      </c>
      <c r="D975">
        <v>15167963</v>
      </c>
      <c r="E975">
        <v>1</v>
      </c>
      <c r="F975">
        <v>1</v>
      </c>
      <c r="G975">
        <v>1</v>
      </c>
      <c r="H975">
        <v>3</v>
      </c>
      <c r="I975" t="s">
        <v>1793</v>
      </c>
      <c r="J975" t="s">
        <v>1794</v>
      </c>
      <c r="K975" t="s">
        <v>1795</v>
      </c>
      <c r="L975">
        <v>1346</v>
      </c>
      <c r="N975">
        <v>1009</v>
      </c>
      <c r="O975" t="s">
        <v>341</v>
      </c>
      <c r="P975" t="s">
        <v>341</v>
      </c>
      <c r="Q975">
        <v>1</v>
      </c>
      <c r="W975">
        <v>0</v>
      </c>
      <c r="X975">
        <v>-490687590</v>
      </c>
      <c r="Y975">
        <v>0.04</v>
      </c>
      <c r="AA975">
        <v>244.62</v>
      </c>
      <c r="AB975">
        <v>0</v>
      </c>
      <c r="AC975">
        <v>0</v>
      </c>
      <c r="AD975">
        <v>0</v>
      </c>
      <c r="AE975">
        <v>37.29</v>
      </c>
      <c r="AF975">
        <v>0</v>
      </c>
      <c r="AG975">
        <v>0</v>
      </c>
      <c r="AH975">
        <v>0</v>
      </c>
      <c r="AI975">
        <v>6.56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6</v>
      </c>
      <c r="AT975">
        <v>0.04</v>
      </c>
      <c r="AU975" t="s">
        <v>6</v>
      </c>
      <c r="AV975">
        <v>0</v>
      </c>
      <c r="AW975">
        <v>2</v>
      </c>
      <c r="AX975">
        <v>16744211</v>
      </c>
      <c r="AY975">
        <v>1</v>
      </c>
      <c r="AZ975">
        <v>0</v>
      </c>
      <c r="BA975">
        <v>917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Y975*Source!I717</f>
        <v>2.4E-2</v>
      </c>
      <c r="CY975">
        <f t="shared" si="184"/>
        <v>244.62</v>
      </c>
      <c r="CZ975">
        <f t="shared" si="185"/>
        <v>37.29</v>
      </c>
      <c r="DA975">
        <f t="shared" si="186"/>
        <v>6.56</v>
      </c>
      <c r="DB975">
        <f t="shared" si="187"/>
        <v>1.49</v>
      </c>
      <c r="DC975">
        <f t="shared" si="188"/>
        <v>0</v>
      </c>
    </row>
    <row r="976" spans="1:107" x14ac:dyDescent="0.2">
      <c r="A976">
        <f>ROW(Source!A717)</f>
        <v>717</v>
      </c>
      <c r="B976">
        <v>16742901</v>
      </c>
      <c r="C976">
        <v>16744191</v>
      </c>
      <c r="D976">
        <v>15170213</v>
      </c>
      <c r="E976">
        <v>1</v>
      </c>
      <c r="F976">
        <v>1</v>
      </c>
      <c r="G976">
        <v>1</v>
      </c>
      <c r="H976">
        <v>3</v>
      </c>
      <c r="I976" t="s">
        <v>1831</v>
      </c>
      <c r="J976" t="s">
        <v>1832</v>
      </c>
      <c r="K976" t="s">
        <v>1833</v>
      </c>
      <c r="L976">
        <v>1346</v>
      </c>
      <c r="N976">
        <v>1009</v>
      </c>
      <c r="O976" t="s">
        <v>341</v>
      </c>
      <c r="P976" t="s">
        <v>341</v>
      </c>
      <c r="Q976">
        <v>1</v>
      </c>
      <c r="W976">
        <v>0</v>
      </c>
      <c r="X976">
        <v>686856996</v>
      </c>
      <c r="Y976">
        <v>20</v>
      </c>
      <c r="AA976">
        <v>42.64</v>
      </c>
      <c r="AB976">
        <v>0</v>
      </c>
      <c r="AC976">
        <v>0</v>
      </c>
      <c r="AD976">
        <v>0</v>
      </c>
      <c r="AE976">
        <v>6.5</v>
      </c>
      <c r="AF976">
        <v>0</v>
      </c>
      <c r="AG976">
        <v>0</v>
      </c>
      <c r="AH976">
        <v>0</v>
      </c>
      <c r="AI976">
        <v>6.56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6</v>
      </c>
      <c r="AT976">
        <v>20</v>
      </c>
      <c r="AU976" t="s">
        <v>6</v>
      </c>
      <c r="AV976">
        <v>0</v>
      </c>
      <c r="AW976">
        <v>2</v>
      </c>
      <c r="AX976">
        <v>16744213</v>
      </c>
      <c r="AY976">
        <v>1</v>
      </c>
      <c r="AZ976">
        <v>0</v>
      </c>
      <c r="BA976">
        <v>919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Y976*Source!I717</f>
        <v>12</v>
      </c>
      <c r="CY976">
        <f t="shared" si="184"/>
        <v>42.64</v>
      </c>
      <c r="CZ976">
        <f t="shared" si="185"/>
        <v>6.5</v>
      </c>
      <c r="DA976">
        <f t="shared" si="186"/>
        <v>6.56</v>
      </c>
      <c r="DB976">
        <f t="shared" si="187"/>
        <v>130</v>
      </c>
      <c r="DC976">
        <f t="shared" si="188"/>
        <v>0</v>
      </c>
    </row>
    <row r="977" spans="1:107" x14ac:dyDescent="0.2">
      <c r="A977">
        <f>ROW(Source!A717)</f>
        <v>717</v>
      </c>
      <c r="B977">
        <v>16742901</v>
      </c>
      <c r="C977">
        <v>16744191</v>
      </c>
      <c r="D977">
        <v>15170815</v>
      </c>
      <c r="E977">
        <v>1</v>
      </c>
      <c r="F977">
        <v>1</v>
      </c>
      <c r="G977">
        <v>1</v>
      </c>
      <c r="H977">
        <v>3</v>
      </c>
      <c r="I977" t="s">
        <v>1834</v>
      </c>
      <c r="J977" t="s">
        <v>1835</v>
      </c>
      <c r="K977" t="s">
        <v>1836</v>
      </c>
      <c r="L977">
        <v>1346</v>
      </c>
      <c r="N977">
        <v>1009</v>
      </c>
      <c r="O977" t="s">
        <v>341</v>
      </c>
      <c r="P977" t="s">
        <v>341</v>
      </c>
      <c r="Q977">
        <v>1</v>
      </c>
      <c r="W977">
        <v>0</v>
      </c>
      <c r="X977">
        <v>1706192078</v>
      </c>
      <c r="Y977">
        <v>0.8</v>
      </c>
      <c r="AA977">
        <v>88.95</v>
      </c>
      <c r="AB977">
        <v>0</v>
      </c>
      <c r="AC977">
        <v>0</v>
      </c>
      <c r="AD977">
        <v>0</v>
      </c>
      <c r="AE977">
        <v>13.56</v>
      </c>
      <c r="AF977">
        <v>0</v>
      </c>
      <c r="AG977">
        <v>0</v>
      </c>
      <c r="AH977">
        <v>0</v>
      </c>
      <c r="AI977">
        <v>6.56</v>
      </c>
      <c r="AJ977">
        <v>1</v>
      </c>
      <c r="AK977">
        <v>1</v>
      </c>
      <c r="AL977">
        <v>1</v>
      </c>
      <c r="AN977">
        <v>0</v>
      </c>
      <c r="AO977">
        <v>1</v>
      </c>
      <c r="AP977">
        <v>0</v>
      </c>
      <c r="AQ977">
        <v>0</v>
      </c>
      <c r="AR977">
        <v>0</v>
      </c>
      <c r="AS977" t="s">
        <v>6</v>
      </c>
      <c r="AT977">
        <v>0.8</v>
      </c>
      <c r="AU977" t="s">
        <v>6</v>
      </c>
      <c r="AV977">
        <v>0</v>
      </c>
      <c r="AW977">
        <v>2</v>
      </c>
      <c r="AX977">
        <v>16744215</v>
      </c>
      <c r="AY977">
        <v>1</v>
      </c>
      <c r="AZ977">
        <v>0</v>
      </c>
      <c r="BA977">
        <v>921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Y977*Source!I717</f>
        <v>0.48</v>
      </c>
      <c r="CY977">
        <f t="shared" si="184"/>
        <v>88.95</v>
      </c>
      <c r="CZ977">
        <f t="shared" si="185"/>
        <v>13.56</v>
      </c>
      <c r="DA977">
        <f t="shared" si="186"/>
        <v>6.56</v>
      </c>
      <c r="DB977">
        <f t="shared" si="187"/>
        <v>10.85</v>
      </c>
      <c r="DC977">
        <f t="shared" si="188"/>
        <v>0</v>
      </c>
    </row>
    <row r="978" spans="1:107" x14ac:dyDescent="0.2">
      <c r="A978">
        <f>ROW(Source!A717)</f>
        <v>717</v>
      </c>
      <c r="B978">
        <v>16742901</v>
      </c>
      <c r="C978">
        <v>16744191</v>
      </c>
      <c r="D978">
        <v>15202525</v>
      </c>
      <c r="E978">
        <v>1</v>
      </c>
      <c r="F978">
        <v>1</v>
      </c>
      <c r="G978">
        <v>1</v>
      </c>
      <c r="H978">
        <v>3</v>
      </c>
      <c r="I978" t="s">
        <v>1837</v>
      </c>
      <c r="J978" t="s">
        <v>1838</v>
      </c>
      <c r="K978" t="s">
        <v>1839</v>
      </c>
      <c r="L978">
        <v>1348</v>
      </c>
      <c r="N978">
        <v>1009</v>
      </c>
      <c r="O978" t="s">
        <v>100</v>
      </c>
      <c r="P978" t="s">
        <v>100</v>
      </c>
      <c r="Q978">
        <v>1000</v>
      </c>
      <c r="W978">
        <v>0</v>
      </c>
      <c r="X978">
        <v>1676970864</v>
      </c>
      <c r="Y978">
        <v>8.0000000000000004E-4</v>
      </c>
      <c r="AA978">
        <v>80884.800000000003</v>
      </c>
      <c r="AB978">
        <v>0</v>
      </c>
      <c r="AC978">
        <v>0</v>
      </c>
      <c r="AD978">
        <v>0</v>
      </c>
      <c r="AE978">
        <v>12330</v>
      </c>
      <c r="AF978">
        <v>0</v>
      </c>
      <c r="AG978">
        <v>0</v>
      </c>
      <c r="AH978">
        <v>0</v>
      </c>
      <c r="AI978">
        <v>6.56</v>
      </c>
      <c r="AJ978">
        <v>1</v>
      </c>
      <c r="AK978">
        <v>1</v>
      </c>
      <c r="AL978">
        <v>1</v>
      </c>
      <c r="AN978">
        <v>0</v>
      </c>
      <c r="AO978">
        <v>1</v>
      </c>
      <c r="AP978">
        <v>0</v>
      </c>
      <c r="AQ978">
        <v>0</v>
      </c>
      <c r="AR978">
        <v>0</v>
      </c>
      <c r="AS978" t="s">
        <v>6</v>
      </c>
      <c r="AT978">
        <v>8.0000000000000004E-4</v>
      </c>
      <c r="AU978" t="s">
        <v>6</v>
      </c>
      <c r="AV978">
        <v>0</v>
      </c>
      <c r="AW978">
        <v>2</v>
      </c>
      <c r="AX978">
        <v>16744216</v>
      </c>
      <c r="AY978">
        <v>1</v>
      </c>
      <c r="AZ978">
        <v>0</v>
      </c>
      <c r="BA978">
        <v>922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Y978*Source!I717</f>
        <v>4.8000000000000001E-4</v>
      </c>
      <c r="CY978">
        <f t="shared" si="184"/>
        <v>80884.800000000003</v>
      </c>
      <c r="CZ978">
        <f t="shared" si="185"/>
        <v>12330</v>
      </c>
      <c r="DA978">
        <f t="shared" si="186"/>
        <v>6.56</v>
      </c>
      <c r="DB978">
        <f t="shared" si="187"/>
        <v>9.86</v>
      </c>
      <c r="DC978">
        <f t="shared" si="188"/>
        <v>0</v>
      </c>
    </row>
    <row r="979" spans="1:107" x14ac:dyDescent="0.2">
      <c r="A979">
        <f>ROW(Source!A717)</f>
        <v>717</v>
      </c>
      <c r="B979">
        <v>16742901</v>
      </c>
      <c r="C979">
        <v>16744191</v>
      </c>
      <c r="D979">
        <v>15203740</v>
      </c>
      <c r="E979">
        <v>1</v>
      </c>
      <c r="F979">
        <v>1</v>
      </c>
      <c r="G979">
        <v>1</v>
      </c>
      <c r="H979">
        <v>3</v>
      </c>
      <c r="I979" t="s">
        <v>1802</v>
      </c>
      <c r="J979" t="s">
        <v>1803</v>
      </c>
      <c r="K979" t="s">
        <v>1804</v>
      </c>
      <c r="L979">
        <v>1348</v>
      </c>
      <c r="N979">
        <v>1009</v>
      </c>
      <c r="O979" t="s">
        <v>100</v>
      </c>
      <c r="P979" t="s">
        <v>100</v>
      </c>
      <c r="Q979">
        <v>1000</v>
      </c>
      <c r="W979">
        <v>0</v>
      </c>
      <c r="X979">
        <v>570223526</v>
      </c>
      <c r="Y979">
        <v>4.0000000000000002E-4</v>
      </c>
      <c r="AA979">
        <v>99180.64</v>
      </c>
      <c r="AB979">
        <v>0</v>
      </c>
      <c r="AC979">
        <v>0</v>
      </c>
      <c r="AD979">
        <v>0</v>
      </c>
      <c r="AE979">
        <v>15119</v>
      </c>
      <c r="AF979">
        <v>0</v>
      </c>
      <c r="AG979">
        <v>0</v>
      </c>
      <c r="AH979">
        <v>0</v>
      </c>
      <c r="AI979">
        <v>6.56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6</v>
      </c>
      <c r="AT979">
        <v>4.0000000000000002E-4</v>
      </c>
      <c r="AU979" t="s">
        <v>6</v>
      </c>
      <c r="AV979">
        <v>0</v>
      </c>
      <c r="AW979">
        <v>2</v>
      </c>
      <c r="AX979">
        <v>16744217</v>
      </c>
      <c r="AY979">
        <v>1</v>
      </c>
      <c r="AZ979">
        <v>0</v>
      </c>
      <c r="BA979">
        <v>923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Y979*Source!I717</f>
        <v>2.4000000000000001E-4</v>
      </c>
      <c r="CY979">
        <f t="shared" si="184"/>
        <v>99180.64</v>
      </c>
      <c r="CZ979">
        <f t="shared" si="185"/>
        <v>15119</v>
      </c>
      <c r="DA979">
        <f t="shared" si="186"/>
        <v>6.56</v>
      </c>
      <c r="DB979">
        <f t="shared" si="187"/>
        <v>6.05</v>
      </c>
      <c r="DC979">
        <f t="shared" si="188"/>
        <v>0</v>
      </c>
    </row>
    <row r="980" spans="1:107" x14ac:dyDescent="0.2">
      <c r="A980">
        <f>ROW(Source!A717)</f>
        <v>717</v>
      </c>
      <c r="B980">
        <v>16742901</v>
      </c>
      <c r="C980">
        <v>16744191</v>
      </c>
      <c r="D980">
        <v>15204468</v>
      </c>
      <c r="E980">
        <v>1</v>
      </c>
      <c r="F980">
        <v>1</v>
      </c>
      <c r="G980">
        <v>1</v>
      </c>
      <c r="H980">
        <v>3</v>
      </c>
      <c r="I980" t="s">
        <v>1623</v>
      </c>
      <c r="J980" t="s">
        <v>1624</v>
      </c>
      <c r="K980" t="s">
        <v>1625</v>
      </c>
      <c r="L980">
        <v>1348</v>
      </c>
      <c r="N980">
        <v>1009</v>
      </c>
      <c r="O980" t="s">
        <v>100</v>
      </c>
      <c r="P980" t="s">
        <v>100</v>
      </c>
      <c r="Q980">
        <v>1000</v>
      </c>
      <c r="W980">
        <v>0</v>
      </c>
      <c r="X980">
        <v>-909021926</v>
      </c>
      <c r="Y980">
        <v>2.0000000000000001E-4</v>
      </c>
      <c r="AA980">
        <v>111192</v>
      </c>
      <c r="AB980">
        <v>0</v>
      </c>
      <c r="AC980">
        <v>0</v>
      </c>
      <c r="AD980">
        <v>0</v>
      </c>
      <c r="AE980">
        <v>16950</v>
      </c>
      <c r="AF980">
        <v>0</v>
      </c>
      <c r="AG980">
        <v>0</v>
      </c>
      <c r="AH980">
        <v>0</v>
      </c>
      <c r="AI980">
        <v>6.56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6</v>
      </c>
      <c r="AT980">
        <v>2.0000000000000001E-4</v>
      </c>
      <c r="AU980" t="s">
        <v>6</v>
      </c>
      <c r="AV980">
        <v>0</v>
      </c>
      <c r="AW980">
        <v>2</v>
      </c>
      <c r="AX980">
        <v>16744219</v>
      </c>
      <c r="AY980">
        <v>1</v>
      </c>
      <c r="AZ980">
        <v>0</v>
      </c>
      <c r="BA980">
        <v>925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Y980*Source!I717</f>
        <v>1.2E-4</v>
      </c>
      <c r="CY980">
        <f t="shared" si="184"/>
        <v>111192</v>
      </c>
      <c r="CZ980">
        <f t="shared" si="185"/>
        <v>16950</v>
      </c>
      <c r="DA980">
        <f t="shared" si="186"/>
        <v>6.56</v>
      </c>
      <c r="DB980">
        <f t="shared" si="187"/>
        <v>3.39</v>
      </c>
      <c r="DC980">
        <f t="shared" si="188"/>
        <v>0</v>
      </c>
    </row>
    <row r="981" spans="1:107" x14ac:dyDescent="0.2">
      <c r="A981">
        <f>ROW(Source!A717)</f>
        <v>717</v>
      </c>
      <c r="B981">
        <v>16742901</v>
      </c>
      <c r="C981">
        <v>16744191</v>
      </c>
      <c r="D981">
        <v>15211695</v>
      </c>
      <c r="E981">
        <v>1</v>
      </c>
      <c r="F981">
        <v>1</v>
      </c>
      <c r="G981">
        <v>1</v>
      </c>
      <c r="H981">
        <v>3</v>
      </c>
      <c r="I981" t="s">
        <v>1170</v>
      </c>
      <c r="J981" t="s">
        <v>1172</v>
      </c>
      <c r="K981" t="s">
        <v>1171</v>
      </c>
      <c r="L981">
        <v>1035</v>
      </c>
      <c r="N981">
        <v>1013</v>
      </c>
      <c r="O981" t="s">
        <v>249</v>
      </c>
      <c r="P981" t="s">
        <v>249</v>
      </c>
      <c r="Q981">
        <v>1</v>
      </c>
      <c r="W981">
        <v>0</v>
      </c>
      <c r="X981">
        <v>1607095739</v>
      </c>
      <c r="Y981">
        <v>10</v>
      </c>
      <c r="AA981">
        <v>2086.08</v>
      </c>
      <c r="AB981">
        <v>0</v>
      </c>
      <c r="AC981">
        <v>0</v>
      </c>
      <c r="AD981">
        <v>0</v>
      </c>
      <c r="AE981">
        <v>318</v>
      </c>
      <c r="AF981">
        <v>0</v>
      </c>
      <c r="AG981">
        <v>0</v>
      </c>
      <c r="AH981">
        <v>0</v>
      </c>
      <c r="AI981">
        <v>6.56</v>
      </c>
      <c r="AJ981">
        <v>1</v>
      </c>
      <c r="AK981">
        <v>1</v>
      </c>
      <c r="AL981">
        <v>1</v>
      </c>
      <c r="AN981">
        <v>0</v>
      </c>
      <c r="AO981">
        <v>0</v>
      </c>
      <c r="AP981">
        <v>0</v>
      </c>
      <c r="AQ981">
        <v>0</v>
      </c>
      <c r="AR981">
        <v>0</v>
      </c>
      <c r="AS981" t="s">
        <v>6</v>
      </c>
      <c r="AT981">
        <v>10</v>
      </c>
      <c r="AU981" t="s">
        <v>6</v>
      </c>
      <c r="AV981">
        <v>0</v>
      </c>
      <c r="AW981">
        <v>1</v>
      </c>
      <c r="AX981">
        <v>-1</v>
      </c>
      <c r="AY981">
        <v>0</v>
      </c>
      <c r="AZ981">
        <v>0</v>
      </c>
      <c r="BA981" t="s">
        <v>6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Y981*Source!I717</f>
        <v>6</v>
      </c>
      <c r="CY981">
        <f t="shared" si="184"/>
        <v>2086.08</v>
      </c>
      <c r="CZ981">
        <f t="shared" si="185"/>
        <v>318</v>
      </c>
      <c r="DA981">
        <f t="shared" si="186"/>
        <v>6.56</v>
      </c>
      <c r="DB981">
        <f t="shared" si="187"/>
        <v>3180</v>
      </c>
      <c r="DC981">
        <f t="shared" si="188"/>
        <v>0</v>
      </c>
    </row>
    <row r="982" spans="1:107" x14ac:dyDescent="0.2">
      <c r="A982">
        <f>ROW(Source!A717)</f>
        <v>717</v>
      </c>
      <c r="B982">
        <v>16742901</v>
      </c>
      <c r="C982">
        <v>16744191</v>
      </c>
      <c r="D982">
        <v>15211966</v>
      </c>
      <c r="E982">
        <v>1</v>
      </c>
      <c r="F982">
        <v>1</v>
      </c>
      <c r="G982">
        <v>1</v>
      </c>
      <c r="H982">
        <v>3</v>
      </c>
      <c r="I982" t="s">
        <v>1139</v>
      </c>
      <c r="J982" t="s">
        <v>1141</v>
      </c>
      <c r="K982" t="s">
        <v>1140</v>
      </c>
      <c r="L982">
        <v>1358</v>
      </c>
      <c r="N982">
        <v>1010</v>
      </c>
      <c r="O982" t="s">
        <v>723</v>
      </c>
      <c r="P982" t="s">
        <v>723</v>
      </c>
      <c r="Q982">
        <v>10</v>
      </c>
      <c r="W982">
        <v>0</v>
      </c>
      <c r="X982">
        <v>-62785007</v>
      </c>
      <c r="Y982">
        <v>1</v>
      </c>
      <c r="AA982">
        <v>1050.9100000000001</v>
      </c>
      <c r="AB982">
        <v>0</v>
      </c>
      <c r="AC982">
        <v>0</v>
      </c>
      <c r="AD982">
        <v>0</v>
      </c>
      <c r="AE982">
        <v>160.19999999999999</v>
      </c>
      <c r="AF982">
        <v>0</v>
      </c>
      <c r="AG982">
        <v>0</v>
      </c>
      <c r="AH982">
        <v>0</v>
      </c>
      <c r="AI982">
        <v>6.56</v>
      </c>
      <c r="AJ982">
        <v>1</v>
      </c>
      <c r="AK982">
        <v>1</v>
      </c>
      <c r="AL982">
        <v>1</v>
      </c>
      <c r="AN982">
        <v>0</v>
      </c>
      <c r="AO982">
        <v>0</v>
      </c>
      <c r="AP982">
        <v>0</v>
      </c>
      <c r="AQ982">
        <v>0</v>
      </c>
      <c r="AR982">
        <v>0</v>
      </c>
      <c r="AS982" t="s">
        <v>6</v>
      </c>
      <c r="AT982">
        <v>1</v>
      </c>
      <c r="AU982" t="s">
        <v>6</v>
      </c>
      <c r="AV982">
        <v>0</v>
      </c>
      <c r="AW982">
        <v>1</v>
      </c>
      <c r="AX982">
        <v>-1</v>
      </c>
      <c r="AY982">
        <v>0</v>
      </c>
      <c r="AZ982">
        <v>0</v>
      </c>
      <c r="BA982" t="s">
        <v>6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Y982*Source!I717</f>
        <v>0.6</v>
      </c>
      <c r="CY982">
        <f t="shared" si="184"/>
        <v>1050.9100000000001</v>
      </c>
      <c r="CZ982">
        <f t="shared" si="185"/>
        <v>160.19999999999999</v>
      </c>
      <c r="DA982">
        <f t="shared" si="186"/>
        <v>6.56</v>
      </c>
      <c r="DB982">
        <f t="shared" si="187"/>
        <v>160.19999999999999</v>
      </c>
      <c r="DC982">
        <f t="shared" si="188"/>
        <v>0</v>
      </c>
    </row>
    <row r="983" spans="1:107" x14ac:dyDescent="0.2">
      <c r="A983">
        <f>ROW(Source!A720)</f>
        <v>720</v>
      </c>
      <c r="B983">
        <v>16742901</v>
      </c>
      <c r="C983">
        <v>16744223</v>
      </c>
      <c r="D983">
        <v>15436556</v>
      </c>
      <c r="E983">
        <v>1</v>
      </c>
      <c r="F983">
        <v>1</v>
      </c>
      <c r="G983">
        <v>1</v>
      </c>
      <c r="H983">
        <v>1</v>
      </c>
      <c r="I983" t="s">
        <v>1490</v>
      </c>
      <c r="J983" t="s">
        <v>6</v>
      </c>
      <c r="K983" t="s">
        <v>1491</v>
      </c>
      <c r="L983">
        <v>1191</v>
      </c>
      <c r="N983">
        <v>1013</v>
      </c>
      <c r="O983" t="s">
        <v>1287</v>
      </c>
      <c r="P983" t="s">
        <v>1287</v>
      </c>
      <c r="Q983">
        <v>1</v>
      </c>
      <c r="W983">
        <v>0</v>
      </c>
      <c r="X983">
        <v>1069510174</v>
      </c>
      <c r="Y983">
        <v>10.085499999999998</v>
      </c>
      <c r="AA983">
        <v>0</v>
      </c>
      <c r="AB983">
        <v>0</v>
      </c>
      <c r="AC983">
        <v>0</v>
      </c>
      <c r="AD983">
        <v>63.11</v>
      </c>
      <c r="AE983">
        <v>0</v>
      </c>
      <c r="AF983">
        <v>0</v>
      </c>
      <c r="AG983">
        <v>0</v>
      </c>
      <c r="AH983">
        <v>9.6199999999999992</v>
      </c>
      <c r="AI983">
        <v>1</v>
      </c>
      <c r="AJ983">
        <v>1</v>
      </c>
      <c r="AK983">
        <v>1</v>
      </c>
      <c r="AL983">
        <v>6.56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6</v>
      </c>
      <c r="AT983">
        <v>8.77</v>
      </c>
      <c r="AU983" t="s">
        <v>188</v>
      </c>
      <c r="AV983">
        <v>1</v>
      </c>
      <c r="AW983">
        <v>2</v>
      </c>
      <c r="AX983">
        <v>16744232</v>
      </c>
      <c r="AY983">
        <v>1</v>
      </c>
      <c r="AZ983">
        <v>0</v>
      </c>
      <c r="BA983">
        <v>927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Y983*Source!I720</f>
        <v>2.0170999999999997</v>
      </c>
      <c r="CY983">
        <f>AD983</f>
        <v>63.11</v>
      </c>
      <c r="CZ983">
        <f>AH983</f>
        <v>9.6199999999999992</v>
      </c>
      <c r="DA983">
        <f>AL983</f>
        <v>6.56</v>
      </c>
      <c r="DB983">
        <f>ROUND((ROUND(AT983*CZ983,2)*1.15),2)</f>
        <v>97.03</v>
      </c>
      <c r="DC983">
        <f>ROUND((ROUND(AT983*AG983,2)*1.15),2)</f>
        <v>0</v>
      </c>
    </row>
    <row r="984" spans="1:107" x14ac:dyDescent="0.2">
      <c r="A984">
        <f>ROW(Source!A720)</f>
        <v>720</v>
      </c>
      <c r="B984">
        <v>16742901</v>
      </c>
      <c r="C984">
        <v>16744223</v>
      </c>
      <c r="D984">
        <v>15430395</v>
      </c>
      <c r="E984">
        <v>1</v>
      </c>
      <c r="F984">
        <v>1</v>
      </c>
      <c r="G984">
        <v>1</v>
      </c>
      <c r="H984">
        <v>1</v>
      </c>
      <c r="I984" t="s">
        <v>1293</v>
      </c>
      <c r="J984" t="s">
        <v>6</v>
      </c>
      <c r="K984" t="s">
        <v>1294</v>
      </c>
      <c r="L984">
        <v>1191</v>
      </c>
      <c r="N984">
        <v>1013</v>
      </c>
      <c r="O984" t="s">
        <v>1287</v>
      </c>
      <c r="P984" t="s">
        <v>1287</v>
      </c>
      <c r="Q984">
        <v>1</v>
      </c>
      <c r="W984">
        <v>0</v>
      </c>
      <c r="X984">
        <v>-1417349443</v>
      </c>
      <c r="Y984">
        <v>0.28999999999999998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1</v>
      </c>
      <c r="AJ984">
        <v>1</v>
      </c>
      <c r="AK984">
        <v>6.56</v>
      </c>
      <c r="AL984">
        <v>1</v>
      </c>
      <c r="AN984">
        <v>0</v>
      </c>
      <c r="AO984">
        <v>1</v>
      </c>
      <c r="AP984">
        <v>0</v>
      </c>
      <c r="AQ984">
        <v>0</v>
      </c>
      <c r="AR984">
        <v>0</v>
      </c>
      <c r="AS984" t="s">
        <v>6</v>
      </c>
      <c r="AT984">
        <v>0.28999999999999998</v>
      </c>
      <c r="AU984" t="s">
        <v>6</v>
      </c>
      <c r="AV984">
        <v>2</v>
      </c>
      <c r="AW984">
        <v>2</v>
      </c>
      <c r="AX984">
        <v>16744233</v>
      </c>
      <c r="AY984">
        <v>1</v>
      </c>
      <c r="AZ984">
        <v>2048</v>
      </c>
      <c r="BA984">
        <v>928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Y984*Source!I720</f>
        <v>5.7999999999999996E-2</v>
      </c>
      <c r="CY984">
        <f>AD984</f>
        <v>0</v>
      </c>
      <c r="CZ984">
        <f>AH984</f>
        <v>0</v>
      </c>
      <c r="DA984">
        <f>AL984</f>
        <v>1</v>
      </c>
      <c r="DB984">
        <f>ROUND(ROUND(AT984*CZ984,2),2)</f>
        <v>0</v>
      </c>
      <c r="DC984">
        <f>ROUND(ROUND(AT984*AG984,2),2)</f>
        <v>0</v>
      </c>
    </row>
    <row r="985" spans="1:107" x14ac:dyDescent="0.2">
      <c r="A985">
        <f>ROW(Source!A720)</f>
        <v>720</v>
      </c>
      <c r="B985">
        <v>16742901</v>
      </c>
      <c r="C985">
        <v>16744223</v>
      </c>
      <c r="D985">
        <v>15247974</v>
      </c>
      <c r="E985">
        <v>1</v>
      </c>
      <c r="F985">
        <v>1</v>
      </c>
      <c r="G985">
        <v>1</v>
      </c>
      <c r="H985">
        <v>2</v>
      </c>
      <c r="I985" t="s">
        <v>1314</v>
      </c>
      <c r="J985" t="s">
        <v>1315</v>
      </c>
      <c r="K985" t="s">
        <v>1316</v>
      </c>
      <c r="L985">
        <v>1368</v>
      </c>
      <c r="N985">
        <v>1011</v>
      </c>
      <c r="O985" t="s">
        <v>1298</v>
      </c>
      <c r="P985" t="s">
        <v>1298</v>
      </c>
      <c r="Q985">
        <v>1</v>
      </c>
      <c r="W985">
        <v>0</v>
      </c>
      <c r="X985">
        <v>1188625873</v>
      </c>
      <c r="Y985">
        <v>0.125</v>
      </c>
      <c r="AA985">
        <v>0</v>
      </c>
      <c r="AB985">
        <v>205.07</v>
      </c>
      <c r="AC985">
        <v>13.5</v>
      </c>
      <c r="AD985">
        <v>0</v>
      </c>
      <c r="AE985">
        <v>0</v>
      </c>
      <c r="AF985">
        <v>31.26</v>
      </c>
      <c r="AG985">
        <v>13.5</v>
      </c>
      <c r="AH985">
        <v>0</v>
      </c>
      <c r="AI985">
        <v>1</v>
      </c>
      <c r="AJ985">
        <v>6.56</v>
      </c>
      <c r="AK985">
        <v>1</v>
      </c>
      <c r="AL985">
        <v>1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6</v>
      </c>
      <c r="AT985">
        <v>0.1</v>
      </c>
      <c r="AU985" t="s">
        <v>187</v>
      </c>
      <c r="AV985">
        <v>0</v>
      </c>
      <c r="AW985">
        <v>2</v>
      </c>
      <c r="AX985">
        <v>16744234</v>
      </c>
      <c r="AY985">
        <v>1</v>
      </c>
      <c r="AZ985">
        <v>0</v>
      </c>
      <c r="BA985">
        <v>929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Y985*Source!I720</f>
        <v>2.5000000000000001E-2</v>
      </c>
      <c r="CY985">
        <f>AB985</f>
        <v>205.07</v>
      </c>
      <c r="CZ985">
        <f>AF985</f>
        <v>31.26</v>
      </c>
      <c r="DA985">
        <f>AJ985</f>
        <v>6.56</v>
      </c>
      <c r="DB985">
        <f>ROUND((ROUND(AT985*CZ985,2)*1.25),2)</f>
        <v>3.91</v>
      </c>
      <c r="DC985">
        <f>ROUND((ROUND(AT985*AG985,2)*1.25),2)</f>
        <v>1.69</v>
      </c>
    </row>
    <row r="986" spans="1:107" x14ac:dyDescent="0.2">
      <c r="A986">
        <f>ROW(Source!A720)</f>
        <v>720</v>
      </c>
      <c r="B986">
        <v>16742901</v>
      </c>
      <c r="C986">
        <v>16744223</v>
      </c>
      <c r="D986">
        <v>15249073</v>
      </c>
      <c r="E986">
        <v>1</v>
      </c>
      <c r="F986">
        <v>1</v>
      </c>
      <c r="G986">
        <v>1</v>
      </c>
      <c r="H986">
        <v>2</v>
      </c>
      <c r="I986" t="s">
        <v>1299</v>
      </c>
      <c r="J986" t="s">
        <v>1300</v>
      </c>
      <c r="K986" t="s">
        <v>1301</v>
      </c>
      <c r="L986">
        <v>1368</v>
      </c>
      <c r="N986">
        <v>1011</v>
      </c>
      <c r="O986" t="s">
        <v>1298</v>
      </c>
      <c r="P986" t="s">
        <v>1298</v>
      </c>
      <c r="Q986">
        <v>1</v>
      </c>
      <c r="W986">
        <v>0</v>
      </c>
      <c r="X986">
        <v>1372534845</v>
      </c>
      <c r="Y986">
        <v>0.23749999999999999</v>
      </c>
      <c r="AA986">
        <v>0</v>
      </c>
      <c r="AB986">
        <v>431.06</v>
      </c>
      <c r="AC986">
        <v>11.6</v>
      </c>
      <c r="AD986">
        <v>0</v>
      </c>
      <c r="AE986">
        <v>0</v>
      </c>
      <c r="AF986">
        <v>65.709999999999994</v>
      </c>
      <c r="AG986">
        <v>11.6</v>
      </c>
      <c r="AH986">
        <v>0</v>
      </c>
      <c r="AI986">
        <v>1</v>
      </c>
      <c r="AJ986">
        <v>6.56</v>
      </c>
      <c r="AK986">
        <v>1</v>
      </c>
      <c r="AL986">
        <v>1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6</v>
      </c>
      <c r="AT986">
        <v>0.19</v>
      </c>
      <c r="AU986" t="s">
        <v>187</v>
      </c>
      <c r="AV986">
        <v>0</v>
      </c>
      <c r="AW986">
        <v>2</v>
      </c>
      <c r="AX986">
        <v>16744235</v>
      </c>
      <c r="AY986">
        <v>1</v>
      </c>
      <c r="AZ986">
        <v>0</v>
      </c>
      <c r="BA986">
        <v>930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Y986*Source!I720</f>
        <v>4.7500000000000001E-2</v>
      </c>
      <c r="CY986">
        <f>AB986</f>
        <v>431.06</v>
      </c>
      <c r="CZ986">
        <f>AF986</f>
        <v>65.709999999999994</v>
      </c>
      <c r="DA986">
        <f>AJ986</f>
        <v>6.56</v>
      </c>
      <c r="DB986">
        <f>ROUND((ROUND(AT986*CZ986,2)*1.25),2)</f>
        <v>15.6</v>
      </c>
      <c r="DC986">
        <f>ROUND((ROUND(AT986*AG986,2)*1.25),2)</f>
        <v>2.75</v>
      </c>
    </row>
    <row r="987" spans="1:107" x14ac:dyDescent="0.2">
      <c r="A987">
        <f>ROW(Source!A720)</f>
        <v>720</v>
      </c>
      <c r="B987">
        <v>16742901</v>
      </c>
      <c r="C987">
        <v>16744223</v>
      </c>
      <c r="D987">
        <v>15167955</v>
      </c>
      <c r="E987">
        <v>1</v>
      </c>
      <c r="F987">
        <v>1</v>
      </c>
      <c r="G987">
        <v>1</v>
      </c>
      <c r="H987">
        <v>3</v>
      </c>
      <c r="I987" t="s">
        <v>1825</v>
      </c>
      <c r="J987" t="s">
        <v>1826</v>
      </c>
      <c r="K987" t="s">
        <v>1827</v>
      </c>
      <c r="L987">
        <v>1348</v>
      </c>
      <c r="N987">
        <v>1009</v>
      </c>
      <c r="O987" t="s">
        <v>100</v>
      </c>
      <c r="P987" t="s">
        <v>100</v>
      </c>
      <c r="Q987">
        <v>1000</v>
      </c>
      <c r="W987">
        <v>0</v>
      </c>
      <c r="X987">
        <v>-1699345571</v>
      </c>
      <c r="Y987">
        <v>1.1999999999999999E-3</v>
      </c>
      <c r="AA987">
        <v>196996.8</v>
      </c>
      <c r="AB987">
        <v>0</v>
      </c>
      <c r="AC987">
        <v>0</v>
      </c>
      <c r="AD987">
        <v>0</v>
      </c>
      <c r="AE987">
        <v>30030</v>
      </c>
      <c r="AF987">
        <v>0</v>
      </c>
      <c r="AG987">
        <v>0</v>
      </c>
      <c r="AH987">
        <v>0</v>
      </c>
      <c r="AI987">
        <v>6.56</v>
      </c>
      <c r="AJ987">
        <v>1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6</v>
      </c>
      <c r="AT987">
        <v>1.1999999999999999E-3</v>
      </c>
      <c r="AU987" t="s">
        <v>6</v>
      </c>
      <c r="AV987">
        <v>0</v>
      </c>
      <c r="AW987">
        <v>2</v>
      </c>
      <c r="AX987">
        <v>16744236</v>
      </c>
      <c r="AY987">
        <v>1</v>
      </c>
      <c r="AZ987">
        <v>0</v>
      </c>
      <c r="BA987">
        <v>931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Y987*Source!I720</f>
        <v>2.3999999999999998E-4</v>
      </c>
      <c r="CY987">
        <f>AA987</f>
        <v>196996.8</v>
      </c>
      <c r="CZ987">
        <f>AE987</f>
        <v>30030</v>
      </c>
      <c r="DA987">
        <f>AI987</f>
        <v>6.56</v>
      </c>
      <c r="DB987">
        <f>ROUND(ROUND(AT987*CZ987,2),2)</f>
        <v>36.04</v>
      </c>
      <c r="DC987">
        <f>ROUND(ROUND(AT987*AG987,2),2)</f>
        <v>0</v>
      </c>
    </row>
    <row r="988" spans="1:107" x14ac:dyDescent="0.2">
      <c r="A988">
        <f>ROW(Source!A720)</f>
        <v>720</v>
      </c>
      <c r="B988">
        <v>16742901</v>
      </c>
      <c r="C988">
        <v>16744223</v>
      </c>
      <c r="D988">
        <v>15172117</v>
      </c>
      <c r="E988">
        <v>1</v>
      </c>
      <c r="F988">
        <v>1</v>
      </c>
      <c r="G988">
        <v>1</v>
      </c>
      <c r="H988">
        <v>3</v>
      </c>
      <c r="I988" t="s">
        <v>1828</v>
      </c>
      <c r="J988" t="s">
        <v>1829</v>
      </c>
      <c r="K988" t="s">
        <v>1830</v>
      </c>
      <c r="L988">
        <v>1348</v>
      </c>
      <c r="N988">
        <v>1009</v>
      </c>
      <c r="O988" t="s">
        <v>100</v>
      </c>
      <c r="P988" t="s">
        <v>100</v>
      </c>
      <c r="Q988">
        <v>1000</v>
      </c>
      <c r="W988">
        <v>0</v>
      </c>
      <c r="X988">
        <v>1529337430</v>
      </c>
      <c r="Y988">
        <v>3.2000000000000002E-3</v>
      </c>
      <c r="AA988">
        <v>12044.16</v>
      </c>
      <c r="AB988">
        <v>0</v>
      </c>
      <c r="AC988">
        <v>0</v>
      </c>
      <c r="AD988">
        <v>0</v>
      </c>
      <c r="AE988">
        <v>1836</v>
      </c>
      <c r="AF988">
        <v>0</v>
      </c>
      <c r="AG988">
        <v>0</v>
      </c>
      <c r="AH988">
        <v>0</v>
      </c>
      <c r="AI988">
        <v>6.56</v>
      </c>
      <c r="AJ988">
        <v>1</v>
      </c>
      <c r="AK988">
        <v>1</v>
      </c>
      <c r="AL988">
        <v>1</v>
      </c>
      <c r="AN988">
        <v>0</v>
      </c>
      <c r="AO988">
        <v>1</v>
      </c>
      <c r="AP988">
        <v>0</v>
      </c>
      <c r="AQ988">
        <v>0</v>
      </c>
      <c r="AR988">
        <v>0</v>
      </c>
      <c r="AS988" t="s">
        <v>6</v>
      </c>
      <c r="AT988">
        <v>3.2000000000000002E-3</v>
      </c>
      <c r="AU988" t="s">
        <v>6</v>
      </c>
      <c r="AV988">
        <v>0</v>
      </c>
      <c r="AW988">
        <v>2</v>
      </c>
      <c r="AX988">
        <v>16744237</v>
      </c>
      <c r="AY988">
        <v>1</v>
      </c>
      <c r="AZ988">
        <v>0</v>
      </c>
      <c r="BA988">
        <v>932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Y988*Source!I720</f>
        <v>6.4000000000000005E-4</v>
      </c>
      <c r="CY988">
        <f>AA988</f>
        <v>12044.16</v>
      </c>
      <c r="CZ988">
        <f>AE988</f>
        <v>1836</v>
      </c>
      <c r="DA988">
        <f>AI988</f>
        <v>6.56</v>
      </c>
      <c r="DB988">
        <f>ROUND(ROUND(AT988*CZ988,2),2)</f>
        <v>5.88</v>
      </c>
      <c r="DC988">
        <f>ROUND(ROUND(AT988*AG988,2),2)</f>
        <v>0</v>
      </c>
    </row>
    <row r="989" spans="1:107" x14ac:dyDescent="0.2">
      <c r="A989">
        <f>ROW(Source!A720)</f>
        <v>720</v>
      </c>
      <c r="B989">
        <v>16742901</v>
      </c>
      <c r="C989">
        <v>16744223</v>
      </c>
      <c r="D989">
        <v>15211983</v>
      </c>
      <c r="E989">
        <v>1</v>
      </c>
      <c r="F989">
        <v>1</v>
      </c>
      <c r="G989">
        <v>1</v>
      </c>
      <c r="H989">
        <v>3</v>
      </c>
      <c r="I989" t="s">
        <v>1176</v>
      </c>
      <c r="J989" t="s">
        <v>1178</v>
      </c>
      <c r="K989" t="s">
        <v>1177</v>
      </c>
      <c r="L989">
        <v>1354</v>
      </c>
      <c r="N989">
        <v>1010</v>
      </c>
      <c r="O989" t="s">
        <v>73</v>
      </c>
      <c r="P989" t="s">
        <v>73</v>
      </c>
      <c r="Q989">
        <v>1</v>
      </c>
      <c r="W989">
        <v>0</v>
      </c>
      <c r="X989">
        <v>-93666246</v>
      </c>
      <c r="Y989">
        <v>10</v>
      </c>
      <c r="AA989">
        <v>1979.15</v>
      </c>
      <c r="AB989">
        <v>0</v>
      </c>
      <c r="AC989">
        <v>0</v>
      </c>
      <c r="AD989">
        <v>0</v>
      </c>
      <c r="AE989">
        <v>301.7</v>
      </c>
      <c r="AF989">
        <v>0</v>
      </c>
      <c r="AG989">
        <v>0</v>
      </c>
      <c r="AH989">
        <v>0</v>
      </c>
      <c r="AI989">
        <v>6.56</v>
      </c>
      <c r="AJ989">
        <v>1</v>
      </c>
      <c r="AK989">
        <v>1</v>
      </c>
      <c r="AL989">
        <v>1</v>
      </c>
      <c r="AN989">
        <v>0</v>
      </c>
      <c r="AO989">
        <v>0</v>
      </c>
      <c r="AP989">
        <v>0</v>
      </c>
      <c r="AQ989">
        <v>0</v>
      </c>
      <c r="AR989">
        <v>0</v>
      </c>
      <c r="AS989" t="s">
        <v>6</v>
      </c>
      <c r="AT989">
        <v>10</v>
      </c>
      <c r="AU989" t="s">
        <v>6</v>
      </c>
      <c r="AV989">
        <v>0</v>
      </c>
      <c r="AW989">
        <v>1</v>
      </c>
      <c r="AX989">
        <v>-1</v>
      </c>
      <c r="AY989">
        <v>0</v>
      </c>
      <c r="AZ989">
        <v>0</v>
      </c>
      <c r="BA989" t="s">
        <v>6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Y989*Source!I720</f>
        <v>2</v>
      </c>
      <c r="CY989">
        <f>AA989</f>
        <v>1979.15</v>
      </c>
      <c r="CZ989">
        <f>AE989</f>
        <v>301.7</v>
      </c>
      <c r="DA989">
        <f>AI989</f>
        <v>6.56</v>
      </c>
      <c r="DB989">
        <f>ROUND(ROUND(AT989*CZ989,2),2)</f>
        <v>3017</v>
      </c>
      <c r="DC989">
        <f>ROUND(ROUND(AT989*AG989,2),2)</f>
        <v>0</v>
      </c>
    </row>
    <row r="990" spans="1:107" x14ac:dyDescent="0.2">
      <c r="A990">
        <f>ROW(Source!A722)</f>
        <v>722</v>
      </c>
      <c r="B990">
        <v>16742901</v>
      </c>
      <c r="C990">
        <v>16744240</v>
      </c>
      <c r="D990">
        <v>15446300</v>
      </c>
      <c r="E990">
        <v>1</v>
      </c>
      <c r="F990">
        <v>1</v>
      </c>
      <c r="G990">
        <v>1</v>
      </c>
      <c r="H990">
        <v>1</v>
      </c>
      <c r="I990" t="s">
        <v>1437</v>
      </c>
      <c r="J990" t="s">
        <v>6</v>
      </c>
      <c r="K990" t="s">
        <v>1438</v>
      </c>
      <c r="L990">
        <v>1191</v>
      </c>
      <c r="N990">
        <v>1013</v>
      </c>
      <c r="O990" t="s">
        <v>1287</v>
      </c>
      <c r="P990" t="s">
        <v>1287</v>
      </c>
      <c r="Q990">
        <v>1</v>
      </c>
      <c r="W990">
        <v>0</v>
      </c>
      <c r="X990">
        <v>912892513</v>
      </c>
      <c r="Y990">
        <v>70.839999999999989</v>
      </c>
      <c r="AA990">
        <v>0</v>
      </c>
      <c r="AB990">
        <v>0</v>
      </c>
      <c r="AC990">
        <v>0</v>
      </c>
      <c r="AD990">
        <v>65.08</v>
      </c>
      <c r="AE990">
        <v>0</v>
      </c>
      <c r="AF990">
        <v>0</v>
      </c>
      <c r="AG990">
        <v>0</v>
      </c>
      <c r="AH990">
        <v>9.92</v>
      </c>
      <c r="AI990">
        <v>1</v>
      </c>
      <c r="AJ990">
        <v>1</v>
      </c>
      <c r="AK990">
        <v>1</v>
      </c>
      <c r="AL990">
        <v>6.56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6</v>
      </c>
      <c r="AT990">
        <v>61.6</v>
      </c>
      <c r="AU990" t="s">
        <v>188</v>
      </c>
      <c r="AV990">
        <v>1</v>
      </c>
      <c r="AW990">
        <v>2</v>
      </c>
      <c r="AX990">
        <v>16744251</v>
      </c>
      <c r="AY990">
        <v>1</v>
      </c>
      <c r="AZ990">
        <v>0</v>
      </c>
      <c r="BA990">
        <v>934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Y990*Source!I722</f>
        <v>27.627599999999997</v>
      </c>
      <c r="CY990">
        <f>AD990</f>
        <v>65.08</v>
      </c>
      <c r="CZ990">
        <f>AH990</f>
        <v>9.92</v>
      </c>
      <c r="DA990">
        <f>AL990</f>
        <v>6.56</v>
      </c>
      <c r="DB990">
        <f>ROUND((ROUND(AT990*CZ990,2)*1.15),2)</f>
        <v>702.73</v>
      </c>
      <c r="DC990">
        <f>ROUND((ROUND(AT990*AG990,2)*1.15),2)</f>
        <v>0</v>
      </c>
    </row>
    <row r="991" spans="1:107" x14ac:dyDescent="0.2">
      <c r="A991">
        <f>ROW(Source!A722)</f>
        <v>722</v>
      </c>
      <c r="B991">
        <v>16742901</v>
      </c>
      <c r="C991">
        <v>16744240</v>
      </c>
      <c r="D991">
        <v>15430395</v>
      </c>
      <c r="E991">
        <v>1</v>
      </c>
      <c r="F991">
        <v>1</v>
      </c>
      <c r="G991">
        <v>1</v>
      </c>
      <c r="H991">
        <v>1</v>
      </c>
      <c r="I991" t="s">
        <v>1293</v>
      </c>
      <c r="J991" t="s">
        <v>6</v>
      </c>
      <c r="K991" t="s">
        <v>1294</v>
      </c>
      <c r="L991">
        <v>1191</v>
      </c>
      <c r="N991">
        <v>1013</v>
      </c>
      <c r="O991" t="s">
        <v>1287</v>
      </c>
      <c r="P991" t="s">
        <v>1287</v>
      </c>
      <c r="Q991">
        <v>1</v>
      </c>
      <c r="W991">
        <v>0</v>
      </c>
      <c r="X991">
        <v>-1417349443</v>
      </c>
      <c r="Y991">
        <v>7.0000000000000007E-2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1</v>
      </c>
      <c r="AJ991">
        <v>1</v>
      </c>
      <c r="AK991">
        <v>6.56</v>
      </c>
      <c r="AL991">
        <v>1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6</v>
      </c>
      <c r="AT991">
        <v>7.0000000000000007E-2</v>
      </c>
      <c r="AU991" t="s">
        <v>6</v>
      </c>
      <c r="AV991">
        <v>2</v>
      </c>
      <c r="AW991">
        <v>2</v>
      </c>
      <c r="AX991">
        <v>16744252</v>
      </c>
      <c r="AY991">
        <v>1</v>
      </c>
      <c r="AZ991">
        <v>2048</v>
      </c>
      <c r="BA991">
        <v>935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Y991*Source!I722</f>
        <v>2.7300000000000005E-2</v>
      </c>
      <c r="CY991">
        <f>AD991</f>
        <v>0</v>
      </c>
      <c r="CZ991">
        <f>AH991</f>
        <v>0</v>
      </c>
      <c r="DA991">
        <f>AL991</f>
        <v>1</v>
      </c>
      <c r="DB991">
        <f>ROUND(ROUND(AT991*CZ991,2),2)</f>
        <v>0</v>
      </c>
      <c r="DC991">
        <f>ROUND(ROUND(AT991*AG991,2),2)</f>
        <v>0</v>
      </c>
    </row>
    <row r="992" spans="1:107" x14ac:dyDescent="0.2">
      <c r="A992">
        <f>ROW(Source!A722)</f>
        <v>722</v>
      </c>
      <c r="B992">
        <v>16742901</v>
      </c>
      <c r="C992">
        <v>16744240</v>
      </c>
      <c r="D992">
        <v>15247578</v>
      </c>
      <c r="E992">
        <v>1</v>
      </c>
      <c r="F992">
        <v>1</v>
      </c>
      <c r="G992">
        <v>1</v>
      </c>
      <c r="H992">
        <v>2</v>
      </c>
      <c r="I992" t="s">
        <v>1408</v>
      </c>
      <c r="J992" t="s">
        <v>1409</v>
      </c>
      <c r="K992" t="s">
        <v>1410</v>
      </c>
      <c r="L992">
        <v>1368</v>
      </c>
      <c r="N992">
        <v>1011</v>
      </c>
      <c r="O992" t="s">
        <v>1298</v>
      </c>
      <c r="P992" t="s">
        <v>1298</v>
      </c>
      <c r="Q992">
        <v>1</v>
      </c>
      <c r="W992">
        <v>0</v>
      </c>
      <c r="X992">
        <v>-1460065968</v>
      </c>
      <c r="Y992">
        <v>3.7499999999999999E-2</v>
      </c>
      <c r="AA992">
        <v>0</v>
      </c>
      <c r="AB992">
        <v>566.78</v>
      </c>
      <c r="AC992">
        <v>13.5</v>
      </c>
      <c r="AD992">
        <v>0</v>
      </c>
      <c r="AE992">
        <v>0</v>
      </c>
      <c r="AF992">
        <v>86.4</v>
      </c>
      <c r="AG992">
        <v>13.5</v>
      </c>
      <c r="AH992">
        <v>0</v>
      </c>
      <c r="AI992">
        <v>1</v>
      </c>
      <c r="AJ992">
        <v>6.56</v>
      </c>
      <c r="AK992">
        <v>1</v>
      </c>
      <c r="AL992">
        <v>1</v>
      </c>
      <c r="AN992">
        <v>0</v>
      </c>
      <c r="AO992">
        <v>1</v>
      </c>
      <c r="AP992">
        <v>1</v>
      </c>
      <c r="AQ992">
        <v>0</v>
      </c>
      <c r="AR992">
        <v>0</v>
      </c>
      <c r="AS992" t="s">
        <v>6</v>
      </c>
      <c r="AT992">
        <v>0.03</v>
      </c>
      <c r="AU992" t="s">
        <v>187</v>
      </c>
      <c r="AV992">
        <v>0</v>
      </c>
      <c r="AW992">
        <v>2</v>
      </c>
      <c r="AX992">
        <v>16744253</v>
      </c>
      <c r="AY992">
        <v>1</v>
      </c>
      <c r="AZ992">
        <v>0</v>
      </c>
      <c r="BA992">
        <v>936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Y992*Source!I722</f>
        <v>1.4624999999999999E-2</v>
      </c>
      <c r="CY992">
        <f>AB992</f>
        <v>566.78</v>
      </c>
      <c r="CZ992">
        <f>AF992</f>
        <v>86.4</v>
      </c>
      <c r="DA992">
        <f>AJ992</f>
        <v>6.56</v>
      </c>
      <c r="DB992">
        <f>ROUND((ROUND(AT992*CZ992,2)*1.25),2)</f>
        <v>3.24</v>
      </c>
      <c r="DC992">
        <f>ROUND((ROUND(AT992*AG992,2)*1.25),2)</f>
        <v>0.51</v>
      </c>
    </row>
    <row r="993" spans="1:107" x14ac:dyDescent="0.2">
      <c r="A993">
        <f>ROW(Source!A722)</f>
        <v>722</v>
      </c>
      <c r="B993">
        <v>16742901</v>
      </c>
      <c r="C993">
        <v>16744240</v>
      </c>
      <c r="D993">
        <v>15247680</v>
      </c>
      <c r="E993">
        <v>1</v>
      </c>
      <c r="F993">
        <v>1</v>
      </c>
      <c r="G993">
        <v>1</v>
      </c>
      <c r="H993">
        <v>2</v>
      </c>
      <c r="I993" t="s">
        <v>1295</v>
      </c>
      <c r="J993" t="s">
        <v>1296</v>
      </c>
      <c r="K993" t="s">
        <v>1297</v>
      </c>
      <c r="L993">
        <v>1368</v>
      </c>
      <c r="N993">
        <v>1011</v>
      </c>
      <c r="O993" t="s">
        <v>1298</v>
      </c>
      <c r="P993" t="s">
        <v>1298</v>
      </c>
      <c r="Q993">
        <v>1</v>
      </c>
      <c r="W993">
        <v>0</v>
      </c>
      <c r="X993">
        <v>-1718674368</v>
      </c>
      <c r="Y993">
        <v>2.5000000000000001E-2</v>
      </c>
      <c r="AA993">
        <v>0</v>
      </c>
      <c r="AB993">
        <v>734.65</v>
      </c>
      <c r="AC993">
        <v>13.5</v>
      </c>
      <c r="AD993">
        <v>0</v>
      </c>
      <c r="AE993">
        <v>0</v>
      </c>
      <c r="AF993">
        <v>111.99</v>
      </c>
      <c r="AG993">
        <v>13.5</v>
      </c>
      <c r="AH993">
        <v>0</v>
      </c>
      <c r="AI993">
        <v>1</v>
      </c>
      <c r="AJ993">
        <v>6.56</v>
      </c>
      <c r="AK993">
        <v>1</v>
      </c>
      <c r="AL993">
        <v>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6</v>
      </c>
      <c r="AT993">
        <v>0.02</v>
      </c>
      <c r="AU993" t="s">
        <v>187</v>
      </c>
      <c r="AV993">
        <v>0</v>
      </c>
      <c r="AW993">
        <v>2</v>
      </c>
      <c r="AX993">
        <v>16744254</v>
      </c>
      <c r="AY993">
        <v>1</v>
      </c>
      <c r="AZ993">
        <v>0</v>
      </c>
      <c r="BA993">
        <v>937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Y993*Source!I722</f>
        <v>9.7500000000000017E-3</v>
      </c>
      <c r="CY993">
        <f>AB993</f>
        <v>734.65</v>
      </c>
      <c r="CZ993">
        <f>AF993</f>
        <v>111.99</v>
      </c>
      <c r="DA993">
        <f>AJ993</f>
        <v>6.56</v>
      </c>
      <c r="DB993">
        <f>ROUND((ROUND(AT993*CZ993,2)*1.25),2)</f>
        <v>2.8</v>
      </c>
      <c r="DC993">
        <f>ROUND((ROUND(AT993*AG993,2)*1.25),2)</f>
        <v>0.34</v>
      </c>
    </row>
    <row r="994" spans="1:107" x14ac:dyDescent="0.2">
      <c r="A994">
        <f>ROW(Source!A722)</f>
        <v>722</v>
      </c>
      <c r="B994">
        <v>16742901</v>
      </c>
      <c r="C994">
        <v>16744240</v>
      </c>
      <c r="D994">
        <v>15249073</v>
      </c>
      <c r="E994">
        <v>1</v>
      </c>
      <c r="F994">
        <v>1</v>
      </c>
      <c r="G994">
        <v>1</v>
      </c>
      <c r="H994">
        <v>2</v>
      </c>
      <c r="I994" t="s">
        <v>1299</v>
      </c>
      <c r="J994" t="s">
        <v>1300</v>
      </c>
      <c r="K994" t="s">
        <v>1301</v>
      </c>
      <c r="L994">
        <v>1368</v>
      </c>
      <c r="N994">
        <v>1011</v>
      </c>
      <c r="O994" t="s">
        <v>1298</v>
      </c>
      <c r="P994" t="s">
        <v>1298</v>
      </c>
      <c r="Q994">
        <v>1</v>
      </c>
      <c r="W994">
        <v>0</v>
      </c>
      <c r="X994">
        <v>1372534845</v>
      </c>
      <c r="Y994">
        <v>2.5000000000000001E-2</v>
      </c>
      <c r="AA994">
        <v>0</v>
      </c>
      <c r="AB994">
        <v>431.06</v>
      </c>
      <c r="AC994">
        <v>11.6</v>
      </c>
      <c r="AD994">
        <v>0</v>
      </c>
      <c r="AE994">
        <v>0</v>
      </c>
      <c r="AF994">
        <v>65.709999999999994</v>
      </c>
      <c r="AG994">
        <v>11.6</v>
      </c>
      <c r="AH994">
        <v>0</v>
      </c>
      <c r="AI994">
        <v>1</v>
      </c>
      <c r="AJ994">
        <v>6.56</v>
      </c>
      <c r="AK994">
        <v>1</v>
      </c>
      <c r="AL994">
        <v>1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6</v>
      </c>
      <c r="AT994">
        <v>0.02</v>
      </c>
      <c r="AU994" t="s">
        <v>187</v>
      </c>
      <c r="AV994">
        <v>0</v>
      </c>
      <c r="AW994">
        <v>2</v>
      </c>
      <c r="AX994">
        <v>16744255</v>
      </c>
      <c r="AY994">
        <v>1</v>
      </c>
      <c r="AZ994">
        <v>0</v>
      </c>
      <c r="BA994">
        <v>938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Y994*Source!I722</f>
        <v>9.7500000000000017E-3</v>
      </c>
      <c r="CY994">
        <f>AB994</f>
        <v>431.06</v>
      </c>
      <c r="CZ994">
        <f>AF994</f>
        <v>65.709999999999994</v>
      </c>
      <c r="DA994">
        <f>AJ994</f>
        <v>6.56</v>
      </c>
      <c r="DB994">
        <f>ROUND((ROUND(AT994*CZ994,2)*1.25),2)</f>
        <v>1.64</v>
      </c>
      <c r="DC994">
        <f>ROUND((ROUND(AT994*AG994,2)*1.25),2)</f>
        <v>0.28999999999999998</v>
      </c>
    </row>
    <row r="995" spans="1:107" x14ac:dyDescent="0.2">
      <c r="A995">
        <f>ROW(Source!A722)</f>
        <v>722</v>
      </c>
      <c r="B995">
        <v>16742901</v>
      </c>
      <c r="C995">
        <v>16744240</v>
      </c>
      <c r="D995">
        <v>15167286</v>
      </c>
      <c r="E995">
        <v>1</v>
      </c>
      <c r="F995">
        <v>1</v>
      </c>
      <c r="G995">
        <v>1</v>
      </c>
      <c r="H995">
        <v>3</v>
      </c>
      <c r="I995" t="s">
        <v>1317</v>
      </c>
      <c r="J995" t="s">
        <v>1318</v>
      </c>
      <c r="K995" t="s">
        <v>1319</v>
      </c>
      <c r="L995">
        <v>1339</v>
      </c>
      <c r="N995">
        <v>1007</v>
      </c>
      <c r="O995" t="s">
        <v>301</v>
      </c>
      <c r="P995" t="s">
        <v>301</v>
      </c>
      <c r="Q995">
        <v>1</v>
      </c>
      <c r="W995">
        <v>0</v>
      </c>
      <c r="X995">
        <v>-1660354250</v>
      </c>
      <c r="Y995">
        <v>1.57</v>
      </c>
      <c r="AA995">
        <v>16.010000000000002</v>
      </c>
      <c r="AB995">
        <v>0</v>
      </c>
      <c r="AC995">
        <v>0</v>
      </c>
      <c r="AD995">
        <v>0</v>
      </c>
      <c r="AE995">
        <v>2.44</v>
      </c>
      <c r="AF995">
        <v>0</v>
      </c>
      <c r="AG995">
        <v>0</v>
      </c>
      <c r="AH995">
        <v>0</v>
      </c>
      <c r="AI995">
        <v>6.56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6</v>
      </c>
      <c r="AT995">
        <v>1.57</v>
      </c>
      <c r="AU995" t="s">
        <v>6</v>
      </c>
      <c r="AV995">
        <v>0</v>
      </c>
      <c r="AW995">
        <v>2</v>
      </c>
      <c r="AX995">
        <v>16744256</v>
      </c>
      <c r="AY995">
        <v>1</v>
      </c>
      <c r="AZ995">
        <v>0</v>
      </c>
      <c r="BA995">
        <v>939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Y995*Source!I722</f>
        <v>0.61230000000000007</v>
      </c>
      <c r="CY995">
        <f>AA995</f>
        <v>16.010000000000002</v>
      </c>
      <c r="CZ995">
        <f>AE995</f>
        <v>2.44</v>
      </c>
      <c r="DA995">
        <f>AI995</f>
        <v>6.56</v>
      </c>
      <c r="DB995">
        <f>ROUND(ROUND(AT995*CZ995,2),2)</f>
        <v>3.83</v>
      </c>
      <c r="DC995">
        <f>ROUND(ROUND(AT995*AG995,2),2)</f>
        <v>0</v>
      </c>
    </row>
    <row r="996" spans="1:107" x14ac:dyDescent="0.2">
      <c r="A996">
        <f>ROW(Source!A722)</f>
        <v>722</v>
      </c>
      <c r="B996">
        <v>16742901</v>
      </c>
      <c r="C996">
        <v>16744240</v>
      </c>
      <c r="D996">
        <v>15169924</v>
      </c>
      <c r="E996">
        <v>1</v>
      </c>
      <c r="F996">
        <v>1</v>
      </c>
      <c r="G996">
        <v>1</v>
      </c>
      <c r="H996">
        <v>3</v>
      </c>
      <c r="I996" t="s">
        <v>1840</v>
      </c>
      <c r="J996" t="s">
        <v>1841</v>
      </c>
      <c r="K996" t="s">
        <v>1842</v>
      </c>
      <c r="L996">
        <v>1348</v>
      </c>
      <c r="N996">
        <v>1009</v>
      </c>
      <c r="O996" t="s">
        <v>100</v>
      </c>
      <c r="P996" t="s">
        <v>100</v>
      </c>
      <c r="Q996">
        <v>1000</v>
      </c>
      <c r="W996">
        <v>0</v>
      </c>
      <c r="X996">
        <v>-405065451</v>
      </c>
      <c r="Y996">
        <v>2.66E-3</v>
      </c>
      <c r="AA996">
        <v>97284.800000000003</v>
      </c>
      <c r="AB996">
        <v>0</v>
      </c>
      <c r="AC996">
        <v>0</v>
      </c>
      <c r="AD996">
        <v>0</v>
      </c>
      <c r="AE996">
        <v>14830</v>
      </c>
      <c r="AF996">
        <v>0</v>
      </c>
      <c r="AG996">
        <v>0</v>
      </c>
      <c r="AH996">
        <v>0</v>
      </c>
      <c r="AI996">
        <v>6.56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6</v>
      </c>
      <c r="AT996">
        <v>2.66E-3</v>
      </c>
      <c r="AU996" t="s">
        <v>6</v>
      </c>
      <c r="AV996">
        <v>0</v>
      </c>
      <c r="AW996">
        <v>2</v>
      </c>
      <c r="AX996">
        <v>16744257</v>
      </c>
      <c r="AY996">
        <v>1</v>
      </c>
      <c r="AZ996">
        <v>0</v>
      </c>
      <c r="BA996">
        <v>940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Y996*Source!I722</f>
        <v>1.0374E-3</v>
      </c>
      <c r="CY996">
        <f>AA996</f>
        <v>97284.800000000003</v>
      </c>
      <c r="CZ996">
        <f>AE996</f>
        <v>14830</v>
      </c>
      <c r="DA996">
        <f>AI996</f>
        <v>6.56</v>
      </c>
      <c r="DB996">
        <f>ROUND(ROUND(AT996*CZ996,2),2)</f>
        <v>39.450000000000003</v>
      </c>
      <c r="DC996">
        <f>ROUND(ROUND(AT996*AG996,2),2)</f>
        <v>0</v>
      </c>
    </row>
    <row r="997" spans="1:107" x14ac:dyDescent="0.2">
      <c r="A997">
        <f>ROW(Source!A722)</f>
        <v>722</v>
      </c>
      <c r="B997">
        <v>16742901</v>
      </c>
      <c r="C997">
        <v>16744240</v>
      </c>
      <c r="D997">
        <v>15170781</v>
      </c>
      <c r="E997">
        <v>1</v>
      </c>
      <c r="F997">
        <v>1</v>
      </c>
      <c r="G997">
        <v>1</v>
      </c>
      <c r="H997">
        <v>3</v>
      </c>
      <c r="I997" t="s">
        <v>1843</v>
      </c>
      <c r="J997" t="s">
        <v>1844</v>
      </c>
      <c r="K997" t="s">
        <v>1845</v>
      </c>
      <c r="L997">
        <v>1346</v>
      </c>
      <c r="N997">
        <v>1009</v>
      </c>
      <c r="O997" t="s">
        <v>341</v>
      </c>
      <c r="P997" t="s">
        <v>341</v>
      </c>
      <c r="Q997">
        <v>1</v>
      </c>
      <c r="W997">
        <v>0</v>
      </c>
      <c r="X997">
        <v>1537401615</v>
      </c>
      <c r="Y997">
        <v>4</v>
      </c>
      <c r="AA997">
        <v>160.13</v>
      </c>
      <c r="AB997">
        <v>0</v>
      </c>
      <c r="AC997">
        <v>0</v>
      </c>
      <c r="AD997">
        <v>0</v>
      </c>
      <c r="AE997">
        <v>24.41</v>
      </c>
      <c r="AF997">
        <v>0</v>
      </c>
      <c r="AG997">
        <v>0</v>
      </c>
      <c r="AH997">
        <v>0</v>
      </c>
      <c r="AI997">
        <v>6.56</v>
      </c>
      <c r="AJ997">
        <v>1</v>
      </c>
      <c r="AK997">
        <v>1</v>
      </c>
      <c r="AL997">
        <v>1</v>
      </c>
      <c r="AN997">
        <v>0</v>
      </c>
      <c r="AO997">
        <v>1</v>
      </c>
      <c r="AP997">
        <v>0</v>
      </c>
      <c r="AQ997">
        <v>0</v>
      </c>
      <c r="AR997">
        <v>0</v>
      </c>
      <c r="AS997" t="s">
        <v>6</v>
      </c>
      <c r="AT997">
        <v>4</v>
      </c>
      <c r="AU997" t="s">
        <v>6</v>
      </c>
      <c r="AV997">
        <v>0</v>
      </c>
      <c r="AW997">
        <v>2</v>
      </c>
      <c r="AX997">
        <v>16744258</v>
      </c>
      <c r="AY997">
        <v>1</v>
      </c>
      <c r="AZ997">
        <v>0</v>
      </c>
      <c r="BA997">
        <v>941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Y997*Source!I722</f>
        <v>1.56</v>
      </c>
      <c r="CY997">
        <f>AA997</f>
        <v>160.13</v>
      </c>
      <c r="CZ997">
        <f>AE997</f>
        <v>24.41</v>
      </c>
      <c r="DA997">
        <f>AI997</f>
        <v>6.56</v>
      </c>
      <c r="DB997">
        <f>ROUND(ROUND(AT997*CZ997,2),2)</f>
        <v>97.64</v>
      </c>
      <c r="DC997">
        <f>ROUND(ROUND(AT997*AG997,2),2)</f>
        <v>0</v>
      </c>
    </row>
    <row r="998" spans="1:107" x14ac:dyDescent="0.2">
      <c r="A998">
        <f>ROW(Source!A722)</f>
        <v>722</v>
      </c>
      <c r="B998">
        <v>16742901</v>
      </c>
      <c r="C998">
        <v>16744240</v>
      </c>
      <c r="D998">
        <v>15232881</v>
      </c>
      <c r="E998">
        <v>1</v>
      </c>
      <c r="F998">
        <v>1</v>
      </c>
      <c r="G998">
        <v>1</v>
      </c>
      <c r="H998">
        <v>3</v>
      </c>
      <c r="I998" t="s">
        <v>1184</v>
      </c>
      <c r="J998" t="s">
        <v>1186</v>
      </c>
      <c r="K998" t="s">
        <v>1185</v>
      </c>
      <c r="L998">
        <v>1348</v>
      </c>
      <c r="N998">
        <v>1009</v>
      </c>
      <c r="O998" t="s">
        <v>100</v>
      </c>
      <c r="P998" t="s">
        <v>100</v>
      </c>
      <c r="Q998">
        <v>1000</v>
      </c>
      <c r="W998">
        <v>0</v>
      </c>
      <c r="X998">
        <v>351021885</v>
      </c>
      <c r="Y998">
        <v>2.7169999999999998E-3</v>
      </c>
      <c r="AA998">
        <v>246191.22</v>
      </c>
      <c r="AB998">
        <v>0</v>
      </c>
      <c r="AC998">
        <v>0</v>
      </c>
      <c r="AD998">
        <v>0</v>
      </c>
      <c r="AE998">
        <v>37529.15</v>
      </c>
      <c r="AF998">
        <v>0</v>
      </c>
      <c r="AG998">
        <v>0</v>
      </c>
      <c r="AH998">
        <v>0</v>
      </c>
      <c r="AI998">
        <v>6.56</v>
      </c>
      <c r="AJ998">
        <v>1</v>
      </c>
      <c r="AK998">
        <v>1</v>
      </c>
      <c r="AL998">
        <v>1</v>
      </c>
      <c r="AN998">
        <v>0</v>
      </c>
      <c r="AO998">
        <v>0</v>
      </c>
      <c r="AP998">
        <v>0</v>
      </c>
      <c r="AQ998">
        <v>0</v>
      </c>
      <c r="AR998">
        <v>0</v>
      </c>
      <c r="AS998" t="s">
        <v>6</v>
      </c>
      <c r="AT998">
        <v>2.7169999999999998E-3</v>
      </c>
      <c r="AU998" t="s">
        <v>6</v>
      </c>
      <c r="AV998">
        <v>0</v>
      </c>
      <c r="AW998">
        <v>1</v>
      </c>
      <c r="AX998">
        <v>-1</v>
      </c>
      <c r="AY998">
        <v>0</v>
      </c>
      <c r="AZ998">
        <v>0</v>
      </c>
      <c r="BA998" t="s">
        <v>6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Y998*Source!I722</f>
        <v>1.05963E-3</v>
      </c>
      <c r="CY998">
        <f>AA998</f>
        <v>246191.22</v>
      </c>
      <c r="CZ998">
        <f>AE998</f>
        <v>37529.15</v>
      </c>
      <c r="DA998">
        <f>AI998</f>
        <v>6.56</v>
      </c>
      <c r="DB998">
        <f>ROUND(ROUND(AT998*CZ998,2),2)</f>
        <v>101.97</v>
      </c>
      <c r="DC998">
        <f>ROUND(ROUND(AT998*AG998,2),2)</f>
        <v>0</v>
      </c>
    </row>
    <row r="999" spans="1:107" x14ac:dyDescent="0.2">
      <c r="A999">
        <f>ROW(Source!A722)</f>
        <v>722</v>
      </c>
      <c r="B999">
        <v>16742901</v>
      </c>
      <c r="C999">
        <v>16744240</v>
      </c>
      <c r="D999">
        <v>15233464</v>
      </c>
      <c r="E999">
        <v>1</v>
      </c>
      <c r="F999">
        <v>1</v>
      </c>
      <c r="G999">
        <v>1</v>
      </c>
      <c r="H999">
        <v>3</v>
      </c>
      <c r="I999" t="s">
        <v>1188</v>
      </c>
      <c r="J999" t="s">
        <v>1190</v>
      </c>
      <c r="K999" t="s">
        <v>1189</v>
      </c>
      <c r="L999">
        <v>1301</v>
      </c>
      <c r="N999">
        <v>1003</v>
      </c>
      <c r="O999" t="s">
        <v>220</v>
      </c>
      <c r="P999" t="s">
        <v>220</v>
      </c>
      <c r="Q999">
        <v>1</v>
      </c>
      <c r="W999">
        <v>0</v>
      </c>
      <c r="X999">
        <v>-1622480074</v>
      </c>
      <c r="Y999">
        <v>100</v>
      </c>
      <c r="AA999">
        <v>682.7</v>
      </c>
      <c r="AB999">
        <v>0</v>
      </c>
      <c r="AC999">
        <v>0</v>
      </c>
      <c r="AD999">
        <v>0</v>
      </c>
      <c r="AE999">
        <v>104.07</v>
      </c>
      <c r="AF999">
        <v>0</v>
      </c>
      <c r="AG999">
        <v>0</v>
      </c>
      <c r="AH999">
        <v>0</v>
      </c>
      <c r="AI999">
        <v>6.56</v>
      </c>
      <c r="AJ999">
        <v>1</v>
      </c>
      <c r="AK999">
        <v>1</v>
      </c>
      <c r="AL999">
        <v>1</v>
      </c>
      <c r="AN999">
        <v>0</v>
      </c>
      <c r="AO999">
        <v>0</v>
      </c>
      <c r="AP999">
        <v>0</v>
      </c>
      <c r="AQ999">
        <v>0</v>
      </c>
      <c r="AR999">
        <v>0</v>
      </c>
      <c r="AS999" t="s">
        <v>6</v>
      </c>
      <c r="AT999">
        <v>100</v>
      </c>
      <c r="AU999" t="s">
        <v>6</v>
      </c>
      <c r="AV999">
        <v>0</v>
      </c>
      <c r="AW999">
        <v>1</v>
      </c>
      <c r="AX999">
        <v>-1</v>
      </c>
      <c r="AY999">
        <v>0</v>
      </c>
      <c r="AZ999">
        <v>0</v>
      </c>
      <c r="BA999" t="s">
        <v>6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Y999*Source!I722</f>
        <v>39</v>
      </c>
      <c r="CY999">
        <f>AA999</f>
        <v>682.7</v>
      </c>
      <c r="CZ999">
        <f>AE999</f>
        <v>104.07</v>
      </c>
      <c r="DA999">
        <f>AI999</f>
        <v>6.56</v>
      </c>
      <c r="DB999">
        <f>ROUND(ROUND(AT999*CZ999,2),2)</f>
        <v>10407</v>
      </c>
      <c r="DC999">
        <f>ROUND(ROUND(AT999*AG999,2),2)</f>
        <v>0</v>
      </c>
    </row>
    <row r="1000" spans="1:107" x14ac:dyDescent="0.2">
      <c r="A1000">
        <f>ROW(Source!A725)</f>
        <v>725</v>
      </c>
      <c r="B1000">
        <v>16742901</v>
      </c>
      <c r="C1000">
        <v>16744264</v>
      </c>
      <c r="D1000">
        <v>15446300</v>
      </c>
      <c r="E1000">
        <v>1</v>
      </c>
      <c r="F1000">
        <v>1</v>
      </c>
      <c r="G1000">
        <v>1</v>
      </c>
      <c r="H1000">
        <v>1</v>
      </c>
      <c r="I1000" t="s">
        <v>1437</v>
      </c>
      <c r="J1000" t="s">
        <v>6</v>
      </c>
      <c r="K1000" t="s">
        <v>1438</v>
      </c>
      <c r="L1000">
        <v>1191</v>
      </c>
      <c r="N1000">
        <v>1013</v>
      </c>
      <c r="O1000" t="s">
        <v>1287</v>
      </c>
      <c r="P1000" t="s">
        <v>1287</v>
      </c>
      <c r="Q1000">
        <v>1</v>
      </c>
      <c r="W1000">
        <v>0</v>
      </c>
      <c r="X1000">
        <v>912892513</v>
      </c>
      <c r="Y1000">
        <v>73.875999999999991</v>
      </c>
      <c r="AA1000">
        <v>0</v>
      </c>
      <c r="AB1000">
        <v>0</v>
      </c>
      <c r="AC1000">
        <v>0</v>
      </c>
      <c r="AD1000">
        <v>65.08</v>
      </c>
      <c r="AE1000">
        <v>0</v>
      </c>
      <c r="AF1000">
        <v>0</v>
      </c>
      <c r="AG1000">
        <v>0</v>
      </c>
      <c r="AH1000">
        <v>9.92</v>
      </c>
      <c r="AI1000">
        <v>1</v>
      </c>
      <c r="AJ1000">
        <v>1</v>
      </c>
      <c r="AK1000">
        <v>1</v>
      </c>
      <c r="AL1000">
        <v>6.56</v>
      </c>
      <c r="AN1000">
        <v>0</v>
      </c>
      <c r="AO1000">
        <v>1</v>
      </c>
      <c r="AP1000">
        <v>1</v>
      </c>
      <c r="AQ1000">
        <v>0</v>
      </c>
      <c r="AR1000">
        <v>0</v>
      </c>
      <c r="AS1000" t="s">
        <v>6</v>
      </c>
      <c r="AT1000">
        <v>64.239999999999995</v>
      </c>
      <c r="AU1000" t="s">
        <v>188</v>
      </c>
      <c r="AV1000">
        <v>1</v>
      </c>
      <c r="AW1000">
        <v>2</v>
      </c>
      <c r="AX1000">
        <v>16744275</v>
      </c>
      <c r="AY1000">
        <v>1</v>
      </c>
      <c r="AZ1000">
        <v>0</v>
      </c>
      <c r="BA1000">
        <v>945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Y1000*Source!I725</f>
        <v>5.9100799999999998</v>
      </c>
      <c r="CY1000">
        <f>AD1000</f>
        <v>65.08</v>
      </c>
      <c r="CZ1000">
        <f>AH1000</f>
        <v>9.92</v>
      </c>
      <c r="DA1000">
        <f>AL1000</f>
        <v>6.56</v>
      </c>
      <c r="DB1000">
        <f>ROUND((ROUND(AT1000*CZ1000,2)*1.15),2)</f>
        <v>732.85</v>
      </c>
      <c r="DC1000">
        <f>ROUND((ROUND(AT1000*AG1000,2)*1.15),2)</f>
        <v>0</v>
      </c>
    </row>
    <row r="1001" spans="1:107" x14ac:dyDescent="0.2">
      <c r="A1001">
        <f>ROW(Source!A725)</f>
        <v>725</v>
      </c>
      <c r="B1001">
        <v>16742901</v>
      </c>
      <c r="C1001">
        <v>16744264</v>
      </c>
      <c r="D1001">
        <v>15430395</v>
      </c>
      <c r="E1001">
        <v>1</v>
      </c>
      <c r="F1001">
        <v>1</v>
      </c>
      <c r="G1001">
        <v>1</v>
      </c>
      <c r="H1001">
        <v>1</v>
      </c>
      <c r="I1001" t="s">
        <v>1293</v>
      </c>
      <c r="J1001" t="s">
        <v>6</v>
      </c>
      <c r="K1001" t="s">
        <v>1294</v>
      </c>
      <c r="L1001">
        <v>1191</v>
      </c>
      <c r="N1001">
        <v>1013</v>
      </c>
      <c r="O1001" t="s">
        <v>1287</v>
      </c>
      <c r="P1001" t="s">
        <v>1287</v>
      </c>
      <c r="Q1001">
        <v>1</v>
      </c>
      <c r="W1001">
        <v>0</v>
      </c>
      <c r="X1001">
        <v>-1417349443</v>
      </c>
      <c r="Y1001">
        <v>0.03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1</v>
      </c>
      <c r="AJ1001">
        <v>1</v>
      </c>
      <c r="AK1001">
        <v>6.56</v>
      </c>
      <c r="AL1001">
        <v>1</v>
      </c>
      <c r="AN1001">
        <v>0</v>
      </c>
      <c r="AO1001">
        <v>1</v>
      </c>
      <c r="AP1001">
        <v>0</v>
      </c>
      <c r="AQ1001">
        <v>0</v>
      </c>
      <c r="AR1001">
        <v>0</v>
      </c>
      <c r="AS1001" t="s">
        <v>6</v>
      </c>
      <c r="AT1001">
        <v>0.03</v>
      </c>
      <c r="AU1001" t="s">
        <v>6</v>
      </c>
      <c r="AV1001">
        <v>2</v>
      </c>
      <c r="AW1001">
        <v>2</v>
      </c>
      <c r="AX1001">
        <v>16744276</v>
      </c>
      <c r="AY1001">
        <v>1</v>
      </c>
      <c r="AZ1001">
        <v>2048</v>
      </c>
      <c r="BA1001">
        <v>946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Y1001*Source!I725</f>
        <v>2.3999999999999998E-3</v>
      </c>
      <c r="CY1001">
        <f>AD1001</f>
        <v>0</v>
      </c>
      <c r="CZ1001">
        <f>AH1001</f>
        <v>0</v>
      </c>
      <c r="DA1001">
        <f>AL1001</f>
        <v>1</v>
      </c>
      <c r="DB1001">
        <f>ROUND(ROUND(AT1001*CZ1001,2),2)</f>
        <v>0</v>
      </c>
      <c r="DC1001">
        <f>ROUND(ROUND(AT1001*AG1001,2),2)</f>
        <v>0</v>
      </c>
    </row>
    <row r="1002" spans="1:107" x14ac:dyDescent="0.2">
      <c r="A1002">
        <f>ROW(Source!A725)</f>
        <v>725</v>
      </c>
      <c r="B1002">
        <v>16742901</v>
      </c>
      <c r="C1002">
        <v>16744264</v>
      </c>
      <c r="D1002">
        <v>15247578</v>
      </c>
      <c r="E1002">
        <v>1</v>
      </c>
      <c r="F1002">
        <v>1</v>
      </c>
      <c r="G1002">
        <v>1</v>
      </c>
      <c r="H1002">
        <v>2</v>
      </c>
      <c r="I1002" t="s">
        <v>1408</v>
      </c>
      <c r="J1002" t="s">
        <v>1409</v>
      </c>
      <c r="K1002" t="s">
        <v>1410</v>
      </c>
      <c r="L1002">
        <v>1368</v>
      </c>
      <c r="N1002">
        <v>1011</v>
      </c>
      <c r="O1002" t="s">
        <v>1298</v>
      </c>
      <c r="P1002" t="s">
        <v>1298</v>
      </c>
      <c r="Q1002">
        <v>1</v>
      </c>
      <c r="W1002">
        <v>0</v>
      </c>
      <c r="X1002">
        <v>-1460065968</v>
      </c>
      <c r="Y1002">
        <v>1.2500000000000001E-2</v>
      </c>
      <c r="AA1002">
        <v>0</v>
      </c>
      <c r="AB1002">
        <v>566.78</v>
      </c>
      <c r="AC1002">
        <v>13.5</v>
      </c>
      <c r="AD1002">
        <v>0</v>
      </c>
      <c r="AE1002">
        <v>0</v>
      </c>
      <c r="AF1002">
        <v>86.4</v>
      </c>
      <c r="AG1002">
        <v>13.5</v>
      </c>
      <c r="AH1002">
        <v>0</v>
      </c>
      <c r="AI1002">
        <v>1</v>
      </c>
      <c r="AJ1002">
        <v>6.56</v>
      </c>
      <c r="AK1002">
        <v>1</v>
      </c>
      <c r="AL1002">
        <v>1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6</v>
      </c>
      <c r="AT1002">
        <v>0.01</v>
      </c>
      <c r="AU1002" t="s">
        <v>187</v>
      </c>
      <c r="AV1002">
        <v>0</v>
      </c>
      <c r="AW1002">
        <v>2</v>
      </c>
      <c r="AX1002">
        <v>16744277</v>
      </c>
      <c r="AY1002">
        <v>1</v>
      </c>
      <c r="AZ1002">
        <v>0</v>
      </c>
      <c r="BA1002">
        <v>947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Y1002*Source!I725</f>
        <v>1E-3</v>
      </c>
      <c r="CY1002">
        <f>AB1002</f>
        <v>566.78</v>
      </c>
      <c r="CZ1002">
        <f>AF1002</f>
        <v>86.4</v>
      </c>
      <c r="DA1002">
        <f>AJ1002</f>
        <v>6.56</v>
      </c>
      <c r="DB1002">
        <f>ROUND((ROUND(AT1002*CZ1002,2)*1.25),2)</f>
        <v>1.08</v>
      </c>
      <c r="DC1002">
        <f>ROUND((ROUND(AT1002*AG1002,2)*1.25),2)</f>
        <v>0.18</v>
      </c>
    </row>
    <row r="1003" spans="1:107" x14ac:dyDescent="0.2">
      <c r="A1003">
        <f>ROW(Source!A725)</f>
        <v>725</v>
      </c>
      <c r="B1003">
        <v>16742901</v>
      </c>
      <c r="C1003">
        <v>16744264</v>
      </c>
      <c r="D1003">
        <v>15247680</v>
      </c>
      <c r="E1003">
        <v>1</v>
      </c>
      <c r="F1003">
        <v>1</v>
      </c>
      <c r="G1003">
        <v>1</v>
      </c>
      <c r="H1003">
        <v>2</v>
      </c>
      <c r="I1003" t="s">
        <v>1295</v>
      </c>
      <c r="J1003" t="s">
        <v>1296</v>
      </c>
      <c r="K1003" t="s">
        <v>1297</v>
      </c>
      <c r="L1003">
        <v>1368</v>
      </c>
      <c r="N1003">
        <v>1011</v>
      </c>
      <c r="O1003" t="s">
        <v>1298</v>
      </c>
      <c r="P1003" t="s">
        <v>1298</v>
      </c>
      <c r="Q1003">
        <v>1</v>
      </c>
      <c r="W1003">
        <v>0</v>
      </c>
      <c r="X1003">
        <v>-1718674368</v>
      </c>
      <c r="Y1003">
        <v>1.2500000000000001E-2</v>
      </c>
      <c r="AA1003">
        <v>0</v>
      </c>
      <c r="AB1003">
        <v>734.65</v>
      </c>
      <c r="AC1003">
        <v>13.5</v>
      </c>
      <c r="AD1003">
        <v>0</v>
      </c>
      <c r="AE1003">
        <v>0</v>
      </c>
      <c r="AF1003">
        <v>111.99</v>
      </c>
      <c r="AG1003">
        <v>13.5</v>
      </c>
      <c r="AH1003">
        <v>0</v>
      </c>
      <c r="AI1003">
        <v>1</v>
      </c>
      <c r="AJ1003">
        <v>6.56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6</v>
      </c>
      <c r="AT1003">
        <v>0.01</v>
      </c>
      <c r="AU1003" t="s">
        <v>187</v>
      </c>
      <c r="AV1003">
        <v>0</v>
      </c>
      <c r="AW1003">
        <v>2</v>
      </c>
      <c r="AX1003">
        <v>16744278</v>
      </c>
      <c r="AY1003">
        <v>1</v>
      </c>
      <c r="AZ1003">
        <v>0</v>
      </c>
      <c r="BA1003">
        <v>948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Y1003*Source!I725</f>
        <v>1E-3</v>
      </c>
      <c r="CY1003">
        <f>AB1003</f>
        <v>734.65</v>
      </c>
      <c r="CZ1003">
        <f>AF1003</f>
        <v>111.99</v>
      </c>
      <c r="DA1003">
        <f>AJ1003</f>
        <v>6.56</v>
      </c>
      <c r="DB1003">
        <f>ROUND((ROUND(AT1003*CZ1003,2)*1.25),2)</f>
        <v>1.4</v>
      </c>
      <c r="DC1003">
        <f>ROUND((ROUND(AT1003*AG1003,2)*1.25),2)</f>
        <v>0.18</v>
      </c>
    </row>
    <row r="1004" spans="1:107" x14ac:dyDescent="0.2">
      <c r="A1004">
        <f>ROW(Source!A725)</f>
        <v>725</v>
      </c>
      <c r="B1004">
        <v>16742901</v>
      </c>
      <c r="C1004">
        <v>16744264</v>
      </c>
      <c r="D1004">
        <v>15249073</v>
      </c>
      <c r="E1004">
        <v>1</v>
      </c>
      <c r="F1004">
        <v>1</v>
      </c>
      <c r="G1004">
        <v>1</v>
      </c>
      <c r="H1004">
        <v>2</v>
      </c>
      <c r="I1004" t="s">
        <v>1299</v>
      </c>
      <c r="J1004" t="s">
        <v>1300</v>
      </c>
      <c r="K1004" t="s">
        <v>1301</v>
      </c>
      <c r="L1004">
        <v>1368</v>
      </c>
      <c r="N1004">
        <v>1011</v>
      </c>
      <c r="O1004" t="s">
        <v>1298</v>
      </c>
      <c r="P1004" t="s">
        <v>1298</v>
      </c>
      <c r="Q1004">
        <v>1</v>
      </c>
      <c r="W1004">
        <v>0</v>
      </c>
      <c r="X1004">
        <v>1372534845</v>
      </c>
      <c r="Y1004">
        <v>1.2500000000000001E-2</v>
      </c>
      <c r="AA1004">
        <v>0</v>
      </c>
      <c r="AB1004">
        <v>431.06</v>
      </c>
      <c r="AC1004">
        <v>11.6</v>
      </c>
      <c r="AD1004">
        <v>0</v>
      </c>
      <c r="AE1004">
        <v>0</v>
      </c>
      <c r="AF1004">
        <v>65.709999999999994</v>
      </c>
      <c r="AG1004">
        <v>11.6</v>
      </c>
      <c r="AH1004">
        <v>0</v>
      </c>
      <c r="AI1004">
        <v>1</v>
      </c>
      <c r="AJ1004">
        <v>6.56</v>
      </c>
      <c r="AK1004">
        <v>1</v>
      </c>
      <c r="AL1004">
        <v>1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6</v>
      </c>
      <c r="AT1004">
        <v>0.01</v>
      </c>
      <c r="AU1004" t="s">
        <v>187</v>
      </c>
      <c r="AV1004">
        <v>0</v>
      </c>
      <c r="AW1004">
        <v>2</v>
      </c>
      <c r="AX1004">
        <v>16744279</v>
      </c>
      <c r="AY1004">
        <v>1</v>
      </c>
      <c r="AZ1004">
        <v>0</v>
      </c>
      <c r="BA1004">
        <v>949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Y1004*Source!I725</f>
        <v>1E-3</v>
      </c>
      <c r="CY1004">
        <f>AB1004</f>
        <v>431.06</v>
      </c>
      <c r="CZ1004">
        <f>AF1004</f>
        <v>65.709999999999994</v>
      </c>
      <c r="DA1004">
        <f>AJ1004</f>
        <v>6.56</v>
      </c>
      <c r="DB1004">
        <f>ROUND((ROUND(AT1004*CZ1004,2)*1.25),2)</f>
        <v>0.83</v>
      </c>
      <c r="DC1004">
        <f>ROUND((ROUND(AT1004*AG1004,2)*1.25),2)</f>
        <v>0.15</v>
      </c>
    </row>
    <row r="1005" spans="1:107" x14ac:dyDescent="0.2">
      <c r="A1005">
        <f>ROW(Source!A725)</f>
        <v>725</v>
      </c>
      <c r="B1005">
        <v>16742901</v>
      </c>
      <c r="C1005">
        <v>16744264</v>
      </c>
      <c r="D1005">
        <v>15167286</v>
      </c>
      <c r="E1005">
        <v>1</v>
      </c>
      <c r="F1005">
        <v>1</v>
      </c>
      <c r="G1005">
        <v>1</v>
      </c>
      <c r="H1005">
        <v>3</v>
      </c>
      <c r="I1005" t="s">
        <v>1317</v>
      </c>
      <c r="J1005" t="s">
        <v>1318</v>
      </c>
      <c r="K1005" t="s">
        <v>1319</v>
      </c>
      <c r="L1005">
        <v>1339</v>
      </c>
      <c r="N1005">
        <v>1007</v>
      </c>
      <c r="O1005" t="s">
        <v>301</v>
      </c>
      <c r="P1005" t="s">
        <v>301</v>
      </c>
      <c r="Q1005">
        <v>1</v>
      </c>
      <c r="W1005">
        <v>0</v>
      </c>
      <c r="X1005">
        <v>-1660354250</v>
      </c>
      <c r="Y1005">
        <v>0.39</v>
      </c>
      <c r="AA1005">
        <v>16.010000000000002</v>
      </c>
      <c r="AB1005">
        <v>0</v>
      </c>
      <c r="AC1005">
        <v>0</v>
      </c>
      <c r="AD1005">
        <v>0</v>
      </c>
      <c r="AE1005">
        <v>2.44</v>
      </c>
      <c r="AF1005">
        <v>0</v>
      </c>
      <c r="AG1005">
        <v>0</v>
      </c>
      <c r="AH1005">
        <v>0</v>
      </c>
      <c r="AI1005">
        <v>6.56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6</v>
      </c>
      <c r="AT1005">
        <v>0.39</v>
      </c>
      <c r="AU1005" t="s">
        <v>6</v>
      </c>
      <c r="AV1005">
        <v>0</v>
      </c>
      <c r="AW1005">
        <v>2</v>
      </c>
      <c r="AX1005">
        <v>16744280</v>
      </c>
      <c r="AY1005">
        <v>1</v>
      </c>
      <c r="AZ1005">
        <v>0</v>
      </c>
      <c r="BA1005">
        <v>950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Y1005*Source!I725</f>
        <v>3.1200000000000002E-2</v>
      </c>
      <c r="CY1005">
        <f>AA1005</f>
        <v>16.010000000000002</v>
      </c>
      <c r="CZ1005">
        <f>AE1005</f>
        <v>2.44</v>
      </c>
      <c r="DA1005">
        <f>AI1005</f>
        <v>6.56</v>
      </c>
      <c r="DB1005">
        <f>ROUND(ROUND(AT1005*CZ1005,2),2)</f>
        <v>0.95</v>
      </c>
      <c r="DC1005">
        <f>ROUND(ROUND(AT1005*AG1005,2),2)</f>
        <v>0</v>
      </c>
    </row>
    <row r="1006" spans="1:107" x14ac:dyDescent="0.2">
      <c r="A1006">
        <f>ROW(Source!A725)</f>
        <v>725</v>
      </c>
      <c r="B1006">
        <v>16742901</v>
      </c>
      <c r="C1006">
        <v>16744264</v>
      </c>
      <c r="D1006">
        <v>15169924</v>
      </c>
      <c r="E1006">
        <v>1</v>
      </c>
      <c r="F1006">
        <v>1</v>
      </c>
      <c r="G1006">
        <v>1</v>
      </c>
      <c r="H1006">
        <v>3</v>
      </c>
      <c r="I1006" t="s">
        <v>1840</v>
      </c>
      <c r="J1006" t="s">
        <v>1841</v>
      </c>
      <c r="K1006" t="s">
        <v>1842</v>
      </c>
      <c r="L1006">
        <v>1348</v>
      </c>
      <c r="N1006">
        <v>1009</v>
      </c>
      <c r="O1006" t="s">
        <v>100</v>
      </c>
      <c r="P1006" t="s">
        <v>100</v>
      </c>
      <c r="Q1006">
        <v>1000</v>
      </c>
      <c r="W1006">
        <v>0</v>
      </c>
      <c r="X1006">
        <v>-405065451</v>
      </c>
      <c r="Y1006">
        <v>1.1999999999999999E-3</v>
      </c>
      <c r="AA1006">
        <v>97284.800000000003</v>
      </c>
      <c r="AB1006">
        <v>0</v>
      </c>
      <c r="AC1006">
        <v>0</v>
      </c>
      <c r="AD1006">
        <v>0</v>
      </c>
      <c r="AE1006">
        <v>14830</v>
      </c>
      <c r="AF1006">
        <v>0</v>
      </c>
      <c r="AG1006">
        <v>0</v>
      </c>
      <c r="AH1006">
        <v>0</v>
      </c>
      <c r="AI1006">
        <v>6.56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0</v>
      </c>
      <c r="AQ1006">
        <v>0</v>
      </c>
      <c r="AR1006">
        <v>0</v>
      </c>
      <c r="AS1006" t="s">
        <v>6</v>
      </c>
      <c r="AT1006">
        <v>1.1999999999999999E-3</v>
      </c>
      <c r="AU1006" t="s">
        <v>6</v>
      </c>
      <c r="AV1006">
        <v>0</v>
      </c>
      <c r="AW1006">
        <v>2</v>
      </c>
      <c r="AX1006">
        <v>16744281</v>
      </c>
      <c r="AY1006">
        <v>1</v>
      </c>
      <c r="AZ1006">
        <v>0</v>
      </c>
      <c r="BA1006">
        <v>951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Y1006*Source!I725</f>
        <v>9.5999999999999989E-5</v>
      </c>
      <c r="CY1006">
        <f>AA1006</f>
        <v>97284.800000000003</v>
      </c>
      <c r="CZ1006">
        <f>AE1006</f>
        <v>14830</v>
      </c>
      <c r="DA1006">
        <f>AI1006</f>
        <v>6.56</v>
      </c>
      <c r="DB1006">
        <f>ROUND(ROUND(AT1006*CZ1006,2),2)</f>
        <v>17.8</v>
      </c>
      <c r="DC1006">
        <f>ROUND(ROUND(AT1006*AG1006,2),2)</f>
        <v>0</v>
      </c>
    </row>
    <row r="1007" spans="1:107" x14ac:dyDescent="0.2">
      <c r="A1007">
        <f>ROW(Source!A725)</f>
        <v>725</v>
      </c>
      <c r="B1007">
        <v>16742901</v>
      </c>
      <c r="C1007">
        <v>16744264</v>
      </c>
      <c r="D1007">
        <v>15170781</v>
      </c>
      <c r="E1007">
        <v>1</v>
      </c>
      <c r="F1007">
        <v>1</v>
      </c>
      <c r="G1007">
        <v>1</v>
      </c>
      <c r="H1007">
        <v>3</v>
      </c>
      <c r="I1007" t="s">
        <v>1843</v>
      </c>
      <c r="J1007" t="s">
        <v>1844</v>
      </c>
      <c r="K1007" t="s">
        <v>1845</v>
      </c>
      <c r="L1007">
        <v>1346</v>
      </c>
      <c r="N1007">
        <v>1009</v>
      </c>
      <c r="O1007" t="s">
        <v>341</v>
      </c>
      <c r="P1007" t="s">
        <v>341</v>
      </c>
      <c r="Q1007">
        <v>1</v>
      </c>
      <c r="W1007">
        <v>0</v>
      </c>
      <c r="X1007">
        <v>1537401615</v>
      </c>
      <c r="Y1007">
        <v>1.5</v>
      </c>
      <c r="AA1007">
        <v>160.13</v>
      </c>
      <c r="AB1007">
        <v>0</v>
      </c>
      <c r="AC1007">
        <v>0</v>
      </c>
      <c r="AD1007">
        <v>0</v>
      </c>
      <c r="AE1007">
        <v>24.41</v>
      </c>
      <c r="AF1007">
        <v>0</v>
      </c>
      <c r="AG1007">
        <v>0</v>
      </c>
      <c r="AH1007">
        <v>0</v>
      </c>
      <c r="AI1007">
        <v>6.56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0</v>
      </c>
      <c r="AQ1007">
        <v>0</v>
      </c>
      <c r="AR1007">
        <v>0</v>
      </c>
      <c r="AS1007" t="s">
        <v>6</v>
      </c>
      <c r="AT1007">
        <v>1.5</v>
      </c>
      <c r="AU1007" t="s">
        <v>6</v>
      </c>
      <c r="AV1007">
        <v>0</v>
      </c>
      <c r="AW1007">
        <v>2</v>
      </c>
      <c r="AX1007">
        <v>16744282</v>
      </c>
      <c r="AY1007">
        <v>1</v>
      </c>
      <c r="AZ1007">
        <v>0</v>
      </c>
      <c r="BA1007">
        <v>952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Y1007*Source!I725</f>
        <v>0.12</v>
      </c>
      <c r="CY1007">
        <f>AA1007</f>
        <v>160.13</v>
      </c>
      <c r="CZ1007">
        <f>AE1007</f>
        <v>24.41</v>
      </c>
      <c r="DA1007">
        <f>AI1007</f>
        <v>6.56</v>
      </c>
      <c r="DB1007">
        <f>ROUND(ROUND(AT1007*CZ1007,2),2)</f>
        <v>36.619999999999997</v>
      </c>
      <c r="DC1007">
        <f>ROUND(ROUND(AT1007*AG1007,2),2)</f>
        <v>0</v>
      </c>
    </row>
    <row r="1008" spans="1:107" x14ac:dyDescent="0.2">
      <c r="A1008">
        <f>ROW(Source!A725)</f>
        <v>725</v>
      </c>
      <c r="B1008">
        <v>16742901</v>
      </c>
      <c r="C1008">
        <v>16744264</v>
      </c>
      <c r="D1008">
        <v>15232880</v>
      </c>
      <c r="E1008">
        <v>1</v>
      </c>
      <c r="F1008">
        <v>1</v>
      </c>
      <c r="G1008">
        <v>1</v>
      </c>
      <c r="H1008">
        <v>3</v>
      </c>
      <c r="I1008" t="s">
        <v>1200</v>
      </c>
      <c r="J1008" t="s">
        <v>1202</v>
      </c>
      <c r="K1008" t="s">
        <v>1201</v>
      </c>
      <c r="L1008">
        <v>1348</v>
      </c>
      <c r="N1008">
        <v>1009</v>
      </c>
      <c r="O1008" t="s">
        <v>100</v>
      </c>
      <c r="P1008" t="s">
        <v>100</v>
      </c>
      <c r="Q1008">
        <v>1000</v>
      </c>
      <c r="W1008">
        <v>0</v>
      </c>
      <c r="X1008">
        <v>-1558467010</v>
      </c>
      <c r="Y1008">
        <v>7.4999999999999997E-3</v>
      </c>
      <c r="AA1008">
        <v>175344.67</v>
      </c>
      <c r="AB1008">
        <v>0</v>
      </c>
      <c r="AC1008">
        <v>0</v>
      </c>
      <c r="AD1008">
        <v>0</v>
      </c>
      <c r="AE1008">
        <v>26729.37</v>
      </c>
      <c r="AF1008">
        <v>0</v>
      </c>
      <c r="AG1008">
        <v>0</v>
      </c>
      <c r="AH1008">
        <v>0</v>
      </c>
      <c r="AI1008">
        <v>6.56</v>
      </c>
      <c r="AJ1008">
        <v>1</v>
      </c>
      <c r="AK1008">
        <v>1</v>
      </c>
      <c r="AL1008">
        <v>1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 t="s">
        <v>6</v>
      </c>
      <c r="AT1008">
        <v>7.4999999999999997E-3</v>
      </c>
      <c r="AU1008" t="s">
        <v>6</v>
      </c>
      <c r="AV1008">
        <v>0</v>
      </c>
      <c r="AW1008">
        <v>1</v>
      </c>
      <c r="AX1008">
        <v>-1</v>
      </c>
      <c r="AY1008">
        <v>0</v>
      </c>
      <c r="AZ1008">
        <v>0</v>
      </c>
      <c r="BA1008" t="s">
        <v>6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Y1008*Source!I725</f>
        <v>5.9999999999999995E-4</v>
      </c>
      <c r="CY1008">
        <f>AA1008</f>
        <v>175344.67</v>
      </c>
      <c r="CZ1008">
        <f>AE1008</f>
        <v>26729.37</v>
      </c>
      <c r="DA1008">
        <f>AI1008</f>
        <v>6.56</v>
      </c>
      <c r="DB1008">
        <f>ROUND(ROUND(AT1008*CZ1008,2),2)</f>
        <v>200.47</v>
      </c>
      <c r="DC1008">
        <f>ROUND(ROUND(AT1008*AG1008,2),2)</f>
        <v>0</v>
      </c>
    </row>
    <row r="1009" spans="1:107" x14ac:dyDescent="0.2">
      <c r="A1009">
        <f>ROW(Source!A725)</f>
        <v>725</v>
      </c>
      <c r="B1009">
        <v>16742901</v>
      </c>
      <c r="C1009">
        <v>16744264</v>
      </c>
      <c r="D1009">
        <v>15233463</v>
      </c>
      <c r="E1009">
        <v>1</v>
      </c>
      <c r="F1009">
        <v>1</v>
      </c>
      <c r="G1009">
        <v>1</v>
      </c>
      <c r="H1009">
        <v>3</v>
      </c>
      <c r="I1009" t="s">
        <v>1196</v>
      </c>
      <c r="J1009" t="s">
        <v>1198</v>
      </c>
      <c r="K1009" t="s">
        <v>1197</v>
      </c>
      <c r="L1009">
        <v>1301</v>
      </c>
      <c r="N1009">
        <v>1003</v>
      </c>
      <c r="O1009" t="s">
        <v>220</v>
      </c>
      <c r="P1009" t="s">
        <v>220</v>
      </c>
      <c r="Q1009">
        <v>1</v>
      </c>
      <c r="W1009">
        <v>0</v>
      </c>
      <c r="X1009">
        <v>-1292047200</v>
      </c>
      <c r="Y1009">
        <v>100</v>
      </c>
      <c r="AA1009">
        <v>311.33999999999997</v>
      </c>
      <c r="AB1009">
        <v>0</v>
      </c>
      <c r="AC1009">
        <v>0</v>
      </c>
      <c r="AD1009">
        <v>0</v>
      </c>
      <c r="AE1009">
        <v>47.46</v>
      </c>
      <c r="AF1009">
        <v>0</v>
      </c>
      <c r="AG1009">
        <v>0</v>
      </c>
      <c r="AH1009">
        <v>0</v>
      </c>
      <c r="AI1009">
        <v>6.56</v>
      </c>
      <c r="AJ1009">
        <v>1</v>
      </c>
      <c r="AK1009">
        <v>1</v>
      </c>
      <c r="AL1009">
        <v>1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 t="s">
        <v>6</v>
      </c>
      <c r="AT1009">
        <v>100</v>
      </c>
      <c r="AU1009" t="s">
        <v>6</v>
      </c>
      <c r="AV1009">
        <v>0</v>
      </c>
      <c r="AW1009">
        <v>1</v>
      </c>
      <c r="AX1009">
        <v>-1</v>
      </c>
      <c r="AY1009">
        <v>0</v>
      </c>
      <c r="AZ1009">
        <v>0</v>
      </c>
      <c r="BA1009" t="s">
        <v>6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Y1009*Source!I725</f>
        <v>8</v>
      </c>
      <c r="CY1009">
        <f>AA1009</f>
        <v>311.33999999999997</v>
      </c>
      <c r="CZ1009">
        <f>AE1009</f>
        <v>47.46</v>
      </c>
      <c r="DA1009">
        <f>AI1009</f>
        <v>6.56</v>
      </c>
      <c r="DB1009">
        <f>ROUND(ROUND(AT1009*CZ1009,2),2)</f>
        <v>4746</v>
      </c>
      <c r="DC1009">
        <f>ROUND(ROUND(AT1009*AG1009,2),2)</f>
        <v>0</v>
      </c>
    </row>
    <row r="1010" spans="1:107" x14ac:dyDescent="0.2">
      <c r="A1010">
        <f>ROW(Source!A728)</f>
        <v>728</v>
      </c>
      <c r="B1010">
        <v>16742901</v>
      </c>
      <c r="C1010">
        <v>16744288</v>
      </c>
      <c r="D1010">
        <v>15446300</v>
      </c>
      <c r="E1010">
        <v>1</v>
      </c>
      <c r="F1010">
        <v>1</v>
      </c>
      <c r="G1010">
        <v>1</v>
      </c>
      <c r="H1010">
        <v>1</v>
      </c>
      <c r="I1010" t="s">
        <v>1437</v>
      </c>
      <c r="J1010" t="s">
        <v>6</v>
      </c>
      <c r="K1010" t="s">
        <v>1438</v>
      </c>
      <c r="L1010">
        <v>1191</v>
      </c>
      <c r="N1010">
        <v>1013</v>
      </c>
      <c r="O1010" t="s">
        <v>1287</v>
      </c>
      <c r="P1010" t="s">
        <v>1287</v>
      </c>
      <c r="Q1010">
        <v>1</v>
      </c>
      <c r="W1010">
        <v>0</v>
      </c>
      <c r="X1010">
        <v>912892513</v>
      </c>
      <c r="Y1010">
        <v>4.048</v>
      </c>
      <c r="AA1010">
        <v>0</v>
      </c>
      <c r="AB1010">
        <v>0</v>
      </c>
      <c r="AC1010">
        <v>0</v>
      </c>
      <c r="AD1010">
        <v>65.08</v>
      </c>
      <c r="AE1010">
        <v>0</v>
      </c>
      <c r="AF1010">
        <v>0</v>
      </c>
      <c r="AG1010">
        <v>0</v>
      </c>
      <c r="AH1010">
        <v>9.92</v>
      </c>
      <c r="AI1010">
        <v>1</v>
      </c>
      <c r="AJ1010">
        <v>1</v>
      </c>
      <c r="AK1010">
        <v>1</v>
      </c>
      <c r="AL1010">
        <v>6.56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6</v>
      </c>
      <c r="AT1010">
        <v>3.52</v>
      </c>
      <c r="AU1010" t="s">
        <v>188</v>
      </c>
      <c r="AV1010">
        <v>1</v>
      </c>
      <c r="AW1010">
        <v>2</v>
      </c>
      <c r="AX1010">
        <v>16744300</v>
      </c>
      <c r="AY1010">
        <v>1</v>
      </c>
      <c r="AZ1010">
        <v>0</v>
      </c>
      <c r="BA1010">
        <v>956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Y1010*Source!I728</f>
        <v>13.763199999999999</v>
      </c>
      <c r="CY1010">
        <f>AD1010</f>
        <v>65.08</v>
      </c>
      <c r="CZ1010">
        <f>AH1010</f>
        <v>9.92</v>
      </c>
      <c r="DA1010">
        <f>AL1010</f>
        <v>6.56</v>
      </c>
      <c r="DB1010">
        <f>ROUND((ROUND(AT1010*CZ1010,2)*1.15),2)</f>
        <v>40.159999999999997</v>
      </c>
      <c r="DC1010">
        <f>ROUND((ROUND(AT1010*AG1010,2)*1.15),2)</f>
        <v>0</v>
      </c>
    </row>
    <row r="1011" spans="1:107" x14ac:dyDescent="0.2">
      <c r="A1011">
        <f>ROW(Source!A728)</f>
        <v>728</v>
      </c>
      <c r="B1011">
        <v>16742901</v>
      </c>
      <c r="C1011">
        <v>16744288</v>
      </c>
      <c r="D1011">
        <v>15430395</v>
      </c>
      <c r="E1011">
        <v>1</v>
      </c>
      <c r="F1011">
        <v>1</v>
      </c>
      <c r="G1011">
        <v>1</v>
      </c>
      <c r="H1011">
        <v>1</v>
      </c>
      <c r="I1011" t="s">
        <v>1293</v>
      </c>
      <c r="J1011" t="s">
        <v>6</v>
      </c>
      <c r="K1011" t="s">
        <v>1294</v>
      </c>
      <c r="L1011">
        <v>1191</v>
      </c>
      <c r="N1011">
        <v>1013</v>
      </c>
      <c r="O1011" t="s">
        <v>1287</v>
      </c>
      <c r="P1011" t="s">
        <v>1287</v>
      </c>
      <c r="Q1011">
        <v>1</v>
      </c>
      <c r="W1011">
        <v>0</v>
      </c>
      <c r="X1011">
        <v>-1417349443</v>
      </c>
      <c r="Y1011">
        <v>0.25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1</v>
      </c>
      <c r="AJ1011">
        <v>1</v>
      </c>
      <c r="AK1011">
        <v>6.56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6</v>
      </c>
      <c r="AT1011">
        <v>0.25</v>
      </c>
      <c r="AU1011" t="s">
        <v>6</v>
      </c>
      <c r="AV1011">
        <v>2</v>
      </c>
      <c r="AW1011">
        <v>2</v>
      </c>
      <c r="AX1011">
        <v>16744301</v>
      </c>
      <c r="AY1011">
        <v>1</v>
      </c>
      <c r="AZ1011">
        <v>2048</v>
      </c>
      <c r="BA1011">
        <v>957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Y1011*Source!I728</f>
        <v>0.85</v>
      </c>
      <c r="CY1011">
        <f>AD1011</f>
        <v>0</v>
      </c>
      <c r="CZ1011">
        <f>AH1011</f>
        <v>0</v>
      </c>
      <c r="DA1011">
        <f>AL1011</f>
        <v>1</v>
      </c>
      <c r="DB1011">
        <f>ROUND(ROUND(AT1011*CZ1011,2),2)</f>
        <v>0</v>
      </c>
      <c r="DC1011">
        <f>ROUND(ROUND(AT1011*AG1011,2),2)</f>
        <v>0</v>
      </c>
    </row>
    <row r="1012" spans="1:107" x14ac:dyDescent="0.2">
      <c r="A1012">
        <f>ROW(Source!A728)</f>
        <v>728</v>
      </c>
      <c r="B1012">
        <v>16742901</v>
      </c>
      <c r="C1012">
        <v>16744288</v>
      </c>
      <c r="D1012">
        <v>15249073</v>
      </c>
      <c r="E1012">
        <v>1</v>
      </c>
      <c r="F1012">
        <v>1</v>
      </c>
      <c r="G1012">
        <v>1</v>
      </c>
      <c r="H1012">
        <v>2</v>
      </c>
      <c r="I1012" t="s">
        <v>1299</v>
      </c>
      <c r="J1012" t="s">
        <v>1300</v>
      </c>
      <c r="K1012" t="s">
        <v>1301</v>
      </c>
      <c r="L1012">
        <v>1368</v>
      </c>
      <c r="N1012">
        <v>1011</v>
      </c>
      <c r="O1012" t="s">
        <v>1298</v>
      </c>
      <c r="P1012" t="s">
        <v>1298</v>
      </c>
      <c r="Q1012">
        <v>1</v>
      </c>
      <c r="W1012">
        <v>0</v>
      </c>
      <c r="X1012">
        <v>1372534845</v>
      </c>
      <c r="Y1012">
        <v>0.3125</v>
      </c>
      <c r="AA1012">
        <v>0</v>
      </c>
      <c r="AB1012">
        <v>431.06</v>
      </c>
      <c r="AC1012">
        <v>11.6</v>
      </c>
      <c r="AD1012">
        <v>0</v>
      </c>
      <c r="AE1012">
        <v>0</v>
      </c>
      <c r="AF1012">
        <v>65.709999999999994</v>
      </c>
      <c r="AG1012">
        <v>11.6</v>
      </c>
      <c r="AH1012">
        <v>0</v>
      </c>
      <c r="AI1012">
        <v>1</v>
      </c>
      <c r="AJ1012">
        <v>6.56</v>
      </c>
      <c r="AK1012">
        <v>1</v>
      </c>
      <c r="AL1012">
        <v>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6</v>
      </c>
      <c r="AT1012">
        <v>0.25</v>
      </c>
      <c r="AU1012" t="s">
        <v>187</v>
      </c>
      <c r="AV1012">
        <v>0</v>
      </c>
      <c r="AW1012">
        <v>2</v>
      </c>
      <c r="AX1012">
        <v>16744302</v>
      </c>
      <c r="AY1012">
        <v>1</v>
      </c>
      <c r="AZ1012">
        <v>0</v>
      </c>
      <c r="BA1012">
        <v>958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Y1012*Source!I728</f>
        <v>1.0625</v>
      </c>
      <c r="CY1012">
        <f>AB1012</f>
        <v>431.06</v>
      </c>
      <c r="CZ1012">
        <f>AF1012</f>
        <v>65.709999999999994</v>
      </c>
      <c r="DA1012">
        <f>AJ1012</f>
        <v>6.56</v>
      </c>
      <c r="DB1012">
        <f>ROUND((ROUND(AT1012*CZ1012,2)*1.25),2)</f>
        <v>20.54</v>
      </c>
      <c r="DC1012">
        <f>ROUND((ROUND(AT1012*AG1012,2)*1.25),2)</f>
        <v>3.63</v>
      </c>
    </row>
    <row r="1013" spans="1:107" x14ac:dyDescent="0.2">
      <c r="A1013">
        <f>ROW(Source!A728)</f>
        <v>728</v>
      </c>
      <c r="B1013">
        <v>16742901</v>
      </c>
      <c r="C1013">
        <v>16744288</v>
      </c>
      <c r="D1013">
        <v>15250243</v>
      </c>
      <c r="E1013">
        <v>1</v>
      </c>
      <c r="F1013">
        <v>1</v>
      </c>
      <c r="G1013">
        <v>1</v>
      </c>
      <c r="H1013">
        <v>2</v>
      </c>
      <c r="I1013" t="s">
        <v>1846</v>
      </c>
      <c r="J1013" t="s">
        <v>1847</v>
      </c>
      <c r="K1013" t="s">
        <v>1848</v>
      </c>
      <c r="L1013">
        <v>1368</v>
      </c>
      <c r="N1013">
        <v>1011</v>
      </c>
      <c r="O1013" t="s">
        <v>1298</v>
      </c>
      <c r="P1013" t="s">
        <v>1298</v>
      </c>
      <c r="Q1013">
        <v>1</v>
      </c>
      <c r="W1013">
        <v>0</v>
      </c>
      <c r="X1013">
        <v>1581354540</v>
      </c>
      <c r="Y1013">
        <v>0.48750000000000004</v>
      </c>
      <c r="AA1013">
        <v>0</v>
      </c>
      <c r="AB1013">
        <v>14.17</v>
      </c>
      <c r="AC1013">
        <v>0</v>
      </c>
      <c r="AD1013">
        <v>0</v>
      </c>
      <c r="AE1013">
        <v>0</v>
      </c>
      <c r="AF1013">
        <v>2.16</v>
      </c>
      <c r="AG1013">
        <v>0</v>
      </c>
      <c r="AH1013">
        <v>0</v>
      </c>
      <c r="AI1013">
        <v>1</v>
      </c>
      <c r="AJ1013">
        <v>6.56</v>
      </c>
      <c r="AK1013">
        <v>1</v>
      </c>
      <c r="AL1013">
        <v>1</v>
      </c>
      <c r="AN1013">
        <v>0</v>
      </c>
      <c r="AO1013">
        <v>1</v>
      </c>
      <c r="AP1013">
        <v>1</v>
      </c>
      <c r="AQ1013">
        <v>0</v>
      </c>
      <c r="AR1013">
        <v>0</v>
      </c>
      <c r="AS1013" t="s">
        <v>6</v>
      </c>
      <c r="AT1013">
        <v>0.39</v>
      </c>
      <c r="AU1013" t="s">
        <v>187</v>
      </c>
      <c r="AV1013">
        <v>0</v>
      </c>
      <c r="AW1013">
        <v>2</v>
      </c>
      <c r="AX1013">
        <v>16744303</v>
      </c>
      <c r="AY1013">
        <v>1</v>
      </c>
      <c r="AZ1013">
        <v>0</v>
      </c>
      <c r="BA1013">
        <v>959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Y1013*Source!I728</f>
        <v>1.6575000000000002</v>
      </c>
      <c r="CY1013">
        <f>AB1013</f>
        <v>14.17</v>
      </c>
      <c r="CZ1013">
        <f>AF1013</f>
        <v>2.16</v>
      </c>
      <c r="DA1013">
        <f>AJ1013</f>
        <v>6.56</v>
      </c>
      <c r="DB1013">
        <f>ROUND((ROUND(AT1013*CZ1013,2)*1.25),2)</f>
        <v>1.05</v>
      </c>
      <c r="DC1013">
        <f>ROUND((ROUND(AT1013*AG1013,2)*1.25),2)</f>
        <v>0</v>
      </c>
    </row>
    <row r="1014" spans="1:107" x14ac:dyDescent="0.2">
      <c r="A1014">
        <f>ROW(Source!A728)</f>
        <v>728</v>
      </c>
      <c r="B1014">
        <v>16742901</v>
      </c>
      <c r="C1014">
        <v>16744288</v>
      </c>
      <c r="D1014">
        <v>15167686</v>
      </c>
      <c r="E1014">
        <v>1</v>
      </c>
      <c r="F1014">
        <v>1</v>
      </c>
      <c r="G1014">
        <v>1</v>
      </c>
      <c r="H1014">
        <v>3</v>
      </c>
      <c r="I1014" t="s">
        <v>1849</v>
      </c>
      <c r="J1014" t="s">
        <v>1850</v>
      </c>
      <c r="K1014" t="s">
        <v>1851</v>
      </c>
      <c r="L1014">
        <v>1302</v>
      </c>
      <c r="N1014">
        <v>1003</v>
      </c>
      <c r="O1014" t="s">
        <v>740</v>
      </c>
      <c r="P1014" t="s">
        <v>740</v>
      </c>
      <c r="Q1014">
        <v>10</v>
      </c>
      <c r="W1014">
        <v>0</v>
      </c>
      <c r="X1014">
        <v>2125125340</v>
      </c>
      <c r="Y1014">
        <v>1.5</v>
      </c>
      <c r="AA1014">
        <v>196.8</v>
      </c>
      <c r="AB1014">
        <v>0</v>
      </c>
      <c r="AC1014">
        <v>0</v>
      </c>
      <c r="AD1014">
        <v>0</v>
      </c>
      <c r="AE1014">
        <v>30</v>
      </c>
      <c r="AF1014">
        <v>0</v>
      </c>
      <c r="AG1014">
        <v>0</v>
      </c>
      <c r="AH1014">
        <v>0</v>
      </c>
      <c r="AI1014">
        <v>6.56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6</v>
      </c>
      <c r="AT1014">
        <v>1.5</v>
      </c>
      <c r="AU1014" t="s">
        <v>6</v>
      </c>
      <c r="AV1014">
        <v>0</v>
      </c>
      <c r="AW1014">
        <v>2</v>
      </c>
      <c r="AX1014">
        <v>16744304</v>
      </c>
      <c r="AY1014">
        <v>1</v>
      </c>
      <c r="AZ1014">
        <v>0</v>
      </c>
      <c r="BA1014">
        <v>960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Y1014*Source!I728</f>
        <v>5.0999999999999996</v>
      </c>
      <c r="CY1014">
        <f t="shared" ref="CY1014:CY1020" si="189">AA1014</f>
        <v>196.8</v>
      </c>
      <c r="CZ1014">
        <f t="shared" ref="CZ1014:CZ1020" si="190">AE1014</f>
        <v>30</v>
      </c>
      <c r="DA1014">
        <f t="shared" ref="DA1014:DA1020" si="191">AI1014</f>
        <v>6.56</v>
      </c>
      <c r="DB1014">
        <f t="shared" ref="DB1014:DB1020" si="192">ROUND(ROUND(AT1014*CZ1014,2),2)</f>
        <v>45</v>
      </c>
      <c r="DC1014">
        <f t="shared" ref="DC1014:DC1020" si="193">ROUND(ROUND(AT1014*AG1014,2),2)</f>
        <v>0</v>
      </c>
    </row>
    <row r="1015" spans="1:107" x14ac:dyDescent="0.2">
      <c r="A1015">
        <f>ROW(Source!A728)</f>
        <v>728</v>
      </c>
      <c r="B1015">
        <v>16742901</v>
      </c>
      <c r="C1015">
        <v>16744288</v>
      </c>
      <c r="D1015">
        <v>15193802</v>
      </c>
      <c r="E1015">
        <v>1</v>
      </c>
      <c r="F1015">
        <v>1</v>
      </c>
      <c r="G1015">
        <v>1</v>
      </c>
      <c r="H1015">
        <v>3</v>
      </c>
      <c r="I1015" t="s">
        <v>1852</v>
      </c>
      <c r="J1015" t="s">
        <v>1853</v>
      </c>
      <c r="K1015" t="s">
        <v>1854</v>
      </c>
      <c r="L1015">
        <v>1346</v>
      </c>
      <c r="N1015">
        <v>1009</v>
      </c>
      <c r="O1015" t="s">
        <v>341</v>
      </c>
      <c r="P1015" t="s">
        <v>341</v>
      </c>
      <c r="Q1015">
        <v>1</v>
      </c>
      <c r="W1015">
        <v>0</v>
      </c>
      <c r="X1015">
        <v>-468875458</v>
      </c>
      <c r="Y1015">
        <v>3.3000000000000002E-2</v>
      </c>
      <c r="AA1015">
        <v>395.11</v>
      </c>
      <c r="AB1015">
        <v>0</v>
      </c>
      <c r="AC1015">
        <v>0</v>
      </c>
      <c r="AD1015">
        <v>0</v>
      </c>
      <c r="AE1015">
        <v>60.23</v>
      </c>
      <c r="AF1015">
        <v>0</v>
      </c>
      <c r="AG1015">
        <v>0</v>
      </c>
      <c r="AH1015">
        <v>0</v>
      </c>
      <c r="AI1015">
        <v>6.56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 t="s">
        <v>6</v>
      </c>
      <c r="AT1015">
        <v>3.3000000000000002E-2</v>
      </c>
      <c r="AU1015" t="s">
        <v>6</v>
      </c>
      <c r="AV1015">
        <v>0</v>
      </c>
      <c r="AW1015">
        <v>2</v>
      </c>
      <c r="AX1015">
        <v>16744305</v>
      </c>
      <c r="AY1015">
        <v>1</v>
      </c>
      <c r="AZ1015">
        <v>0</v>
      </c>
      <c r="BA1015">
        <v>961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Y1015*Source!I728</f>
        <v>0.11220000000000001</v>
      </c>
      <c r="CY1015">
        <f t="shared" si="189"/>
        <v>395.11</v>
      </c>
      <c r="CZ1015">
        <f t="shared" si="190"/>
        <v>60.23</v>
      </c>
      <c r="DA1015">
        <f t="shared" si="191"/>
        <v>6.56</v>
      </c>
      <c r="DB1015">
        <f t="shared" si="192"/>
        <v>1.99</v>
      </c>
      <c r="DC1015">
        <f t="shared" si="193"/>
        <v>0</v>
      </c>
    </row>
    <row r="1016" spans="1:107" x14ac:dyDescent="0.2">
      <c r="A1016">
        <f>ROW(Source!A728)</f>
        <v>728</v>
      </c>
      <c r="B1016">
        <v>16742901</v>
      </c>
      <c r="C1016">
        <v>16744288</v>
      </c>
      <c r="D1016">
        <v>15198563</v>
      </c>
      <c r="E1016">
        <v>1</v>
      </c>
      <c r="F1016">
        <v>1</v>
      </c>
      <c r="G1016">
        <v>1</v>
      </c>
      <c r="H1016">
        <v>3</v>
      </c>
      <c r="I1016" t="s">
        <v>1855</v>
      </c>
      <c r="J1016" t="s">
        <v>1856</v>
      </c>
      <c r="K1016" t="s">
        <v>1857</v>
      </c>
      <c r="L1016">
        <v>1355</v>
      </c>
      <c r="N1016">
        <v>1010</v>
      </c>
      <c r="O1016" t="s">
        <v>843</v>
      </c>
      <c r="P1016" t="s">
        <v>843</v>
      </c>
      <c r="Q1016">
        <v>100</v>
      </c>
      <c r="W1016">
        <v>0</v>
      </c>
      <c r="X1016">
        <v>1446605515</v>
      </c>
      <c r="Y1016">
        <v>0.3</v>
      </c>
      <c r="AA1016">
        <v>642.88</v>
      </c>
      <c r="AB1016">
        <v>0</v>
      </c>
      <c r="AC1016">
        <v>0</v>
      </c>
      <c r="AD1016">
        <v>0</v>
      </c>
      <c r="AE1016">
        <v>98</v>
      </c>
      <c r="AF1016">
        <v>0</v>
      </c>
      <c r="AG1016">
        <v>0</v>
      </c>
      <c r="AH1016">
        <v>0</v>
      </c>
      <c r="AI1016">
        <v>6.56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0</v>
      </c>
      <c r="AQ1016">
        <v>0</v>
      </c>
      <c r="AR1016">
        <v>0</v>
      </c>
      <c r="AS1016" t="s">
        <v>6</v>
      </c>
      <c r="AT1016">
        <v>0.3</v>
      </c>
      <c r="AU1016" t="s">
        <v>6</v>
      </c>
      <c r="AV1016">
        <v>0</v>
      </c>
      <c r="AW1016">
        <v>2</v>
      </c>
      <c r="AX1016">
        <v>16744306</v>
      </c>
      <c r="AY1016">
        <v>1</v>
      </c>
      <c r="AZ1016">
        <v>0</v>
      </c>
      <c r="BA1016">
        <v>962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Y1016*Source!I728</f>
        <v>1.02</v>
      </c>
      <c r="CY1016">
        <f t="shared" si="189"/>
        <v>642.88</v>
      </c>
      <c r="CZ1016">
        <f t="shared" si="190"/>
        <v>98</v>
      </c>
      <c r="DA1016">
        <f t="shared" si="191"/>
        <v>6.56</v>
      </c>
      <c r="DB1016">
        <f t="shared" si="192"/>
        <v>29.4</v>
      </c>
      <c r="DC1016">
        <f t="shared" si="193"/>
        <v>0</v>
      </c>
    </row>
    <row r="1017" spans="1:107" x14ac:dyDescent="0.2">
      <c r="A1017">
        <f>ROW(Source!A728)</f>
        <v>728</v>
      </c>
      <c r="B1017">
        <v>16742901</v>
      </c>
      <c r="C1017">
        <v>16744288</v>
      </c>
      <c r="D1017">
        <v>15163409</v>
      </c>
      <c r="E1017">
        <v>17</v>
      </c>
      <c r="F1017">
        <v>1</v>
      </c>
      <c r="G1017">
        <v>1</v>
      </c>
      <c r="H1017">
        <v>3</v>
      </c>
      <c r="I1017" t="s">
        <v>1214</v>
      </c>
      <c r="J1017" t="s">
        <v>6</v>
      </c>
      <c r="K1017" t="s">
        <v>1215</v>
      </c>
      <c r="L1017">
        <v>1301</v>
      </c>
      <c r="N1017">
        <v>1003</v>
      </c>
      <c r="O1017" t="s">
        <v>220</v>
      </c>
      <c r="P1017" t="s">
        <v>220</v>
      </c>
      <c r="Q1017">
        <v>1</v>
      </c>
      <c r="W1017">
        <v>0</v>
      </c>
      <c r="X1017">
        <v>1915593491</v>
      </c>
      <c r="Y1017">
        <v>11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6.56</v>
      </c>
      <c r="AJ1017">
        <v>1</v>
      </c>
      <c r="AK1017">
        <v>1</v>
      </c>
      <c r="AL1017">
        <v>1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 t="s">
        <v>6</v>
      </c>
      <c r="AT1017">
        <v>11</v>
      </c>
      <c r="AU1017" t="s">
        <v>6</v>
      </c>
      <c r="AV1017">
        <v>0</v>
      </c>
      <c r="AW1017">
        <v>2</v>
      </c>
      <c r="AX1017">
        <v>16744307</v>
      </c>
      <c r="AY1017">
        <v>1</v>
      </c>
      <c r="AZ1017">
        <v>0</v>
      </c>
      <c r="BA1017">
        <v>963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Y1017*Source!I728</f>
        <v>37.4</v>
      </c>
      <c r="CY1017">
        <f t="shared" si="189"/>
        <v>0</v>
      </c>
      <c r="CZ1017">
        <f t="shared" si="190"/>
        <v>0</v>
      </c>
      <c r="DA1017">
        <f t="shared" si="191"/>
        <v>6.56</v>
      </c>
      <c r="DB1017">
        <f t="shared" si="192"/>
        <v>0</v>
      </c>
      <c r="DC1017">
        <f t="shared" si="193"/>
        <v>0</v>
      </c>
    </row>
    <row r="1018" spans="1:107" x14ac:dyDescent="0.2">
      <c r="A1018">
        <f>ROW(Source!A728)</f>
        <v>728</v>
      </c>
      <c r="B1018">
        <v>16742901</v>
      </c>
      <c r="C1018">
        <v>16744288</v>
      </c>
      <c r="D1018">
        <v>15200264</v>
      </c>
      <c r="E1018">
        <v>1</v>
      </c>
      <c r="F1018">
        <v>1</v>
      </c>
      <c r="G1018">
        <v>1</v>
      </c>
      <c r="H1018">
        <v>3</v>
      </c>
      <c r="I1018" t="s">
        <v>1210</v>
      </c>
      <c r="J1018" t="s">
        <v>1212</v>
      </c>
      <c r="K1018" t="s">
        <v>1211</v>
      </c>
      <c r="L1018">
        <v>1308</v>
      </c>
      <c r="N1018">
        <v>1003</v>
      </c>
      <c r="O1018" t="s">
        <v>34</v>
      </c>
      <c r="P1018" t="s">
        <v>34</v>
      </c>
      <c r="Q1018">
        <v>100</v>
      </c>
      <c r="W1018">
        <v>0</v>
      </c>
      <c r="X1018">
        <v>1427324163</v>
      </c>
      <c r="Y1018">
        <v>0.11</v>
      </c>
      <c r="AA1018">
        <v>15185.81</v>
      </c>
      <c r="AB1018">
        <v>0</v>
      </c>
      <c r="AC1018">
        <v>0</v>
      </c>
      <c r="AD1018">
        <v>0</v>
      </c>
      <c r="AE1018">
        <v>2314.91</v>
      </c>
      <c r="AF1018">
        <v>0</v>
      </c>
      <c r="AG1018">
        <v>0</v>
      </c>
      <c r="AH1018">
        <v>0</v>
      </c>
      <c r="AI1018">
        <v>6.56</v>
      </c>
      <c r="AJ1018">
        <v>1</v>
      </c>
      <c r="AK1018">
        <v>1</v>
      </c>
      <c r="AL1018">
        <v>1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 t="s">
        <v>6</v>
      </c>
      <c r="AT1018">
        <v>0.11</v>
      </c>
      <c r="AU1018" t="s">
        <v>6</v>
      </c>
      <c r="AV1018">
        <v>0</v>
      </c>
      <c r="AW1018">
        <v>1</v>
      </c>
      <c r="AX1018">
        <v>-1</v>
      </c>
      <c r="AY1018">
        <v>0</v>
      </c>
      <c r="AZ1018">
        <v>0</v>
      </c>
      <c r="BA1018" t="s">
        <v>6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Y1018*Source!I728</f>
        <v>0.374</v>
      </c>
      <c r="CY1018">
        <f t="shared" si="189"/>
        <v>15185.81</v>
      </c>
      <c r="CZ1018">
        <f t="shared" si="190"/>
        <v>2314.91</v>
      </c>
      <c r="DA1018">
        <f t="shared" si="191"/>
        <v>6.56</v>
      </c>
      <c r="DB1018">
        <f t="shared" si="192"/>
        <v>254.64</v>
      </c>
      <c r="DC1018">
        <f t="shared" si="193"/>
        <v>0</v>
      </c>
    </row>
    <row r="1019" spans="1:107" x14ac:dyDescent="0.2">
      <c r="A1019">
        <f>ROW(Source!A728)</f>
        <v>728</v>
      </c>
      <c r="B1019">
        <v>16742901</v>
      </c>
      <c r="C1019">
        <v>16744288</v>
      </c>
      <c r="D1019">
        <v>15202496</v>
      </c>
      <c r="E1019">
        <v>1</v>
      </c>
      <c r="F1019">
        <v>1</v>
      </c>
      <c r="G1019">
        <v>1</v>
      </c>
      <c r="H1019">
        <v>3</v>
      </c>
      <c r="I1019" t="s">
        <v>1858</v>
      </c>
      <c r="J1019" t="s">
        <v>1859</v>
      </c>
      <c r="K1019" t="s">
        <v>1860</v>
      </c>
      <c r="L1019">
        <v>1296</v>
      </c>
      <c r="N1019">
        <v>1002</v>
      </c>
      <c r="O1019" t="s">
        <v>1462</v>
      </c>
      <c r="P1019" t="s">
        <v>1462</v>
      </c>
      <c r="Q1019">
        <v>1</v>
      </c>
      <c r="W1019">
        <v>0</v>
      </c>
      <c r="X1019">
        <v>-1572457083</v>
      </c>
      <c r="Y1019">
        <v>0.14299999999999999</v>
      </c>
      <c r="AA1019">
        <v>430.2</v>
      </c>
      <c r="AB1019">
        <v>0</v>
      </c>
      <c r="AC1019">
        <v>0</v>
      </c>
      <c r="AD1019">
        <v>0</v>
      </c>
      <c r="AE1019">
        <v>65.58</v>
      </c>
      <c r="AF1019">
        <v>0</v>
      </c>
      <c r="AG1019">
        <v>0</v>
      </c>
      <c r="AH1019">
        <v>0</v>
      </c>
      <c r="AI1019">
        <v>6.56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6</v>
      </c>
      <c r="AT1019">
        <v>0.14299999999999999</v>
      </c>
      <c r="AU1019" t="s">
        <v>6</v>
      </c>
      <c r="AV1019">
        <v>0</v>
      </c>
      <c r="AW1019">
        <v>2</v>
      </c>
      <c r="AX1019">
        <v>16744308</v>
      </c>
      <c r="AY1019">
        <v>1</v>
      </c>
      <c r="AZ1019">
        <v>0</v>
      </c>
      <c r="BA1019">
        <v>964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Y1019*Source!I728</f>
        <v>0.48619999999999997</v>
      </c>
      <c r="CY1019">
        <f t="shared" si="189"/>
        <v>430.2</v>
      </c>
      <c r="CZ1019">
        <f t="shared" si="190"/>
        <v>65.58</v>
      </c>
      <c r="DA1019">
        <f t="shared" si="191"/>
        <v>6.56</v>
      </c>
      <c r="DB1019">
        <f t="shared" si="192"/>
        <v>9.3800000000000008</v>
      </c>
      <c r="DC1019">
        <f t="shared" si="193"/>
        <v>0</v>
      </c>
    </row>
    <row r="1020" spans="1:107" x14ac:dyDescent="0.2">
      <c r="A1020">
        <f>ROW(Source!A728)</f>
        <v>728</v>
      </c>
      <c r="B1020">
        <v>16742901</v>
      </c>
      <c r="C1020">
        <v>16744288</v>
      </c>
      <c r="D1020">
        <v>15204628</v>
      </c>
      <c r="E1020">
        <v>1</v>
      </c>
      <c r="F1020">
        <v>1</v>
      </c>
      <c r="G1020">
        <v>1</v>
      </c>
      <c r="H1020">
        <v>3</v>
      </c>
      <c r="I1020" t="s">
        <v>1861</v>
      </c>
      <c r="J1020" t="s">
        <v>1862</v>
      </c>
      <c r="K1020" t="s">
        <v>1863</v>
      </c>
      <c r="L1020">
        <v>1296</v>
      </c>
      <c r="N1020">
        <v>1002</v>
      </c>
      <c r="O1020" t="s">
        <v>1462</v>
      </c>
      <c r="P1020" t="s">
        <v>1462</v>
      </c>
      <c r="Q1020">
        <v>1</v>
      </c>
      <c r="W1020">
        <v>0</v>
      </c>
      <c r="X1020">
        <v>2109462046</v>
      </c>
      <c r="Y1020">
        <v>0.02</v>
      </c>
      <c r="AA1020">
        <v>1315.8</v>
      </c>
      <c r="AB1020">
        <v>0</v>
      </c>
      <c r="AC1020">
        <v>0</v>
      </c>
      <c r="AD1020">
        <v>0</v>
      </c>
      <c r="AE1020">
        <v>200.58</v>
      </c>
      <c r="AF1020">
        <v>0</v>
      </c>
      <c r="AG1020">
        <v>0</v>
      </c>
      <c r="AH1020">
        <v>0</v>
      </c>
      <c r="AI1020">
        <v>6.56</v>
      </c>
      <c r="AJ1020">
        <v>1</v>
      </c>
      <c r="AK1020">
        <v>1</v>
      </c>
      <c r="AL1020">
        <v>1</v>
      </c>
      <c r="AN1020">
        <v>0</v>
      </c>
      <c r="AO1020">
        <v>1</v>
      </c>
      <c r="AP1020">
        <v>0</v>
      </c>
      <c r="AQ1020">
        <v>0</v>
      </c>
      <c r="AR1020">
        <v>0</v>
      </c>
      <c r="AS1020" t="s">
        <v>6</v>
      </c>
      <c r="AT1020">
        <v>0.02</v>
      </c>
      <c r="AU1020" t="s">
        <v>6</v>
      </c>
      <c r="AV1020">
        <v>0</v>
      </c>
      <c r="AW1020">
        <v>2</v>
      </c>
      <c r="AX1020">
        <v>16744310</v>
      </c>
      <c r="AY1020">
        <v>1</v>
      </c>
      <c r="AZ1020">
        <v>0</v>
      </c>
      <c r="BA1020">
        <v>966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Y1020*Source!I728</f>
        <v>6.8000000000000005E-2</v>
      </c>
      <c r="CY1020">
        <f t="shared" si="189"/>
        <v>1315.8</v>
      </c>
      <c r="CZ1020">
        <f t="shared" si="190"/>
        <v>200.58</v>
      </c>
      <c r="DA1020">
        <f t="shared" si="191"/>
        <v>6.56</v>
      </c>
      <c r="DB1020">
        <f t="shared" si="192"/>
        <v>4.01</v>
      </c>
      <c r="DC1020">
        <f t="shared" si="193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6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ROW(Source!A36)</f>
        <v>36</v>
      </c>
      <c r="B1">
        <v>16745013</v>
      </c>
      <c r="C1">
        <v>16745010</v>
      </c>
      <c r="D1">
        <v>15430767</v>
      </c>
      <c r="E1">
        <v>1</v>
      </c>
      <c r="F1">
        <v>1</v>
      </c>
      <c r="G1">
        <v>1</v>
      </c>
      <c r="H1">
        <v>1</v>
      </c>
      <c r="I1" t="s">
        <v>1285</v>
      </c>
      <c r="J1" t="s">
        <v>6</v>
      </c>
      <c r="K1" t="s">
        <v>1286</v>
      </c>
      <c r="L1">
        <v>1191</v>
      </c>
      <c r="N1">
        <v>1013</v>
      </c>
      <c r="O1" t="s">
        <v>1287</v>
      </c>
      <c r="P1" t="s">
        <v>1287</v>
      </c>
      <c r="Q1">
        <v>1</v>
      </c>
      <c r="X1">
        <v>34.56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49</v>
      </c>
      <c r="AG1">
        <v>27.648000000000003</v>
      </c>
      <c r="AH1">
        <v>2</v>
      </c>
      <c r="AI1">
        <v>16745011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ROW(Source!A36)</f>
        <v>36</v>
      </c>
      <c r="B2">
        <v>16745014</v>
      </c>
      <c r="C2">
        <v>16745010</v>
      </c>
      <c r="D2">
        <v>15193110</v>
      </c>
      <c r="E2">
        <v>1</v>
      </c>
      <c r="F2">
        <v>1</v>
      </c>
      <c r="G2">
        <v>1</v>
      </c>
      <c r="H2">
        <v>3</v>
      </c>
      <c r="I2" t="s">
        <v>1288</v>
      </c>
      <c r="J2" t="s">
        <v>1289</v>
      </c>
      <c r="K2" t="s">
        <v>1290</v>
      </c>
      <c r="L2">
        <v>1327</v>
      </c>
      <c r="N2">
        <v>1005</v>
      </c>
      <c r="O2" t="s">
        <v>193</v>
      </c>
      <c r="P2" t="s">
        <v>193</v>
      </c>
      <c r="Q2">
        <v>1</v>
      </c>
      <c r="X2">
        <v>100</v>
      </c>
      <c r="Y2">
        <v>701.31</v>
      </c>
      <c r="Z2">
        <v>0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48</v>
      </c>
      <c r="AG2">
        <v>0</v>
      </c>
      <c r="AH2">
        <v>2</v>
      </c>
      <c r="AI2">
        <v>16745012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ROW(Source!A37)</f>
        <v>37</v>
      </c>
      <c r="B3">
        <v>16745137</v>
      </c>
      <c r="C3">
        <v>16745128</v>
      </c>
      <c r="D3">
        <v>15435609</v>
      </c>
      <c r="E3">
        <v>1</v>
      </c>
      <c r="F3">
        <v>1</v>
      </c>
      <c r="G3">
        <v>1</v>
      </c>
      <c r="H3">
        <v>1</v>
      </c>
      <c r="I3" t="s">
        <v>1291</v>
      </c>
      <c r="J3" t="s">
        <v>6</v>
      </c>
      <c r="K3" t="s">
        <v>1292</v>
      </c>
      <c r="L3">
        <v>1191</v>
      </c>
      <c r="N3">
        <v>1013</v>
      </c>
      <c r="O3" t="s">
        <v>1287</v>
      </c>
      <c r="P3" t="s">
        <v>1287</v>
      </c>
      <c r="Q3">
        <v>1</v>
      </c>
      <c r="X3">
        <v>2.11</v>
      </c>
      <c r="Y3">
        <v>0</v>
      </c>
      <c r="Z3">
        <v>0</v>
      </c>
      <c r="AA3">
        <v>0</v>
      </c>
      <c r="AB3">
        <v>8.9700000000000006</v>
      </c>
      <c r="AC3">
        <v>0</v>
      </c>
      <c r="AD3">
        <v>1</v>
      </c>
      <c r="AE3">
        <v>1</v>
      </c>
      <c r="AF3" t="s">
        <v>59</v>
      </c>
      <c r="AG3">
        <v>0.84399999999999997</v>
      </c>
      <c r="AH3">
        <v>2</v>
      </c>
      <c r="AI3">
        <v>16745129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ROW(Source!A37)</f>
        <v>37</v>
      </c>
      <c r="B4">
        <v>16745138</v>
      </c>
      <c r="C4">
        <v>16745128</v>
      </c>
      <c r="D4">
        <v>15430395</v>
      </c>
      <c r="E4">
        <v>1</v>
      </c>
      <c r="F4">
        <v>1</v>
      </c>
      <c r="G4">
        <v>1</v>
      </c>
      <c r="H4">
        <v>1</v>
      </c>
      <c r="I4" t="s">
        <v>1293</v>
      </c>
      <c r="J4" t="s">
        <v>6</v>
      </c>
      <c r="K4" t="s">
        <v>1294</v>
      </c>
      <c r="L4">
        <v>1191</v>
      </c>
      <c r="N4">
        <v>1013</v>
      </c>
      <c r="O4" t="s">
        <v>1287</v>
      </c>
      <c r="P4" t="s">
        <v>1287</v>
      </c>
      <c r="Q4">
        <v>1</v>
      </c>
      <c r="X4">
        <v>0.03</v>
      </c>
      <c r="Y4">
        <v>0</v>
      </c>
      <c r="Z4">
        <v>0</v>
      </c>
      <c r="AA4">
        <v>0</v>
      </c>
      <c r="AB4">
        <v>0</v>
      </c>
      <c r="AC4">
        <v>0</v>
      </c>
      <c r="AD4">
        <v>1</v>
      </c>
      <c r="AE4">
        <v>2</v>
      </c>
      <c r="AF4" t="s">
        <v>59</v>
      </c>
      <c r="AG4">
        <v>1.2E-2</v>
      </c>
      <c r="AH4">
        <v>2</v>
      </c>
      <c r="AI4">
        <v>16745130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ROW(Source!A37)</f>
        <v>37</v>
      </c>
      <c r="B5">
        <v>16745139</v>
      </c>
      <c r="C5">
        <v>16745128</v>
      </c>
      <c r="D5">
        <v>15247680</v>
      </c>
      <c r="E5">
        <v>1</v>
      </c>
      <c r="F5">
        <v>1</v>
      </c>
      <c r="G5">
        <v>1</v>
      </c>
      <c r="H5">
        <v>2</v>
      </c>
      <c r="I5" t="s">
        <v>1295</v>
      </c>
      <c r="J5" t="s">
        <v>1296</v>
      </c>
      <c r="K5" t="s">
        <v>1297</v>
      </c>
      <c r="L5">
        <v>1368</v>
      </c>
      <c r="N5">
        <v>1011</v>
      </c>
      <c r="O5" t="s">
        <v>1298</v>
      </c>
      <c r="P5" t="s">
        <v>1298</v>
      </c>
      <c r="Q5">
        <v>1</v>
      </c>
      <c r="X5">
        <v>0.01</v>
      </c>
      <c r="Y5">
        <v>0</v>
      </c>
      <c r="Z5">
        <v>111.99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59</v>
      </c>
      <c r="AG5">
        <v>4.0000000000000001E-3</v>
      </c>
      <c r="AH5">
        <v>2</v>
      </c>
      <c r="AI5">
        <v>16745131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ROW(Source!A37)</f>
        <v>37</v>
      </c>
      <c r="B6">
        <v>16745140</v>
      </c>
      <c r="C6">
        <v>16745128</v>
      </c>
      <c r="D6">
        <v>15249073</v>
      </c>
      <c r="E6">
        <v>1</v>
      </c>
      <c r="F6">
        <v>1</v>
      </c>
      <c r="G6">
        <v>1</v>
      </c>
      <c r="H6">
        <v>2</v>
      </c>
      <c r="I6" t="s">
        <v>1299</v>
      </c>
      <c r="J6" t="s">
        <v>1300</v>
      </c>
      <c r="K6" t="s">
        <v>1301</v>
      </c>
      <c r="L6">
        <v>1368</v>
      </c>
      <c r="N6">
        <v>1011</v>
      </c>
      <c r="O6" t="s">
        <v>1298</v>
      </c>
      <c r="P6" t="s">
        <v>1298</v>
      </c>
      <c r="Q6">
        <v>1</v>
      </c>
      <c r="X6">
        <v>0.02</v>
      </c>
      <c r="Y6">
        <v>0</v>
      </c>
      <c r="Z6">
        <v>65.709999999999994</v>
      </c>
      <c r="AA6">
        <v>11.6</v>
      </c>
      <c r="AB6">
        <v>0</v>
      </c>
      <c r="AC6">
        <v>0</v>
      </c>
      <c r="AD6">
        <v>1</v>
      </c>
      <c r="AE6">
        <v>0</v>
      </c>
      <c r="AF6" t="s">
        <v>59</v>
      </c>
      <c r="AG6">
        <v>8.0000000000000002E-3</v>
      </c>
      <c r="AH6">
        <v>2</v>
      </c>
      <c r="AI6">
        <v>16745132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ROW(Source!A37)</f>
        <v>37</v>
      </c>
      <c r="B7">
        <v>16745141</v>
      </c>
      <c r="C7">
        <v>16745128</v>
      </c>
      <c r="D7">
        <v>15249377</v>
      </c>
      <c r="E7">
        <v>1</v>
      </c>
      <c r="F7">
        <v>1</v>
      </c>
      <c r="G7">
        <v>1</v>
      </c>
      <c r="H7">
        <v>2</v>
      </c>
      <c r="I7" t="s">
        <v>1302</v>
      </c>
      <c r="J7" t="s">
        <v>1303</v>
      </c>
      <c r="K7" t="s">
        <v>1304</v>
      </c>
      <c r="L7">
        <v>1368</v>
      </c>
      <c r="N7">
        <v>1011</v>
      </c>
      <c r="O7" t="s">
        <v>1298</v>
      </c>
      <c r="P7" t="s">
        <v>1298</v>
      </c>
      <c r="Q7">
        <v>1</v>
      </c>
      <c r="X7">
        <v>0.12</v>
      </c>
      <c r="Y7">
        <v>0</v>
      </c>
      <c r="Z7">
        <v>8.1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59</v>
      </c>
      <c r="AG7">
        <v>4.8000000000000001E-2</v>
      </c>
      <c r="AH7">
        <v>2</v>
      </c>
      <c r="AI7">
        <v>16745133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ROW(Source!A37)</f>
        <v>37</v>
      </c>
      <c r="B8">
        <v>16745142</v>
      </c>
      <c r="C8">
        <v>16745128</v>
      </c>
      <c r="D8">
        <v>15168763</v>
      </c>
      <c r="E8">
        <v>1</v>
      </c>
      <c r="F8">
        <v>1</v>
      </c>
      <c r="G8">
        <v>1</v>
      </c>
      <c r="H8">
        <v>3</v>
      </c>
      <c r="I8" t="s">
        <v>1305</v>
      </c>
      <c r="J8" t="s">
        <v>1306</v>
      </c>
      <c r="K8" t="s">
        <v>1307</v>
      </c>
      <c r="L8">
        <v>1348</v>
      </c>
      <c r="N8">
        <v>1009</v>
      </c>
      <c r="O8" t="s">
        <v>100</v>
      </c>
      <c r="P8" t="s">
        <v>100</v>
      </c>
      <c r="Q8">
        <v>1000</v>
      </c>
      <c r="X8">
        <v>1.6000000000000001E-4</v>
      </c>
      <c r="Y8">
        <v>10362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48</v>
      </c>
      <c r="AG8">
        <v>0</v>
      </c>
      <c r="AH8">
        <v>2</v>
      </c>
      <c r="AI8">
        <v>16745134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ROW(Source!A37)</f>
        <v>37</v>
      </c>
      <c r="B9">
        <v>16745143</v>
      </c>
      <c r="C9">
        <v>16745128</v>
      </c>
      <c r="D9">
        <v>15169941</v>
      </c>
      <c r="E9">
        <v>1</v>
      </c>
      <c r="F9">
        <v>1</v>
      </c>
      <c r="G9">
        <v>1</v>
      </c>
      <c r="H9">
        <v>3</v>
      </c>
      <c r="I9" t="s">
        <v>1308</v>
      </c>
      <c r="J9" t="s">
        <v>1309</v>
      </c>
      <c r="K9" t="s">
        <v>1310</v>
      </c>
      <c r="L9">
        <v>1348</v>
      </c>
      <c r="N9">
        <v>1009</v>
      </c>
      <c r="O9" t="s">
        <v>100</v>
      </c>
      <c r="P9" t="s">
        <v>100</v>
      </c>
      <c r="Q9">
        <v>1000</v>
      </c>
      <c r="X9">
        <v>5.9999999999999995E-4</v>
      </c>
      <c r="Y9">
        <v>9040.01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48</v>
      </c>
      <c r="AG9">
        <v>0</v>
      </c>
      <c r="AH9">
        <v>2</v>
      </c>
      <c r="AI9">
        <v>16745135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ROW(Source!A37)</f>
        <v>37</v>
      </c>
      <c r="B10">
        <v>16745144</v>
      </c>
      <c r="C10">
        <v>16745128</v>
      </c>
      <c r="D10">
        <v>15161703</v>
      </c>
      <c r="E10">
        <v>17</v>
      </c>
      <c r="F10">
        <v>1</v>
      </c>
      <c r="G10">
        <v>1</v>
      </c>
      <c r="H10">
        <v>3</v>
      </c>
      <c r="I10" t="s">
        <v>505</v>
      </c>
      <c r="J10" t="s">
        <v>6</v>
      </c>
      <c r="K10" t="s">
        <v>1864</v>
      </c>
      <c r="L10">
        <v>1339</v>
      </c>
      <c r="N10">
        <v>1007</v>
      </c>
      <c r="O10" t="s">
        <v>301</v>
      </c>
      <c r="P10" t="s">
        <v>301</v>
      </c>
      <c r="Q10">
        <v>1</v>
      </c>
      <c r="X10">
        <v>2.9999999999999997E-4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48</v>
      </c>
      <c r="AG10">
        <v>0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ROW(Source!A37)</f>
        <v>37</v>
      </c>
      <c r="B11">
        <v>16745145</v>
      </c>
      <c r="C11">
        <v>16745128</v>
      </c>
      <c r="D11">
        <v>15192094</v>
      </c>
      <c r="E11">
        <v>1</v>
      </c>
      <c r="F11">
        <v>1</v>
      </c>
      <c r="G11">
        <v>1</v>
      </c>
      <c r="H11">
        <v>3</v>
      </c>
      <c r="I11" t="s">
        <v>1311</v>
      </c>
      <c r="J11" t="s">
        <v>1312</v>
      </c>
      <c r="K11" t="s">
        <v>1313</v>
      </c>
      <c r="L11">
        <v>1348</v>
      </c>
      <c r="N11">
        <v>1009</v>
      </c>
      <c r="O11" t="s">
        <v>100</v>
      </c>
      <c r="P11" t="s">
        <v>100</v>
      </c>
      <c r="Q11">
        <v>1000</v>
      </c>
      <c r="X11">
        <v>6.4000000000000005E-4</v>
      </c>
      <c r="Y11">
        <v>6508.75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48</v>
      </c>
      <c r="AG11">
        <v>0</v>
      </c>
      <c r="AH11">
        <v>2</v>
      </c>
      <c r="AI11">
        <v>16745136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ROW(Source!A37)</f>
        <v>37</v>
      </c>
      <c r="B12">
        <v>16745146</v>
      </c>
      <c r="C12">
        <v>16745128</v>
      </c>
      <c r="D12">
        <v>15162551</v>
      </c>
      <c r="E12">
        <v>17</v>
      </c>
      <c r="F12">
        <v>1</v>
      </c>
      <c r="G12">
        <v>1</v>
      </c>
      <c r="H12">
        <v>3</v>
      </c>
      <c r="I12" t="s">
        <v>76</v>
      </c>
      <c r="J12" t="s">
        <v>6</v>
      </c>
      <c r="K12" t="s">
        <v>77</v>
      </c>
      <c r="L12">
        <v>1354</v>
      </c>
      <c r="N12">
        <v>1010</v>
      </c>
      <c r="O12" t="s">
        <v>73</v>
      </c>
      <c r="P12" t="s">
        <v>73</v>
      </c>
      <c r="Q12">
        <v>1</v>
      </c>
      <c r="X12">
        <v>1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48</v>
      </c>
      <c r="AG12">
        <v>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ROW(Source!A38)</f>
        <v>38</v>
      </c>
      <c r="B13">
        <v>16745155</v>
      </c>
      <c r="C13">
        <v>16745147</v>
      </c>
      <c r="D13">
        <v>15430767</v>
      </c>
      <c r="E13">
        <v>1</v>
      </c>
      <c r="F13">
        <v>1</v>
      </c>
      <c r="G13">
        <v>1</v>
      </c>
      <c r="H13">
        <v>1</v>
      </c>
      <c r="I13" t="s">
        <v>1285</v>
      </c>
      <c r="J13" t="s">
        <v>6</v>
      </c>
      <c r="K13" t="s">
        <v>1286</v>
      </c>
      <c r="L13">
        <v>1191</v>
      </c>
      <c r="N13">
        <v>1013</v>
      </c>
      <c r="O13" t="s">
        <v>1287</v>
      </c>
      <c r="P13" t="s">
        <v>1287</v>
      </c>
      <c r="Q13">
        <v>1</v>
      </c>
      <c r="X13">
        <v>46.19</v>
      </c>
      <c r="Y13">
        <v>0</v>
      </c>
      <c r="Z13">
        <v>0</v>
      </c>
      <c r="AA13">
        <v>0</v>
      </c>
      <c r="AB13">
        <v>8.5299999999999994</v>
      </c>
      <c r="AC13">
        <v>0</v>
      </c>
      <c r="AD13">
        <v>1</v>
      </c>
      <c r="AE13">
        <v>1</v>
      </c>
      <c r="AF13" t="s">
        <v>6</v>
      </c>
      <c r="AG13">
        <v>46.19</v>
      </c>
      <c r="AH13">
        <v>2</v>
      </c>
      <c r="AI13">
        <v>16745148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ROW(Source!A38)</f>
        <v>38</v>
      </c>
      <c r="B14">
        <v>16745156</v>
      </c>
      <c r="C14">
        <v>16745147</v>
      </c>
      <c r="D14">
        <v>15430395</v>
      </c>
      <c r="E14">
        <v>1</v>
      </c>
      <c r="F14">
        <v>1</v>
      </c>
      <c r="G14">
        <v>1</v>
      </c>
      <c r="H14">
        <v>1</v>
      </c>
      <c r="I14" t="s">
        <v>1293</v>
      </c>
      <c r="J14" t="s">
        <v>6</v>
      </c>
      <c r="K14" t="s">
        <v>1294</v>
      </c>
      <c r="L14">
        <v>1191</v>
      </c>
      <c r="N14">
        <v>1013</v>
      </c>
      <c r="O14" t="s">
        <v>1287</v>
      </c>
      <c r="P14" t="s">
        <v>1287</v>
      </c>
      <c r="Q14">
        <v>1</v>
      </c>
      <c r="X14">
        <v>0.01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6</v>
      </c>
      <c r="AG14">
        <v>0.01</v>
      </c>
      <c r="AH14">
        <v>2</v>
      </c>
      <c r="AI14">
        <v>16745149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ROW(Source!A38)</f>
        <v>38</v>
      </c>
      <c r="B15">
        <v>16745157</v>
      </c>
      <c r="C15">
        <v>16745147</v>
      </c>
      <c r="D15">
        <v>15247974</v>
      </c>
      <c r="E15">
        <v>1</v>
      </c>
      <c r="F15">
        <v>1</v>
      </c>
      <c r="G15">
        <v>1</v>
      </c>
      <c r="H15">
        <v>2</v>
      </c>
      <c r="I15" t="s">
        <v>1314</v>
      </c>
      <c r="J15" t="s">
        <v>1315</v>
      </c>
      <c r="K15" t="s">
        <v>1316</v>
      </c>
      <c r="L15">
        <v>1368</v>
      </c>
      <c r="N15">
        <v>1011</v>
      </c>
      <c r="O15" t="s">
        <v>1298</v>
      </c>
      <c r="P15" t="s">
        <v>1298</v>
      </c>
      <c r="Q15">
        <v>1</v>
      </c>
      <c r="X15">
        <v>0.01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6</v>
      </c>
      <c r="AG15">
        <v>0.01</v>
      </c>
      <c r="AH15">
        <v>2</v>
      </c>
      <c r="AI15">
        <v>16745150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ROW(Source!A38)</f>
        <v>38</v>
      </c>
      <c r="B16">
        <v>16745158</v>
      </c>
      <c r="C16">
        <v>16745147</v>
      </c>
      <c r="D16">
        <v>15167286</v>
      </c>
      <c r="E16">
        <v>1</v>
      </c>
      <c r="F16">
        <v>1</v>
      </c>
      <c r="G16">
        <v>1</v>
      </c>
      <c r="H16">
        <v>3</v>
      </c>
      <c r="I16" t="s">
        <v>1317</v>
      </c>
      <c r="J16" t="s">
        <v>1318</v>
      </c>
      <c r="K16" t="s">
        <v>1319</v>
      </c>
      <c r="L16">
        <v>1339</v>
      </c>
      <c r="N16">
        <v>1007</v>
      </c>
      <c r="O16" t="s">
        <v>301</v>
      </c>
      <c r="P16" t="s">
        <v>301</v>
      </c>
      <c r="Q16">
        <v>1</v>
      </c>
      <c r="X16">
        <v>0.02</v>
      </c>
      <c r="Y16">
        <v>2.44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0.02</v>
      </c>
      <c r="AH16">
        <v>2</v>
      </c>
      <c r="AI16">
        <v>16745151</v>
      </c>
      <c r="AJ16">
        <v>14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ROW(Source!A38)</f>
        <v>38</v>
      </c>
      <c r="B17">
        <v>16745159</v>
      </c>
      <c r="C17">
        <v>16745147</v>
      </c>
      <c r="D17">
        <v>15164566</v>
      </c>
      <c r="E17">
        <v>17</v>
      </c>
      <c r="F17">
        <v>1</v>
      </c>
      <c r="G17">
        <v>1</v>
      </c>
      <c r="H17">
        <v>3</v>
      </c>
      <c r="I17" t="s">
        <v>98</v>
      </c>
      <c r="J17" t="s">
        <v>6</v>
      </c>
      <c r="K17" t="s">
        <v>99</v>
      </c>
      <c r="L17">
        <v>1348</v>
      </c>
      <c r="N17">
        <v>1009</v>
      </c>
      <c r="O17" t="s">
        <v>100</v>
      </c>
      <c r="P17" t="s">
        <v>100</v>
      </c>
      <c r="Q17">
        <v>1000</v>
      </c>
      <c r="X17">
        <v>7.0000000000000007E-2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6</v>
      </c>
      <c r="AG17">
        <v>7.0000000000000007E-2</v>
      </c>
      <c r="AH17">
        <v>3</v>
      </c>
      <c r="AI17">
        <v>-1</v>
      </c>
      <c r="AJ17" t="s">
        <v>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ROW(Source!A38)</f>
        <v>38</v>
      </c>
      <c r="B18">
        <v>16745160</v>
      </c>
      <c r="C18">
        <v>16745147</v>
      </c>
      <c r="D18">
        <v>15171982</v>
      </c>
      <c r="E18">
        <v>1</v>
      </c>
      <c r="F18">
        <v>1</v>
      </c>
      <c r="G18">
        <v>1</v>
      </c>
      <c r="H18">
        <v>3</v>
      </c>
      <c r="I18" t="s">
        <v>1320</v>
      </c>
      <c r="J18" t="s">
        <v>1321</v>
      </c>
      <c r="K18" t="s">
        <v>1322</v>
      </c>
      <c r="L18">
        <v>1348</v>
      </c>
      <c r="N18">
        <v>1009</v>
      </c>
      <c r="O18" t="s">
        <v>100</v>
      </c>
      <c r="P18" t="s">
        <v>100</v>
      </c>
      <c r="Q18">
        <v>1000</v>
      </c>
      <c r="X18">
        <v>0.05</v>
      </c>
      <c r="Y18">
        <v>729.98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6</v>
      </c>
      <c r="AG18">
        <v>0.05</v>
      </c>
      <c r="AH18">
        <v>2</v>
      </c>
      <c r="AI18">
        <v>16745152</v>
      </c>
      <c r="AJ18">
        <v>15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ROW(Source!A38)</f>
        <v>38</v>
      </c>
      <c r="B19">
        <v>16745161</v>
      </c>
      <c r="C19">
        <v>16745147</v>
      </c>
      <c r="D19">
        <v>15162551</v>
      </c>
      <c r="E19">
        <v>17</v>
      </c>
      <c r="F19">
        <v>1</v>
      </c>
      <c r="G19">
        <v>1</v>
      </c>
      <c r="H19">
        <v>3</v>
      </c>
      <c r="I19" t="s">
        <v>76</v>
      </c>
      <c r="J19" t="s">
        <v>6</v>
      </c>
      <c r="K19" t="s">
        <v>77</v>
      </c>
      <c r="L19">
        <v>1354</v>
      </c>
      <c r="N19">
        <v>1010</v>
      </c>
      <c r="O19" t="s">
        <v>73</v>
      </c>
      <c r="P19" t="s">
        <v>73</v>
      </c>
      <c r="Q19">
        <v>1</v>
      </c>
      <c r="X19">
        <v>100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6</v>
      </c>
      <c r="AG19">
        <v>100</v>
      </c>
      <c r="AH19">
        <v>2</v>
      </c>
      <c r="AI19">
        <v>16745153</v>
      </c>
      <c r="AJ19">
        <v>17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ROW(Source!A41)</f>
        <v>41</v>
      </c>
      <c r="B20">
        <v>16745175</v>
      </c>
      <c r="C20">
        <v>16745165</v>
      </c>
      <c r="D20">
        <v>15430397</v>
      </c>
      <c r="E20">
        <v>1</v>
      </c>
      <c r="F20">
        <v>1</v>
      </c>
      <c r="G20">
        <v>1</v>
      </c>
      <c r="H20">
        <v>1</v>
      </c>
      <c r="I20" t="s">
        <v>1323</v>
      </c>
      <c r="J20" t="s">
        <v>6</v>
      </c>
      <c r="K20" t="s">
        <v>1324</v>
      </c>
      <c r="L20">
        <v>1191</v>
      </c>
      <c r="N20">
        <v>1013</v>
      </c>
      <c r="O20" t="s">
        <v>1287</v>
      </c>
      <c r="P20" t="s">
        <v>1287</v>
      </c>
      <c r="Q20">
        <v>1</v>
      </c>
      <c r="X20">
        <v>19</v>
      </c>
      <c r="Y20">
        <v>0</v>
      </c>
      <c r="Z20">
        <v>0</v>
      </c>
      <c r="AA20">
        <v>0</v>
      </c>
      <c r="AB20">
        <v>9.4</v>
      </c>
      <c r="AC20">
        <v>0</v>
      </c>
      <c r="AD20">
        <v>1</v>
      </c>
      <c r="AE20">
        <v>1</v>
      </c>
      <c r="AF20" t="s">
        <v>82</v>
      </c>
      <c r="AG20">
        <v>5.7</v>
      </c>
      <c r="AH20">
        <v>2</v>
      </c>
      <c r="AI20">
        <v>16745166</v>
      </c>
      <c r="AJ20">
        <v>18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ROW(Source!A41)</f>
        <v>41</v>
      </c>
      <c r="B21">
        <v>16745176</v>
      </c>
      <c r="C21">
        <v>16745165</v>
      </c>
      <c r="D21">
        <v>15430395</v>
      </c>
      <c r="E21">
        <v>1</v>
      </c>
      <c r="F21">
        <v>1</v>
      </c>
      <c r="G21">
        <v>1</v>
      </c>
      <c r="H21">
        <v>1</v>
      </c>
      <c r="I21" t="s">
        <v>1293</v>
      </c>
      <c r="J21" t="s">
        <v>6</v>
      </c>
      <c r="K21" t="s">
        <v>1294</v>
      </c>
      <c r="L21">
        <v>1191</v>
      </c>
      <c r="N21">
        <v>1013</v>
      </c>
      <c r="O21" t="s">
        <v>1287</v>
      </c>
      <c r="P21" t="s">
        <v>1287</v>
      </c>
      <c r="Q21">
        <v>1</v>
      </c>
      <c r="X21">
        <v>0.38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82</v>
      </c>
      <c r="AG21">
        <v>0.11399999999999999</v>
      </c>
      <c r="AH21">
        <v>2</v>
      </c>
      <c r="AI21">
        <v>16745167</v>
      </c>
      <c r="AJ21">
        <v>19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ROW(Source!A41)</f>
        <v>41</v>
      </c>
      <c r="B22">
        <v>16745177</v>
      </c>
      <c r="C22">
        <v>16745165</v>
      </c>
      <c r="D22">
        <v>15247680</v>
      </c>
      <c r="E22">
        <v>1</v>
      </c>
      <c r="F22">
        <v>1</v>
      </c>
      <c r="G22">
        <v>1</v>
      </c>
      <c r="H22">
        <v>2</v>
      </c>
      <c r="I22" t="s">
        <v>1295</v>
      </c>
      <c r="J22" t="s">
        <v>1296</v>
      </c>
      <c r="K22" t="s">
        <v>1297</v>
      </c>
      <c r="L22">
        <v>1368</v>
      </c>
      <c r="N22">
        <v>1011</v>
      </c>
      <c r="O22" t="s">
        <v>1298</v>
      </c>
      <c r="P22" t="s">
        <v>1298</v>
      </c>
      <c r="Q22">
        <v>1</v>
      </c>
      <c r="X22">
        <v>0.19</v>
      </c>
      <c r="Y22">
        <v>0</v>
      </c>
      <c r="Z22">
        <v>111.99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82</v>
      </c>
      <c r="AG22">
        <v>5.6999999999999995E-2</v>
      </c>
      <c r="AH22">
        <v>2</v>
      </c>
      <c r="AI22">
        <v>16745168</v>
      </c>
      <c r="AJ22">
        <v>20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ROW(Source!A41)</f>
        <v>41</v>
      </c>
      <c r="B23">
        <v>16745178</v>
      </c>
      <c r="C23">
        <v>16745165</v>
      </c>
      <c r="D23">
        <v>15249073</v>
      </c>
      <c r="E23">
        <v>1</v>
      </c>
      <c r="F23">
        <v>1</v>
      </c>
      <c r="G23">
        <v>1</v>
      </c>
      <c r="H23">
        <v>2</v>
      </c>
      <c r="I23" t="s">
        <v>1299</v>
      </c>
      <c r="J23" t="s">
        <v>1300</v>
      </c>
      <c r="K23" t="s">
        <v>1301</v>
      </c>
      <c r="L23">
        <v>1368</v>
      </c>
      <c r="N23">
        <v>1011</v>
      </c>
      <c r="O23" t="s">
        <v>1298</v>
      </c>
      <c r="P23" t="s">
        <v>1298</v>
      </c>
      <c r="Q23">
        <v>1</v>
      </c>
      <c r="X23">
        <v>0.19</v>
      </c>
      <c r="Y23">
        <v>0</v>
      </c>
      <c r="Z23">
        <v>65.709999999999994</v>
      </c>
      <c r="AA23">
        <v>11.6</v>
      </c>
      <c r="AB23">
        <v>0</v>
      </c>
      <c r="AC23">
        <v>0</v>
      </c>
      <c r="AD23">
        <v>1</v>
      </c>
      <c r="AE23">
        <v>0</v>
      </c>
      <c r="AF23" t="s">
        <v>82</v>
      </c>
      <c r="AG23">
        <v>5.6999999999999995E-2</v>
      </c>
      <c r="AH23">
        <v>2</v>
      </c>
      <c r="AI23">
        <v>16745169</v>
      </c>
      <c r="AJ23">
        <v>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ROW(Source!A41)</f>
        <v>41</v>
      </c>
      <c r="B24">
        <v>16745179</v>
      </c>
      <c r="C24">
        <v>16745165</v>
      </c>
      <c r="D24">
        <v>15249377</v>
      </c>
      <c r="E24">
        <v>1</v>
      </c>
      <c r="F24">
        <v>1</v>
      </c>
      <c r="G24">
        <v>1</v>
      </c>
      <c r="H24">
        <v>2</v>
      </c>
      <c r="I24" t="s">
        <v>1302</v>
      </c>
      <c r="J24" t="s">
        <v>1303</v>
      </c>
      <c r="K24" t="s">
        <v>1304</v>
      </c>
      <c r="L24">
        <v>1368</v>
      </c>
      <c r="N24">
        <v>1011</v>
      </c>
      <c r="O24" t="s">
        <v>1298</v>
      </c>
      <c r="P24" t="s">
        <v>1298</v>
      </c>
      <c r="Q24">
        <v>1</v>
      </c>
      <c r="X24">
        <v>3.36</v>
      </c>
      <c r="Y24">
        <v>0</v>
      </c>
      <c r="Z24">
        <v>8.1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82</v>
      </c>
      <c r="AG24">
        <v>1.008</v>
      </c>
      <c r="AH24">
        <v>2</v>
      </c>
      <c r="AI24">
        <v>16745170</v>
      </c>
      <c r="AJ24">
        <v>22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ROW(Source!A41)</f>
        <v>41</v>
      </c>
      <c r="B25">
        <v>16745180</v>
      </c>
      <c r="C25">
        <v>16745165</v>
      </c>
      <c r="D25">
        <v>15168752</v>
      </c>
      <c r="E25">
        <v>1</v>
      </c>
      <c r="F25">
        <v>1</v>
      </c>
      <c r="G25">
        <v>1</v>
      </c>
      <c r="H25">
        <v>3</v>
      </c>
      <c r="I25" t="s">
        <v>1325</v>
      </c>
      <c r="J25" t="s">
        <v>1326</v>
      </c>
      <c r="K25" t="s">
        <v>1327</v>
      </c>
      <c r="L25">
        <v>1346</v>
      </c>
      <c r="N25">
        <v>1009</v>
      </c>
      <c r="O25" t="s">
        <v>341</v>
      </c>
      <c r="P25" t="s">
        <v>341</v>
      </c>
      <c r="Q25">
        <v>1</v>
      </c>
      <c r="X25">
        <v>0.55000000000000004</v>
      </c>
      <c r="Y25">
        <v>10.57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48</v>
      </c>
      <c r="AG25">
        <v>0</v>
      </c>
      <c r="AH25">
        <v>2</v>
      </c>
      <c r="AI25">
        <v>16745171</v>
      </c>
      <c r="AJ25">
        <v>23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ROW(Source!A41)</f>
        <v>41</v>
      </c>
      <c r="B26">
        <v>16745181</v>
      </c>
      <c r="C26">
        <v>16745165</v>
      </c>
      <c r="D26">
        <v>15191297</v>
      </c>
      <c r="E26">
        <v>1</v>
      </c>
      <c r="F26">
        <v>1</v>
      </c>
      <c r="G26">
        <v>1</v>
      </c>
      <c r="H26">
        <v>3</v>
      </c>
      <c r="I26" t="s">
        <v>1328</v>
      </c>
      <c r="J26" t="s">
        <v>1329</v>
      </c>
      <c r="K26" t="s">
        <v>1330</v>
      </c>
      <c r="L26">
        <v>1348</v>
      </c>
      <c r="N26">
        <v>1009</v>
      </c>
      <c r="O26" t="s">
        <v>100</v>
      </c>
      <c r="P26" t="s">
        <v>100</v>
      </c>
      <c r="Q26">
        <v>1000</v>
      </c>
      <c r="X26">
        <v>4.0000000000000001E-3</v>
      </c>
      <c r="Y26">
        <v>5763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48</v>
      </c>
      <c r="AG26">
        <v>0</v>
      </c>
      <c r="AH26">
        <v>2</v>
      </c>
      <c r="AI26">
        <v>16745172</v>
      </c>
      <c r="AJ26">
        <v>24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ROW(Source!A41)</f>
        <v>41</v>
      </c>
      <c r="B27">
        <v>16745182</v>
      </c>
      <c r="C27">
        <v>16745165</v>
      </c>
      <c r="D27">
        <v>15203838</v>
      </c>
      <c r="E27">
        <v>1</v>
      </c>
      <c r="F27">
        <v>1</v>
      </c>
      <c r="G27">
        <v>1</v>
      </c>
      <c r="H27">
        <v>3</v>
      </c>
      <c r="I27" t="s">
        <v>1331</v>
      </c>
      <c r="J27" t="s">
        <v>1332</v>
      </c>
      <c r="K27" t="s">
        <v>1333</v>
      </c>
      <c r="L27">
        <v>1346</v>
      </c>
      <c r="N27">
        <v>1009</v>
      </c>
      <c r="O27" t="s">
        <v>341</v>
      </c>
      <c r="P27" t="s">
        <v>341</v>
      </c>
      <c r="Q27">
        <v>1</v>
      </c>
      <c r="X27">
        <v>2</v>
      </c>
      <c r="Y27">
        <v>238.48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48</v>
      </c>
      <c r="AG27">
        <v>0</v>
      </c>
      <c r="AH27">
        <v>2</v>
      </c>
      <c r="AI27">
        <v>16745173</v>
      </c>
      <c r="AJ27">
        <v>25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ROW(Source!A41)</f>
        <v>41</v>
      </c>
      <c r="B28">
        <v>16745183</v>
      </c>
      <c r="C28">
        <v>16745165</v>
      </c>
      <c r="D28">
        <v>15164559</v>
      </c>
      <c r="E28">
        <v>17</v>
      </c>
      <c r="F28">
        <v>1</v>
      </c>
      <c r="G28">
        <v>1</v>
      </c>
      <c r="H28">
        <v>3</v>
      </c>
      <c r="I28" t="s">
        <v>1334</v>
      </c>
      <c r="J28" t="s">
        <v>6</v>
      </c>
      <c r="K28" t="s">
        <v>1335</v>
      </c>
      <c r="L28">
        <v>1374</v>
      </c>
      <c r="N28">
        <v>1013</v>
      </c>
      <c r="O28" t="s">
        <v>1336</v>
      </c>
      <c r="P28" t="s">
        <v>1336</v>
      </c>
      <c r="Q28">
        <v>1</v>
      </c>
      <c r="X28">
        <v>3.57</v>
      </c>
      <c r="Y28">
        <v>1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48</v>
      </c>
      <c r="AG28">
        <v>0</v>
      </c>
      <c r="AH28">
        <v>2</v>
      </c>
      <c r="AI28">
        <v>16745174</v>
      </c>
      <c r="AJ28">
        <v>26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ROW(Source!A42)</f>
        <v>42</v>
      </c>
      <c r="B29">
        <v>16745186</v>
      </c>
      <c r="C29">
        <v>16745184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1337</v>
      </c>
      <c r="J29" t="s">
        <v>6</v>
      </c>
      <c r="K29" t="s">
        <v>1338</v>
      </c>
      <c r="L29">
        <v>1191</v>
      </c>
      <c r="N29">
        <v>1013</v>
      </c>
      <c r="O29" t="s">
        <v>1287</v>
      </c>
      <c r="P29" t="s">
        <v>1287</v>
      </c>
      <c r="Q29">
        <v>1</v>
      </c>
      <c r="X29">
        <v>3.77</v>
      </c>
      <c r="Y29">
        <v>0</v>
      </c>
      <c r="Z29">
        <v>0</v>
      </c>
      <c r="AA29">
        <v>0</v>
      </c>
      <c r="AB29">
        <v>7.8</v>
      </c>
      <c r="AC29">
        <v>0</v>
      </c>
      <c r="AD29">
        <v>1</v>
      </c>
      <c r="AE29">
        <v>1</v>
      </c>
      <c r="AF29" t="s">
        <v>6</v>
      </c>
      <c r="AG29">
        <v>3.77</v>
      </c>
      <c r="AH29">
        <v>2</v>
      </c>
      <c r="AI29">
        <v>16745185</v>
      </c>
      <c r="AJ29">
        <v>27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ROW(Source!A42)</f>
        <v>42</v>
      </c>
      <c r="B30">
        <v>16745187</v>
      </c>
      <c r="C30">
        <v>16745184</v>
      </c>
      <c r="D30">
        <v>15164566</v>
      </c>
      <c r="E30">
        <v>17</v>
      </c>
      <c r="F30">
        <v>1</v>
      </c>
      <c r="G30">
        <v>1</v>
      </c>
      <c r="H30">
        <v>3</v>
      </c>
      <c r="I30" t="s">
        <v>98</v>
      </c>
      <c r="J30" t="s">
        <v>6</v>
      </c>
      <c r="K30" t="s">
        <v>99</v>
      </c>
      <c r="L30">
        <v>1348</v>
      </c>
      <c r="N30">
        <v>1009</v>
      </c>
      <c r="O30" t="s">
        <v>100</v>
      </c>
      <c r="P30" t="s">
        <v>100</v>
      </c>
      <c r="Q30">
        <v>1000</v>
      </c>
      <c r="X30">
        <v>0.11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6</v>
      </c>
      <c r="AG30">
        <v>0.11</v>
      </c>
      <c r="AH30">
        <v>3</v>
      </c>
      <c r="AI30">
        <v>-1</v>
      </c>
      <c r="AJ30" t="s">
        <v>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ROW(Source!A43)</f>
        <v>43</v>
      </c>
      <c r="B31">
        <v>16745193</v>
      </c>
      <c r="C31">
        <v>16745188</v>
      </c>
      <c r="D31">
        <v>15430517</v>
      </c>
      <c r="E31">
        <v>1</v>
      </c>
      <c r="F31">
        <v>1</v>
      </c>
      <c r="G31">
        <v>1</v>
      </c>
      <c r="H31">
        <v>1</v>
      </c>
      <c r="I31" t="s">
        <v>1337</v>
      </c>
      <c r="J31" t="s">
        <v>6</v>
      </c>
      <c r="K31" t="s">
        <v>1338</v>
      </c>
      <c r="L31">
        <v>1191</v>
      </c>
      <c r="N31">
        <v>1013</v>
      </c>
      <c r="O31" t="s">
        <v>1287</v>
      </c>
      <c r="P31" t="s">
        <v>1287</v>
      </c>
      <c r="Q31">
        <v>1</v>
      </c>
      <c r="X31">
        <v>11.39</v>
      </c>
      <c r="Y31">
        <v>0</v>
      </c>
      <c r="Z31">
        <v>0</v>
      </c>
      <c r="AA31">
        <v>0</v>
      </c>
      <c r="AB31">
        <v>7.8</v>
      </c>
      <c r="AC31">
        <v>0</v>
      </c>
      <c r="AD31">
        <v>1</v>
      </c>
      <c r="AE31">
        <v>1</v>
      </c>
      <c r="AF31" t="s">
        <v>6</v>
      </c>
      <c r="AG31">
        <v>11.39</v>
      </c>
      <c r="AH31">
        <v>2</v>
      </c>
      <c r="AI31">
        <v>16745189</v>
      </c>
      <c r="AJ31">
        <v>28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ROW(Source!A43)</f>
        <v>43</v>
      </c>
      <c r="B32">
        <v>16745194</v>
      </c>
      <c r="C32">
        <v>16745188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1293</v>
      </c>
      <c r="J32" t="s">
        <v>6</v>
      </c>
      <c r="K32" t="s">
        <v>1294</v>
      </c>
      <c r="L32">
        <v>1191</v>
      </c>
      <c r="N32">
        <v>1013</v>
      </c>
      <c r="O32" t="s">
        <v>1287</v>
      </c>
      <c r="P32" t="s">
        <v>1287</v>
      </c>
      <c r="Q32">
        <v>1</v>
      </c>
      <c r="X32">
        <v>0.13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6</v>
      </c>
      <c r="AG32">
        <v>0.13</v>
      </c>
      <c r="AH32">
        <v>2</v>
      </c>
      <c r="AI32">
        <v>16745190</v>
      </c>
      <c r="AJ32">
        <v>29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ROW(Source!A43)</f>
        <v>43</v>
      </c>
      <c r="B33">
        <v>16745195</v>
      </c>
      <c r="C33">
        <v>16745188</v>
      </c>
      <c r="D33">
        <v>15247974</v>
      </c>
      <c r="E33">
        <v>1</v>
      </c>
      <c r="F33">
        <v>1</v>
      </c>
      <c r="G33">
        <v>1</v>
      </c>
      <c r="H33">
        <v>2</v>
      </c>
      <c r="I33" t="s">
        <v>1314</v>
      </c>
      <c r="J33" t="s">
        <v>1315</v>
      </c>
      <c r="K33" t="s">
        <v>1316</v>
      </c>
      <c r="L33">
        <v>1368</v>
      </c>
      <c r="N33">
        <v>1011</v>
      </c>
      <c r="O33" t="s">
        <v>1298</v>
      </c>
      <c r="P33" t="s">
        <v>1298</v>
      </c>
      <c r="Q33">
        <v>1</v>
      </c>
      <c r="X33">
        <v>0.13</v>
      </c>
      <c r="Y33">
        <v>0</v>
      </c>
      <c r="Z33">
        <v>31.26</v>
      </c>
      <c r="AA33">
        <v>13.5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0.13</v>
      </c>
      <c r="AH33">
        <v>2</v>
      </c>
      <c r="AI33">
        <v>16745191</v>
      </c>
      <c r="AJ33">
        <v>30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ROW(Source!A43)</f>
        <v>43</v>
      </c>
      <c r="B34">
        <v>16745196</v>
      </c>
      <c r="C34">
        <v>16745188</v>
      </c>
      <c r="D34">
        <v>15164566</v>
      </c>
      <c r="E34">
        <v>17</v>
      </c>
      <c r="F34">
        <v>1</v>
      </c>
      <c r="G34">
        <v>1</v>
      </c>
      <c r="H34">
        <v>3</v>
      </c>
      <c r="I34" t="s">
        <v>98</v>
      </c>
      <c r="J34" t="s">
        <v>6</v>
      </c>
      <c r="K34" t="s">
        <v>99</v>
      </c>
      <c r="L34">
        <v>1348</v>
      </c>
      <c r="N34">
        <v>1009</v>
      </c>
      <c r="O34" t="s">
        <v>100</v>
      </c>
      <c r="P34" t="s">
        <v>100</v>
      </c>
      <c r="Q34">
        <v>1000</v>
      </c>
      <c r="X34">
        <v>0.47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6</v>
      </c>
      <c r="AG34">
        <v>0.47</v>
      </c>
      <c r="AH34">
        <v>2</v>
      </c>
      <c r="AI34">
        <v>16745192</v>
      </c>
      <c r="AJ34">
        <v>31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ROW(Source!A45)</f>
        <v>45</v>
      </c>
      <c r="B35">
        <v>16745201</v>
      </c>
      <c r="C35">
        <v>16745199</v>
      </c>
      <c r="D35">
        <v>15430517</v>
      </c>
      <c r="E35">
        <v>1</v>
      </c>
      <c r="F35">
        <v>1</v>
      </c>
      <c r="G35">
        <v>1</v>
      </c>
      <c r="H35">
        <v>1</v>
      </c>
      <c r="I35" t="s">
        <v>1337</v>
      </c>
      <c r="J35" t="s">
        <v>6</v>
      </c>
      <c r="K35" t="s">
        <v>1338</v>
      </c>
      <c r="L35">
        <v>1191</v>
      </c>
      <c r="N35">
        <v>1013</v>
      </c>
      <c r="O35" t="s">
        <v>1287</v>
      </c>
      <c r="P35" t="s">
        <v>1287</v>
      </c>
      <c r="Q35">
        <v>1</v>
      </c>
      <c r="X35">
        <v>17.440000000000001</v>
      </c>
      <c r="Y35">
        <v>0</v>
      </c>
      <c r="Z35">
        <v>0</v>
      </c>
      <c r="AA35">
        <v>0</v>
      </c>
      <c r="AB35">
        <v>7.8</v>
      </c>
      <c r="AC35">
        <v>0</v>
      </c>
      <c r="AD35">
        <v>1</v>
      </c>
      <c r="AE35">
        <v>1</v>
      </c>
      <c r="AF35" t="s">
        <v>6</v>
      </c>
      <c r="AG35">
        <v>17.440000000000001</v>
      </c>
      <c r="AH35">
        <v>2</v>
      </c>
      <c r="AI35">
        <v>16745200</v>
      </c>
      <c r="AJ35">
        <v>32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ROW(Source!A45)</f>
        <v>45</v>
      </c>
      <c r="B36">
        <v>16745202</v>
      </c>
      <c r="C36">
        <v>16745199</v>
      </c>
      <c r="D36">
        <v>15164566</v>
      </c>
      <c r="E36">
        <v>17</v>
      </c>
      <c r="F36">
        <v>1</v>
      </c>
      <c r="G36">
        <v>1</v>
      </c>
      <c r="H36">
        <v>3</v>
      </c>
      <c r="I36" t="s">
        <v>98</v>
      </c>
      <c r="J36" t="s">
        <v>6</v>
      </c>
      <c r="K36" t="s">
        <v>99</v>
      </c>
      <c r="L36">
        <v>1348</v>
      </c>
      <c r="N36">
        <v>1009</v>
      </c>
      <c r="O36" t="s">
        <v>100</v>
      </c>
      <c r="P36" t="s">
        <v>100</v>
      </c>
      <c r="Q36">
        <v>1000</v>
      </c>
      <c r="X36">
        <v>4.67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6</v>
      </c>
      <c r="AG36">
        <v>4.67</v>
      </c>
      <c r="AH36">
        <v>3</v>
      </c>
      <c r="AI36">
        <v>-1</v>
      </c>
      <c r="AJ36" t="s">
        <v>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ROW(Source!A46)</f>
        <v>46</v>
      </c>
      <c r="B37">
        <v>16745215</v>
      </c>
      <c r="C37">
        <v>16745211</v>
      </c>
      <c r="D37">
        <v>15430767</v>
      </c>
      <c r="E37">
        <v>1</v>
      </c>
      <c r="F37">
        <v>1</v>
      </c>
      <c r="G37">
        <v>1</v>
      </c>
      <c r="H37">
        <v>1</v>
      </c>
      <c r="I37" t="s">
        <v>1285</v>
      </c>
      <c r="J37" t="s">
        <v>6</v>
      </c>
      <c r="K37" t="s">
        <v>1286</v>
      </c>
      <c r="L37">
        <v>1191</v>
      </c>
      <c r="N37">
        <v>1013</v>
      </c>
      <c r="O37" t="s">
        <v>1287</v>
      </c>
      <c r="P37" t="s">
        <v>1287</v>
      </c>
      <c r="Q37">
        <v>1</v>
      </c>
      <c r="X37">
        <v>69.87</v>
      </c>
      <c r="Y37">
        <v>0</v>
      </c>
      <c r="Z37">
        <v>0</v>
      </c>
      <c r="AA37">
        <v>0</v>
      </c>
      <c r="AB37">
        <v>8.5299999999999994</v>
      </c>
      <c r="AC37">
        <v>0</v>
      </c>
      <c r="AD37">
        <v>1</v>
      </c>
      <c r="AE37">
        <v>1</v>
      </c>
      <c r="AF37" t="s">
        <v>6</v>
      </c>
      <c r="AG37">
        <v>69.87</v>
      </c>
      <c r="AH37">
        <v>2</v>
      </c>
      <c r="AI37">
        <v>16745212</v>
      </c>
      <c r="AJ37">
        <v>33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ROW(Source!A46)</f>
        <v>46</v>
      </c>
      <c r="B38">
        <v>16745216</v>
      </c>
      <c r="C38">
        <v>16745211</v>
      </c>
      <c r="D38">
        <v>15430395</v>
      </c>
      <c r="E38">
        <v>1</v>
      </c>
      <c r="F38">
        <v>1</v>
      </c>
      <c r="G38">
        <v>1</v>
      </c>
      <c r="H38">
        <v>1</v>
      </c>
      <c r="I38" t="s">
        <v>1293</v>
      </c>
      <c r="J38" t="s">
        <v>6</v>
      </c>
      <c r="K38" t="s">
        <v>1294</v>
      </c>
      <c r="L38">
        <v>1191</v>
      </c>
      <c r="N38">
        <v>1013</v>
      </c>
      <c r="O38" t="s">
        <v>1287</v>
      </c>
      <c r="P38" t="s">
        <v>1287</v>
      </c>
      <c r="Q38">
        <v>1</v>
      </c>
      <c r="X38">
        <v>1.44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2</v>
      </c>
      <c r="AF38" t="s">
        <v>6</v>
      </c>
      <c r="AG38">
        <v>1.44</v>
      </c>
      <c r="AH38">
        <v>2</v>
      </c>
      <c r="AI38">
        <v>16745213</v>
      </c>
      <c r="AJ38">
        <v>34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ROW(Source!A46)</f>
        <v>46</v>
      </c>
      <c r="B39">
        <v>16745217</v>
      </c>
      <c r="C39">
        <v>16745211</v>
      </c>
      <c r="D39">
        <v>15247974</v>
      </c>
      <c r="E39">
        <v>1</v>
      </c>
      <c r="F39">
        <v>1</v>
      </c>
      <c r="G39">
        <v>1</v>
      </c>
      <c r="H39">
        <v>2</v>
      </c>
      <c r="I39" t="s">
        <v>1314</v>
      </c>
      <c r="J39" t="s">
        <v>1315</v>
      </c>
      <c r="K39" t="s">
        <v>1316</v>
      </c>
      <c r="L39">
        <v>1368</v>
      </c>
      <c r="N39">
        <v>1011</v>
      </c>
      <c r="O39" t="s">
        <v>1298</v>
      </c>
      <c r="P39" t="s">
        <v>1298</v>
      </c>
      <c r="Q39">
        <v>1</v>
      </c>
      <c r="X39">
        <v>1.44</v>
      </c>
      <c r="Y39">
        <v>0</v>
      </c>
      <c r="Z39">
        <v>31.26</v>
      </c>
      <c r="AA39">
        <v>13.5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1.44</v>
      </c>
      <c r="AH39">
        <v>2</v>
      </c>
      <c r="AI39">
        <v>16745214</v>
      </c>
      <c r="AJ39">
        <v>35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ROW(Source!A46)</f>
        <v>46</v>
      </c>
      <c r="B40">
        <v>16745218</v>
      </c>
      <c r="C40">
        <v>16745211</v>
      </c>
      <c r="D40">
        <v>15164566</v>
      </c>
      <c r="E40">
        <v>17</v>
      </c>
      <c r="F40">
        <v>1</v>
      </c>
      <c r="G40">
        <v>1</v>
      </c>
      <c r="H40">
        <v>3</v>
      </c>
      <c r="I40" t="s">
        <v>98</v>
      </c>
      <c r="J40" t="s">
        <v>6</v>
      </c>
      <c r="K40" t="s">
        <v>99</v>
      </c>
      <c r="L40">
        <v>1348</v>
      </c>
      <c r="N40">
        <v>1009</v>
      </c>
      <c r="O40" t="s">
        <v>100</v>
      </c>
      <c r="P40" t="s">
        <v>100</v>
      </c>
      <c r="Q40">
        <v>1000</v>
      </c>
      <c r="X40">
        <v>5.2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6</v>
      </c>
      <c r="AG40">
        <v>5.2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ROW(Source!A47)</f>
        <v>47</v>
      </c>
      <c r="B41">
        <v>16745225</v>
      </c>
      <c r="C41">
        <v>16745219</v>
      </c>
      <c r="D41">
        <v>15431465</v>
      </c>
      <c r="E41">
        <v>1</v>
      </c>
      <c r="F41">
        <v>1</v>
      </c>
      <c r="G41">
        <v>1</v>
      </c>
      <c r="H41">
        <v>1</v>
      </c>
      <c r="I41" t="s">
        <v>1339</v>
      </c>
      <c r="J41" t="s">
        <v>6</v>
      </c>
      <c r="K41" t="s">
        <v>1340</v>
      </c>
      <c r="L41">
        <v>1191</v>
      </c>
      <c r="N41">
        <v>1013</v>
      </c>
      <c r="O41" t="s">
        <v>1287</v>
      </c>
      <c r="P41" t="s">
        <v>1287</v>
      </c>
      <c r="Q41">
        <v>1</v>
      </c>
      <c r="X41">
        <v>74.3</v>
      </c>
      <c r="Y41">
        <v>0</v>
      </c>
      <c r="Z41">
        <v>0</v>
      </c>
      <c r="AA41">
        <v>0</v>
      </c>
      <c r="AB41">
        <v>7.87</v>
      </c>
      <c r="AC41">
        <v>0</v>
      </c>
      <c r="AD41">
        <v>1</v>
      </c>
      <c r="AE41">
        <v>1</v>
      </c>
      <c r="AF41" t="s">
        <v>6</v>
      </c>
      <c r="AG41">
        <v>74.3</v>
      </c>
      <c r="AH41">
        <v>2</v>
      </c>
      <c r="AI41">
        <v>16745220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ROW(Source!A47)</f>
        <v>47</v>
      </c>
      <c r="B42">
        <v>16745226</v>
      </c>
      <c r="C42">
        <v>16745219</v>
      </c>
      <c r="D42">
        <v>15430395</v>
      </c>
      <c r="E42">
        <v>1</v>
      </c>
      <c r="F42">
        <v>1</v>
      </c>
      <c r="G42">
        <v>1</v>
      </c>
      <c r="H42">
        <v>1</v>
      </c>
      <c r="I42" t="s">
        <v>1293</v>
      </c>
      <c r="J42" t="s">
        <v>6</v>
      </c>
      <c r="K42" t="s">
        <v>1294</v>
      </c>
      <c r="L42">
        <v>1191</v>
      </c>
      <c r="N42">
        <v>1013</v>
      </c>
      <c r="O42" t="s">
        <v>1287</v>
      </c>
      <c r="P42" t="s">
        <v>1287</v>
      </c>
      <c r="Q42">
        <v>1</v>
      </c>
      <c r="X42">
        <v>0.35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2</v>
      </c>
      <c r="AF42" t="s">
        <v>6</v>
      </c>
      <c r="AG42">
        <v>0.35</v>
      </c>
      <c r="AH42">
        <v>2</v>
      </c>
      <c r="AI42">
        <v>16745221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ROW(Source!A47)</f>
        <v>47</v>
      </c>
      <c r="B43">
        <v>16745227</v>
      </c>
      <c r="C43">
        <v>16745219</v>
      </c>
      <c r="D43">
        <v>15247974</v>
      </c>
      <c r="E43">
        <v>1</v>
      </c>
      <c r="F43">
        <v>1</v>
      </c>
      <c r="G43">
        <v>1</v>
      </c>
      <c r="H43">
        <v>2</v>
      </c>
      <c r="I43" t="s">
        <v>1314</v>
      </c>
      <c r="J43" t="s">
        <v>1315</v>
      </c>
      <c r="K43" t="s">
        <v>1316</v>
      </c>
      <c r="L43">
        <v>1368</v>
      </c>
      <c r="N43">
        <v>1011</v>
      </c>
      <c r="O43" t="s">
        <v>1298</v>
      </c>
      <c r="P43" t="s">
        <v>1298</v>
      </c>
      <c r="Q43">
        <v>1</v>
      </c>
      <c r="X43">
        <v>0.35</v>
      </c>
      <c r="Y43">
        <v>0</v>
      </c>
      <c r="Z43">
        <v>31.26</v>
      </c>
      <c r="AA43">
        <v>13.5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0.35</v>
      </c>
      <c r="AH43">
        <v>2</v>
      </c>
      <c r="AI43">
        <v>16745222</v>
      </c>
      <c r="AJ43">
        <v>38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ROW(Source!A47)</f>
        <v>47</v>
      </c>
      <c r="B44">
        <v>16745228</v>
      </c>
      <c r="C44">
        <v>16745219</v>
      </c>
      <c r="D44">
        <v>15249402</v>
      </c>
      <c r="E44">
        <v>1</v>
      </c>
      <c r="F44">
        <v>1</v>
      </c>
      <c r="G44">
        <v>1</v>
      </c>
      <c r="H44">
        <v>2</v>
      </c>
      <c r="I44" t="s">
        <v>1341</v>
      </c>
      <c r="J44" t="s">
        <v>1342</v>
      </c>
      <c r="K44" t="s">
        <v>1343</v>
      </c>
      <c r="L44">
        <v>1368</v>
      </c>
      <c r="N44">
        <v>1011</v>
      </c>
      <c r="O44" t="s">
        <v>1298</v>
      </c>
      <c r="P44" t="s">
        <v>1298</v>
      </c>
      <c r="Q44">
        <v>1</v>
      </c>
      <c r="X44">
        <v>1.64</v>
      </c>
      <c r="Y44">
        <v>0</v>
      </c>
      <c r="Z44">
        <v>32.5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1.64</v>
      </c>
      <c r="AH44">
        <v>2</v>
      </c>
      <c r="AI44">
        <v>16745223</v>
      </c>
      <c r="AJ44">
        <v>39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ROW(Source!A47)</f>
        <v>47</v>
      </c>
      <c r="B45">
        <v>16745229</v>
      </c>
      <c r="C45">
        <v>16745219</v>
      </c>
      <c r="D45">
        <v>15249998</v>
      </c>
      <c r="E45">
        <v>1</v>
      </c>
      <c r="F45">
        <v>1</v>
      </c>
      <c r="G45">
        <v>1</v>
      </c>
      <c r="H45">
        <v>2</v>
      </c>
      <c r="I45" t="s">
        <v>1344</v>
      </c>
      <c r="J45" t="s">
        <v>1345</v>
      </c>
      <c r="K45" t="s">
        <v>1346</v>
      </c>
      <c r="L45">
        <v>1368</v>
      </c>
      <c r="N45">
        <v>1011</v>
      </c>
      <c r="O45" t="s">
        <v>1298</v>
      </c>
      <c r="P45" t="s">
        <v>1298</v>
      </c>
      <c r="Q45">
        <v>1</v>
      </c>
      <c r="X45">
        <v>3.28</v>
      </c>
      <c r="Y45">
        <v>0</v>
      </c>
      <c r="Z45">
        <v>1.53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3.28</v>
      </c>
      <c r="AH45">
        <v>2</v>
      </c>
      <c r="AI45">
        <v>16745224</v>
      </c>
      <c r="AJ45">
        <v>40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ROW(Source!A48)</f>
        <v>48</v>
      </c>
      <c r="B46">
        <v>16748829</v>
      </c>
      <c r="C46">
        <v>16748828</v>
      </c>
      <c r="D46">
        <v>15430767</v>
      </c>
      <c r="E46">
        <v>1</v>
      </c>
      <c r="F46">
        <v>1</v>
      </c>
      <c r="G46">
        <v>1</v>
      </c>
      <c r="H46">
        <v>1</v>
      </c>
      <c r="I46" t="s">
        <v>1285</v>
      </c>
      <c r="J46" t="s">
        <v>6</v>
      </c>
      <c r="K46" t="s">
        <v>1286</v>
      </c>
      <c r="L46">
        <v>1191</v>
      </c>
      <c r="N46">
        <v>1013</v>
      </c>
      <c r="O46" t="s">
        <v>1287</v>
      </c>
      <c r="P46" t="s">
        <v>1287</v>
      </c>
      <c r="Q46">
        <v>1</v>
      </c>
      <c r="X46">
        <v>50.79</v>
      </c>
      <c r="Y46">
        <v>0</v>
      </c>
      <c r="Z46">
        <v>0</v>
      </c>
      <c r="AA46">
        <v>0</v>
      </c>
      <c r="AB46">
        <v>8.5299999999999994</v>
      </c>
      <c r="AC46">
        <v>0</v>
      </c>
      <c r="AD46">
        <v>1</v>
      </c>
      <c r="AE46">
        <v>1</v>
      </c>
      <c r="AF46" t="s">
        <v>120</v>
      </c>
      <c r="AG46">
        <v>35.552999999999997</v>
      </c>
      <c r="AH46">
        <v>2</v>
      </c>
      <c r="AI46">
        <v>16748829</v>
      </c>
      <c r="AJ46">
        <v>41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ROW(Source!A48)</f>
        <v>48</v>
      </c>
      <c r="B47">
        <v>16748830</v>
      </c>
      <c r="C47">
        <v>16748828</v>
      </c>
      <c r="D47">
        <v>15430395</v>
      </c>
      <c r="E47">
        <v>1</v>
      </c>
      <c r="F47">
        <v>1</v>
      </c>
      <c r="G47">
        <v>1</v>
      </c>
      <c r="H47">
        <v>1</v>
      </c>
      <c r="I47" t="s">
        <v>1293</v>
      </c>
      <c r="J47" t="s">
        <v>6</v>
      </c>
      <c r="K47" t="s">
        <v>1294</v>
      </c>
      <c r="L47">
        <v>1191</v>
      </c>
      <c r="N47">
        <v>1013</v>
      </c>
      <c r="O47" t="s">
        <v>1287</v>
      </c>
      <c r="P47" t="s">
        <v>1287</v>
      </c>
      <c r="Q47">
        <v>1</v>
      </c>
      <c r="X47">
        <v>0.31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2</v>
      </c>
      <c r="AF47" t="s">
        <v>120</v>
      </c>
      <c r="AG47">
        <v>0.217</v>
      </c>
      <c r="AH47">
        <v>2</v>
      </c>
      <c r="AI47">
        <v>16748830</v>
      </c>
      <c r="AJ47">
        <v>42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ROW(Source!A48)</f>
        <v>48</v>
      </c>
      <c r="B48">
        <v>16748831</v>
      </c>
      <c r="C48">
        <v>16748828</v>
      </c>
      <c r="D48">
        <v>15247680</v>
      </c>
      <c r="E48">
        <v>1</v>
      </c>
      <c r="F48">
        <v>1</v>
      </c>
      <c r="G48">
        <v>1</v>
      </c>
      <c r="H48">
        <v>2</v>
      </c>
      <c r="I48" t="s">
        <v>1295</v>
      </c>
      <c r="J48" t="s">
        <v>1296</v>
      </c>
      <c r="K48" t="s">
        <v>1297</v>
      </c>
      <c r="L48">
        <v>1368</v>
      </c>
      <c r="N48">
        <v>1011</v>
      </c>
      <c r="O48" t="s">
        <v>1298</v>
      </c>
      <c r="P48" t="s">
        <v>1298</v>
      </c>
      <c r="Q48">
        <v>1</v>
      </c>
      <c r="X48">
        <v>0.12</v>
      </c>
      <c r="Y48">
        <v>0</v>
      </c>
      <c r="Z48">
        <v>111.99</v>
      </c>
      <c r="AA48">
        <v>13.5</v>
      </c>
      <c r="AB48">
        <v>0</v>
      </c>
      <c r="AC48">
        <v>0</v>
      </c>
      <c r="AD48">
        <v>1</v>
      </c>
      <c r="AE48">
        <v>0</v>
      </c>
      <c r="AF48" t="s">
        <v>120</v>
      </c>
      <c r="AG48">
        <v>8.3999999999999991E-2</v>
      </c>
      <c r="AH48">
        <v>2</v>
      </c>
      <c r="AI48">
        <v>16748831</v>
      </c>
      <c r="AJ48">
        <v>43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ROW(Source!A48)</f>
        <v>48</v>
      </c>
      <c r="B49">
        <v>16748832</v>
      </c>
      <c r="C49">
        <v>16748828</v>
      </c>
      <c r="D49">
        <v>15247880</v>
      </c>
      <c r="E49">
        <v>1</v>
      </c>
      <c r="F49">
        <v>1</v>
      </c>
      <c r="G49">
        <v>1</v>
      </c>
      <c r="H49">
        <v>2</v>
      </c>
      <c r="I49" t="s">
        <v>1347</v>
      </c>
      <c r="J49" t="s">
        <v>1348</v>
      </c>
      <c r="K49" t="s">
        <v>1349</v>
      </c>
      <c r="L49">
        <v>1368</v>
      </c>
      <c r="N49">
        <v>1011</v>
      </c>
      <c r="O49" t="s">
        <v>1298</v>
      </c>
      <c r="P49" t="s">
        <v>1298</v>
      </c>
      <c r="Q49">
        <v>1</v>
      </c>
      <c r="X49">
        <v>10.53</v>
      </c>
      <c r="Y49">
        <v>0</v>
      </c>
      <c r="Z49">
        <v>6.9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120</v>
      </c>
      <c r="AG49">
        <v>7.3709999999999987</v>
      </c>
      <c r="AH49">
        <v>2</v>
      </c>
      <c r="AI49">
        <v>16748832</v>
      </c>
      <c r="AJ49">
        <v>44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ROW(Source!A48)</f>
        <v>48</v>
      </c>
      <c r="B50">
        <v>16748833</v>
      </c>
      <c r="C50">
        <v>16748828</v>
      </c>
      <c r="D50">
        <v>15249073</v>
      </c>
      <c r="E50">
        <v>1</v>
      </c>
      <c r="F50">
        <v>1</v>
      </c>
      <c r="G50">
        <v>1</v>
      </c>
      <c r="H50">
        <v>2</v>
      </c>
      <c r="I50" t="s">
        <v>1299</v>
      </c>
      <c r="J50" t="s">
        <v>1300</v>
      </c>
      <c r="K50" t="s">
        <v>1301</v>
      </c>
      <c r="L50">
        <v>1368</v>
      </c>
      <c r="N50">
        <v>1011</v>
      </c>
      <c r="O50" t="s">
        <v>1298</v>
      </c>
      <c r="P50" t="s">
        <v>1298</v>
      </c>
      <c r="Q50">
        <v>1</v>
      </c>
      <c r="X50">
        <v>0.19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120</v>
      </c>
      <c r="AG50">
        <v>0.13299999999999998</v>
      </c>
      <c r="AH50">
        <v>2</v>
      </c>
      <c r="AI50">
        <v>16748833</v>
      </c>
      <c r="AJ50">
        <v>45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ROW(Source!A48)</f>
        <v>48</v>
      </c>
      <c r="B51">
        <v>16748834</v>
      </c>
      <c r="C51">
        <v>16748828</v>
      </c>
      <c r="D51">
        <v>15249308</v>
      </c>
      <c r="E51">
        <v>1</v>
      </c>
      <c r="F51">
        <v>1</v>
      </c>
      <c r="G51">
        <v>1</v>
      </c>
      <c r="H51">
        <v>2</v>
      </c>
      <c r="I51" t="s">
        <v>1350</v>
      </c>
      <c r="J51" t="s">
        <v>1351</v>
      </c>
      <c r="K51" t="s">
        <v>1352</v>
      </c>
      <c r="L51">
        <v>1368</v>
      </c>
      <c r="N51">
        <v>1011</v>
      </c>
      <c r="O51" t="s">
        <v>1298</v>
      </c>
      <c r="P51" t="s">
        <v>1298</v>
      </c>
      <c r="Q51">
        <v>1</v>
      </c>
      <c r="X51">
        <v>1.86</v>
      </c>
      <c r="Y51">
        <v>0</v>
      </c>
      <c r="Z51">
        <v>1.2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120</v>
      </c>
      <c r="AG51">
        <v>1.302</v>
      </c>
      <c r="AH51">
        <v>2</v>
      </c>
      <c r="AI51">
        <v>16748834</v>
      </c>
      <c r="AJ51">
        <v>46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ROW(Source!A48)</f>
        <v>48</v>
      </c>
      <c r="B52">
        <v>16748835</v>
      </c>
      <c r="C52">
        <v>16748828</v>
      </c>
      <c r="D52">
        <v>15249355</v>
      </c>
      <c r="E52">
        <v>1</v>
      </c>
      <c r="F52">
        <v>1</v>
      </c>
      <c r="G52">
        <v>1</v>
      </c>
      <c r="H52">
        <v>2</v>
      </c>
      <c r="I52" t="s">
        <v>1353</v>
      </c>
      <c r="J52" t="s">
        <v>1354</v>
      </c>
      <c r="K52" t="s">
        <v>1355</v>
      </c>
      <c r="L52">
        <v>1368</v>
      </c>
      <c r="N52">
        <v>1011</v>
      </c>
      <c r="O52" t="s">
        <v>1298</v>
      </c>
      <c r="P52" t="s">
        <v>1298</v>
      </c>
      <c r="Q52">
        <v>1</v>
      </c>
      <c r="X52">
        <v>2.0299999999999998</v>
      </c>
      <c r="Y52">
        <v>0</v>
      </c>
      <c r="Z52">
        <v>12.31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120</v>
      </c>
      <c r="AG52">
        <v>1.4209999999999998</v>
      </c>
      <c r="AH52">
        <v>2</v>
      </c>
      <c r="AI52">
        <v>16748835</v>
      </c>
      <c r="AJ52">
        <v>47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ROW(Source!A48)</f>
        <v>48</v>
      </c>
      <c r="B53">
        <v>16748836</v>
      </c>
      <c r="C53">
        <v>16748828</v>
      </c>
      <c r="D53">
        <v>15165653</v>
      </c>
      <c r="E53">
        <v>1</v>
      </c>
      <c r="F53">
        <v>1</v>
      </c>
      <c r="G53">
        <v>1</v>
      </c>
      <c r="H53">
        <v>3</v>
      </c>
      <c r="I53" t="s">
        <v>1356</v>
      </c>
      <c r="J53" t="s">
        <v>1357</v>
      </c>
      <c r="K53" t="s">
        <v>1358</v>
      </c>
      <c r="L53">
        <v>1339</v>
      </c>
      <c r="N53">
        <v>1007</v>
      </c>
      <c r="O53" t="s">
        <v>301</v>
      </c>
      <c r="P53" t="s">
        <v>301</v>
      </c>
      <c r="Q53">
        <v>1</v>
      </c>
      <c r="X53">
        <v>1.5</v>
      </c>
      <c r="Y53">
        <v>6.22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48</v>
      </c>
      <c r="AG53">
        <v>0</v>
      </c>
      <c r="AH53">
        <v>2</v>
      </c>
      <c r="AI53">
        <v>16748836</v>
      </c>
      <c r="AJ53">
        <v>48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ROW(Source!A48)</f>
        <v>48</v>
      </c>
      <c r="B54">
        <v>16748837</v>
      </c>
      <c r="C54">
        <v>16748828</v>
      </c>
      <c r="D54">
        <v>15165660</v>
      </c>
      <c r="E54">
        <v>1</v>
      </c>
      <c r="F54">
        <v>1</v>
      </c>
      <c r="G54">
        <v>1</v>
      </c>
      <c r="H54">
        <v>3</v>
      </c>
      <c r="I54" t="s">
        <v>1359</v>
      </c>
      <c r="J54" t="s">
        <v>1360</v>
      </c>
      <c r="K54" t="s">
        <v>1361</v>
      </c>
      <c r="L54">
        <v>1346</v>
      </c>
      <c r="N54">
        <v>1009</v>
      </c>
      <c r="O54" t="s">
        <v>341</v>
      </c>
      <c r="P54" t="s">
        <v>341</v>
      </c>
      <c r="Q54">
        <v>1</v>
      </c>
      <c r="X54">
        <v>0.45</v>
      </c>
      <c r="Y54">
        <v>6.09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48</v>
      </c>
      <c r="AG54">
        <v>0</v>
      </c>
      <c r="AH54">
        <v>2</v>
      </c>
      <c r="AI54">
        <v>16748837</v>
      </c>
      <c r="AJ54">
        <v>49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ROW(Source!A48)</f>
        <v>48</v>
      </c>
      <c r="B55">
        <v>16748838</v>
      </c>
      <c r="C55">
        <v>16748828</v>
      </c>
      <c r="D55">
        <v>15168753</v>
      </c>
      <c r="E55">
        <v>1</v>
      </c>
      <c r="F55">
        <v>1</v>
      </c>
      <c r="G55">
        <v>1</v>
      </c>
      <c r="H55">
        <v>3</v>
      </c>
      <c r="I55" t="s">
        <v>1362</v>
      </c>
      <c r="J55" t="s">
        <v>1363</v>
      </c>
      <c r="K55" t="s">
        <v>1364</v>
      </c>
      <c r="L55">
        <v>1348</v>
      </c>
      <c r="N55">
        <v>1009</v>
      </c>
      <c r="O55" t="s">
        <v>100</v>
      </c>
      <c r="P55" t="s">
        <v>100</v>
      </c>
      <c r="Q55">
        <v>1000</v>
      </c>
      <c r="X55">
        <v>1.4E-3</v>
      </c>
      <c r="Y55">
        <v>10749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48</v>
      </c>
      <c r="AG55">
        <v>0</v>
      </c>
      <c r="AH55">
        <v>2</v>
      </c>
      <c r="AI55">
        <v>16748838</v>
      </c>
      <c r="AJ55">
        <v>50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ROW(Source!A48)</f>
        <v>48</v>
      </c>
      <c r="B56">
        <v>16748839</v>
      </c>
      <c r="C56">
        <v>16748828</v>
      </c>
      <c r="D56">
        <v>15169941</v>
      </c>
      <c r="E56">
        <v>1</v>
      </c>
      <c r="F56">
        <v>1</v>
      </c>
      <c r="G56">
        <v>1</v>
      </c>
      <c r="H56">
        <v>3</v>
      </c>
      <c r="I56" t="s">
        <v>1308</v>
      </c>
      <c r="J56" t="s">
        <v>1309</v>
      </c>
      <c r="K56" t="s">
        <v>1310</v>
      </c>
      <c r="L56">
        <v>1348</v>
      </c>
      <c r="N56">
        <v>1009</v>
      </c>
      <c r="O56" t="s">
        <v>100</v>
      </c>
      <c r="P56" t="s">
        <v>100</v>
      </c>
      <c r="Q56">
        <v>1000</v>
      </c>
      <c r="X56">
        <v>3.3E-3</v>
      </c>
      <c r="Y56">
        <v>9040.01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48</v>
      </c>
      <c r="AG56">
        <v>0</v>
      </c>
      <c r="AH56">
        <v>2</v>
      </c>
      <c r="AI56">
        <v>16748839</v>
      </c>
      <c r="AJ56">
        <v>51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ROW(Source!A48)</f>
        <v>48</v>
      </c>
      <c r="B57">
        <v>16748840</v>
      </c>
      <c r="C57">
        <v>16748828</v>
      </c>
      <c r="D57">
        <v>15170039</v>
      </c>
      <c r="E57">
        <v>1</v>
      </c>
      <c r="F57">
        <v>1</v>
      </c>
      <c r="G57">
        <v>1</v>
      </c>
      <c r="H57">
        <v>3</v>
      </c>
      <c r="I57" t="s">
        <v>1365</v>
      </c>
      <c r="J57" t="s">
        <v>1366</v>
      </c>
      <c r="K57" t="s">
        <v>1367</v>
      </c>
      <c r="L57">
        <v>1348</v>
      </c>
      <c r="N57">
        <v>1009</v>
      </c>
      <c r="O57" t="s">
        <v>100</v>
      </c>
      <c r="P57" t="s">
        <v>100</v>
      </c>
      <c r="Q57">
        <v>1000</v>
      </c>
      <c r="X57">
        <v>1.0000000000000001E-5</v>
      </c>
      <c r="Y57">
        <v>11978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48</v>
      </c>
      <c r="AG57">
        <v>0</v>
      </c>
      <c r="AH57">
        <v>2</v>
      </c>
      <c r="AI57">
        <v>16748840</v>
      </c>
      <c r="AJ57">
        <v>52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ROW(Source!A48)</f>
        <v>48</v>
      </c>
      <c r="B58">
        <v>16748841</v>
      </c>
      <c r="C58">
        <v>16748828</v>
      </c>
      <c r="D58">
        <v>15171021</v>
      </c>
      <c r="E58">
        <v>1</v>
      </c>
      <c r="F58">
        <v>1</v>
      </c>
      <c r="G58">
        <v>1</v>
      </c>
      <c r="H58">
        <v>3</v>
      </c>
      <c r="I58" t="s">
        <v>1368</v>
      </c>
      <c r="J58" t="s">
        <v>1369</v>
      </c>
      <c r="K58" t="s">
        <v>1370</v>
      </c>
      <c r="L58">
        <v>1348</v>
      </c>
      <c r="N58">
        <v>1009</v>
      </c>
      <c r="O58" t="s">
        <v>100</v>
      </c>
      <c r="P58" t="s">
        <v>100</v>
      </c>
      <c r="Q58">
        <v>1000</v>
      </c>
      <c r="X58">
        <v>1E-4</v>
      </c>
      <c r="Y58">
        <v>37900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48</v>
      </c>
      <c r="AG58">
        <v>0</v>
      </c>
      <c r="AH58">
        <v>2</v>
      </c>
      <c r="AI58">
        <v>16748841</v>
      </c>
      <c r="AJ58">
        <v>53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ROW(Source!A48)</f>
        <v>48</v>
      </c>
      <c r="B59">
        <v>16748842</v>
      </c>
      <c r="C59">
        <v>16748828</v>
      </c>
      <c r="D59">
        <v>15161912</v>
      </c>
      <c r="E59">
        <v>17</v>
      </c>
      <c r="F59">
        <v>1</v>
      </c>
      <c r="G59">
        <v>1</v>
      </c>
      <c r="H59">
        <v>3</v>
      </c>
      <c r="I59" t="s">
        <v>319</v>
      </c>
      <c r="J59" t="s">
        <v>6</v>
      </c>
      <c r="K59" t="s">
        <v>320</v>
      </c>
      <c r="L59">
        <v>1348</v>
      </c>
      <c r="N59">
        <v>1009</v>
      </c>
      <c r="O59" t="s">
        <v>100</v>
      </c>
      <c r="P59" t="s">
        <v>100</v>
      </c>
      <c r="Q59">
        <v>1000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48</v>
      </c>
      <c r="AG59">
        <v>0</v>
      </c>
      <c r="AH59">
        <v>3</v>
      </c>
      <c r="AI59">
        <v>-1</v>
      </c>
      <c r="AJ59" t="s">
        <v>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ROW(Source!A48)</f>
        <v>48</v>
      </c>
      <c r="B60">
        <v>16748843</v>
      </c>
      <c r="C60">
        <v>16748828</v>
      </c>
      <c r="D60">
        <v>15190794</v>
      </c>
      <c r="E60">
        <v>1</v>
      </c>
      <c r="F60">
        <v>1</v>
      </c>
      <c r="G60">
        <v>1</v>
      </c>
      <c r="H60">
        <v>3</v>
      </c>
      <c r="I60" t="s">
        <v>1371</v>
      </c>
      <c r="J60" t="s">
        <v>1372</v>
      </c>
      <c r="K60" t="s">
        <v>1373</v>
      </c>
      <c r="L60">
        <v>1302</v>
      </c>
      <c r="N60">
        <v>1003</v>
      </c>
      <c r="O60" t="s">
        <v>740</v>
      </c>
      <c r="P60" t="s">
        <v>740</v>
      </c>
      <c r="Q60">
        <v>10</v>
      </c>
      <c r="X60">
        <v>1.8700000000000001E-2</v>
      </c>
      <c r="Y60">
        <v>50.24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48</v>
      </c>
      <c r="AG60">
        <v>0</v>
      </c>
      <c r="AH60">
        <v>2</v>
      </c>
      <c r="AI60">
        <v>16748843</v>
      </c>
      <c r="AJ60">
        <v>54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ROW(Source!A48)</f>
        <v>48</v>
      </c>
      <c r="B61">
        <v>16748844</v>
      </c>
      <c r="C61">
        <v>16748828</v>
      </c>
      <c r="D61">
        <v>15191153</v>
      </c>
      <c r="E61">
        <v>1</v>
      </c>
      <c r="F61">
        <v>1</v>
      </c>
      <c r="G61">
        <v>1</v>
      </c>
      <c r="H61">
        <v>3</v>
      </c>
      <c r="I61" t="s">
        <v>1374</v>
      </c>
      <c r="J61" t="s">
        <v>1375</v>
      </c>
      <c r="K61" t="s">
        <v>1376</v>
      </c>
      <c r="L61">
        <v>1348</v>
      </c>
      <c r="N61">
        <v>1009</v>
      </c>
      <c r="O61" t="s">
        <v>100</v>
      </c>
      <c r="P61" t="s">
        <v>100</v>
      </c>
      <c r="Q61">
        <v>1000</v>
      </c>
      <c r="X61">
        <v>3.0000000000000001E-5</v>
      </c>
      <c r="Y61">
        <v>4455.2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48</v>
      </c>
      <c r="AG61">
        <v>0</v>
      </c>
      <c r="AH61">
        <v>2</v>
      </c>
      <c r="AI61">
        <v>16748844</v>
      </c>
      <c r="AJ61">
        <v>55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ROW(Source!A48)</f>
        <v>48</v>
      </c>
      <c r="B62">
        <v>16748845</v>
      </c>
      <c r="C62">
        <v>16748828</v>
      </c>
      <c r="D62">
        <v>15191913</v>
      </c>
      <c r="E62">
        <v>1</v>
      </c>
      <c r="F62">
        <v>1</v>
      </c>
      <c r="G62">
        <v>1</v>
      </c>
      <c r="H62">
        <v>3</v>
      </c>
      <c r="I62" t="s">
        <v>1377</v>
      </c>
      <c r="J62" t="s">
        <v>1378</v>
      </c>
      <c r="K62" t="s">
        <v>1379</v>
      </c>
      <c r="L62">
        <v>1348</v>
      </c>
      <c r="N62">
        <v>1009</v>
      </c>
      <c r="O62" t="s">
        <v>100</v>
      </c>
      <c r="P62" t="s">
        <v>100</v>
      </c>
      <c r="Q62">
        <v>1000</v>
      </c>
      <c r="X62">
        <v>1.9400000000000001E-3</v>
      </c>
      <c r="Y62">
        <v>4920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48</v>
      </c>
      <c r="AG62">
        <v>0</v>
      </c>
      <c r="AH62">
        <v>2</v>
      </c>
      <c r="AI62">
        <v>16748845</v>
      </c>
      <c r="AJ62">
        <v>56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ROW(Source!A48)</f>
        <v>48</v>
      </c>
      <c r="B63">
        <v>16748846</v>
      </c>
      <c r="C63">
        <v>16748828</v>
      </c>
      <c r="D63">
        <v>15203461</v>
      </c>
      <c r="E63">
        <v>1</v>
      </c>
      <c r="F63">
        <v>1</v>
      </c>
      <c r="G63">
        <v>1</v>
      </c>
      <c r="H63">
        <v>3</v>
      </c>
      <c r="I63" t="s">
        <v>1380</v>
      </c>
      <c r="J63" t="s">
        <v>1381</v>
      </c>
      <c r="K63" t="s">
        <v>1382</v>
      </c>
      <c r="L63">
        <v>1348</v>
      </c>
      <c r="N63">
        <v>1009</v>
      </c>
      <c r="O63" t="s">
        <v>100</v>
      </c>
      <c r="P63" t="s">
        <v>100</v>
      </c>
      <c r="Q63">
        <v>1000</v>
      </c>
      <c r="X63">
        <v>3.1E-4</v>
      </c>
      <c r="Y63">
        <v>15620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48</v>
      </c>
      <c r="AG63">
        <v>0</v>
      </c>
      <c r="AH63">
        <v>2</v>
      </c>
      <c r="AI63">
        <v>16748846</v>
      </c>
      <c r="AJ63">
        <v>57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ROW(Source!A48)</f>
        <v>48</v>
      </c>
      <c r="B64">
        <v>16748847</v>
      </c>
      <c r="C64">
        <v>16748828</v>
      </c>
      <c r="D64">
        <v>15204663</v>
      </c>
      <c r="E64">
        <v>1</v>
      </c>
      <c r="F64">
        <v>1</v>
      </c>
      <c r="G64">
        <v>1</v>
      </c>
      <c r="H64">
        <v>3</v>
      </c>
      <c r="I64" t="s">
        <v>1383</v>
      </c>
      <c r="J64" t="s">
        <v>1384</v>
      </c>
      <c r="K64" t="s">
        <v>1385</v>
      </c>
      <c r="L64">
        <v>1348</v>
      </c>
      <c r="N64">
        <v>1009</v>
      </c>
      <c r="O64" t="s">
        <v>100</v>
      </c>
      <c r="P64" t="s">
        <v>100</v>
      </c>
      <c r="Q64">
        <v>1000</v>
      </c>
      <c r="X64">
        <v>5.9999999999999995E-4</v>
      </c>
      <c r="Y64">
        <v>9420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48</v>
      </c>
      <c r="AG64">
        <v>0</v>
      </c>
      <c r="AH64">
        <v>2</v>
      </c>
      <c r="AI64">
        <v>16748847</v>
      </c>
      <c r="AJ64">
        <v>58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ROW(Source!A49)</f>
        <v>49</v>
      </c>
      <c r="B65">
        <v>16745232</v>
      </c>
      <c r="C65">
        <v>16745230</v>
      </c>
      <c r="D65">
        <v>15435487</v>
      </c>
      <c r="E65">
        <v>1</v>
      </c>
      <c r="F65">
        <v>1</v>
      </c>
      <c r="G65">
        <v>1</v>
      </c>
      <c r="H65">
        <v>1</v>
      </c>
      <c r="I65" t="s">
        <v>1386</v>
      </c>
      <c r="J65" t="s">
        <v>6</v>
      </c>
      <c r="K65" t="s">
        <v>1387</v>
      </c>
      <c r="L65">
        <v>1191</v>
      </c>
      <c r="N65">
        <v>1013</v>
      </c>
      <c r="O65" t="s">
        <v>1287</v>
      </c>
      <c r="P65" t="s">
        <v>1287</v>
      </c>
      <c r="Q65">
        <v>1</v>
      </c>
      <c r="X65">
        <v>13.25</v>
      </c>
      <c r="Y65">
        <v>0</v>
      </c>
      <c r="Z65">
        <v>0</v>
      </c>
      <c r="AA65">
        <v>0</v>
      </c>
      <c r="AB65">
        <v>8.3800000000000008</v>
      </c>
      <c r="AC65">
        <v>0</v>
      </c>
      <c r="AD65">
        <v>1</v>
      </c>
      <c r="AE65">
        <v>1</v>
      </c>
      <c r="AF65" t="s">
        <v>6</v>
      </c>
      <c r="AG65">
        <v>13.25</v>
      </c>
      <c r="AH65">
        <v>2</v>
      </c>
      <c r="AI65">
        <v>16745231</v>
      </c>
      <c r="AJ65">
        <v>59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ROW(Source!A49)</f>
        <v>49</v>
      </c>
      <c r="B66">
        <v>16745233</v>
      </c>
      <c r="C66">
        <v>16745230</v>
      </c>
      <c r="D66">
        <v>15164566</v>
      </c>
      <c r="E66">
        <v>17</v>
      </c>
      <c r="F66">
        <v>1</v>
      </c>
      <c r="G66">
        <v>1</v>
      </c>
      <c r="H66">
        <v>3</v>
      </c>
      <c r="I66" t="s">
        <v>98</v>
      </c>
      <c r="J66" t="s">
        <v>6</v>
      </c>
      <c r="K66" t="s">
        <v>99</v>
      </c>
      <c r="L66">
        <v>1348</v>
      </c>
      <c r="N66">
        <v>1009</v>
      </c>
      <c r="O66" t="s">
        <v>100</v>
      </c>
      <c r="P66" t="s">
        <v>100</v>
      </c>
      <c r="Q66">
        <v>1000</v>
      </c>
      <c r="X66">
        <v>0.14000000000000001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6</v>
      </c>
      <c r="AG66">
        <v>0.14000000000000001</v>
      </c>
      <c r="AH66">
        <v>3</v>
      </c>
      <c r="AI66">
        <v>-1</v>
      </c>
      <c r="AJ66" t="s">
        <v>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ROW(Source!A84)</f>
        <v>84</v>
      </c>
      <c r="B67">
        <v>16745271</v>
      </c>
      <c r="C67">
        <v>16745258</v>
      </c>
      <c r="D67">
        <v>15436014</v>
      </c>
      <c r="E67">
        <v>1</v>
      </c>
      <c r="F67">
        <v>1</v>
      </c>
      <c r="G67">
        <v>1</v>
      </c>
      <c r="H67">
        <v>1</v>
      </c>
      <c r="I67" t="s">
        <v>1388</v>
      </c>
      <c r="J67" t="s">
        <v>6</v>
      </c>
      <c r="K67" t="s">
        <v>1389</v>
      </c>
      <c r="L67">
        <v>1191</v>
      </c>
      <c r="N67">
        <v>1013</v>
      </c>
      <c r="O67" t="s">
        <v>1287</v>
      </c>
      <c r="P67" t="s">
        <v>1287</v>
      </c>
      <c r="Q67">
        <v>1</v>
      </c>
      <c r="X67">
        <v>145.72</v>
      </c>
      <c r="Y67">
        <v>0</v>
      </c>
      <c r="Z67">
        <v>0</v>
      </c>
      <c r="AA67">
        <v>0</v>
      </c>
      <c r="AB67">
        <v>8.74</v>
      </c>
      <c r="AC67">
        <v>0</v>
      </c>
      <c r="AD67">
        <v>1</v>
      </c>
      <c r="AE67">
        <v>1</v>
      </c>
      <c r="AF67" t="s">
        <v>188</v>
      </c>
      <c r="AG67">
        <v>167.57799999999997</v>
      </c>
      <c r="AH67">
        <v>2</v>
      </c>
      <c r="AI67">
        <v>16745259</v>
      </c>
      <c r="AJ67">
        <v>60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ROW(Source!A84)</f>
        <v>84</v>
      </c>
      <c r="B68">
        <v>16745272</v>
      </c>
      <c r="C68">
        <v>16745258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1293</v>
      </c>
      <c r="J68" t="s">
        <v>6</v>
      </c>
      <c r="K68" t="s">
        <v>1294</v>
      </c>
      <c r="L68">
        <v>1191</v>
      </c>
      <c r="N68">
        <v>1013</v>
      </c>
      <c r="O68" t="s">
        <v>1287</v>
      </c>
      <c r="P68" t="s">
        <v>1287</v>
      </c>
      <c r="Q68">
        <v>1</v>
      </c>
      <c r="X68">
        <v>4.2300000000000004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2</v>
      </c>
      <c r="AF68" t="s">
        <v>187</v>
      </c>
      <c r="AG68">
        <v>5.2875000000000005</v>
      </c>
      <c r="AH68">
        <v>2</v>
      </c>
      <c r="AI68">
        <v>16745260</v>
      </c>
      <c r="AJ68">
        <v>61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ROW(Source!A84)</f>
        <v>84</v>
      </c>
      <c r="B69">
        <v>16745273</v>
      </c>
      <c r="C69">
        <v>16745258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1314</v>
      </c>
      <c r="J69" t="s">
        <v>1315</v>
      </c>
      <c r="K69" t="s">
        <v>1316</v>
      </c>
      <c r="L69">
        <v>1368</v>
      </c>
      <c r="N69">
        <v>1011</v>
      </c>
      <c r="O69" t="s">
        <v>1298</v>
      </c>
      <c r="P69" t="s">
        <v>1298</v>
      </c>
      <c r="Q69">
        <v>1</v>
      </c>
      <c r="X69">
        <v>0.66</v>
      </c>
      <c r="Y69">
        <v>0</v>
      </c>
      <c r="Z69">
        <v>31.26</v>
      </c>
      <c r="AA69">
        <v>13.5</v>
      </c>
      <c r="AB69">
        <v>0</v>
      </c>
      <c r="AC69">
        <v>0</v>
      </c>
      <c r="AD69">
        <v>1</v>
      </c>
      <c r="AE69">
        <v>0</v>
      </c>
      <c r="AF69" t="s">
        <v>187</v>
      </c>
      <c r="AG69">
        <v>0.82500000000000007</v>
      </c>
      <c r="AH69">
        <v>2</v>
      </c>
      <c r="AI69">
        <v>16745261</v>
      </c>
      <c r="AJ69">
        <v>62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ROW(Source!A84)</f>
        <v>84</v>
      </c>
      <c r="B70">
        <v>16745274</v>
      </c>
      <c r="C70">
        <v>16745258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1299</v>
      </c>
      <c r="J70" t="s">
        <v>1300</v>
      </c>
      <c r="K70" t="s">
        <v>1301</v>
      </c>
      <c r="L70">
        <v>1368</v>
      </c>
      <c r="N70">
        <v>1011</v>
      </c>
      <c r="O70" t="s">
        <v>1298</v>
      </c>
      <c r="P70" t="s">
        <v>1298</v>
      </c>
      <c r="Q70">
        <v>1</v>
      </c>
      <c r="X70">
        <v>3.57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187</v>
      </c>
      <c r="AG70">
        <v>4.4624999999999995</v>
      </c>
      <c r="AH70">
        <v>2</v>
      </c>
      <c r="AI70">
        <v>16745262</v>
      </c>
      <c r="AJ70">
        <v>63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ROW(Source!A84)</f>
        <v>84</v>
      </c>
      <c r="B71">
        <v>16745275</v>
      </c>
      <c r="C71">
        <v>16745258</v>
      </c>
      <c r="D71">
        <v>15167551</v>
      </c>
      <c r="E71">
        <v>1</v>
      </c>
      <c r="F71">
        <v>1</v>
      </c>
      <c r="G71">
        <v>1</v>
      </c>
      <c r="H71">
        <v>3</v>
      </c>
      <c r="I71" t="s">
        <v>1390</v>
      </c>
      <c r="J71" t="s">
        <v>1391</v>
      </c>
      <c r="K71" t="s">
        <v>1392</v>
      </c>
      <c r="L71">
        <v>1301</v>
      </c>
      <c r="N71">
        <v>1003</v>
      </c>
      <c r="O71" t="s">
        <v>220</v>
      </c>
      <c r="P71" t="s">
        <v>220</v>
      </c>
      <c r="Q71">
        <v>1</v>
      </c>
      <c r="X71">
        <v>244</v>
      </c>
      <c r="Y71">
        <v>6.38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244</v>
      </c>
      <c r="AH71">
        <v>2</v>
      </c>
      <c r="AI71">
        <v>16745263</v>
      </c>
      <c r="AJ71">
        <v>64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ROW(Source!A84)</f>
        <v>84</v>
      </c>
      <c r="B72">
        <v>16745276</v>
      </c>
      <c r="C72">
        <v>16745258</v>
      </c>
      <c r="D72">
        <v>15167552</v>
      </c>
      <c r="E72">
        <v>1</v>
      </c>
      <c r="F72">
        <v>1</v>
      </c>
      <c r="G72">
        <v>1</v>
      </c>
      <c r="H72">
        <v>3</v>
      </c>
      <c r="I72" t="s">
        <v>1393</v>
      </c>
      <c r="J72" t="s">
        <v>1394</v>
      </c>
      <c r="K72" t="s">
        <v>1395</v>
      </c>
      <c r="L72">
        <v>1301</v>
      </c>
      <c r="N72">
        <v>1003</v>
      </c>
      <c r="O72" t="s">
        <v>220</v>
      </c>
      <c r="P72" t="s">
        <v>220</v>
      </c>
      <c r="Q72">
        <v>1</v>
      </c>
      <c r="X72">
        <v>56</v>
      </c>
      <c r="Y72">
        <v>7.95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56</v>
      </c>
      <c r="AH72">
        <v>2</v>
      </c>
      <c r="AI72">
        <v>16745264</v>
      </c>
      <c r="AJ72">
        <v>65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ROW(Source!A84)</f>
        <v>84</v>
      </c>
      <c r="B73">
        <v>16745277</v>
      </c>
      <c r="C73">
        <v>16745258</v>
      </c>
      <c r="D73">
        <v>15167640</v>
      </c>
      <c r="E73">
        <v>1</v>
      </c>
      <c r="F73">
        <v>1</v>
      </c>
      <c r="G73">
        <v>1</v>
      </c>
      <c r="H73">
        <v>3</v>
      </c>
      <c r="I73" t="s">
        <v>1396</v>
      </c>
      <c r="J73" t="s">
        <v>1397</v>
      </c>
      <c r="K73" t="s">
        <v>1398</v>
      </c>
      <c r="L73">
        <v>1302</v>
      </c>
      <c r="N73">
        <v>1003</v>
      </c>
      <c r="O73" t="s">
        <v>740</v>
      </c>
      <c r="P73" t="s">
        <v>740</v>
      </c>
      <c r="Q73">
        <v>10</v>
      </c>
      <c r="X73">
        <v>15.6</v>
      </c>
      <c r="Y73">
        <v>64.099999999999994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15.6</v>
      </c>
      <c r="AH73">
        <v>2</v>
      </c>
      <c r="AI73">
        <v>16745265</v>
      </c>
      <c r="AJ73">
        <v>66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ROW(Source!A84)</f>
        <v>84</v>
      </c>
      <c r="B74">
        <v>16745278</v>
      </c>
      <c r="C74">
        <v>16745258</v>
      </c>
      <c r="D74">
        <v>15170065</v>
      </c>
      <c r="E74">
        <v>1</v>
      </c>
      <c r="F74">
        <v>1</v>
      </c>
      <c r="G74">
        <v>1</v>
      </c>
      <c r="H74">
        <v>3</v>
      </c>
      <c r="I74" t="s">
        <v>1399</v>
      </c>
      <c r="J74" t="s">
        <v>1400</v>
      </c>
      <c r="K74" t="s">
        <v>1401</v>
      </c>
      <c r="L74">
        <v>1358</v>
      </c>
      <c r="N74">
        <v>1010</v>
      </c>
      <c r="O74" t="s">
        <v>723</v>
      </c>
      <c r="P74" t="s">
        <v>723</v>
      </c>
      <c r="Q74">
        <v>10</v>
      </c>
      <c r="X74">
        <v>38.9</v>
      </c>
      <c r="Y74">
        <v>7.03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38.9</v>
      </c>
      <c r="AH74">
        <v>2</v>
      </c>
      <c r="AI74">
        <v>16745266</v>
      </c>
      <c r="AJ74">
        <v>67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ROW(Source!A84)</f>
        <v>84</v>
      </c>
      <c r="B75">
        <v>16745279</v>
      </c>
      <c r="C75">
        <v>16745258</v>
      </c>
      <c r="D75">
        <v>15162466</v>
      </c>
      <c r="E75">
        <v>17</v>
      </c>
      <c r="F75">
        <v>1</v>
      </c>
      <c r="G75">
        <v>1</v>
      </c>
      <c r="H75">
        <v>3</v>
      </c>
      <c r="I75" t="s">
        <v>196</v>
      </c>
      <c r="J75" t="s">
        <v>6</v>
      </c>
      <c r="K75" t="s">
        <v>197</v>
      </c>
      <c r="L75">
        <v>1327</v>
      </c>
      <c r="N75">
        <v>1005</v>
      </c>
      <c r="O75" t="s">
        <v>193</v>
      </c>
      <c r="P75" t="s">
        <v>193</v>
      </c>
      <c r="Q75">
        <v>1</v>
      </c>
      <c r="X75">
        <v>100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6</v>
      </c>
      <c r="AG75">
        <v>100</v>
      </c>
      <c r="AH75">
        <v>2</v>
      </c>
      <c r="AI75">
        <v>16745267</v>
      </c>
      <c r="AJ75">
        <v>69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ROW(Source!A84)</f>
        <v>84</v>
      </c>
      <c r="B76">
        <v>16745280</v>
      </c>
      <c r="C76">
        <v>16745258</v>
      </c>
      <c r="D76">
        <v>15197780</v>
      </c>
      <c r="E76">
        <v>1</v>
      </c>
      <c r="F76">
        <v>1</v>
      </c>
      <c r="G76">
        <v>1</v>
      </c>
      <c r="H76">
        <v>3</v>
      </c>
      <c r="I76" t="s">
        <v>1402</v>
      </c>
      <c r="J76" t="s">
        <v>1403</v>
      </c>
      <c r="K76" t="s">
        <v>1404</v>
      </c>
      <c r="L76">
        <v>1355</v>
      </c>
      <c r="N76">
        <v>1010</v>
      </c>
      <c r="O76" t="s">
        <v>843</v>
      </c>
      <c r="P76" t="s">
        <v>843</v>
      </c>
      <c r="Q76">
        <v>100</v>
      </c>
      <c r="X76">
        <v>8</v>
      </c>
      <c r="Y76">
        <v>50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8</v>
      </c>
      <c r="AH76">
        <v>2</v>
      </c>
      <c r="AI76">
        <v>16745268</v>
      </c>
      <c r="AJ76">
        <v>70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ROW(Source!A84)</f>
        <v>84</v>
      </c>
      <c r="B77">
        <v>16745281</v>
      </c>
      <c r="C77">
        <v>16745258</v>
      </c>
      <c r="D77">
        <v>15204239</v>
      </c>
      <c r="E77">
        <v>1</v>
      </c>
      <c r="F77">
        <v>1</v>
      </c>
      <c r="G77">
        <v>1</v>
      </c>
      <c r="H77">
        <v>3</v>
      </c>
      <c r="I77" t="s">
        <v>1405</v>
      </c>
      <c r="J77" t="s">
        <v>1406</v>
      </c>
      <c r="K77" t="s">
        <v>1407</v>
      </c>
      <c r="L77">
        <v>1354</v>
      </c>
      <c r="N77">
        <v>1010</v>
      </c>
      <c r="O77" t="s">
        <v>73</v>
      </c>
      <c r="P77" t="s">
        <v>73</v>
      </c>
      <c r="Q77">
        <v>1</v>
      </c>
      <c r="X77">
        <v>69</v>
      </c>
      <c r="Y77">
        <v>67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69</v>
      </c>
      <c r="AH77">
        <v>2</v>
      </c>
      <c r="AI77">
        <v>16745269</v>
      </c>
      <c r="AJ77">
        <v>71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ROW(Source!A87)</f>
        <v>87</v>
      </c>
      <c r="B78">
        <v>16745352</v>
      </c>
      <c r="C78">
        <v>16745338</v>
      </c>
      <c r="D78">
        <v>15436014</v>
      </c>
      <c r="E78">
        <v>1</v>
      </c>
      <c r="F78">
        <v>1</v>
      </c>
      <c r="G78">
        <v>1</v>
      </c>
      <c r="H78">
        <v>1</v>
      </c>
      <c r="I78" t="s">
        <v>1388</v>
      </c>
      <c r="J78" t="s">
        <v>6</v>
      </c>
      <c r="K78" t="s">
        <v>1389</v>
      </c>
      <c r="L78">
        <v>1191</v>
      </c>
      <c r="N78">
        <v>1013</v>
      </c>
      <c r="O78" t="s">
        <v>1287</v>
      </c>
      <c r="P78" t="s">
        <v>1287</v>
      </c>
      <c r="Q78">
        <v>1</v>
      </c>
      <c r="X78">
        <v>216.08</v>
      </c>
      <c r="Y78">
        <v>0</v>
      </c>
      <c r="Z78">
        <v>0</v>
      </c>
      <c r="AA78">
        <v>0</v>
      </c>
      <c r="AB78">
        <v>8.74</v>
      </c>
      <c r="AC78">
        <v>0</v>
      </c>
      <c r="AD78">
        <v>1</v>
      </c>
      <c r="AE78">
        <v>1</v>
      </c>
      <c r="AF78" t="s">
        <v>188</v>
      </c>
      <c r="AG78">
        <v>248.49199999999999</v>
      </c>
      <c r="AH78">
        <v>2</v>
      </c>
      <c r="AI78">
        <v>16745339</v>
      </c>
      <c r="AJ78">
        <v>72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ROW(Source!A87)</f>
        <v>87</v>
      </c>
      <c r="B79">
        <v>16745353</v>
      </c>
      <c r="C79">
        <v>16745338</v>
      </c>
      <c r="D79">
        <v>15430395</v>
      </c>
      <c r="E79">
        <v>1</v>
      </c>
      <c r="F79">
        <v>1</v>
      </c>
      <c r="G79">
        <v>1</v>
      </c>
      <c r="H79">
        <v>1</v>
      </c>
      <c r="I79" t="s">
        <v>1293</v>
      </c>
      <c r="J79" t="s">
        <v>6</v>
      </c>
      <c r="K79" t="s">
        <v>1294</v>
      </c>
      <c r="L79">
        <v>1191</v>
      </c>
      <c r="N79">
        <v>1013</v>
      </c>
      <c r="O79" t="s">
        <v>1287</v>
      </c>
      <c r="P79" t="s">
        <v>1287</v>
      </c>
      <c r="Q79">
        <v>1</v>
      </c>
      <c r="X79">
        <v>5.33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2</v>
      </c>
      <c r="AF79" t="s">
        <v>187</v>
      </c>
      <c r="AG79">
        <v>6.6624999999999996</v>
      </c>
      <c r="AH79">
        <v>2</v>
      </c>
      <c r="AI79">
        <v>16745340</v>
      </c>
      <c r="AJ79">
        <v>73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ROW(Source!A87)</f>
        <v>87</v>
      </c>
      <c r="B80">
        <v>16745354</v>
      </c>
      <c r="C80">
        <v>16745338</v>
      </c>
      <c r="D80">
        <v>15247974</v>
      </c>
      <c r="E80">
        <v>1</v>
      </c>
      <c r="F80">
        <v>1</v>
      </c>
      <c r="G80">
        <v>1</v>
      </c>
      <c r="H80">
        <v>2</v>
      </c>
      <c r="I80" t="s">
        <v>1314</v>
      </c>
      <c r="J80" t="s">
        <v>1315</v>
      </c>
      <c r="K80" t="s">
        <v>1316</v>
      </c>
      <c r="L80">
        <v>1368</v>
      </c>
      <c r="N80">
        <v>1011</v>
      </c>
      <c r="O80" t="s">
        <v>1298</v>
      </c>
      <c r="P80" t="s">
        <v>1298</v>
      </c>
      <c r="Q80">
        <v>1</v>
      </c>
      <c r="X80">
        <v>1.76</v>
      </c>
      <c r="Y80">
        <v>0</v>
      </c>
      <c r="Z80">
        <v>31.26</v>
      </c>
      <c r="AA80">
        <v>13.5</v>
      </c>
      <c r="AB80">
        <v>0</v>
      </c>
      <c r="AC80">
        <v>0</v>
      </c>
      <c r="AD80">
        <v>1</v>
      </c>
      <c r="AE80">
        <v>0</v>
      </c>
      <c r="AF80" t="s">
        <v>187</v>
      </c>
      <c r="AG80">
        <v>2.2000000000000002</v>
      </c>
      <c r="AH80">
        <v>2</v>
      </c>
      <c r="AI80">
        <v>16745341</v>
      </c>
      <c r="AJ80">
        <v>74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ROW(Source!A87)</f>
        <v>87</v>
      </c>
      <c r="B81">
        <v>16745355</v>
      </c>
      <c r="C81">
        <v>16745338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1299</v>
      </c>
      <c r="J81" t="s">
        <v>1300</v>
      </c>
      <c r="K81" t="s">
        <v>1301</v>
      </c>
      <c r="L81">
        <v>1368</v>
      </c>
      <c r="N81">
        <v>1011</v>
      </c>
      <c r="O81" t="s">
        <v>1298</v>
      </c>
      <c r="P81" t="s">
        <v>1298</v>
      </c>
      <c r="Q81">
        <v>1</v>
      </c>
      <c r="X81">
        <v>3.57</v>
      </c>
      <c r="Y81">
        <v>0</v>
      </c>
      <c r="Z81">
        <v>65.709999999999994</v>
      </c>
      <c r="AA81">
        <v>11.6</v>
      </c>
      <c r="AB81">
        <v>0</v>
      </c>
      <c r="AC81">
        <v>0</v>
      </c>
      <c r="AD81">
        <v>1</v>
      </c>
      <c r="AE81">
        <v>0</v>
      </c>
      <c r="AF81" t="s">
        <v>187</v>
      </c>
      <c r="AG81">
        <v>4.4624999999999995</v>
      </c>
      <c r="AH81">
        <v>2</v>
      </c>
      <c r="AI81">
        <v>16745342</v>
      </c>
      <c r="AJ81">
        <v>75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ROW(Source!A87)</f>
        <v>87</v>
      </c>
      <c r="B82">
        <v>16745356</v>
      </c>
      <c r="C82">
        <v>16745338</v>
      </c>
      <c r="D82">
        <v>15167551</v>
      </c>
      <c r="E82">
        <v>1</v>
      </c>
      <c r="F82">
        <v>1</v>
      </c>
      <c r="G82">
        <v>1</v>
      </c>
      <c r="H82">
        <v>3</v>
      </c>
      <c r="I82" t="s">
        <v>1390</v>
      </c>
      <c r="J82" t="s">
        <v>1391</v>
      </c>
      <c r="K82" t="s">
        <v>1392</v>
      </c>
      <c r="L82">
        <v>1301</v>
      </c>
      <c r="N82">
        <v>1003</v>
      </c>
      <c r="O82" t="s">
        <v>220</v>
      </c>
      <c r="P82" t="s">
        <v>220</v>
      </c>
      <c r="Q82">
        <v>1</v>
      </c>
      <c r="X82">
        <v>429</v>
      </c>
      <c r="Y82">
        <v>6.38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429</v>
      </c>
      <c r="AH82">
        <v>2</v>
      </c>
      <c r="AI82">
        <v>16745343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ROW(Source!A87)</f>
        <v>87</v>
      </c>
      <c r="B83">
        <v>16745357</v>
      </c>
      <c r="C83">
        <v>16745338</v>
      </c>
      <c r="D83">
        <v>15167552</v>
      </c>
      <c r="E83">
        <v>1</v>
      </c>
      <c r="F83">
        <v>1</v>
      </c>
      <c r="G83">
        <v>1</v>
      </c>
      <c r="H83">
        <v>3</v>
      </c>
      <c r="I83" t="s">
        <v>1393</v>
      </c>
      <c r="J83" t="s">
        <v>1394</v>
      </c>
      <c r="K83" t="s">
        <v>1395</v>
      </c>
      <c r="L83">
        <v>1301</v>
      </c>
      <c r="N83">
        <v>1003</v>
      </c>
      <c r="O83" t="s">
        <v>220</v>
      </c>
      <c r="P83" t="s">
        <v>220</v>
      </c>
      <c r="Q83">
        <v>1</v>
      </c>
      <c r="X83">
        <v>71</v>
      </c>
      <c r="Y83">
        <v>7.95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71</v>
      </c>
      <c r="AH83">
        <v>2</v>
      </c>
      <c r="AI83">
        <v>16745344</v>
      </c>
      <c r="AJ83">
        <v>77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ROW(Source!A87)</f>
        <v>87</v>
      </c>
      <c r="B84">
        <v>16745358</v>
      </c>
      <c r="C84">
        <v>16745338</v>
      </c>
      <c r="D84">
        <v>15167640</v>
      </c>
      <c r="E84">
        <v>1</v>
      </c>
      <c r="F84">
        <v>1</v>
      </c>
      <c r="G84">
        <v>1</v>
      </c>
      <c r="H84">
        <v>3</v>
      </c>
      <c r="I84" t="s">
        <v>1396</v>
      </c>
      <c r="J84" t="s">
        <v>1397</v>
      </c>
      <c r="K84" t="s">
        <v>1398</v>
      </c>
      <c r="L84">
        <v>1302</v>
      </c>
      <c r="N84">
        <v>1003</v>
      </c>
      <c r="O84" t="s">
        <v>740</v>
      </c>
      <c r="P84" t="s">
        <v>740</v>
      </c>
      <c r="Q84">
        <v>10</v>
      </c>
      <c r="X84">
        <v>27.1</v>
      </c>
      <c r="Y84">
        <v>64.099999999999994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27.1</v>
      </c>
      <c r="AH84">
        <v>2</v>
      </c>
      <c r="AI84">
        <v>16745345</v>
      </c>
      <c r="AJ84">
        <v>78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ROW(Source!A87)</f>
        <v>87</v>
      </c>
      <c r="B85">
        <v>16745359</v>
      </c>
      <c r="C85">
        <v>16745338</v>
      </c>
      <c r="D85">
        <v>15170065</v>
      </c>
      <c r="E85">
        <v>1</v>
      </c>
      <c r="F85">
        <v>1</v>
      </c>
      <c r="G85">
        <v>1</v>
      </c>
      <c r="H85">
        <v>3</v>
      </c>
      <c r="I85" t="s">
        <v>1399</v>
      </c>
      <c r="J85" t="s">
        <v>1400</v>
      </c>
      <c r="K85" t="s">
        <v>1401</v>
      </c>
      <c r="L85">
        <v>1358</v>
      </c>
      <c r="N85">
        <v>1010</v>
      </c>
      <c r="O85" t="s">
        <v>723</v>
      </c>
      <c r="P85" t="s">
        <v>723</v>
      </c>
      <c r="Q85">
        <v>10</v>
      </c>
      <c r="X85">
        <v>71.400000000000006</v>
      </c>
      <c r="Y85">
        <v>7.03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71.400000000000006</v>
      </c>
      <c r="AH85">
        <v>2</v>
      </c>
      <c r="AI85">
        <v>16745346</v>
      </c>
      <c r="AJ85">
        <v>79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ROW(Source!A87)</f>
        <v>87</v>
      </c>
      <c r="B86">
        <v>16745360</v>
      </c>
      <c r="C86">
        <v>16745338</v>
      </c>
      <c r="D86">
        <v>15162466</v>
      </c>
      <c r="E86">
        <v>17</v>
      </c>
      <c r="F86">
        <v>1</v>
      </c>
      <c r="G86">
        <v>1</v>
      </c>
      <c r="H86">
        <v>3</v>
      </c>
      <c r="I86" t="s">
        <v>196</v>
      </c>
      <c r="J86" t="s">
        <v>6</v>
      </c>
      <c r="K86" t="s">
        <v>197</v>
      </c>
      <c r="L86">
        <v>1327</v>
      </c>
      <c r="N86">
        <v>1005</v>
      </c>
      <c r="O86" t="s">
        <v>193</v>
      </c>
      <c r="P86" t="s">
        <v>193</v>
      </c>
      <c r="Q86">
        <v>1</v>
      </c>
      <c r="X86">
        <v>100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 t="s">
        <v>6</v>
      </c>
      <c r="AG86">
        <v>100</v>
      </c>
      <c r="AH86">
        <v>2</v>
      </c>
      <c r="AI86">
        <v>16745347</v>
      </c>
      <c r="AJ86">
        <v>81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ROW(Source!A87)</f>
        <v>87</v>
      </c>
      <c r="B87">
        <v>16745361</v>
      </c>
      <c r="C87">
        <v>16745338</v>
      </c>
      <c r="D87">
        <v>15197780</v>
      </c>
      <c r="E87">
        <v>1</v>
      </c>
      <c r="F87">
        <v>1</v>
      </c>
      <c r="G87">
        <v>1</v>
      </c>
      <c r="H87">
        <v>3</v>
      </c>
      <c r="I87" t="s">
        <v>1402</v>
      </c>
      <c r="J87" t="s">
        <v>1403</v>
      </c>
      <c r="K87" t="s">
        <v>1404</v>
      </c>
      <c r="L87">
        <v>1355</v>
      </c>
      <c r="N87">
        <v>1010</v>
      </c>
      <c r="O87" t="s">
        <v>843</v>
      </c>
      <c r="P87" t="s">
        <v>843</v>
      </c>
      <c r="Q87">
        <v>100</v>
      </c>
      <c r="X87">
        <v>8</v>
      </c>
      <c r="Y87">
        <v>50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8</v>
      </c>
      <c r="AH87">
        <v>2</v>
      </c>
      <c r="AI87">
        <v>16745348</v>
      </c>
      <c r="AJ87">
        <v>82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ROW(Source!A87)</f>
        <v>87</v>
      </c>
      <c r="B88">
        <v>16745362</v>
      </c>
      <c r="C88">
        <v>16745338</v>
      </c>
      <c r="D88">
        <v>15204239</v>
      </c>
      <c r="E88">
        <v>1</v>
      </c>
      <c r="F88">
        <v>1</v>
      </c>
      <c r="G88">
        <v>1</v>
      </c>
      <c r="H88">
        <v>3</v>
      </c>
      <c r="I88" t="s">
        <v>1405</v>
      </c>
      <c r="J88" t="s">
        <v>1406</v>
      </c>
      <c r="K88" t="s">
        <v>1407</v>
      </c>
      <c r="L88">
        <v>1354</v>
      </c>
      <c r="N88">
        <v>1010</v>
      </c>
      <c r="O88" t="s">
        <v>73</v>
      </c>
      <c r="P88" t="s">
        <v>73</v>
      </c>
      <c r="Q88">
        <v>1</v>
      </c>
      <c r="X88">
        <v>114</v>
      </c>
      <c r="Y88">
        <v>67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114</v>
      </c>
      <c r="AH88">
        <v>2</v>
      </c>
      <c r="AI88">
        <v>16745349</v>
      </c>
      <c r="AJ88">
        <v>83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ROW(Source!A90)</f>
        <v>90</v>
      </c>
      <c r="B89">
        <v>16745374</v>
      </c>
      <c r="C89">
        <v>16745366</v>
      </c>
      <c r="D89">
        <v>15430767</v>
      </c>
      <c r="E89">
        <v>1</v>
      </c>
      <c r="F89">
        <v>1</v>
      </c>
      <c r="G89">
        <v>1</v>
      </c>
      <c r="H89">
        <v>1</v>
      </c>
      <c r="I89" t="s">
        <v>1285</v>
      </c>
      <c r="J89" t="s">
        <v>6</v>
      </c>
      <c r="K89" t="s">
        <v>1286</v>
      </c>
      <c r="L89">
        <v>1191</v>
      </c>
      <c r="N89">
        <v>1013</v>
      </c>
      <c r="O89" t="s">
        <v>1287</v>
      </c>
      <c r="P89" t="s">
        <v>1287</v>
      </c>
      <c r="Q89">
        <v>1</v>
      </c>
      <c r="X89">
        <v>112.75</v>
      </c>
      <c r="Y89">
        <v>0</v>
      </c>
      <c r="Z89">
        <v>0</v>
      </c>
      <c r="AA89">
        <v>0</v>
      </c>
      <c r="AB89">
        <v>8.5299999999999994</v>
      </c>
      <c r="AC89">
        <v>0</v>
      </c>
      <c r="AD89">
        <v>1</v>
      </c>
      <c r="AE89">
        <v>1</v>
      </c>
      <c r="AF89" t="s">
        <v>188</v>
      </c>
      <c r="AG89">
        <v>129.66249999999999</v>
      </c>
      <c r="AH89">
        <v>2</v>
      </c>
      <c r="AI89">
        <v>16745367</v>
      </c>
      <c r="AJ89">
        <v>84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ROW(Source!A90)</f>
        <v>90</v>
      </c>
      <c r="B90">
        <v>16745375</v>
      </c>
      <c r="C90">
        <v>16745366</v>
      </c>
      <c r="D90">
        <v>15430395</v>
      </c>
      <c r="E90">
        <v>1</v>
      </c>
      <c r="F90">
        <v>1</v>
      </c>
      <c r="G90">
        <v>1</v>
      </c>
      <c r="H90">
        <v>1</v>
      </c>
      <c r="I90" t="s">
        <v>1293</v>
      </c>
      <c r="J90" t="s">
        <v>6</v>
      </c>
      <c r="K90" t="s">
        <v>1294</v>
      </c>
      <c r="L90">
        <v>1191</v>
      </c>
      <c r="N90">
        <v>1013</v>
      </c>
      <c r="O90" t="s">
        <v>1287</v>
      </c>
      <c r="P90" t="s">
        <v>1287</v>
      </c>
      <c r="Q90">
        <v>1</v>
      </c>
      <c r="X90">
        <v>0.27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187</v>
      </c>
      <c r="AG90">
        <v>0.33750000000000002</v>
      </c>
      <c r="AH90">
        <v>2</v>
      </c>
      <c r="AI90">
        <v>16745368</v>
      </c>
      <c r="AJ90">
        <v>85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ROW(Source!A90)</f>
        <v>90</v>
      </c>
      <c r="B91">
        <v>16745376</v>
      </c>
      <c r="C91">
        <v>16745366</v>
      </c>
      <c r="D91">
        <v>15247578</v>
      </c>
      <c r="E91">
        <v>1</v>
      </c>
      <c r="F91">
        <v>1</v>
      </c>
      <c r="G91">
        <v>1</v>
      </c>
      <c r="H91">
        <v>2</v>
      </c>
      <c r="I91" t="s">
        <v>1408</v>
      </c>
      <c r="J91" t="s">
        <v>1409</v>
      </c>
      <c r="K91" t="s">
        <v>1410</v>
      </c>
      <c r="L91">
        <v>1368</v>
      </c>
      <c r="N91">
        <v>1011</v>
      </c>
      <c r="O91" t="s">
        <v>1298</v>
      </c>
      <c r="P91" t="s">
        <v>1298</v>
      </c>
      <c r="Q91">
        <v>1</v>
      </c>
      <c r="X91">
        <v>0.2</v>
      </c>
      <c r="Y91">
        <v>0</v>
      </c>
      <c r="Z91">
        <v>86.4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187</v>
      </c>
      <c r="AG91">
        <v>0.25</v>
      </c>
      <c r="AH91">
        <v>2</v>
      </c>
      <c r="AI91">
        <v>16745369</v>
      </c>
      <c r="AJ91">
        <v>86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ROW(Source!A90)</f>
        <v>90</v>
      </c>
      <c r="B92">
        <v>16745377</v>
      </c>
      <c r="C92">
        <v>16745366</v>
      </c>
      <c r="D92">
        <v>15249073</v>
      </c>
      <c r="E92">
        <v>1</v>
      </c>
      <c r="F92">
        <v>1</v>
      </c>
      <c r="G92">
        <v>1</v>
      </c>
      <c r="H92">
        <v>2</v>
      </c>
      <c r="I92" t="s">
        <v>1299</v>
      </c>
      <c r="J92" t="s">
        <v>1300</v>
      </c>
      <c r="K92" t="s">
        <v>1301</v>
      </c>
      <c r="L92">
        <v>1368</v>
      </c>
      <c r="N92">
        <v>1011</v>
      </c>
      <c r="O92" t="s">
        <v>1298</v>
      </c>
      <c r="P92" t="s">
        <v>1298</v>
      </c>
      <c r="Q92">
        <v>1</v>
      </c>
      <c r="X92">
        <v>7.0000000000000007E-2</v>
      </c>
      <c r="Y92">
        <v>0</v>
      </c>
      <c r="Z92">
        <v>65.709999999999994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187</v>
      </c>
      <c r="AG92">
        <v>8.7500000000000008E-2</v>
      </c>
      <c r="AH92">
        <v>2</v>
      </c>
      <c r="AI92">
        <v>16745370</v>
      </c>
      <c r="AJ92">
        <v>87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ROW(Source!A90)</f>
        <v>90</v>
      </c>
      <c r="B93">
        <v>16745378</v>
      </c>
      <c r="C93">
        <v>16745366</v>
      </c>
      <c r="D93">
        <v>15170059</v>
      </c>
      <c r="E93">
        <v>1</v>
      </c>
      <c r="F93">
        <v>1</v>
      </c>
      <c r="G93">
        <v>1</v>
      </c>
      <c r="H93">
        <v>3</v>
      </c>
      <c r="I93" t="s">
        <v>1411</v>
      </c>
      <c r="J93" t="s">
        <v>1412</v>
      </c>
      <c r="K93" t="s">
        <v>1413</v>
      </c>
      <c r="L93">
        <v>1348</v>
      </c>
      <c r="N93">
        <v>1009</v>
      </c>
      <c r="O93" t="s">
        <v>100</v>
      </c>
      <c r="P93" t="s">
        <v>100</v>
      </c>
      <c r="Q93">
        <v>1000</v>
      </c>
      <c r="X93">
        <v>4.0000000000000001E-3</v>
      </c>
      <c r="Y93">
        <v>8475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4.0000000000000001E-3</v>
      </c>
      <c r="AH93">
        <v>2</v>
      </c>
      <c r="AI93">
        <v>16745371</v>
      </c>
      <c r="AJ93">
        <v>88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ROW(Source!A90)</f>
        <v>90</v>
      </c>
      <c r="B94">
        <v>16745379</v>
      </c>
      <c r="C94">
        <v>16745366</v>
      </c>
      <c r="D94">
        <v>15191140</v>
      </c>
      <c r="E94">
        <v>1</v>
      </c>
      <c r="F94">
        <v>1</v>
      </c>
      <c r="G94">
        <v>1</v>
      </c>
      <c r="H94">
        <v>3</v>
      </c>
      <c r="I94" t="s">
        <v>1414</v>
      </c>
      <c r="J94" t="s">
        <v>1415</v>
      </c>
      <c r="K94" t="s">
        <v>1416</v>
      </c>
      <c r="L94">
        <v>1348</v>
      </c>
      <c r="N94">
        <v>1009</v>
      </c>
      <c r="O94" t="s">
        <v>100</v>
      </c>
      <c r="P94" t="s">
        <v>100</v>
      </c>
      <c r="Q94">
        <v>1000</v>
      </c>
      <c r="X94">
        <v>1.2E-2</v>
      </c>
      <c r="Y94">
        <v>8190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6</v>
      </c>
      <c r="AG94">
        <v>1.2E-2</v>
      </c>
      <c r="AH94">
        <v>2</v>
      </c>
      <c r="AI94">
        <v>16745372</v>
      </c>
      <c r="AJ94">
        <v>89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ROW(Source!A90)</f>
        <v>90</v>
      </c>
      <c r="B95">
        <v>16745380</v>
      </c>
      <c r="C95">
        <v>16745366</v>
      </c>
      <c r="D95">
        <v>15191387</v>
      </c>
      <c r="E95">
        <v>1</v>
      </c>
      <c r="F95">
        <v>1</v>
      </c>
      <c r="G95">
        <v>1</v>
      </c>
      <c r="H95">
        <v>3</v>
      </c>
      <c r="I95" t="s">
        <v>1417</v>
      </c>
      <c r="J95" t="s">
        <v>1418</v>
      </c>
      <c r="K95" t="s">
        <v>1419</v>
      </c>
      <c r="L95">
        <v>1348</v>
      </c>
      <c r="N95">
        <v>1009</v>
      </c>
      <c r="O95" t="s">
        <v>100</v>
      </c>
      <c r="P95" t="s">
        <v>100</v>
      </c>
      <c r="Q95">
        <v>1000</v>
      </c>
      <c r="X95">
        <v>0.78200000000000003</v>
      </c>
      <c r="Y95">
        <v>11200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0.78200000000000003</v>
      </c>
      <c r="AH95">
        <v>2</v>
      </c>
      <c r="AI95">
        <v>16745373</v>
      </c>
      <c r="AJ95">
        <v>90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ROW(Source!A91)</f>
        <v>91</v>
      </c>
      <c r="B96">
        <v>16745390</v>
      </c>
      <c r="C96">
        <v>16745381</v>
      </c>
      <c r="D96">
        <v>15430767</v>
      </c>
      <c r="E96">
        <v>1</v>
      </c>
      <c r="F96">
        <v>1</v>
      </c>
      <c r="G96">
        <v>1</v>
      </c>
      <c r="H96">
        <v>1</v>
      </c>
      <c r="I96" t="s">
        <v>1285</v>
      </c>
      <c r="J96" t="s">
        <v>6</v>
      </c>
      <c r="K96" t="s">
        <v>1286</v>
      </c>
      <c r="L96">
        <v>1191</v>
      </c>
      <c r="N96">
        <v>1013</v>
      </c>
      <c r="O96" t="s">
        <v>1287</v>
      </c>
      <c r="P96" t="s">
        <v>1287</v>
      </c>
      <c r="Q96">
        <v>1</v>
      </c>
      <c r="X96">
        <v>21.19</v>
      </c>
      <c r="Y96">
        <v>0</v>
      </c>
      <c r="Z96">
        <v>0</v>
      </c>
      <c r="AA96">
        <v>0</v>
      </c>
      <c r="AB96">
        <v>8.5299999999999994</v>
      </c>
      <c r="AC96">
        <v>0</v>
      </c>
      <c r="AD96">
        <v>1</v>
      </c>
      <c r="AE96">
        <v>1</v>
      </c>
      <c r="AF96" t="s">
        <v>188</v>
      </c>
      <c r="AG96">
        <v>24.368500000000001</v>
      </c>
      <c r="AH96">
        <v>2</v>
      </c>
      <c r="AI96">
        <v>16745382</v>
      </c>
      <c r="AJ96">
        <v>91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ROW(Source!A91)</f>
        <v>91</v>
      </c>
      <c r="B97">
        <v>16745391</v>
      </c>
      <c r="C97">
        <v>16745381</v>
      </c>
      <c r="D97">
        <v>15430395</v>
      </c>
      <c r="E97">
        <v>1</v>
      </c>
      <c r="F97">
        <v>1</v>
      </c>
      <c r="G97">
        <v>1</v>
      </c>
      <c r="H97">
        <v>1</v>
      </c>
      <c r="I97" t="s">
        <v>1293</v>
      </c>
      <c r="J97" t="s">
        <v>6</v>
      </c>
      <c r="K97" t="s">
        <v>1294</v>
      </c>
      <c r="L97">
        <v>1191</v>
      </c>
      <c r="N97">
        <v>1013</v>
      </c>
      <c r="O97" t="s">
        <v>1287</v>
      </c>
      <c r="P97" t="s">
        <v>1287</v>
      </c>
      <c r="Q97">
        <v>1</v>
      </c>
      <c r="X97">
        <v>0.19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2</v>
      </c>
      <c r="AF97" t="s">
        <v>187</v>
      </c>
      <c r="AG97">
        <v>0.23749999999999999</v>
      </c>
      <c r="AH97">
        <v>2</v>
      </c>
      <c r="AI97">
        <v>16745383</v>
      </c>
      <c r="AJ97">
        <v>92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ROW(Source!A91)</f>
        <v>91</v>
      </c>
      <c r="B98">
        <v>16745392</v>
      </c>
      <c r="C98">
        <v>16745381</v>
      </c>
      <c r="D98">
        <v>15247974</v>
      </c>
      <c r="E98">
        <v>1</v>
      </c>
      <c r="F98">
        <v>1</v>
      </c>
      <c r="G98">
        <v>1</v>
      </c>
      <c r="H98">
        <v>2</v>
      </c>
      <c r="I98" t="s">
        <v>1314</v>
      </c>
      <c r="J98" t="s">
        <v>1315</v>
      </c>
      <c r="K98" t="s">
        <v>1316</v>
      </c>
      <c r="L98">
        <v>1368</v>
      </c>
      <c r="N98">
        <v>1011</v>
      </c>
      <c r="O98" t="s">
        <v>1298</v>
      </c>
      <c r="P98" t="s">
        <v>1298</v>
      </c>
      <c r="Q98">
        <v>1</v>
      </c>
      <c r="X98">
        <v>0.04</v>
      </c>
      <c r="Y98">
        <v>0</v>
      </c>
      <c r="Z98">
        <v>31.26</v>
      </c>
      <c r="AA98">
        <v>13.5</v>
      </c>
      <c r="AB98">
        <v>0</v>
      </c>
      <c r="AC98">
        <v>0</v>
      </c>
      <c r="AD98">
        <v>1</v>
      </c>
      <c r="AE98">
        <v>0</v>
      </c>
      <c r="AF98" t="s">
        <v>187</v>
      </c>
      <c r="AG98">
        <v>0.05</v>
      </c>
      <c r="AH98">
        <v>2</v>
      </c>
      <c r="AI98">
        <v>16745384</v>
      </c>
      <c r="AJ98">
        <v>93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ROW(Source!A91)</f>
        <v>91</v>
      </c>
      <c r="B99">
        <v>16745393</v>
      </c>
      <c r="C99">
        <v>16745381</v>
      </c>
      <c r="D99">
        <v>15249073</v>
      </c>
      <c r="E99">
        <v>1</v>
      </c>
      <c r="F99">
        <v>1</v>
      </c>
      <c r="G99">
        <v>1</v>
      </c>
      <c r="H99">
        <v>2</v>
      </c>
      <c r="I99" t="s">
        <v>1299</v>
      </c>
      <c r="J99" t="s">
        <v>1300</v>
      </c>
      <c r="K99" t="s">
        <v>1301</v>
      </c>
      <c r="L99">
        <v>1368</v>
      </c>
      <c r="N99">
        <v>1011</v>
      </c>
      <c r="O99" t="s">
        <v>1298</v>
      </c>
      <c r="P99" t="s">
        <v>1298</v>
      </c>
      <c r="Q99">
        <v>1</v>
      </c>
      <c r="X99">
        <v>0.15</v>
      </c>
      <c r="Y99">
        <v>0</v>
      </c>
      <c r="Z99">
        <v>65.709999999999994</v>
      </c>
      <c r="AA99">
        <v>11.6</v>
      </c>
      <c r="AB99">
        <v>0</v>
      </c>
      <c r="AC99">
        <v>0</v>
      </c>
      <c r="AD99">
        <v>1</v>
      </c>
      <c r="AE99">
        <v>0</v>
      </c>
      <c r="AF99" t="s">
        <v>187</v>
      </c>
      <c r="AG99">
        <v>0.1875</v>
      </c>
      <c r="AH99">
        <v>2</v>
      </c>
      <c r="AI99">
        <v>16745385</v>
      </c>
      <c r="AJ99">
        <v>94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ROW(Source!A91)</f>
        <v>91</v>
      </c>
      <c r="B100">
        <v>16745394</v>
      </c>
      <c r="C100">
        <v>16745381</v>
      </c>
      <c r="D100">
        <v>15162469</v>
      </c>
      <c r="E100">
        <v>17</v>
      </c>
      <c r="F100">
        <v>1</v>
      </c>
      <c r="G100">
        <v>1</v>
      </c>
      <c r="H100">
        <v>3</v>
      </c>
      <c r="I100" t="s">
        <v>223</v>
      </c>
      <c r="J100" t="s">
        <v>6</v>
      </c>
      <c r="K100" t="s">
        <v>224</v>
      </c>
      <c r="L100">
        <v>1301</v>
      </c>
      <c r="N100">
        <v>1003</v>
      </c>
      <c r="O100" t="s">
        <v>220</v>
      </c>
      <c r="P100" t="s">
        <v>220</v>
      </c>
      <c r="Q100">
        <v>1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1</v>
      </c>
      <c r="AD100">
        <v>0</v>
      </c>
      <c r="AE100">
        <v>0</v>
      </c>
      <c r="AF100" t="s">
        <v>6</v>
      </c>
      <c r="AG100">
        <v>0</v>
      </c>
      <c r="AH100">
        <v>2</v>
      </c>
      <c r="AI100">
        <v>16745386</v>
      </c>
      <c r="AJ100">
        <v>95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ROW(Source!A91)</f>
        <v>91</v>
      </c>
      <c r="B101">
        <v>16745395</v>
      </c>
      <c r="C101">
        <v>16745381</v>
      </c>
      <c r="D101">
        <v>15197780</v>
      </c>
      <c r="E101">
        <v>1</v>
      </c>
      <c r="F101">
        <v>1</v>
      </c>
      <c r="G101">
        <v>1</v>
      </c>
      <c r="H101">
        <v>3</v>
      </c>
      <c r="I101" t="s">
        <v>1402</v>
      </c>
      <c r="J101" t="s">
        <v>1403</v>
      </c>
      <c r="K101" t="s">
        <v>1404</v>
      </c>
      <c r="L101">
        <v>1355</v>
      </c>
      <c r="N101">
        <v>1010</v>
      </c>
      <c r="O101" t="s">
        <v>843</v>
      </c>
      <c r="P101" t="s">
        <v>843</v>
      </c>
      <c r="Q101">
        <v>100</v>
      </c>
      <c r="X101">
        <v>4</v>
      </c>
      <c r="Y101">
        <v>50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6</v>
      </c>
      <c r="AG101">
        <v>4</v>
      </c>
      <c r="AH101">
        <v>2</v>
      </c>
      <c r="AI101">
        <v>16745387</v>
      </c>
      <c r="AJ101">
        <v>97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ROW(Source!A91)</f>
        <v>91</v>
      </c>
      <c r="B102">
        <v>16745396</v>
      </c>
      <c r="C102">
        <v>16745381</v>
      </c>
      <c r="D102">
        <v>15204239</v>
      </c>
      <c r="E102">
        <v>1</v>
      </c>
      <c r="F102">
        <v>1</v>
      </c>
      <c r="G102">
        <v>1</v>
      </c>
      <c r="H102">
        <v>3</v>
      </c>
      <c r="I102" t="s">
        <v>1405</v>
      </c>
      <c r="J102" t="s">
        <v>1406</v>
      </c>
      <c r="K102" t="s">
        <v>1407</v>
      </c>
      <c r="L102">
        <v>1354</v>
      </c>
      <c r="N102">
        <v>1010</v>
      </c>
      <c r="O102" t="s">
        <v>73</v>
      </c>
      <c r="P102" t="s">
        <v>73</v>
      </c>
      <c r="Q102">
        <v>1</v>
      </c>
      <c r="X102">
        <v>56.6</v>
      </c>
      <c r="Y102">
        <v>67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56.6</v>
      </c>
      <c r="AH102">
        <v>2</v>
      </c>
      <c r="AI102">
        <v>16745388</v>
      </c>
      <c r="AJ102">
        <v>98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ROW(Source!A94)</f>
        <v>94</v>
      </c>
      <c r="B103">
        <v>16745405</v>
      </c>
      <c r="C103">
        <v>16745399</v>
      </c>
      <c r="D103">
        <v>15435683</v>
      </c>
      <c r="E103">
        <v>1</v>
      </c>
      <c r="F103">
        <v>1</v>
      </c>
      <c r="G103">
        <v>1</v>
      </c>
      <c r="H103">
        <v>1</v>
      </c>
      <c r="I103" t="s">
        <v>1420</v>
      </c>
      <c r="J103" t="s">
        <v>6</v>
      </c>
      <c r="K103" t="s">
        <v>1421</v>
      </c>
      <c r="L103">
        <v>1191</v>
      </c>
      <c r="N103">
        <v>1013</v>
      </c>
      <c r="O103" t="s">
        <v>1287</v>
      </c>
      <c r="P103" t="s">
        <v>1287</v>
      </c>
      <c r="Q103">
        <v>1</v>
      </c>
      <c r="X103">
        <v>204.06</v>
      </c>
      <c r="Y103">
        <v>0</v>
      </c>
      <c r="Z103">
        <v>0</v>
      </c>
      <c r="AA103">
        <v>0</v>
      </c>
      <c r="AB103">
        <v>9.2899999999999991</v>
      </c>
      <c r="AC103">
        <v>0</v>
      </c>
      <c r="AD103">
        <v>1</v>
      </c>
      <c r="AE103">
        <v>1</v>
      </c>
      <c r="AF103" t="s">
        <v>188</v>
      </c>
      <c r="AG103">
        <v>234.66899999999998</v>
      </c>
      <c r="AH103">
        <v>2</v>
      </c>
      <c r="AI103">
        <v>16745400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ROW(Source!A94)</f>
        <v>94</v>
      </c>
      <c r="B104">
        <v>16745406</v>
      </c>
      <c r="C104">
        <v>16745399</v>
      </c>
      <c r="D104">
        <v>15430395</v>
      </c>
      <c r="E104">
        <v>1</v>
      </c>
      <c r="F104">
        <v>1</v>
      </c>
      <c r="G104">
        <v>1</v>
      </c>
      <c r="H104">
        <v>1</v>
      </c>
      <c r="I104" t="s">
        <v>1293</v>
      </c>
      <c r="J104" t="s">
        <v>6</v>
      </c>
      <c r="K104" t="s">
        <v>1294</v>
      </c>
      <c r="L104">
        <v>1191</v>
      </c>
      <c r="N104">
        <v>1013</v>
      </c>
      <c r="O104" t="s">
        <v>1287</v>
      </c>
      <c r="P104" t="s">
        <v>1287</v>
      </c>
      <c r="Q104">
        <v>1</v>
      </c>
      <c r="X104">
        <v>2.06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187</v>
      </c>
      <c r="AG104">
        <v>2.5750000000000002</v>
      </c>
      <c r="AH104">
        <v>2</v>
      </c>
      <c r="AI104">
        <v>16745401</v>
      </c>
      <c r="AJ104">
        <v>100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ROW(Source!A94)</f>
        <v>94</v>
      </c>
      <c r="B105">
        <v>16745407</v>
      </c>
      <c r="C105">
        <v>16745399</v>
      </c>
      <c r="D105">
        <v>15247974</v>
      </c>
      <c r="E105">
        <v>1</v>
      </c>
      <c r="F105">
        <v>1</v>
      </c>
      <c r="G105">
        <v>1</v>
      </c>
      <c r="H105">
        <v>2</v>
      </c>
      <c r="I105" t="s">
        <v>1314</v>
      </c>
      <c r="J105" t="s">
        <v>1315</v>
      </c>
      <c r="K105" t="s">
        <v>1316</v>
      </c>
      <c r="L105">
        <v>1368</v>
      </c>
      <c r="N105">
        <v>1011</v>
      </c>
      <c r="O105" t="s">
        <v>1298</v>
      </c>
      <c r="P105" t="s">
        <v>1298</v>
      </c>
      <c r="Q105">
        <v>1</v>
      </c>
      <c r="X105">
        <v>2.06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187</v>
      </c>
      <c r="AG105">
        <v>2.5750000000000002</v>
      </c>
      <c r="AH105">
        <v>2</v>
      </c>
      <c r="AI105">
        <v>16745402</v>
      </c>
      <c r="AJ105">
        <v>101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ROW(Source!A94)</f>
        <v>94</v>
      </c>
      <c r="B106">
        <v>16745408</v>
      </c>
      <c r="C106">
        <v>16745399</v>
      </c>
      <c r="D106">
        <v>15172819</v>
      </c>
      <c r="E106">
        <v>1</v>
      </c>
      <c r="F106">
        <v>1</v>
      </c>
      <c r="G106">
        <v>1</v>
      </c>
      <c r="H106">
        <v>3</v>
      </c>
      <c r="I106" t="s">
        <v>1422</v>
      </c>
      <c r="J106" t="s">
        <v>1423</v>
      </c>
      <c r="K106" t="s">
        <v>1424</v>
      </c>
      <c r="L106">
        <v>1339</v>
      </c>
      <c r="N106">
        <v>1007</v>
      </c>
      <c r="O106" t="s">
        <v>301</v>
      </c>
      <c r="P106" t="s">
        <v>301</v>
      </c>
      <c r="Q106">
        <v>1</v>
      </c>
      <c r="X106">
        <v>4.3</v>
      </c>
      <c r="Y106">
        <v>510.4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4.3</v>
      </c>
      <c r="AH106">
        <v>2</v>
      </c>
      <c r="AI106">
        <v>16745403</v>
      </c>
      <c r="AJ106">
        <v>102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ROW(Source!A94)</f>
        <v>94</v>
      </c>
      <c r="B107">
        <v>16745409</v>
      </c>
      <c r="C107">
        <v>16745399</v>
      </c>
      <c r="D107">
        <v>15172875</v>
      </c>
      <c r="E107">
        <v>1</v>
      </c>
      <c r="F107">
        <v>1</v>
      </c>
      <c r="G107">
        <v>1</v>
      </c>
      <c r="H107">
        <v>3</v>
      </c>
      <c r="I107" t="s">
        <v>1425</v>
      </c>
      <c r="J107" t="s">
        <v>1426</v>
      </c>
      <c r="K107" t="s">
        <v>1427</v>
      </c>
      <c r="L107">
        <v>1339</v>
      </c>
      <c r="N107">
        <v>1007</v>
      </c>
      <c r="O107" t="s">
        <v>301</v>
      </c>
      <c r="P107" t="s">
        <v>301</v>
      </c>
      <c r="Q107">
        <v>1</v>
      </c>
      <c r="X107">
        <v>0.1</v>
      </c>
      <c r="Y107">
        <v>517.91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0.1</v>
      </c>
      <c r="AH107">
        <v>2</v>
      </c>
      <c r="AI107">
        <v>16745404</v>
      </c>
      <c r="AJ107">
        <v>103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ROW(Source!A95)</f>
        <v>95</v>
      </c>
      <c r="B108">
        <v>16745421</v>
      </c>
      <c r="C108">
        <v>16745411</v>
      </c>
      <c r="D108">
        <v>15435609</v>
      </c>
      <c r="E108">
        <v>1</v>
      </c>
      <c r="F108">
        <v>1</v>
      </c>
      <c r="G108">
        <v>1</v>
      </c>
      <c r="H108">
        <v>1</v>
      </c>
      <c r="I108" t="s">
        <v>1291</v>
      </c>
      <c r="J108" t="s">
        <v>6</v>
      </c>
      <c r="K108" t="s">
        <v>1292</v>
      </c>
      <c r="L108">
        <v>1191</v>
      </c>
      <c r="N108">
        <v>1013</v>
      </c>
      <c r="O108" t="s">
        <v>1287</v>
      </c>
      <c r="P108" t="s">
        <v>1287</v>
      </c>
      <c r="Q108">
        <v>1</v>
      </c>
      <c r="X108">
        <v>42.9</v>
      </c>
      <c r="Y108">
        <v>0</v>
      </c>
      <c r="Z108">
        <v>0</v>
      </c>
      <c r="AA108">
        <v>0</v>
      </c>
      <c r="AB108">
        <v>8.9700000000000006</v>
      </c>
      <c r="AC108">
        <v>0</v>
      </c>
      <c r="AD108">
        <v>1</v>
      </c>
      <c r="AE108">
        <v>1</v>
      </c>
      <c r="AF108" t="s">
        <v>188</v>
      </c>
      <c r="AG108">
        <v>49.334999999999994</v>
      </c>
      <c r="AH108">
        <v>2</v>
      </c>
      <c r="AI108">
        <v>16745412</v>
      </c>
      <c r="AJ108">
        <v>104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ROW(Source!A95)</f>
        <v>95</v>
      </c>
      <c r="B109">
        <v>16745422</v>
      </c>
      <c r="C109">
        <v>16745411</v>
      </c>
      <c r="D109">
        <v>15430395</v>
      </c>
      <c r="E109">
        <v>1</v>
      </c>
      <c r="F109">
        <v>1</v>
      </c>
      <c r="G109">
        <v>1</v>
      </c>
      <c r="H109">
        <v>1</v>
      </c>
      <c r="I109" t="s">
        <v>1293</v>
      </c>
      <c r="J109" t="s">
        <v>6</v>
      </c>
      <c r="K109" t="s">
        <v>1294</v>
      </c>
      <c r="L109">
        <v>1191</v>
      </c>
      <c r="N109">
        <v>1013</v>
      </c>
      <c r="O109" t="s">
        <v>1287</v>
      </c>
      <c r="P109" t="s">
        <v>1287</v>
      </c>
      <c r="Q109">
        <v>1</v>
      </c>
      <c r="X109">
        <v>0.17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2</v>
      </c>
      <c r="AF109" t="s">
        <v>187</v>
      </c>
      <c r="AG109">
        <v>0.21250000000000002</v>
      </c>
      <c r="AH109">
        <v>2</v>
      </c>
      <c r="AI109">
        <v>16745413</v>
      </c>
      <c r="AJ109">
        <v>105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ROW(Source!A95)</f>
        <v>95</v>
      </c>
      <c r="B110">
        <v>16745423</v>
      </c>
      <c r="C110">
        <v>16745411</v>
      </c>
      <c r="D110">
        <v>15247974</v>
      </c>
      <c r="E110">
        <v>1</v>
      </c>
      <c r="F110">
        <v>1</v>
      </c>
      <c r="G110">
        <v>1</v>
      </c>
      <c r="H110">
        <v>2</v>
      </c>
      <c r="I110" t="s">
        <v>1314</v>
      </c>
      <c r="J110" t="s">
        <v>1315</v>
      </c>
      <c r="K110" t="s">
        <v>1316</v>
      </c>
      <c r="L110">
        <v>1368</v>
      </c>
      <c r="N110">
        <v>1011</v>
      </c>
      <c r="O110" t="s">
        <v>1298</v>
      </c>
      <c r="P110" t="s">
        <v>1298</v>
      </c>
      <c r="Q110">
        <v>1</v>
      </c>
      <c r="X110">
        <v>0.02</v>
      </c>
      <c r="Y110">
        <v>0</v>
      </c>
      <c r="Z110">
        <v>31.26</v>
      </c>
      <c r="AA110">
        <v>13.5</v>
      </c>
      <c r="AB110">
        <v>0</v>
      </c>
      <c r="AC110">
        <v>0</v>
      </c>
      <c r="AD110">
        <v>1</v>
      </c>
      <c r="AE110">
        <v>0</v>
      </c>
      <c r="AF110" t="s">
        <v>187</v>
      </c>
      <c r="AG110">
        <v>2.5000000000000001E-2</v>
      </c>
      <c r="AH110">
        <v>2</v>
      </c>
      <c r="AI110">
        <v>16745414</v>
      </c>
      <c r="AJ110">
        <v>106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ROW(Source!A95)</f>
        <v>95</v>
      </c>
      <c r="B111">
        <v>16745424</v>
      </c>
      <c r="C111">
        <v>16745411</v>
      </c>
      <c r="D111">
        <v>15249073</v>
      </c>
      <c r="E111">
        <v>1</v>
      </c>
      <c r="F111">
        <v>1</v>
      </c>
      <c r="G111">
        <v>1</v>
      </c>
      <c r="H111">
        <v>2</v>
      </c>
      <c r="I111" t="s">
        <v>1299</v>
      </c>
      <c r="J111" t="s">
        <v>1300</v>
      </c>
      <c r="K111" t="s">
        <v>1301</v>
      </c>
      <c r="L111">
        <v>1368</v>
      </c>
      <c r="N111">
        <v>1011</v>
      </c>
      <c r="O111" t="s">
        <v>1298</v>
      </c>
      <c r="P111" t="s">
        <v>1298</v>
      </c>
      <c r="Q111">
        <v>1</v>
      </c>
      <c r="X111">
        <v>0.15</v>
      </c>
      <c r="Y111">
        <v>0</v>
      </c>
      <c r="Z111">
        <v>65.709999999999994</v>
      </c>
      <c r="AA111">
        <v>11.6</v>
      </c>
      <c r="AB111">
        <v>0</v>
      </c>
      <c r="AC111">
        <v>0</v>
      </c>
      <c r="AD111">
        <v>1</v>
      </c>
      <c r="AE111">
        <v>0</v>
      </c>
      <c r="AF111" t="s">
        <v>187</v>
      </c>
      <c r="AG111">
        <v>0.1875</v>
      </c>
      <c r="AH111">
        <v>2</v>
      </c>
      <c r="AI111">
        <v>16745415</v>
      </c>
      <c r="AJ111">
        <v>107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ROW(Source!A95)</f>
        <v>95</v>
      </c>
      <c r="B112">
        <v>16745425</v>
      </c>
      <c r="C112">
        <v>16745411</v>
      </c>
      <c r="D112">
        <v>15170682</v>
      </c>
      <c r="E112">
        <v>1</v>
      </c>
      <c r="F112">
        <v>1</v>
      </c>
      <c r="G112">
        <v>1</v>
      </c>
      <c r="H112">
        <v>3</v>
      </c>
      <c r="I112" t="s">
        <v>1428</v>
      </c>
      <c r="J112" t="s">
        <v>1429</v>
      </c>
      <c r="K112" t="s">
        <v>1430</v>
      </c>
      <c r="L112">
        <v>1327</v>
      </c>
      <c r="N112">
        <v>1005</v>
      </c>
      <c r="O112" t="s">
        <v>193</v>
      </c>
      <c r="P112" t="s">
        <v>193</v>
      </c>
      <c r="Q112">
        <v>1</v>
      </c>
      <c r="X112">
        <v>0.84</v>
      </c>
      <c r="Y112">
        <v>72.319999999999993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0.84</v>
      </c>
      <c r="AH112">
        <v>2</v>
      </c>
      <c r="AI112">
        <v>16745416</v>
      </c>
      <c r="AJ112">
        <v>108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ROW(Source!A95)</f>
        <v>95</v>
      </c>
      <c r="B113">
        <v>16745426</v>
      </c>
      <c r="C113">
        <v>16745411</v>
      </c>
      <c r="D113">
        <v>15171018</v>
      </c>
      <c r="E113">
        <v>1</v>
      </c>
      <c r="F113">
        <v>1</v>
      </c>
      <c r="G113">
        <v>1</v>
      </c>
      <c r="H113">
        <v>3</v>
      </c>
      <c r="I113" t="s">
        <v>1431</v>
      </c>
      <c r="J113" t="s">
        <v>1432</v>
      </c>
      <c r="K113" t="s">
        <v>1433</v>
      </c>
      <c r="L113">
        <v>1346</v>
      </c>
      <c r="N113">
        <v>1009</v>
      </c>
      <c r="O113" t="s">
        <v>341</v>
      </c>
      <c r="P113" t="s">
        <v>341</v>
      </c>
      <c r="Q113">
        <v>1</v>
      </c>
      <c r="X113">
        <v>0.31</v>
      </c>
      <c r="Y113">
        <v>1.82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0.31</v>
      </c>
      <c r="AH113">
        <v>2</v>
      </c>
      <c r="AI113">
        <v>16745417</v>
      </c>
      <c r="AJ113">
        <v>109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ROW(Source!A95)</f>
        <v>95</v>
      </c>
      <c r="B114">
        <v>16745427</v>
      </c>
      <c r="C114">
        <v>16745411</v>
      </c>
      <c r="D114">
        <v>15163054</v>
      </c>
      <c r="E114">
        <v>17</v>
      </c>
      <c r="F114">
        <v>1</v>
      </c>
      <c r="G114">
        <v>1</v>
      </c>
      <c r="H114">
        <v>3</v>
      </c>
      <c r="I114" t="s">
        <v>240</v>
      </c>
      <c r="J114" t="s">
        <v>6</v>
      </c>
      <c r="K114" t="s">
        <v>241</v>
      </c>
      <c r="L114">
        <v>1348</v>
      </c>
      <c r="N114">
        <v>1009</v>
      </c>
      <c r="O114" t="s">
        <v>100</v>
      </c>
      <c r="P114" t="s">
        <v>100</v>
      </c>
      <c r="Q114">
        <v>1000</v>
      </c>
      <c r="X114">
        <v>6.3E-2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6</v>
      </c>
      <c r="AG114">
        <v>6.3E-2</v>
      </c>
      <c r="AH114">
        <v>2</v>
      </c>
      <c r="AI114">
        <v>16745418</v>
      </c>
      <c r="AJ114">
        <v>110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ROW(Source!A95)</f>
        <v>95</v>
      </c>
      <c r="B115">
        <v>16745428</v>
      </c>
      <c r="C115">
        <v>16745411</v>
      </c>
      <c r="D115">
        <v>15204729</v>
      </c>
      <c r="E115">
        <v>1</v>
      </c>
      <c r="F115">
        <v>1</v>
      </c>
      <c r="G115">
        <v>1</v>
      </c>
      <c r="H115">
        <v>3</v>
      </c>
      <c r="I115" t="s">
        <v>1434</v>
      </c>
      <c r="J115" t="s">
        <v>1435</v>
      </c>
      <c r="K115" t="s">
        <v>1436</v>
      </c>
      <c r="L115">
        <v>1348</v>
      </c>
      <c r="N115">
        <v>1009</v>
      </c>
      <c r="O115" t="s">
        <v>100</v>
      </c>
      <c r="P115" t="s">
        <v>100</v>
      </c>
      <c r="Q115">
        <v>1000</v>
      </c>
      <c r="X115">
        <v>5.0999999999999997E-2</v>
      </c>
      <c r="Y115">
        <v>4294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5.0999999999999997E-2</v>
      </c>
      <c r="AH115">
        <v>2</v>
      </c>
      <c r="AI115">
        <v>16745419</v>
      </c>
      <c r="AJ115">
        <v>112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ROW(Source!A98)</f>
        <v>98</v>
      </c>
      <c r="B116">
        <v>16745442</v>
      </c>
      <c r="C116">
        <v>16745431</v>
      </c>
      <c r="D116">
        <v>15446300</v>
      </c>
      <c r="E116">
        <v>1</v>
      </c>
      <c r="F116">
        <v>1</v>
      </c>
      <c r="G116">
        <v>1</v>
      </c>
      <c r="H116">
        <v>1</v>
      </c>
      <c r="I116" t="s">
        <v>1437</v>
      </c>
      <c r="J116" t="s">
        <v>6</v>
      </c>
      <c r="K116" t="s">
        <v>1438</v>
      </c>
      <c r="L116">
        <v>1191</v>
      </c>
      <c r="N116">
        <v>1013</v>
      </c>
      <c r="O116" t="s">
        <v>1287</v>
      </c>
      <c r="P116" t="s">
        <v>1287</v>
      </c>
      <c r="Q116">
        <v>1</v>
      </c>
      <c r="X116">
        <v>2.4</v>
      </c>
      <c r="Y116">
        <v>0</v>
      </c>
      <c r="Z116">
        <v>0</v>
      </c>
      <c r="AA116">
        <v>0</v>
      </c>
      <c r="AB116">
        <v>9.92</v>
      </c>
      <c r="AC116">
        <v>0</v>
      </c>
      <c r="AD116">
        <v>1</v>
      </c>
      <c r="AE116">
        <v>1</v>
      </c>
      <c r="AF116" t="s">
        <v>188</v>
      </c>
      <c r="AG116">
        <v>2.76</v>
      </c>
      <c r="AH116">
        <v>2</v>
      </c>
      <c r="AI116">
        <v>16745432</v>
      </c>
      <c r="AJ116">
        <v>113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ROW(Source!A98)</f>
        <v>98</v>
      </c>
      <c r="B117">
        <v>16745443</v>
      </c>
      <c r="C117">
        <v>16745431</v>
      </c>
      <c r="D117">
        <v>15430395</v>
      </c>
      <c r="E117">
        <v>1</v>
      </c>
      <c r="F117">
        <v>1</v>
      </c>
      <c r="G117">
        <v>1</v>
      </c>
      <c r="H117">
        <v>1</v>
      </c>
      <c r="I117" t="s">
        <v>1293</v>
      </c>
      <c r="J117" t="s">
        <v>6</v>
      </c>
      <c r="K117" t="s">
        <v>1294</v>
      </c>
      <c r="L117">
        <v>1191</v>
      </c>
      <c r="N117">
        <v>1013</v>
      </c>
      <c r="O117" t="s">
        <v>1287</v>
      </c>
      <c r="P117" t="s">
        <v>1287</v>
      </c>
      <c r="Q117">
        <v>1</v>
      </c>
      <c r="X117">
        <v>0.17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187</v>
      </c>
      <c r="AG117">
        <v>0.21250000000000002</v>
      </c>
      <c r="AH117">
        <v>2</v>
      </c>
      <c r="AI117">
        <v>16745433</v>
      </c>
      <c r="AJ117">
        <v>114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ROW(Source!A98)</f>
        <v>98</v>
      </c>
      <c r="B118">
        <v>16745444</v>
      </c>
      <c r="C118">
        <v>16745431</v>
      </c>
      <c r="D118">
        <v>15249073</v>
      </c>
      <c r="E118">
        <v>1</v>
      </c>
      <c r="F118">
        <v>1</v>
      </c>
      <c r="G118">
        <v>1</v>
      </c>
      <c r="H118">
        <v>2</v>
      </c>
      <c r="I118" t="s">
        <v>1299</v>
      </c>
      <c r="J118" t="s">
        <v>1300</v>
      </c>
      <c r="K118" t="s">
        <v>1301</v>
      </c>
      <c r="L118">
        <v>1368</v>
      </c>
      <c r="N118">
        <v>1011</v>
      </c>
      <c r="O118" t="s">
        <v>1298</v>
      </c>
      <c r="P118" t="s">
        <v>1298</v>
      </c>
      <c r="Q118">
        <v>1</v>
      </c>
      <c r="X118">
        <v>0.17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187</v>
      </c>
      <c r="AG118">
        <v>0.21250000000000002</v>
      </c>
      <c r="AH118">
        <v>2</v>
      </c>
      <c r="AI118">
        <v>16745434</v>
      </c>
      <c r="AJ118">
        <v>115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ROW(Source!A98)</f>
        <v>98</v>
      </c>
      <c r="B119">
        <v>16745445</v>
      </c>
      <c r="C119">
        <v>16745431</v>
      </c>
      <c r="D119">
        <v>15249377</v>
      </c>
      <c r="E119">
        <v>1</v>
      </c>
      <c r="F119">
        <v>1</v>
      </c>
      <c r="G119">
        <v>1</v>
      </c>
      <c r="H119">
        <v>2</v>
      </c>
      <c r="I119" t="s">
        <v>1302</v>
      </c>
      <c r="J119" t="s">
        <v>1303</v>
      </c>
      <c r="K119" t="s">
        <v>1304</v>
      </c>
      <c r="L119">
        <v>1368</v>
      </c>
      <c r="N119">
        <v>1011</v>
      </c>
      <c r="O119" t="s">
        <v>1298</v>
      </c>
      <c r="P119" t="s">
        <v>1298</v>
      </c>
      <c r="Q119">
        <v>1</v>
      </c>
      <c r="X119">
        <v>0.4</v>
      </c>
      <c r="Y119">
        <v>0</v>
      </c>
      <c r="Z119">
        <v>8.1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187</v>
      </c>
      <c r="AG119">
        <v>0.5</v>
      </c>
      <c r="AH119">
        <v>2</v>
      </c>
      <c r="AI119">
        <v>16745435</v>
      </c>
      <c r="AJ119">
        <v>116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ROW(Source!A98)</f>
        <v>98</v>
      </c>
      <c r="B120">
        <v>16745446</v>
      </c>
      <c r="C120">
        <v>16745431</v>
      </c>
      <c r="D120">
        <v>15162381</v>
      </c>
      <c r="E120">
        <v>17</v>
      </c>
      <c r="F120">
        <v>1</v>
      </c>
      <c r="G120">
        <v>1</v>
      </c>
      <c r="H120">
        <v>3</v>
      </c>
      <c r="I120" t="s">
        <v>1865</v>
      </c>
      <c r="J120" t="s">
        <v>6</v>
      </c>
      <c r="K120" t="s">
        <v>1866</v>
      </c>
      <c r="L120">
        <v>1035</v>
      </c>
      <c r="N120">
        <v>1013</v>
      </c>
      <c r="O120" t="s">
        <v>249</v>
      </c>
      <c r="P120" t="s">
        <v>249</v>
      </c>
      <c r="Q120">
        <v>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1</v>
      </c>
      <c r="AD120">
        <v>0</v>
      </c>
      <c r="AE120">
        <v>0</v>
      </c>
      <c r="AF120" t="s">
        <v>6</v>
      </c>
      <c r="AG120">
        <v>0</v>
      </c>
      <c r="AH120">
        <v>3</v>
      </c>
      <c r="AI120">
        <v>-1</v>
      </c>
      <c r="AJ120" t="s">
        <v>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ROW(Source!A98)</f>
        <v>98</v>
      </c>
      <c r="B121">
        <v>16745447</v>
      </c>
      <c r="C121">
        <v>16745431</v>
      </c>
      <c r="D121">
        <v>15168750</v>
      </c>
      <c r="E121">
        <v>1</v>
      </c>
      <c r="F121">
        <v>1</v>
      </c>
      <c r="G121">
        <v>1</v>
      </c>
      <c r="H121">
        <v>3</v>
      </c>
      <c r="I121" t="s">
        <v>1439</v>
      </c>
      <c r="J121" t="s">
        <v>1440</v>
      </c>
      <c r="K121" t="s">
        <v>1441</v>
      </c>
      <c r="L121">
        <v>1348</v>
      </c>
      <c r="N121">
        <v>1009</v>
      </c>
      <c r="O121" t="s">
        <v>100</v>
      </c>
      <c r="P121" t="s">
        <v>100</v>
      </c>
      <c r="Q121">
        <v>1000</v>
      </c>
      <c r="X121">
        <v>1E-4</v>
      </c>
      <c r="Y121">
        <v>10315.01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1E-4</v>
      </c>
      <c r="AH121">
        <v>2</v>
      </c>
      <c r="AI121">
        <v>16745436</v>
      </c>
      <c r="AJ121">
        <v>118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ROW(Source!A98)</f>
        <v>98</v>
      </c>
      <c r="B122">
        <v>16745448</v>
      </c>
      <c r="C122">
        <v>16745431</v>
      </c>
      <c r="D122">
        <v>15162386</v>
      </c>
      <c r="E122">
        <v>17</v>
      </c>
      <c r="F122">
        <v>1</v>
      </c>
      <c r="G122">
        <v>1</v>
      </c>
      <c r="H122">
        <v>3</v>
      </c>
      <c r="I122" t="s">
        <v>256</v>
      </c>
      <c r="J122" t="s">
        <v>6</v>
      </c>
      <c r="K122" t="s">
        <v>257</v>
      </c>
      <c r="L122">
        <v>1327</v>
      </c>
      <c r="N122">
        <v>1005</v>
      </c>
      <c r="O122" t="s">
        <v>193</v>
      </c>
      <c r="P122" t="s">
        <v>193</v>
      </c>
      <c r="Q122">
        <v>1</v>
      </c>
      <c r="X122">
        <v>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6</v>
      </c>
      <c r="AG122">
        <v>1</v>
      </c>
      <c r="AH122">
        <v>2</v>
      </c>
      <c r="AI122">
        <v>16745437</v>
      </c>
      <c r="AJ122">
        <v>119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ROW(Source!A98)</f>
        <v>98</v>
      </c>
      <c r="B123">
        <v>16745449</v>
      </c>
      <c r="C123">
        <v>16745431</v>
      </c>
      <c r="D123">
        <v>15192019</v>
      </c>
      <c r="E123">
        <v>1</v>
      </c>
      <c r="F123">
        <v>1</v>
      </c>
      <c r="G123">
        <v>1</v>
      </c>
      <c r="H123">
        <v>3</v>
      </c>
      <c r="I123" t="s">
        <v>1442</v>
      </c>
      <c r="J123" t="s">
        <v>1443</v>
      </c>
      <c r="K123" t="s">
        <v>1444</v>
      </c>
      <c r="L123">
        <v>1348</v>
      </c>
      <c r="N123">
        <v>1009</v>
      </c>
      <c r="O123" t="s">
        <v>100</v>
      </c>
      <c r="P123" t="s">
        <v>100</v>
      </c>
      <c r="Q123">
        <v>1000</v>
      </c>
      <c r="X123">
        <v>3.0000000000000001E-3</v>
      </c>
      <c r="Y123">
        <v>5804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3.0000000000000001E-3</v>
      </c>
      <c r="AH123">
        <v>2</v>
      </c>
      <c r="AI123">
        <v>16745438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ROW(Source!A98)</f>
        <v>98</v>
      </c>
      <c r="B124">
        <v>16745450</v>
      </c>
      <c r="C124">
        <v>16745431</v>
      </c>
      <c r="D124">
        <v>15204330</v>
      </c>
      <c r="E124">
        <v>1</v>
      </c>
      <c r="F124">
        <v>1</v>
      </c>
      <c r="G124">
        <v>1</v>
      </c>
      <c r="H124">
        <v>3</v>
      </c>
      <c r="I124" t="s">
        <v>1445</v>
      </c>
      <c r="J124" t="s">
        <v>1446</v>
      </c>
      <c r="K124" t="s">
        <v>1447</v>
      </c>
      <c r="L124">
        <v>1354</v>
      </c>
      <c r="N124">
        <v>1010</v>
      </c>
      <c r="O124" t="s">
        <v>73</v>
      </c>
      <c r="P124" t="s">
        <v>73</v>
      </c>
      <c r="Q124">
        <v>1</v>
      </c>
      <c r="X124">
        <v>0.1</v>
      </c>
      <c r="Y124">
        <v>72.8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0.1</v>
      </c>
      <c r="AH124">
        <v>2</v>
      </c>
      <c r="AI124">
        <v>16745439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ROW(Source!A102)</f>
        <v>102</v>
      </c>
      <c r="B125">
        <v>16745460</v>
      </c>
      <c r="C125">
        <v>16745454</v>
      </c>
      <c r="D125">
        <v>15446300</v>
      </c>
      <c r="E125">
        <v>1</v>
      </c>
      <c r="F125">
        <v>1</v>
      </c>
      <c r="G125">
        <v>1</v>
      </c>
      <c r="H125">
        <v>1</v>
      </c>
      <c r="I125" t="s">
        <v>1437</v>
      </c>
      <c r="J125" t="s">
        <v>6</v>
      </c>
      <c r="K125" t="s">
        <v>1438</v>
      </c>
      <c r="L125">
        <v>1191</v>
      </c>
      <c r="N125">
        <v>1013</v>
      </c>
      <c r="O125" t="s">
        <v>1287</v>
      </c>
      <c r="P125" t="s">
        <v>1287</v>
      </c>
      <c r="Q125">
        <v>1</v>
      </c>
      <c r="X125">
        <v>1.1100000000000001</v>
      </c>
      <c r="Y125">
        <v>0</v>
      </c>
      <c r="Z125">
        <v>0</v>
      </c>
      <c r="AA125">
        <v>0</v>
      </c>
      <c r="AB125">
        <v>9.92</v>
      </c>
      <c r="AC125">
        <v>0</v>
      </c>
      <c r="AD125">
        <v>1</v>
      </c>
      <c r="AE125">
        <v>1</v>
      </c>
      <c r="AF125" t="s">
        <v>188</v>
      </c>
      <c r="AG125">
        <v>1.2765</v>
      </c>
      <c r="AH125">
        <v>2</v>
      </c>
      <c r="AI125">
        <v>16745455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ROW(Source!A102)</f>
        <v>102</v>
      </c>
      <c r="B126">
        <v>16745461</v>
      </c>
      <c r="C126">
        <v>16745454</v>
      </c>
      <c r="D126">
        <v>15249377</v>
      </c>
      <c r="E126">
        <v>1</v>
      </c>
      <c r="F126">
        <v>1</v>
      </c>
      <c r="G126">
        <v>1</v>
      </c>
      <c r="H126">
        <v>2</v>
      </c>
      <c r="I126" t="s">
        <v>1302</v>
      </c>
      <c r="J126" t="s">
        <v>1303</v>
      </c>
      <c r="K126" t="s">
        <v>1304</v>
      </c>
      <c r="L126">
        <v>1368</v>
      </c>
      <c r="N126">
        <v>1011</v>
      </c>
      <c r="O126" t="s">
        <v>1298</v>
      </c>
      <c r="P126" t="s">
        <v>1298</v>
      </c>
      <c r="Q126">
        <v>1</v>
      </c>
      <c r="X126">
        <v>0.26</v>
      </c>
      <c r="Y126">
        <v>0</v>
      </c>
      <c r="Z126">
        <v>8.1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187</v>
      </c>
      <c r="AG126">
        <v>0.32500000000000001</v>
      </c>
      <c r="AH126">
        <v>2</v>
      </c>
      <c r="AI126">
        <v>16745456</v>
      </c>
      <c r="AJ126">
        <v>124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ROW(Source!A102)</f>
        <v>102</v>
      </c>
      <c r="B127">
        <v>16745462</v>
      </c>
      <c r="C127">
        <v>16745454</v>
      </c>
      <c r="D127">
        <v>15162381</v>
      </c>
      <c r="E127">
        <v>17</v>
      </c>
      <c r="F127">
        <v>1</v>
      </c>
      <c r="G127">
        <v>1</v>
      </c>
      <c r="H127">
        <v>3</v>
      </c>
      <c r="I127" t="s">
        <v>1865</v>
      </c>
      <c r="J127" t="s">
        <v>6</v>
      </c>
      <c r="K127" t="s">
        <v>1866</v>
      </c>
      <c r="L127">
        <v>1035</v>
      </c>
      <c r="N127">
        <v>1013</v>
      </c>
      <c r="O127" t="s">
        <v>249</v>
      </c>
      <c r="P127" t="s">
        <v>249</v>
      </c>
      <c r="Q127">
        <v>1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1</v>
      </c>
      <c r="AD127">
        <v>0</v>
      </c>
      <c r="AE127">
        <v>0</v>
      </c>
      <c r="AF127" t="s">
        <v>6</v>
      </c>
      <c r="AG127">
        <v>0</v>
      </c>
      <c r="AH127">
        <v>3</v>
      </c>
      <c r="AI127">
        <v>-1</v>
      </c>
      <c r="AJ127" t="s">
        <v>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ROW(Source!A102)</f>
        <v>102</v>
      </c>
      <c r="B128">
        <v>16745463</v>
      </c>
      <c r="C128">
        <v>16745454</v>
      </c>
      <c r="D128">
        <v>15168750</v>
      </c>
      <c r="E128">
        <v>1</v>
      </c>
      <c r="F128">
        <v>1</v>
      </c>
      <c r="G128">
        <v>1</v>
      </c>
      <c r="H128">
        <v>3</v>
      </c>
      <c r="I128" t="s">
        <v>1439</v>
      </c>
      <c r="J128" t="s">
        <v>1440</v>
      </c>
      <c r="K128" t="s">
        <v>1441</v>
      </c>
      <c r="L128">
        <v>1348</v>
      </c>
      <c r="N128">
        <v>1009</v>
      </c>
      <c r="O128" t="s">
        <v>100</v>
      </c>
      <c r="P128" t="s">
        <v>100</v>
      </c>
      <c r="Q128">
        <v>1000</v>
      </c>
      <c r="X128">
        <v>6.9999999999999994E-5</v>
      </c>
      <c r="Y128">
        <v>10315.01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6.9999999999999994E-5</v>
      </c>
      <c r="AH128">
        <v>2</v>
      </c>
      <c r="AI128">
        <v>16745457</v>
      </c>
      <c r="AJ128">
        <v>126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ROW(Source!A102)</f>
        <v>102</v>
      </c>
      <c r="B129">
        <v>16745464</v>
      </c>
      <c r="C129">
        <v>16745454</v>
      </c>
      <c r="D129">
        <v>15169980</v>
      </c>
      <c r="E129">
        <v>1</v>
      </c>
      <c r="F129">
        <v>1</v>
      </c>
      <c r="G129">
        <v>1</v>
      </c>
      <c r="H129">
        <v>3</v>
      </c>
      <c r="I129" t="s">
        <v>1448</v>
      </c>
      <c r="J129" t="s">
        <v>1449</v>
      </c>
      <c r="K129" t="s">
        <v>1450</v>
      </c>
      <c r="L129">
        <v>1355</v>
      </c>
      <c r="N129">
        <v>1010</v>
      </c>
      <c r="O129" t="s">
        <v>843</v>
      </c>
      <c r="P129" t="s">
        <v>843</v>
      </c>
      <c r="Q129">
        <v>100</v>
      </c>
      <c r="X129">
        <v>8.0000000000000007E-5</v>
      </c>
      <c r="Y129">
        <v>20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8.0000000000000007E-5</v>
      </c>
      <c r="AH129">
        <v>2</v>
      </c>
      <c r="AI129">
        <v>16745458</v>
      </c>
      <c r="AJ129">
        <v>127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ROW(Source!A104)</f>
        <v>104</v>
      </c>
      <c r="B130">
        <v>16745479</v>
      </c>
      <c r="C130">
        <v>16745466</v>
      </c>
      <c r="D130">
        <v>15438286</v>
      </c>
      <c r="E130">
        <v>1</v>
      </c>
      <c r="F130">
        <v>1</v>
      </c>
      <c r="G130">
        <v>1</v>
      </c>
      <c r="H130">
        <v>1</v>
      </c>
      <c r="I130" t="s">
        <v>1451</v>
      </c>
      <c r="J130" t="s">
        <v>6</v>
      </c>
      <c r="K130" t="s">
        <v>1452</v>
      </c>
      <c r="L130">
        <v>1191</v>
      </c>
      <c r="N130">
        <v>1013</v>
      </c>
      <c r="O130" t="s">
        <v>1287</v>
      </c>
      <c r="P130" t="s">
        <v>1287</v>
      </c>
      <c r="Q130">
        <v>1</v>
      </c>
      <c r="X130">
        <v>89.53</v>
      </c>
      <c r="Y130">
        <v>0</v>
      </c>
      <c r="Z130">
        <v>0</v>
      </c>
      <c r="AA130">
        <v>0</v>
      </c>
      <c r="AB130">
        <v>9.18</v>
      </c>
      <c r="AC130">
        <v>0</v>
      </c>
      <c r="AD130">
        <v>1</v>
      </c>
      <c r="AE130">
        <v>1</v>
      </c>
      <c r="AF130" t="s">
        <v>188</v>
      </c>
      <c r="AG130">
        <v>102.95949999999999</v>
      </c>
      <c r="AH130">
        <v>2</v>
      </c>
      <c r="AI130">
        <v>16745467</v>
      </c>
      <c r="AJ130">
        <v>128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ROW(Source!A104)</f>
        <v>104</v>
      </c>
      <c r="B131">
        <v>16745480</v>
      </c>
      <c r="C131">
        <v>16745466</v>
      </c>
      <c r="D131">
        <v>15430395</v>
      </c>
      <c r="E131">
        <v>1</v>
      </c>
      <c r="F131">
        <v>1</v>
      </c>
      <c r="G131">
        <v>1</v>
      </c>
      <c r="H131">
        <v>1</v>
      </c>
      <c r="I131" t="s">
        <v>1293</v>
      </c>
      <c r="J131" t="s">
        <v>6</v>
      </c>
      <c r="K131" t="s">
        <v>1294</v>
      </c>
      <c r="L131">
        <v>1191</v>
      </c>
      <c r="N131">
        <v>1013</v>
      </c>
      <c r="O131" t="s">
        <v>1287</v>
      </c>
      <c r="P131" t="s">
        <v>1287</v>
      </c>
      <c r="Q131">
        <v>1</v>
      </c>
      <c r="X131">
        <v>11.68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2</v>
      </c>
      <c r="AF131" t="s">
        <v>187</v>
      </c>
      <c r="AG131">
        <v>14.6</v>
      </c>
      <c r="AH131">
        <v>2</v>
      </c>
      <c r="AI131">
        <v>16745468</v>
      </c>
      <c r="AJ131">
        <v>129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ROW(Source!A104)</f>
        <v>104</v>
      </c>
      <c r="B132">
        <v>16745481</v>
      </c>
      <c r="C132">
        <v>16745466</v>
      </c>
      <c r="D132">
        <v>15247578</v>
      </c>
      <c r="E132">
        <v>1</v>
      </c>
      <c r="F132">
        <v>1</v>
      </c>
      <c r="G132">
        <v>1</v>
      </c>
      <c r="H132">
        <v>2</v>
      </c>
      <c r="I132" t="s">
        <v>1408</v>
      </c>
      <c r="J132" t="s">
        <v>1409</v>
      </c>
      <c r="K132" t="s">
        <v>1410</v>
      </c>
      <c r="L132">
        <v>1368</v>
      </c>
      <c r="N132">
        <v>1011</v>
      </c>
      <c r="O132" t="s">
        <v>1298</v>
      </c>
      <c r="P132" t="s">
        <v>1298</v>
      </c>
      <c r="Q132">
        <v>1</v>
      </c>
      <c r="X132">
        <v>9.69</v>
      </c>
      <c r="Y132">
        <v>0</v>
      </c>
      <c r="Z132">
        <v>86.4</v>
      </c>
      <c r="AA132">
        <v>13.5</v>
      </c>
      <c r="AB132">
        <v>0</v>
      </c>
      <c r="AC132">
        <v>0</v>
      </c>
      <c r="AD132">
        <v>1</v>
      </c>
      <c r="AE132">
        <v>0</v>
      </c>
      <c r="AF132" t="s">
        <v>187</v>
      </c>
      <c r="AG132">
        <v>12.112499999999999</v>
      </c>
      <c r="AH132">
        <v>2</v>
      </c>
      <c r="AI132">
        <v>16745469</v>
      </c>
      <c r="AJ132">
        <v>130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ROW(Source!A104)</f>
        <v>104</v>
      </c>
      <c r="B133">
        <v>16745482</v>
      </c>
      <c r="C133">
        <v>16745466</v>
      </c>
      <c r="D133">
        <v>15249073</v>
      </c>
      <c r="E133">
        <v>1</v>
      </c>
      <c r="F133">
        <v>1</v>
      </c>
      <c r="G133">
        <v>1</v>
      </c>
      <c r="H133">
        <v>2</v>
      </c>
      <c r="I133" t="s">
        <v>1299</v>
      </c>
      <c r="J133" t="s">
        <v>1300</v>
      </c>
      <c r="K133" t="s">
        <v>1301</v>
      </c>
      <c r="L133">
        <v>1368</v>
      </c>
      <c r="N133">
        <v>1011</v>
      </c>
      <c r="O133" t="s">
        <v>1298</v>
      </c>
      <c r="P133" t="s">
        <v>1298</v>
      </c>
      <c r="Q133">
        <v>1</v>
      </c>
      <c r="X133">
        <v>1.99</v>
      </c>
      <c r="Y133">
        <v>0</v>
      </c>
      <c r="Z133">
        <v>65.709999999999994</v>
      </c>
      <c r="AA133">
        <v>11.6</v>
      </c>
      <c r="AB133">
        <v>0</v>
      </c>
      <c r="AC133">
        <v>0</v>
      </c>
      <c r="AD133">
        <v>1</v>
      </c>
      <c r="AE133">
        <v>0</v>
      </c>
      <c r="AF133" t="s">
        <v>187</v>
      </c>
      <c r="AG133">
        <v>2.4874999999999998</v>
      </c>
      <c r="AH133">
        <v>2</v>
      </c>
      <c r="AI133">
        <v>16745470</v>
      </c>
      <c r="AJ133">
        <v>131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ROW(Source!A104)</f>
        <v>104</v>
      </c>
      <c r="B134">
        <v>16745483</v>
      </c>
      <c r="C134">
        <v>16745466</v>
      </c>
      <c r="D134">
        <v>15162381</v>
      </c>
      <c r="E134">
        <v>17</v>
      </c>
      <c r="F134">
        <v>1</v>
      </c>
      <c r="G134">
        <v>1</v>
      </c>
      <c r="H134">
        <v>3</v>
      </c>
      <c r="I134" t="s">
        <v>1865</v>
      </c>
      <c r="J134" t="s">
        <v>6</v>
      </c>
      <c r="K134" t="s">
        <v>1866</v>
      </c>
      <c r="L134">
        <v>1035</v>
      </c>
      <c r="N134">
        <v>1013</v>
      </c>
      <c r="O134" t="s">
        <v>249</v>
      </c>
      <c r="P134" t="s">
        <v>249</v>
      </c>
      <c r="Q134">
        <v>1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1</v>
      </c>
      <c r="AD134">
        <v>0</v>
      </c>
      <c r="AE134">
        <v>0</v>
      </c>
      <c r="AF134" t="s">
        <v>6</v>
      </c>
      <c r="AG134">
        <v>0</v>
      </c>
      <c r="AH134">
        <v>3</v>
      </c>
      <c r="AI134">
        <v>-1</v>
      </c>
      <c r="AJ134" t="s">
        <v>6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ROW(Source!A104)</f>
        <v>104</v>
      </c>
      <c r="B135">
        <v>16745484</v>
      </c>
      <c r="C135">
        <v>16745466</v>
      </c>
      <c r="D135">
        <v>15170039</v>
      </c>
      <c r="E135">
        <v>1</v>
      </c>
      <c r="F135">
        <v>1</v>
      </c>
      <c r="G135">
        <v>1</v>
      </c>
      <c r="H135">
        <v>3</v>
      </c>
      <c r="I135" t="s">
        <v>1365</v>
      </c>
      <c r="J135" t="s">
        <v>1366</v>
      </c>
      <c r="K135" t="s">
        <v>1367</v>
      </c>
      <c r="L135">
        <v>1348</v>
      </c>
      <c r="N135">
        <v>1009</v>
      </c>
      <c r="O135" t="s">
        <v>100</v>
      </c>
      <c r="P135" t="s">
        <v>100</v>
      </c>
      <c r="Q135">
        <v>1000</v>
      </c>
      <c r="X135">
        <v>4.13E-3</v>
      </c>
      <c r="Y135">
        <v>11978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4.13E-3</v>
      </c>
      <c r="AH135">
        <v>2</v>
      </c>
      <c r="AI135">
        <v>16745471</v>
      </c>
      <c r="AJ135">
        <v>134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ROW(Source!A104)</f>
        <v>104</v>
      </c>
      <c r="B136">
        <v>16745485</v>
      </c>
      <c r="C136">
        <v>16745466</v>
      </c>
      <c r="D136">
        <v>15172818</v>
      </c>
      <c r="E136">
        <v>1</v>
      </c>
      <c r="F136">
        <v>1</v>
      </c>
      <c r="G136">
        <v>1</v>
      </c>
      <c r="H136">
        <v>3</v>
      </c>
      <c r="I136" t="s">
        <v>1453</v>
      </c>
      <c r="J136" t="s">
        <v>1454</v>
      </c>
      <c r="K136" t="s">
        <v>1455</v>
      </c>
      <c r="L136">
        <v>1339</v>
      </c>
      <c r="N136">
        <v>1007</v>
      </c>
      <c r="O136" t="s">
        <v>301</v>
      </c>
      <c r="P136" t="s">
        <v>301</v>
      </c>
      <c r="Q136">
        <v>1</v>
      </c>
      <c r="X136">
        <v>0.105</v>
      </c>
      <c r="Y136">
        <v>458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0.105</v>
      </c>
      <c r="AH136">
        <v>2</v>
      </c>
      <c r="AI136">
        <v>16745472</v>
      </c>
      <c r="AJ136">
        <v>135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ROW(Source!A104)</f>
        <v>104</v>
      </c>
      <c r="B137">
        <v>16745486</v>
      </c>
      <c r="C137">
        <v>16745466</v>
      </c>
      <c r="D137">
        <v>15161686</v>
      </c>
      <c r="E137">
        <v>17</v>
      </c>
      <c r="F137">
        <v>1</v>
      </c>
      <c r="G137">
        <v>1</v>
      </c>
      <c r="H137">
        <v>3</v>
      </c>
      <c r="I137" t="s">
        <v>1867</v>
      </c>
      <c r="J137" t="s">
        <v>6</v>
      </c>
      <c r="K137" t="s">
        <v>1868</v>
      </c>
      <c r="L137">
        <v>1346</v>
      </c>
      <c r="N137">
        <v>1009</v>
      </c>
      <c r="O137" t="s">
        <v>341</v>
      </c>
      <c r="P137" t="s">
        <v>341</v>
      </c>
      <c r="Q137">
        <v>1</v>
      </c>
      <c r="X137">
        <v>37.5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6</v>
      </c>
      <c r="AG137">
        <v>37.5</v>
      </c>
      <c r="AH137">
        <v>3</v>
      </c>
      <c r="AI137">
        <v>-1</v>
      </c>
      <c r="AJ137" t="s">
        <v>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ROW(Source!A104)</f>
        <v>104</v>
      </c>
      <c r="B138">
        <v>16745487</v>
      </c>
      <c r="C138">
        <v>16745466</v>
      </c>
      <c r="D138">
        <v>15196008</v>
      </c>
      <c r="E138">
        <v>1</v>
      </c>
      <c r="F138">
        <v>1</v>
      </c>
      <c r="G138">
        <v>1</v>
      </c>
      <c r="H138">
        <v>3</v>
      </c>
      <c r="I138" t="s">
        <v>1456</v>
      </c>
      <c r="J138" t="s">
        <v>1457</v>
      </c>
      <c r="K138" t="s">
        <v>1458</v>
      </c>
      <c r="L138">
        <v>1339</v>
      </c>
      <c r="N138">
        <v>1007</v>
      </c>
      <c r="O138" t="s">
        <v>301</v>
      </c>
      <c r="P138" t="s">
        <v>301</v>
      </c>
      <c r="Q138">
        <v>1</v>
      </c>
      <c r="X138">
        <v>0.08</v>
      </c>
      <c r="Y138">
        <v>1100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0.08</v>
      </c>
      <c r="AH138">
        <v>2</v>
      </c>
      <c r="AI138">
        <v>16745473</v>
      </c>
      <c r="AJ138">
        <v>136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ROW(Source!A104)</f>
        <v>104</v>
      </c>
      <c r="B139">
        <v>16745488</v>
      </c>
      <c r="C139">
        <v>16745466</v>
      </c>
      <c r="D139">
        <v>15162477</v>
      </c>
      <c r="E139">
        <v>17</v>
      </c>
      <c r="F139">
        <v>1</v>
      </c>
      <c r="G139">
        <v>1</v>
      </c>
      <c r="H139">
        <v>3</v>
      </c>
      <c r="I139" t="s">
        <v>280</v>
      </c>
      <c r="J139" t="s">
        <v>6</v>
      </c>
      <c r="K139" t="s">
        <v>281</v>
      </c>
      <c r="L139">
        <v>1327</v>
      </c>
      <c r="N139">
        <v>1005</v>
      </c>
      <c r="O139" t="s">
        <v>193</v>
      </c>
      <c r="P139" t="s">
        <v>193</v>
      </c>
      <c r="Q139">
        <v>1</v>
      </c>
      <c r="X139">
        <v>100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6</v>
      </c>
      <c r="AG139">
        <v>100</v>
      </c>
      <c r="AH139">
        <v>2</v>
      </c>
      <c r="AI139">
        <v>16745474</v>
      </c>
      <c r="AJ139">
        <v>137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ROW(Source!A104)</f>
        <v>104</v>
      </c>
      <c r="B140">
        <v>16745489</v>
      </c>
      <c r="C140">
        <v>16745466</v>
      </c>
      <c r="D140">
        <v>15204315</v>
      </c>
      <c r="E140">
        <v>1</v>
      </c>
      <c r="F140">
        <v>1</v>
      </c>
      <c r="G140">
        <v>1</v>
      </c>
      <c r="H140">
        <v>3</v>
      </c>
      <c r="I140" t="s">
        <v>1459</v>
      </c>
      <c r="J140" t="s">
        <v>1460</v>
      </c>
      <c r="K140" t="s">
        <v>1461</v>
      </c>
      <c r="L140">
        <v>1296</v>
      </c>
      <c r="N140">
        <v>1002</v>
      </c>
      <c r="O140" t="s">
        <v>1462</v>
      </c>
      <c r="P140" t="s">
        <v>1462</v>
      </c>
      <c r="Q140">
        <v>1</v>
      </c>
      <c r="X140">
        <v>32.4</v>
      </c>
      <c r="Y140">
        <v>46.86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32.4</v>
      </c>
      <c r="AH140">
        <v>2</v>
      </c>
      <c r="AI140">
        <v>16745475</v>
      </c>
      <c r="AJ140">
        <v>139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ROW(Source!A109)</f>
        <v>109</v>
      </c>
      <c r="B141">
        <v>16745497</v>
      </c>
      <c r="C141">
        <v>16745494</v>
      </c>
      <c r="D141">
        <v>15430767</v>
      </c>
      <c r="E141">
        <v>1</v>
      </c>
      <c r="F141">
        <v>1</v>
      </c>
      <c r="G141">
        <v>1</v>
      </c>
      <c r="H141">
        <v>1</v>
      </c>
      <c r="I141" t="s">
        <v>1285</v>
      </c>
      <c r="J141" t="s">
        <v>6</v>
      </c>
      <c r="K141" t="s">
        <v>1286</v>
      </c>
      <c r="L141">
        <v>1191</v>
      </c>
      <c r="N141">
        <v>1013</v>
      </c>
      <c r="O141" t="s">
        <v>1287</v>
      </c>
      <c r="P141" t="s">
        <v>1287</v>
      </c>
      <c r="Q141">
        <v>1</v>
      </c>
      <c r="X141">
        <v>34.56</v>
      </c>
      <c r="Y141">
        <v>0</v>
      </c>
      <c r="Z141">
        <v>0</v>
      </c>
      <c r="AA141">
        <v>0</v>
      </c>
      <c r="AB141">
        <v>8.5299999999999994</v>
      </c>
      <c r="AC141">
        <v>0</v>
      </c>
      <c r="AD141">
        <v>1</v>
      </c>
      <c r="AE141">
        <v>1</v>
      </c>
      <c r="AF141" t="s">
        <v>188</v>
      </c>
      <c r="AG141">
        <v>39.744</v>
      </c>
      <c r="AH141">
        <v>2</v>
      </c>
      <c r="AI141">
        <v>16745495</v>
      </c>
      <c r="AJ141">
        <v>140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ROW(Source!A109)</f>
        <v>109</v>
      </c>
      <c r="B142">
        <v>16745498</v>
      </c>
      <c r="C142">
        <v>16745494</v>
      </c>
      <c r="D142">
        <v>15193110</v>
      </c>
      <c r="E142">
        <v>1</v>
      </c>
      <c r="F142">
        <v>1</v>
      </c>
      <c r="G142">
        <v>1</v>
      </c>
      <c r="H142">
        <v>3</v>
      </c>
      <c r="I142" t="s">
        <v>1288</v>
      </c>
      <c r="J142" t="s">
        <v>1289</v>
      </c>
      <c r="K142" t="s">
        <v>1290</v>
      </c>
      <c r="L142">
        <v>1327</v>
      </c>
      <c r="N142">
        <v>1005</v>
      </c>
      <c r="O142" t="s">
        <v>193</v>
      </c>
      <c r="P142" t="s">
        <v>193</v>
      </c>
      <c r="Q142">
        <v>1</v>
      </c>
      <c r="X142">
        <v>100</v>
      </c>
      <c r="Y142">
        <v>701.31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100</v>
      </c>
      <c r="AH142">
        <v>2</v>
      </c>
      <c r="AI142">
        <v>16745496</v>
      </c>
      <c r="AJ142">
        <v>141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ROW(Source!A110)</f>
        <v>110</v>
      </c>
      <c r="B143">
        <v>16745506</v>
      </c>
      <c r="C143">
        <v>16745499</v>
      </c>
      <c r="D143">
        <v>15435609</v>
      </c>
      <c r="E143">
        <v>1</v>
      </c>
      <c r="F143">
        <v>1</v>
      </c>
      <c r="G143">
        <v>1</v>
      </c>
      <c r="H143">
        <v>1</v>
      </c>
      <c r="I143" t="s">
        <v>1291</v>
      </c>
      <c r="J143" t="s">
        <v>6</v>
      </c>
      <c r="K143" t="s">
        <v>1292</v>
      </c>
      <c r="L143">
        <v>1191</v>
      </c>
      <c r="N143">
        <v>1013</v>
      </c>
      <c r="O143" t="s">
        <v>1287</v>
      </c>
      <c r="P143" t="s">
        <v>1287</v>
      </c>
      <c r="Q143">
        <v>1</v>
      </c>
      <c r="X143">
        <v>383.06</v>
      </c>
      <c r="Y143">
        <v>0</v>
      </c>
      <c r="Z143">
        <v>0</v>
      </c>
      <c r="AA143">
        <v>0</v>
      </c>
      <c r="AB143">
        <v>8.9700000000000006</v>
      </c>
      <c r="AC143">
        <v>0</v>
      </c>
      <c r="AD143">
        <v>1</v>
      </c>
      <c r="AE143">
        <v>1</v>
      </c>
      <c r="AF143" t="s">
        <v>6</v>
      </c>
      <c r="AG143">
        <v>383.06</v>
      </c>
      <c r="AH143">
        <v>2</v>
      </c>
      <c r="AI143">
        <v>16745500</v>
      </c>
      <c r="AJ143">
        <v>142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ROW(Source!A110)</f>
        <v>110</v>
      </c>
      <c r="B144">
        <v>16745507</v>
      </c>
      <c r="C144">
        <v>16745499</v>
      </c>
      <c r="D144">
        <v>15430395</v>
      </c>
      <c r="E144">
        <v>1</v>
      </c>
      <c r="F144">
        <v>1</v>
      </c>
      <c r="G144">
        <v>1</v>
      </c>
      <c r="H144">
        <v>1</v>
      </c>
      <c r="I144" t="s">
        <v>1293</v>
      </c>
      <c r="J144" t="s">
        <v>6</v>
      </c>
      <c r="K144" t="s">
        <v>1294</v>
      </c>
      <c r="L144">
        <v>1191</v>
      </c>
      <c r="N144">
        <v>1013</v>
      </c>
      <c r="O144" t="s">
        <v>1287</v>
      </c>
      <c r="P144" t="s">
        <v>1287</v>
      </c>
      <c r="Q144">
        <v>1</v>
      </c>
      <c r="X144">
        <v>1.1599999999999999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2</v>
      </c>
      <c r="AF144" t="s">
        <v>6</v>
      </c>
      <c r="AG144">
        <v>1.1599999999999999</v>
      </c>
      <c r="AH144">
        <v>2</v>
      </c>
      <c r="AI144">
        <v>16745501</v>
      </c>
      <c r="AJ144">
        <v>143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ROW(Source!A110)</f>
        <v>110</v>
      </c>
      <c r="B145">
        <v>16745508</v>
      </c>
      <c r="C145">
        <v>16745499</v>
      </c>
      <c r="D145">
        <v>15247974</v>
      </c>
      <c r="E145">
        <v>1</v>
      </c>
      <c r="F145">
        <v>1</v>
      </c>
      <c r="G145">
        <v>1</v>
      </c>
      <c r="H145">
        <v>2</v>
      </c>
      <c r="I145" t="s">
        <v>1314</v>
      </c>
      <c r="J145" t="s">
        <v>1315</v>
      </c>
      <c r="K145" t="s">
        <v>1316</v>
      </c>
      <c r="L145">
        <v>1368</v>
      </c>
      <c r="N145">
        <v>1011</v>
      </c>
      <c r="O145" t="s">
        <v>1298</v>
      </c>
      <c r="P145" t="s">
        <v>1298</v>
      </c>
      <c r="Q145">
        <v>1</v>
      </c>
      <c r="X145">
        <v>1.1599999999999999</v>
      </c>
      <c r="Y145">
        <v>0</v>
      </c>
      <c r="Z145">
        <v>31.26</v>
      </c>
      <c r="AA145">
        <v>13.5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1.1599999999999999</v>
      </c>
      <c r="AH145">
        <v>2</v>
      </c>
      <c r="AI145">
        <v>16745502</v>
      </c>
      <c r="AJ145">
        <v>144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ROW(Source!A110)</f>
        <v>110</v>
      </c>
      <c r="B146">
        <v>16745509</v>
      </c>
      <c r="C146">
        <v>16745499</v>
      </c>
      <c r="D146">
        <v>15167286</v>
      </c>
      <c r="E146">
        <v>1</v>
      </c>
      <c r="F146">
        <v>1</v>
      </c>
      <c r="G146">
        <v>1</v>
      </c>
      <c r="H146">
        <v>3</v>
      </c>
      <c r="I146" t="s">
        <v>1317</v>
      </c>
      <c r="J146" t="s">
        <v>1318</v>
      </c>
      <c r="K146" t="s">
        <v>1319</v>
      </c>
      <c r="L146">
        <v>1339</v>
      </c>
      <c r="N146">
        <v>1007</v>
      </c>
      <c r="O146" t="s">
        <v>301</v>
      </c>
      <c r="P146" t="s">
        <v>301</v>
      </c>
      <c r="Q146">
        <v>1</v>
      </c>
      <c r="X146">
        <v>0.35</v>
      </c>
      <c r="Y146">
        <v>2.44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0.35</v>
      </c>
      <c r="AH146">
        <v>2</v>
      </c>
      <c r="AI146">
        <v>16745503</v>
      </c>
      <c r="AJ146">
        <v>145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ROW(Source!A110)</f>
        <v>110</v>
      </c>
      <c r="B147">
        <v>16745510</v>
      </c>
      <c r="C147">
        <v>16745499</v>
      </c>
      <c r="D147">
        <v>15164566</v>
      </c>
      <c r="E147">
        <v>17</v>
      </c>
      <c r="F147">
        <v>1</v>
      </c>
      <c r="G147">
        <v>1</v>
      </c>
      <c r="H147">
        <v>3</v>
      </c>
      <c r="I147" t="s">
        <v>98</v>
      </c>
      <c r="J147" t="s">
        <v>6</v>
      </c>
      <c r="K147" t="s">
        <v>99</v>
      </c>
      <c r="L147">
        <v>1348</v>
      </c>
      <c r="N147">
        <v>1009</v>
      </c>
      <c r="O147" t="s">
        <v>100</v>
      </c>
      <c r="P147" t="s">
        <v>100</v>
      </c>
      <c r="Q147">
        <v>1000</v>
      </c>
      <c r="X147">
        <v>8.1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6</v>
      </c>
      <c r="AG147">
        <v>8.1</v>
      </c>
      <c r="AH147">
        <v>2</v>
      </c>
      <c r="AI147">
        <v>16745504</v>
      </c>
      <c r="AJ147">
        <v>146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ROW(Source!A110)</f>
        <v>110</v>
      </c>
      <c r="B148">
        <v>16745511</v>
      </c>
      <c r="C148">
        <v>16745499</v>
      </c>
      <c r="D148">
        <v>15172875</v>
      </c>
      <c r="E148">
        <v>1</v>
      </c>
      <c r="F148">
        <v>1</v>
      </c>
      <c r="G148">
        <v>1</v>
      </c>
      <c r="H148">
        <v>3</v>
      </c>
      <c r="I148" t="s">
        <v>1425</v>
      </c>
      <c r="J148" t="s">
        <v>1426</v>
      </c>
      <c r="K148" t="s">
        <v>1427</v>
      </c>
      <c r="L148">
        <v>1339</v>
      </c>
      <c r="N148">
        <v>1007</v>
      </c>
      <c r="O148" t="s">
        <v>301</v>
      </c>
      <c r="P148" t="s">
        <v>301</v>
      </c>
      <c r="Q148">
        <v>1</v>
      </c>
      <c r="X148">
        <v>4.4000000000000004</v>
      </c>
      <c r="Y148">
        <v>517.91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4.4000000000000004</v>
      </c>
      <c r="AH148">
        <v>2</v>
      </c>
      <c r="AI148">
        <v>16745505</v>
      </c>
      <c r="AJ148">
        <v>147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ROW(Source!A112)</f>
        <v>112</v>
      </c>
      <c r="B149">
        <v>16745528</v>
      </c>
      <c r="C149">
        <v>16745513</v>
      </c>
      <c r="D149">
        <v>15435099</v>
      </c>
      <c r="E149">
        <v>1</v>
      </c>
      <c r="F149">
        <v>1</v>
      </c>
      <c r="G149">
        <v>1</v>
      </c>
      <c r="H149">
        <v>1</v>
      </c>
      <c r="I149" t="s">
        <v>1463</v>
      </c>
      <c r="J149" t="s">
        <v>6</v>
      </c>
      <c r="K149" t="s">
        <v>1464</v>
      </c>
      <c r="L149">
        <v>1191</v>
      </c>
      <c r="N149">
        <v>1013</v>
      </c>
      <c r="O149" t="s">
        <v>1287</v>
      </c>
      <c r="P149" t="s">
        <v>1287</v>
      </c>
      <c r="Q149">
        <v>1</v>
      </c>
      <c r="X149">
        <v>165.88</v>
      </c>
      <c r="Y149">
        <v>0</v>
      </c>
      <c r="Z149">
        <v>0</v>
      </c>
      <c r="AA149">
        <v>0</v>
      </c>
      <c r="AB149">
        <v>8.64</v>
      </c>
      <c r="AC149">
        <v>0</v>
      </c>
      <c r="AD149">
        <v>1</v>
      </c>
      <c r="AE149">
        <v>1</v>
      </c>
      <c r="AF149" t="s">
        <v>6</v>
      </c>
      <c r="AG149">
        <v>165.88</v>
      </c>
      <c r="AH149">
        <v>2</v>
      </c>
      <c r="AI149">
        <v>16745514</v>
      </c>
      <c r="AJ149">
        <v>148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ROW(Source!A112)</f>
        <v>112</v>
      </c>
      <c r="B150">
        <v>16745529</v>
      </c>
      <c r="C150">
        <v>16745513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1293</v>
      </c>
      <c r="J150" t="s">
        <v>6</v>
      </c>
      <c r="K150" t="s">
        <v>1294</v>
      </c>
      <c r="L150">
        <v>1191</v>
      </c>
      <c r="N150">
        <v>1013</v>
      </c>
      <c r="O150" t="s">
        <v>1287</v>
      </c>
      <c r="P150" t="s">
        <v>1287</v>
      </c>
      <c r="Q150">
        <v>1</v>
      </c>
      <c r="X150">
        <v>0.67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6</v>
      </c>
      <c r="AG150">
        <v>0.67</v>
      </c>
      <c r="AH150">
        <v>2</v>
      </c>
      <c r="AI150">
        <v>16745515</v>
      </c>
      <c r="AJ150">
        <v>149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ROW(Source!A112)</f>
        <v>112</v>
      </c>
      <c r="B151">
        <v>16745530</v>
      </c>
      <c r="C151">
        <v>16745513</v>
      </c>
      <c r="D151">
        <v>15247878</v>
      </c>
      <c r="E151">
        <v>1</v>
      </c>
      <c r="F151">
        <v>1</v>
      </c>
      <c r="G151">
        <v>1</v>
      </c>
      <c r="H151">
        <v>2</v>
      </c>
      <c r="I151" t="s">
        <v>1465</v>
      </c>
      <c r="J151" t="s">
        <v>1466</v>
      </c>
      <c r="K151" t="s">
        <v>1467</v>
      </c>
      <c r="L151">
        <v>1368</v>
      </c>
      <c r="N151">
        <v>1011</v>
      </c>
      <c r="O151" t="s">
        <v>1298</v>
      </c>
      <c r="P151" t="s">
        <v>1298</v>
      </c>
      <c r="Q151">
        <v>1</v>
      </c>
      <c r="X151">
        <v>0.16</v>
      </c>
      <c r="Y151">
        <v>0</v>
      </c>
      <c r="Z151">
        <v>1.7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0.16</v>
      </c>
      <c r="AH151">
        <v>2</v>
      </c>
      <c r="AI151">
        <v>16745516</v>
      </c>
      <c r="AJ151">
        <v>150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ROW(Source!A112)</f>
        <v>112</v>
      </c>
      <c r="B152">
        <v>16745531</v>
      </c>
      <c r="C152">
        <v>16745513</v>
      </c>
      <c r="D152">
        <v>15249073</v>
      </c>
      <c r="E152">
        <v>1</v>
      </c>
      <c r="F152">
        <v>1</v>
      </c>
      <c r="G152">
        <v>1</v>
      </c>
      <c r="H152">
        <v>2</v>
      </c>
      <c r="I152" t="s">
        <v>1299</v>
      </c>
      <c r="J152" t="s">
        <v>1300</v>
      </c>
      <c r="K152" t="s">
        <v>1301</v>
      </c>
      <c r="L152">
        <v>1368</v>
      </c>
      <c r="N152">
        <v>1011</v>
      </c>
      <c r="O152" t="s">
        <v>1298</v>
      </c>
      <c r="P152" t="s">
        <v>1298</v>
      </c>
      <c r="Q152">
        <v>1</v>
      </c>
      <c r="X152">
        <v>0.2</v>
      </c>
      <c r="Y152">
        <v>0</v>
      </c>
      <c r="Z152">
        <v>65.709999999999994</v>
      </c>
      <c r="AA152">
        <v>11.6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0.2</v>
      </c>
      <c r="AH152">
        <v>2</v>
      </c>
      <c r="AI152">
        <v>16745517</v>
      </c>
      <c r="AJ152">
        <v>151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ROW(Source!A112)</f>
        <v>112</v>
      </c>
      <c r="B153">
        <v>16745532</v>
      </c>
      <c r="C153">
        <v>16745513</v>
      </c>
      <c r="D153">
        <v>15249377</v>
      </c>
      <c r="E153">
        <v>1</v>
      </c>
      <c r="F153">
        <v>1</v>
      </c>
      <c r="G153">
        <v>1</v>
      </c>
      <c r="H153">
        <v>2</v>
      </c>
      <c r="I153" t="s">
        <v>1302</v>
      </c>
      <c r="J153" t="s">
        <v>1303</v>
      </c>
      <c r="K153" t="s">
        <v>1304</v>
      </c>
      <c r="L153">
        <v>1368</v>
      </c>
      <c r="N153">
        <v>1011</v>
      </c>
      <c r="O153" t="s">
        <v>1298</v>
      </c>
      <c r="P153" t="s">
        <v>1298</v>
      </c>
      <c r="Q153">
        <v>1</v>
      </c>
      <c r="X153">
        <v>0.74</v>
      </c>
      <c r="Y153">
        <v>0</v>
      </c>
      <c r="Z153">
        <v>8.1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0.74</v>
      </c>
      <c r="AH153">
        <v>2</v>
      </c>
      <c r="AI153">
        <v>16745518</v>
      </c>
      <c r="AJ153">
        <v>152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ROW(Source!A112)</f>
        <v>112</v>
      </c>
      <c r="B154">
        <v>16745533</v>
      </c>
      <c r="C154">
        <v>16745513</v>
      </c>
      <c r="D154">
        <v>15249397</v>
      </c>
      <c r="E154">
        <v>1</v>
      </c>
      <c r="F154">
        <v>1</v>
      </c>
      <c r="G154">
        <v>1</v>
      </c>
      <c r="H154">
        <v>2</v>
      </c>
      <c r="I154" t="s">
        <v>1468</v>
      </c>
      <c r="J154" t="s">
        <v>1469</v>
      </c>
      <c r="K154" t="s">
        <v>1470</v>
      </c>
      <c r="L154">
        <v>1368</v>
      </c>
      <c r="N154">
        <v>1011</v>
      </c>
      <c r="O154" t="s">
        <v>1298</v>
      </c>
      <c r="P154" t="s">
        <v>1298</v>
      </c>
      <c r="Q154">
        <v>1</v>
      </c>
      <c r="X154">
        <v>0.47</v>
      </c>
      <c r="Y154">
        <v>0</v>
      </c>
      <c r="Z154">
        <v>90</v>
      </c>
      <c r="AA154">
        <v>10.06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0.47</v>
      </c>
      <c r="AH154">
        <v>2</v>
      </c>
      <c r="AI154">
        <v>16745519</v>
      </c>
      <c r="AJ154">
        <v>153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ROW(Source!A112)</f>
        <v>112</v>
      </c>
      <c r="B155">
        <v>16745534</v>
      </c>
      <c r="C155">
        <v>16745513</v>
      </c>
      <c r="D155">
        <v>15249998</v>
      </c>
      <c r="E155">
        <v>1</v>
      </c>
      <c r="F155">
        <v>1</v>
      </c>
      <c r="G155">
        <v>1</v>
      </c>
      <c r="H155">
        <v>2</v>
      </c>
      <c r="I155" t="s">
        <v>1344</v>
      </c>
      <c r="J155" t="s">
        <v>1345</v>
      </c>
      <c r="K155" t="s">
        <v>1346</v>
      </c>
      <c r="L155">
        <v>1368</v>
      </c>
      <c r="N155">
        <v>1011</v>
      </c>
      <c r="O155" t="s">
        <v>1298</v>
      </c>
      <c r="P155" t="s">
        <v>1298</v>
      </c>
      <c r="Q155">
        <v>1</v>
      </c>
      <c r="X155">
        <v>0.92</v>
      </c>
      <c r="Y155">
        <v>0</v>
      </c>
      <c r="Z155">
        <v>1.53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0.92</v>
      </c>
      <c r="AH155">
        <v>2</v>
      </c>
      <c r="AI155">
        <v>16745520</v>
      </c>
      <c r="AJ155">
        <v>154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ROW(Source!A112)</f>
        <v>112</v>
      </c>
      <c r="B156">
        <v>16745535</v>
      </c>
      <c r="C156">
        <v>16745513</v>
      </c>
      <c r="D156">
        <v>15168772</v>
      </c>
      <c r="E156">
        <v>1</v>
      </c>
      <c r="F156">
        <v>1</v>
      </c>
      <c r="G156">
        <v>1</v>
      </c>
      <c r="H156">
        <v>3</v>
      </c>
      <c r="I156" t="s">
        <v>1471</v>
      </c>
      <c r="J156" t="s">
        <v>1472</v>
      </c>
      <c r="K156" t="s">
        <v>1473</v>
      </c>
      <c r="L156">
        <v>1348</v>
      </c>
      <c r="N156">
        <v>1009</v>
      </c>
      <c r="O156" t="s">
        <v>100</v>
      </c>
      <c r="P156" t="s">
        <v>100</v>
      </c>
      <c r="Q156">
        <v>1000</v>
      </c>
      <c r="X156">
        <v>8.9999999999999993E-3</v>
      </c>
      <c r="Y156">
        <v>9424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8.9999999999999993E-3</v>
      </c>
      <c r="AH156">
        <v>2</v>
      </c>
      <c r="AI156">
        <v>16745521</v>
      </c>
      <c r="AJ156">
        <v>155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ROW(Source!A112)</f>
        <v>112</v>
      </c>
      <c r="B157">
        <v>16745536</v>
      </c>
      <c r="C157">
        <v>16745513</v>
      </c>
      <c r="D157">
        <v>15164565</v>
      </c>
      <c r="E157">
        <v>17</v>
      </c>
      <c r="F157">
        <v>1</v>
      </c>
      <c r="G157">
        <v>1</v>
      </c>
      <c r="H157">
        <v>3</v>
      </c>
      <c r="I157" t="s">
        <v>313</v>
      </c>
      <c r="J157" t="s">
        <v>6</v>
      </c>
      <c r="K157" t="s">
        <v>314</v>
      </c>
      <c r="L157">
        <v>1339</v>
      </c>
      <c r="N157">
        <v>1007</v>
      </c>
      <c r="O157" t="s">
        <v>301</v>
      </c>
      <c r="P157" t="s">
        <v>301</v>
      </c>
      <c r="Q157">
        <v>1</v>
      </c>
      <c r="X157">
        <v>0.54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6</v>
      </c>
      <c r="AG157">
        <v>0.54</v>
      </c>
      <c r="AH157">
        <v>2</v>
      </c>
      <c r="AI157">
        <v>16745522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ROW(Source!A112)</f>
        <v>112</v>
      </c>
      <c r="B158">
        <v>16745537</v>
      </c>
      <c r="C158">
        <v>16745513</v>
      </c>
      <c r="D158">
        <v>15162112</v>
      </c>
      <c r="E158">
        <v>17</v>
      </c>
      <c r="F158">
        <v>1</v>
      </c>
      <c r="G158">
        <v>1</v>
      </c>
      <c r="H158">
        <v>3</v>
      </c>
      <c r="I158" t="s">
        <v>316</v>
      </c>
      <c r="J158" t="s">
        <v>6</v>
      </c>
      <c r="K158" t="s">
        <v>317</v>
      </c>
      <c r="L158">
        <v>1356</v>
      </c>
      <c r="N158">
        <v>1010</v>
      </c>
      <c r="O158" t="s">
        <v>306</v>
      </c>
      <c r="P158" t="s">
        <v>306</v>
      </c>
      <c r="Q158">
        <v>1000</v>
      </c>
      <c r="X158">
        <v>0.56999999999999995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6</v>
      </c>
      <c r="AG158">
        <v>0.56999999999999995</v>
      </c>
      <c r="AH158">
        <v>2</v>
      </c>
      <c r="AI158">
        <v>16745523</v>
      </c>
      <c r="AJ158">
        <v>158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ROW(Source!A112)</f>
        <v>112</v>
      </c>
      <c r="B159">
        <v>16745538</v>
      </c>
      <c r="C159">
        <v>16745513</v>
      </c>
      <c r="D159">
        <v>15161825</v>
      </c>
      <c r="E159">
        <v>17</v>
      </c>
      <c r="F159">
        <v>1</v>
      </c>
      <c r="G159">
        <v>1</v>
      </c>
      <c r="H159">
        <v>3</v>
      </c>
      <c r="I159" t="s">
        <v>319</v>
      </c>
      <c r="J159" t="s">
        <v>6</v>
      </c>
      <c r="K159" t="s">
        <v>320</v>
      </c>
      <c r="L159">
        <v>1348</v>
      </c>
      <c r="N159">
        <v>1009</v>
      </c>
      <c r="O159" t="s">
        <v>100</v>
      </c>
      <c r="P159" t="s">
        <v>100</v>
      </c>
      <c r="Q159">
        <v>1000</v>
      </c>
      <c r="X159">
        <v>1.04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6</v>
      </c>
      <c r="AG159">
        <v>1.04</v>
      </c>
      <c r="AH159">
        <v>2</v>
      </c>
      <c r="AI159">
        <v>16745524</v>
      </c>
      <c r="AJ159">
        <v>160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ROW(Source!A119)</f>
        <v>119</v>
      </c>
      <c r="B160">
        <v>16745559</v>
      </c>
      <c r="C160">
        <v>16745545</v>
      </c>
      <c r="D160">
        <v>15432258</v>
      </c>
      <c r="E160">
        <v>1</v>
      </c>
      <c r="F160">
        <v>1</v>
      </c>
      <c r="G160">
        <v>1</v>
      </c>
      <c r="H160">
        <v>1</v>
      </c>
      <c r="I160" t="s">
        <v>1474</v>
      </c>
      <c r="J160" t="s">
        <v>6</v>
      </c>
      <c r="K160" t="s">
        <v>1475</v>
      </c>
      <c r="L160">
        <v>1191</v>
      </c>
      <c r="N160">
        <v>1013</v>
      </c>
      <c r="O160" t="s">
        <v>1287</v>
      </c>
      <c r="P160" t="s">
        <v>1287</v>
      </c>
      <c r="Q160">
        <v>1</v>
      </c>
      <c r="X160">
        <v>80.19</v>
      </c>
      <c r="Y160">
        <v>0</v>
      </c>
      <c r="Z160">
        <v>0</v>
      </c>
      <c r="AA160">
        <v>0</v>
      </c>
      <c r="AB160">
        <v>8.4600000000000009</v>
      </c>
      <c r="AC160">
        <v>0</v>
      </c>
      <c r="AD160">
        <v>1</v>
      </c>
      <c r="AE160">
        <v>1</v>
      </c>
      <c r="AF160" t="s">
        <v>6</v>
      </c>
      <c r="AG160">
        <v>80.19</v>
      </c>
      <c r="AH160">
        <v>2</v>
      </c>
      <c r="AI160">
        <v>16745546</v>
      </c>
      <c r="AJ160">
        <v>162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ROW(Source!A119)</f>
        <v>119</v>
      </c>
      <c r="B161">
        <v>16745560</v>
      </c>
      <c r="C161">
        <v>16745545</v>
      </c>
      <c r="D161">
        <v>15430395</v>
      </c>
      <c r="E161">
        <v>1</v>
      </c>
      <c r="F161">
        <v>1</v>
      </c>
      <c r="G161">
        <v>1</v>
      </c>
      <c r="H161">
        <v>1</v>
      </c>
      <c r="I161" t="s">
        <v>1293</v>
      </c>
      <c r="J161" t="s">
        <v>6</v>
      </c>
      <c r="K161" t="s">
        <v>1294</v>
      </c>
      <c r="L161">
        <v>1191</v>
      </c>
      <c r="N161">
        <v>1013</v>
      </c>
      <c r="O161" t="s">
        <v>1287</v>
      </c>
      <c r="P161" t="s">
        <v>1287</v>
      </c>
      <c r="Q161">
        <v>1</v>
      </c>
      <c r="X161">
        <v>2.5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2</v>
      </c>
      <c r="AF161" t="s">
        <v>6</v>
      </c>
      <c r="AG161">
        <v>2.5</v>
      </c>
      <c r="AH161">
        <v>2</v>
      </c>
      <c r="AI161">
        <v>16745547</v>
      </c>
      <c r="AJ161">
        <v>163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ROW(Source!A119)</f>
        <v>119</v>
      </c>
      <c r="B162">
        <v>16745561</v>
      </c>
      <c r="C162">
        <v>16745545</v>
      </c>
      <c r="D162">
        <v>15247576</v>
      </c>
      <c r="E162">
        <v>1</v>
      </c>
      <c r="F162">
        <v>1</v>
      </c>
      <c r="G162">
        <v>1</v>
      </c>
      <c r="H162">
        <v>2</v>
      </c>
      <c r="I162" t="s">
        <v>1476</v>
      </c>
      <c r="J162" t="s">
        <v>1477</v>
      </c>
      <c r="K162" t="s">
        <v>1478</v>
      </c>
      <c r="L162">
        <v>1368</v>
      </c>
      <c r="N162">
        <v>1011</v>
      </c>
      <c r="O162" t="s">
        <v>1298</v>
      </c>
      <c r="P162" t="s">
        <v>1298</v>
      </c>
      <c r="Q162">
        <v>1</v>
      </c>
      <c r="X162">
        <v>0.6</v>
      </c>
      <c r="Y162">
        <v>0</v>
      </c>
      <c r="Z162">
        <v>83.43</v>
      </c>
      <c r="AA162">
        <v>13.5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0.6</v>
      </c>
      <c r="AH162">
        <v>2</v>
      </c>
      <c r="AI162">
        <v>16745548</v>
      </c>
      <c r="AJ162">
        <v>164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ROW(Source!A119)</f>
        <v>119</v>
      </c>
      <c r="B163">
        <v>16745562</v>
      </c>
      <c r="C163">
        <v>16745545</v>
      </c>
      <c r="D163">
        <v>15247680</v>
      </c>
      <c r="E163">
        <v>1</v>
      </c>
      <c r="F163">
        <v>1</v>
      </c>
      <c r="G163">
        <v>1</v>
      </c>
      <c r="H163">
        <v>2</v>
      </c>
      <c r="I163" t="s">
        <v>1295</v>
      </c>
      <c r="J163" t="s">
        <v>1296</v>
      </c>
      <c r="K163" t="s">
        <v>1297</v>
      </c>
      <c r="L163">
        <v>1368</v>
      </c>
      <c r="N163">
        <v>1011</v>
      </c>
      <c r="O163" t="s">
        <v>1298</v>
      </c>
      <c r="P163" t="s">
        <v>1298</v>
      </c>
      <c r="Q163">
        <v>1</v>
      </c>
      <c r="X163">
        <v>0.95</v>
      </c>
      <c r="Y163">
        <v>0</v>
      </c>
      <c r="Z163">
        <v>111.99</v>
      </c>
      <c r="AA163">
        <v>13.5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0.95</v>
      </c>
      <c r="AH163">
        <v>2</v>
      </c>
      <c r="AI163">
        <v>16745549</v>
      </c>
      <c r="AJ163">
        <v>165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ROW(Source!A119)</f>
        <v>119</v>
      </c>
      <c r="B164">
        <v>16745563</v>
      </c>
      <c r="C164">
        <v>16745545</v>
      </c>
      <c r="D164">
        <v>15249073</v>
      </c>
      <c r="E164">
        <v>1</v>
      </c>
      <c r="F164">
        <v>1</v>
      </c>
      <c r="G164">
        <v>1</v>
      </c>
      <c r="H164">
        <v>2</v>
      </c>
      <c r="I164" t="s">
        <v>1299</v>
      </c>
      <c r="J164" t="s">
        <v>1300</v>
      </c>
      <c r="K164" t="s">
        <v>1301</v>
      </c>
      <c r="L164">
        <v>1368</v>
      </c>
      <c r="N164">
        <v>1011</v>
      </c>
      <c r="O164" t="s">
        <v>1298</v>
      </c>
      <c r="P164" t="s">
        <v>1298</v>
      </c>
      <c r="Q164">
        <v>1</v>
      </c>
      <c r="X164">
        <v>0.95</v>
      </c>
      <c r="Y164">
        <v>0</v>
      </c>
      <c r="Z164">
        <v>65.709999999999994</v>
      </c>
      <c r="AA164">
        <v>11.6</v>
      </c>
      <c r="AB164">
        <v>0</v>
      </c>
      <c r="AC164">
        <v>0</v>
      </c>
      <c r="AD164">
        <v>1</v>
      </c>
      <c r="AE164">
        <v>0</v>
      </c>
      <c r="AF164" t="s">
        <v>6</v>
      </c>
      <c r="AG164">
        <v>0.95</v>
      </c>
      <c r="AH164">
        <v>2</v>
      </c>
      <c r="AI164">
        <v>16745550</v>
      </c>
      <c r="AJ164">
        <v>166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ROW(Source!A119)</f>
        <v>119</v>
      </c>
      <c r="B165">
        <v>16745564</v>
      </c>
      <c r="C165">
        <v>16745545</v>
      </c>
      <c r="D165">
        <v>15167286</v>
      </c>
      <c r="E165">
        <v>1</v>
      </c>
      <c r="F165">
        <v>1</v>
      </c>
      <c r="G165">
        <v>1</v>
      </c>
      <c r="H165">
        <v>3</v>
      </c>
      <c r="I165" t="s">
        <v>1317</v>
      </c>
      <c r="J165" t="s">
        <v>1318</v>
      </c>
      <c r="K165" t="s">
        <v>1319</v>
      </c>
      <c r="L165">
        <v>1339</v>
      </c>
      <c r="N165">
        <v>1007</v>
      </c>
      <c r="O165" t="s">
        <v>301</v>
      </c>
      <c r="P165" t="s">
        <v>301</v>
      </c>
      <c r="Q165">
        <v>1</v>
      </c>
      <c r="X165">
        <v>8.2799999999999999E-2</v>
      </c>
      <c r="Y165">
        <v>2.44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8.2799999999999999E-2</v>
      </c>
      <c r="AH165">
        <v>2</v>
      </c>
      <c r="AI165">
        <v>16745551</v>
      </c>
      <c r="AJ165">
        <v>167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ROW(Source!A119)</f>
        <v>119</v>
      </c>
      <c r="B166">
        <v>16745565</v>
      </c>
      <c r="C166">
        <v>16745545</v>
      </c>
      <c r="D166">
        <v>15162250</v>
      </c>
      <c r="E166">
        <v>17</v>
      </c>
      <c r="F166">
        <v>1</v>
      </c>
      <c r="G166">
        <v>1</v>
      </c>
      <c r="H166">
        <v>3</v>
      </c>
      <c r="I166" t="s">
        <v>336</v>
      </c>
      <c r="J166" t="s">
        <v>6</v>
      </c>
      <c r="K166" t="s">
        <v>337</v>
      </c>
      <c r="L166">
        <v>1339</v>
      </c>
      <c r="N166">
        <v>1007</v>
      </c>
      <c r="O166" t="s">
        <v>301</v>
      </c>
      <c r="P166" t="s">
        <v>301</v>
      </c>
      <c r="Q166">
        <v>1</v>
      </c>
      <c r="X166">
        <v>20.2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6</v>
      </c>
      <c r="AG166">
        <v>20.2</v>
      </c>
      <c r="AH166">
        <v>2</v>
      </c>
      <c r="AI166">
        <v>16745552</v>
      </c>
      <c r="AJ166">
        <v>169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ROW(Source!A119)</f>
        <v>119</v>
      </c>
      <c r="B167">
        <v>16745566</v>
      </c>
      <c r="C167">
        <v>16745545</v>
      </c>
      <c r="D167">
        <v>15192126</v>
      </c>
      <c r="E167">
        <v>1</v>
      </c>
      <c r="F167">
        <v>1</v>
      </c>
      <c r="G167">
        <v>1</v>
      </c>
      <c r="H167">
        <v>3</v>
      </c>
      <c r="I167" t="s">
        <v>1479</v>
      </c>
      <c r="J167" t="s">
        <v>1480</v>
      </c>
      <c r="K167" t="s">
        <v>1481</v>
      </c>
      <c r="L167">
        <v>1348</v>
      </c>
      <c r="N167">
        <v>1009</v>
      </c>
      <c r="O167" t="s">
        <v>100</v>
      </c>
      <c r="P167" t="s">
        <v>100</v>
      </c>
      <c r="Q167">
        <v>1000</v>
      </c>
      <c r="X167">
        <v>3.1E-2</v>
      </c>
      <c r="Y167">
        <v>8014.15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3.1E-2</v>
      </c>
      <c r="AH167">
        <v>2</v>
      </c>
      <c r="AI167">
        <v>16745553</v>
      </c>
      <c r="AJ167">
        <v>170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ROW(Source!A119)</f>
        <v>119</v>
      </c>
      <c r="B168">
        <v>16745567</v>
      </c>
      <c r="C168">
        <v>16745545</v>
      </c>
      <c r="D168">
        <v>15162257</v>
      </c>
      <c r="E168">
        <v>17</v>
      </c>
      <c r="F168">
        <v>1</v>
      </c>
      <c r="G168">
        <v>1</v>
      </c>
      <c r="H168">
        <v>3</v>
      </c>
      <c r="I168" t="s">
        <v>339</v>
      </c>
      <c r="J168" t="s">
        <v>6</v>
      </c>
      <c r="K168" t="s">
        <v>340</v>
      </c>
      <c r="L168">
        <v>1346</v>
      </c>
      <c r="N168">
        <v>1009</v>
      </c>
      <c r="O168" t="s">
        <v>341</v>
      </c>
      <c r="P168" t="s">
        <v>341</v>
      </c>
      <c r="Q168">
        <v>1</v>
      </c>
      <c r="X168">
        <v>409.98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6</v>
      </c>
      <c r="AG168">
        <v>409.98</v>
      </c>
      <c r="AH168">
        <v>2</v>
      </c>
      <c r="AI168">
        <v>16745554</v>
      </c>
      <c r="AJ168">
        <v>172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ROW(Source!A119)</f>
        <v>119</v>
      </c>
      <c r="B169">
        <v>16745568</v>
      </c>
      <c r="C169">
        <v>16745545</v>
      </c>
      <c r="D169">
        <v>15203461</v>
      </c>
      <c r="E169">
        <v>1</v>
      </c>
      <c r="F169">
        <v>1</v>
      </c>
      <c r="G169">
        <v>1</v>
      </c>
      <c r="H169">
        <v>3</v>
      </c>
      <c r="I169" t="s">
        <v>1380</v>
      </c>
      <c r="J169" t="s">
        <v>1381</v>
      </c>
      <c r="K169" t="s">
        <v>1382</v>
      </c>
      <c r="L169">
        <v>1348</v>
      </c>
      <c r="N169">
        <v>1009</v>
      </c>
      <c r="O169" t="s">
        <v>100</v>
      </c>
      <c r="P169" t="s">
        <v>100</v>
      </c>
      <c r="Q169">
        <v>1000</v>
      </c>
      <c r="X169">
        <v>1.5499999999999999E-3</v>
      </c>
      <c r="Y169">
        <v>15620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1.5499999999999999E-3</v>
      </c>
      <c r="AH169">
        <v>2</v>
      </c>
      <c r="AI169">
        <v>16745555</v>
      </c>
      <c r="AJ169">
        <v>173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ROW(Source!A124)</f>
        <v>124</v>
      </c>
      <c r="B170">
        <v>16745579</v>
      </c>
      <c r="C170">
        <v>16745573</v>
      </c>
      <c r="D170">
        <v>15432236</v>
      </c>
      <c r="E170">
        <v>1</v>
      </c>
      <c r="F170">
        <v>1</v>
      </c>
      <c r="G170">
        <v>1</v>
      </c>
      <c r="H170">
        <v>1</v>
      </c>
      <c r="I170" t="s">
        <v>1482</v>
      </c>
      <c r="J170" t="s">
        <v>6</v>
      </c>
      <c r="K170" t="s">
        <v>1483</v>
      </c>
      <c r="L170">
        <v>1191</v>
      </c>
      <c r="N170">
        <v>1013</v>
      </c>
      <c r="O170" t="s">
        <v>1287</v>
      </c>
      <c r="P170" t="s">
        <v>1287</v>
      </c>
      <c r="Q170">
        <v>1</v>
      </c>
      <c r="X170">
        <v>14.63</v>
      </c>
      <c r="Y170">
        <v>0</v>
      </c>
      <c r="Z170">
        <v>0</v>
      </c>
      <c r="AA170">
        <v>0</v>
      </c>
      <c r="AB170">
        <v>8.17</v>
      </c>
      <c r="AC170">
        <v>0</v>
      </c>
      <c r="AD170">
        <v>1</v>
      </c>
      <c r="AE170">
        <v>1</v>
      </c>
      <c r="AF170" t="s">
        <v>6</v>
      </c>
      <c r="AG170">
        <v>14.63</v>
      </c>
      <c r="AH170">
        <v>2</v>
      </c>
      <c r="AI170">
        <v>16745574</v>
      </c>
      <c r="AJ170">
        <v>174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ROW(Source!A124)</f>
        <v>124</v>
      </c>
      <c r="B171">
        <v>16745580</v>
      </c>
      <c r="C171">
        <v>16745573</v>
      </c>
      <c r="D171">
        <v>15247873</v>
      </c>
      <c r="E171">
        <v>1</v>
      </c>
      <c r="F171">
        <v>1</v>
      </c>
      <c r="G171">
        <v>1</v>
      </c>
      <c r="H171">
        <v>2</v>
      </c>
      <c r="I171" t="s">
        <v>1484</v>
      </c>
      <c r="J171" t="s">
        <v>1485</v>
      </c>
      <c r="K171" t="s">
        <v>1486</v>
      </c>
      <c r="L171">
        <v>1368</v>
      </c>
      <c r="N171">
        <v>1011</v>
      </c>
      <c r="O171" t="s">
        <v>1298</v>
      </c>
      <c r="P171" t="s">
        <v>1298</v>
      </c>
      <c r="Q171">
        <v>1</v>
      </c>
      <c r="X171">
        <v>0.32</v>
      </c>
      <c r="Y171">
        <v>0</v>
      </c>
      <c r="Z171">
        <v>6.66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0.32</v>
      </c>
      <c r="AH171">
        <v>2</v>
      </c>
      <c r="AI171">
        <v>16745575</v>
      </c>
      <c r="AJ171">
        <v>175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ROW(Source!A124)</f>
        <v>124</v>
      </c>
      <c r="B172">
        <v>16745581</v>
      </c>
      <c r="C172">
        <v>16745573</v>
      </c>
      <c r="D172">
        <v>15172868</v>
      </c>
      <c r="E172">
        <v>1</v>
      </c>
      <c r="F172">
        <v>1</v>
      </c>
      <c r="G172">
        <v>1</v>
      </c>
      <c r="H172">
        <v>3</v>
      </c>
      <c r="I172" t="s">
        <v>1487</v>
      </c>
      <c r="J172" t="s">
        <v>1488</v>
      </c>
      <c r="K172" t="s">
        <v>1489</v>
      </c>
      <c r="L172">
        <v>1339</v>
      </c>
      <c r="N172">
        <v>1007</v>
      </c>
      <c r="O172" t="s">
        <v>301</v>
      </c>
      <c r="P172" t="s">
        <v>301</v>
      </c>
      <c r="Q172">
        <v>1</v>
      </c>
      <c r="X172">
        <v>0.24</v>
      </c>
      <c r="Y172">
        <v>519.79999999999995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0.24</v>
      </c>
      <c r="AH172">
        <v>2</v>
      </c>
      <c r="AI172">
        <v>16745576</v>
      </c>
      <c r="AJ172">
        <v>176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ROW(Source!A124)</f>
        <v>124</v>
      </c>
      <c r="B173">
        <v>16745582</v>
      </c>
      <c r="C173">
        <v>16745573</v>
      </c>
      <c r="D173">
        <v>15162112</v>
      </c>
      <c r="E173">
        <v>17</v>
      </c>
      <c r="F173">
        <v>1</v>
      </c>
      <c r="G173">
        <v>1</v>
      </c>
      <c r="H173">
        <v>3</v>
      </c>
      <c r="I173" t="s">
        <v>316</v>
      </c>
      <c r="J173" t="s">
        <v>6</v>
      </c>
      <c r="K173" t="s">
        <v>351</v>
      </c>
      <c r="L173">
        <v>1356</v>
      </c>
      <c r="N173">
        <v>1010</v>
      </c>
      <c r="O173" t="s">
        <v>306</v>
      </c>
      <c r="P173" t="s">
        <v>306</v>
      </c>
      <c r="Q173">
        <v>1000</v>
      </c>
      <c r="X173">
        <v>0.4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6</v>
      </c>
      <c r="AG173">
        <v>0.4</v>
      </c>
      <c r="AH173">
        <v>2</v>
      </c>
      <c r="AI173">
        <v>16745577</v>
      </c>
      <c r="AJ173">
        <v>177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ROW(Source!A127)</f>
        <v>127</v>
      </c>
      <c r="B174">
        <v>16745593</v>
      </c>
      <c r="C174">
        <v>16745585</v>
      </c>
      <c r="D174">
        <v>15436556</v>
      </c>
      <c r="E174">
        <v>1</v>
      </c>
      <c r="F174">
        <v>1</v>
      </c>
      <c r="G174">
        <v>1</v>
      </c>
      <c r="H174">
        <v>1</v>
      </c>
      <c r="I174" t="s">
        <v>1490</v>
      </c>
      <c r="J174" t="s">
        <v>6</v>
      </c>
      <c r="K174" t="s">
        <v>1491</v>
      </c>
      <c r="L174">
        <v>1191</v>
      </c>
      <c r="N174">
        <v>1013</v>
      </c>
      <c r="O174" t="s">
        <v>1287</v>
      </c>
      <c r="P174" t="s">
        <v>1287</v>
      </c>
      <c r="Q174">
        <v>1</v>
      </c>
      <c r="X174">
        <v>6.55</v>
      </c>
      <c r="Y174">
        <v>0</v>
      </c>
      <c r="Z174">
        <v>0</v>
      </c>
      <c r="AA174">
        <v>0</v>
      </c>
      <c r="AB174">
        <v>9.6199999999999992</v>
      </c>
      <c r="AC174">
        <v>0</v>
      </c>
      <c r="AD174">
        <v>1</v>
      </c>
      <c r="AE174">
        <v>1</v>
      </c>
      <c r="AF174" t="s">
        <v>6</v>
      </c>
      <c r="AG174">
        <v>6.55</v>
      </c>
      <c r="AH174">
        <v>2</v>
      </c>
      <c r="AI174">
        <v>16745586</v>
      </c>
      <c r="AJ174">
        <v>179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ROW(Source!A127)</f>
        <v>127</v>
      </c>
      <c r="B175">
        <v>16745594</v>
      </c>
      <c r="C175">
        <v>16745585</v>
      </c>
      <c r="D175">
        <v>15430395</v>
      </c>
      <c r="E175">
        <v>1</v>
      </c>
      <c r="F175">
        <v>1</v>
      </c>
      <c r="G175">
        <v>1</v>
      </c>
      <c r="H175">
        <v>1</v>
      </c>
      <c r="I175" t="s">
        <v>1293</v>
      </c>
      <c r="J175" t="s">
        <v>6</v>
      </c>
      <c r="K175" t="s">
        <v>1294</v>
      </c>
      <c r="L175">
        <v>1191</v>
      </c>
      <c r="N175">
        <v>1013</v>
      </c>
      <c r="O175" t="s">
        <v>1287</v>
      </c>
      <c r="P175" t="s">
        <v>1287</v>
      </c>
      <c r="Q175">
        <v>1</v>
      </c>
      <c r="X175">
        <v>0.02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2</v>
      </c>
      <c r="AF175" t="s">
        <v>6</v>
      </c>
      <c r="AG175">
        <v>0.02</v>
      </c>
      <c r="AH175">
        <v>2</v>
      </c>
      <c r="AI175">
        <v>16745587</v>
      </c>
      <c r="AJ175">
        <v>180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ROW(Source!A127)</f>
        <v>127</v>
      </c>
      <c r="B176">
        <v>16745595</v>
      </c>
      <c r="C176">
        <v>16745585</v>
      </c>
      <c r="D176">
        <v>15247974</v>
      </c>
      <c r="E176">
        <v>1</v>
      </c>
      <c r="F176">
        <v>1</v>
      </c>
      <c r="G176">
        <v>1</v>
      </c>
      <c r="H176">
        <v>2</v>
      </c>
      <c r="I176" t="s">
        <v>1314</v>
      </c>
      <c r="J176" t="s">
        <v>1315</v>
      </c>
      <c r="K176" t="s">
        <v>1316</v>
      </c>
      <c r="L176">
        <v>1368</v>
      </c>
      <c r="N176">
        <v>1011</v>
      </c>
      <c r="O176" t="s">
        <v>1298</v>
      </c>
      <c r="P176" t="s">
        <v>1298</v>
      </c>
      <c r="Q176">
        <v>1</v>
      </c>
      <c r="X176">
        <v>0.01</v>
      </c>
      <c r="Y176">
        <v>0</v>
      </c>
      <c r="Z176">
        <v>31.26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0.01</v>
      </c>
      <c r="AH176">
        <v>2</v>
      </c>
      <c r="AI176">
        <v>16745588</v>
      </c>
      <c r="AJ176">
        <v>181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ROW(Source!A127)</f>
        <v>127</v>
      </c>
      <c r="B177">
        <v>16745596</v>
      </c>
      <c r="C177">
        <v>16745585</v>
      </c>
      <c r="D177">
        <v>15249073</v>
      </c>
      <c r="E177">
        <v>1</v>
      </c>
      <c r="F177">
        <v>1</v>
      </c>
      <c r="G177">
        <v>1</v>
      </c>
      <c r="H177">
        <v>2</v>
      </c>
      <c r="I177" t="s">
        <v>1299</v>
      </c>
      <c r="J177" t="s">
        <v>1300</v>
      </c>
      <c r="K177" t="s">
        <v>1301</v>
      </c>
      <c r="L177">
        <v>1368</v>
      </c>
      <c r="N177">
        <v>1011</v>
      </c>
      <c r="O177" t="s">
        <v>1298</v>
      </c>
      <c r="P177" t="s">
        <v>1298</v>
      </c>
      <c r="Q177">
        <v>1</v>
      </c>
      <c r="X177">
        <v>0.01</v>
      </c>
      <c r="Y177">
        <v>0</v>
      </c>
      <c r="Z177">
        <v>65.709999999999994</v>
      </c>
      <c r="AA177">
        <v>11.6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0.01</v>
      </c>
      <c r="AH177">
        <v>2</v>
      </c>
      <c r="AI177">
        <v>16745589</v>
      </c>
      <c r="AJ177">
        <v>182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ROW(Source!A127)</f>
        <v>127</v>
      </c>
      <c r="B178">
        <v>16745597</v>
      </c>
      <c r="C178">
        <v>16745585</v>
      </c>
      <c r="D178">
        <v>15171018</v>
      </c>
      <c r="E178">
        <v>1</v>
      </c>
      <c r="F178">
        <v>1</v>
      </c>
      <c r="G178">
        <v>1</v>
      </c>
      <c r="H178">
        <v>3</v>
      </c>
      <c r="I178" t="s">
        <v>1431</v>
      </c>
      <c r="J178" t="s">
        <v>1432</v>
      </c>
      <c r="K178" t="s">
        <v>1433</v>
      </c>
      <c r="L178">
        <v>1346</v>
      </c>
      <c r="N178">
        <v>1009</v>
      </c>
      <c r="O178" t="s">
        <v>341</v>
      </c>
      <c r="P178" t="s">
        <v>341</v>
      </c>
      <c r="Q178">
        <v>1</v>
      </c>
      <c r="X178">
        <v>0.1</v>
      </c>
      <c r="Y178">
        <v>1.82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0.1</v>
      </c>
      <c r="AH178">
        <v>2</v>
      </c>
      <c r="AI178">
        <v>16745590</v>
      </c>
      <c r="AJ178">
        <v>183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ROW(Source!A127)</f>
        <v>127</v>
      </c>
      <c r="B179">
        <v>16745598</v>
      </c>
      <c r="C179">
        <v>16745585</v>
      </c>
      <c r="D179">
        <v>15162572</v>
      </c>
      <c r="E179">
        <v>17</v>
      </c>
      <c r="F179">
        <v>1</v>
      </c>
      <c r="G179">
        <v>1</v>
      </c>
      <c r="H179">
        <v>3</v>
      </c>
      <c r="I179" t="s">
        <v>361</v>
      </c>
      <c r="J179" t="s">
        <v>6</v>
      </c>
      <c r="K179" t="s">
        <v>362</v>
      </c>
      <c r="L179">
        <v>1348</v>
      </c>
      <c r="N179">
        <v>1009</v>
      </c>
      <c r="O179" t="s">
        <v>100</v>
      </c>
      <c r="P179" t="s">
        <v>100</v>
      </c>
      <c r="Q179">
        <v>1000</v>
      </c>
      <c r="X179">
        <v>1.2999999999999999E-2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1.2999999999999999E-2</v>
      </c>
      <c r="AH179">
        <v>2</v>
      </c>
      <c r="AI179">
        <v>16745591</v>
      </c>
      <c r="AJ179">
        <v>185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ROW(Source!A130)</f>
        <v>130</v>
      </c>
      <c r="B180">
        <v>16745610</v>
      </c>
      <c r="C180">
        <v>16745601</v>
      </c>
      <c r="D180">
        <v>15432258</v>
      </c>
      <c r="E180">
        <v>1</v>
      </c>
      <c r="F180">
        <v>1</v>
      </c>
      <c r="G180">
        <v>1</v>
      </c>
      <c r="H180">
        <v>1</v>
      </c>
      <c r="I180" t="s">
        <v>1474</v>
      </c>
      <c r="J180" t="s">
        <v>6</v>
      </c>
      <c r="K180" t="s">
        <v>1475</v>
      </c>
      <c r="L180">
        <v>1191</v>
      </c>
      <c r="N180">
        <v>1013</v>
      </c>
      <c r="O180" t="s">
        <v>1287</v>
      </c>
      <c r="P180" t="s">
        <v>1287</v>
      </c>
      <c r="Q180">
        <v>1</v>
      </c>
      <c r="X180">
        <v>35.83</v>
      </c>
      <c r="Y180">
        <v>0</v>
      </c>
      <c r="Z180">
        <v>0</v>
      </c>
      <c r="AA180">
        <v>0</v>
      </c>
      <c r="AB180">
        <v>8.4600000000000009</v>
      </c>
      <c r="AC180">
        <v>0</v>
      </c>
      <c r="AD180">
        <v>1</v>
      </c>
      <c r="AE180">
        <v>1</v>
      </c>
      <c r="AF180" t="s">
        <v>6</v>
      </c>
      <c r="AG180">
        <v>35.83</v>
      </c>
      <c r="AH180">
        <v>2</v>
      </c>
      <c r="AI180">
        <v>16745602</v>
      </c>
      <c r="AJ180">
        <v>186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ROW(Source!A130)</f>
        <v>130</v>
      </c>
      <c r="B181">
        <v>16745611</v>
      </c>
      <c r="C181">
        <v>16745601</v>
      </c>
      <c r="D181">
        <v>15430395</v>
      </c>
      <c r="E181">
        <v>1</v>
      </c>
      <c r="F181">
        <v>1</v>
      </c>
      <c r="G181">
        <v>1</v>
      </c>
      <c r="H181">
        <v>1</v>
      </c>
      <c r="I181" t="s">
        <v>1293</v>
      </c>
      <c r="J181" t="s">
        <v>6</v>
      </c>
      <c r="K181" t="s">
        <v>1294</v>
      </c>
      <c r="L181">
        <v>1191</v>
      </c>
      <c r="N181">
        <v>1013</v>
      </c>
      <c r="O181" t="s">
        <v>1287</v>
      </c>
      <c r="P181" t="s">
        <v>1287</v>
      </c>
      <c r="Q181">
        <v>1</v>
      </c>
      <c r="X181">
        <v>0.94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6</v>
      </c>
      <c r="AG181">
        <v>0.94</v>
      </c>
      <c r="AH181">
        <v>2</v>
      </c>
      <c r="AI181">
        <v>16745603</v>
      </c>
      <c r="AJ181">
        <v>187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ROW(Source!A130)</f>
        <v>130</v>
      </c>
      <c r="B182">
        <v>16745612</v>
      </c>
      <c r="C182">
        <v>16745601</v>
      </c>
      <c r="D182">
        <v>15247905</v>
      </c>
      <c r="E182">
        <v>1</v>
      </c>
      <c r="F182">
        <v>1</v>
      </c>
      <c r="G182">
        <v>1</v>
      </c>
      <c r="H182">
        <v>2</v>
      </c>
      <c r="I182" t="s">
        <v>1492</v>
      </c>
      <c r="J182" t="s">
        <v>1493</v>
      </c>
      <c r="K182" t="s">
        <v>1494</v>
      </c>
      <c r="L182">
        <v>1368</v>
      </c>
      <c r="N182">
        <v>1011</v>
      </c>
      <c r="O182" t="s">
        <v>1298</v>
      </c>
      <c r="P182" t="s">
        <v>1298</v>
      </c>
      <c r="Q182">
        <v>1</v>
      </c>
      <c r="X182">
        <v>0.02</v>
      </c>
      <c r="Y182">
        <v>0</v>
      </c>
      <c r="Z182">
        <v>89.99</v>
      </c>
      <c r="AA182">
        <v>10.06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0.02</v>
      </c>
      <c r="AH182">
        <v>2</v>
      </c>
      <c r="AI182">
        <v>16745604</v>
      </c>
      <c r="AJ182">
        <v>188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ROW(Source!A130)</f>
        <v>130</v>
      </c>
      <c r="B183">
        <v>16745613</v>
      </c>
      <c r="C183">
        <v>16745601</v>
      </c>
      <c r="D183">
        <v>15247974</v>
      </c>
      <c r="E183">
        <v>1</v>
      </c>
      <c r="F183">
        <v>1</v>
      </c>
      <c r="G183">
        <v>1</v>
      </c>
      <c r="H183">
        <v>2</v>
      </c>
      <c r="I183" t="s">
        <v>1314</v>
      </c>
      <c r="J183" t="s">
        <v>1315</v>
      </c>
      <c r="K183" t="s">
        <v>1316</v>
      </c>
      <c r="L183">
        <v>1368</v>
      </c>
      <c r="N183">
        <v>1011</v>
      </c>
      <c r="O183" t="s">
        <v>1298</v>
      </c>
      <c r="P183" t="s">
        <v>1298</v>
      </c>
      <c r="Q183">
        <v>1</v>
      </c>
      <c r="X183">
        <v>0.21</v>
      </c>
      <c r="Y183">
        <v>0</v>
      </c>
      <c r="Z183">
        <v>31.26</v>
      </c>
      <c r="AA183">
        <v>13.5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0.21</v>
      </c>
      <c r="AH183">
        <v>2</v>
      </c>
      <c r="AI183">
        <v>16745605</v>
      </c>
      <c r="AJ183">
        <v>189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ROW(Source!A130)</f>
        <v>130</v>
      </c>
      <c r="B184">
        <v>16745614</v>
      </c>
      <c r="C184">
        <v>16745601</v>
      </c>
      <c r="D184">
        <v>15248143</v>
      </c>
      <c r="E184">
        <v>1</v>
      </c>
      <c r="F184">
        <v>1</v>
      </c>
      <c r="G184">
        <v>1</v>
      </c>
      <c r="H184">
        <v>2</v>
      </c>
      <c r="I184" t="s">
        <v>1495</v>
      </c>
      <c r="J184" t="s">
        <v>1496</v>
      </c>
      <c r="K184" t="s">
        <v>1497</v>
      </c>
      <c r="L184">
        <v>1368</v>
      </c>
      <c r="N184">
        <v>1011</v>
      </c>
      <c r="O184" t="s">
        <v>1298</v>
      </c>
      <c r="P184" t="s">
        <v>1298</v>
      </c>
      <c r="Q184">
        <v>1</v>
      </c>
      <c r="X184">
        <v>0.71</v>
      </c>
      <c r="Y184">
        <v>0</v>
      </c>
      <c r="Z184">
        <v>12.39</v>
      </c>
      <c r="AA184">
        <v>10.06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0.71</v>
      </c>
      <c r="AH184">
        <v>2</v>
      </c>
      <c r="AI184">
        <v>16745606</v>
      </c>
      <c r="AJ184">
        <v>190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ROW(Source!A130)</f>
        <v>130</v>
      </c>
      <c r="B185">
        <v>16745615</v>
      </c>
      <c r="C185">
        <v>16745601</v>
      </c>
      <c r="D185">
        <v>15167286</v>
      </c>
      <c r="E185">
        <v>1</v>
      </c>
      <c r="F185">
        <v>1</v>
      </c>
      <c r="G185">
        <v>1</v>
      </c>
      <c r="H185">
        <v>3</v>
      </c>
      <c r="I185" t="s">
        <v>1317</v>
      </c>
      <c r="J185" t="s">
        <v>1318</v>
      </c>
      <c r="K185" t="s">
        <v>1319</v>
      </c>
      <c r="L185">
        <v>1339</v>
      </c>
      <c r="N185">
        <v>1007</v>
      </c>
      <c r="O185" t="s">
        <v>301</v>
      </c>
      <c r="P185" t="s">
        <v>301</v>
      </c>
      <c r="Q185">
        <v>1</v>
      </c>
      <c r="X185">
        <v>0.51300000000000001</v>
      </c>
      <c r="Y185">
        <v>2.44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0.51300000000000001</v>
      </c>
      <c r="AH185">
        <v>2</v>
      </c>
      <c r="AI185">
        <v>16745607</v>
      </c>
      <c r="AJ185">
        <v>191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ROW(Source!A130)</f>
        <v>130</v>
      </c>
      <c r="B186">
        <v>16745616</v>
      </c>
      <c r="C186">
        <v>16745601</v>
      </c>
      <c r="D186">
        <v>15162949</v>
      </c>
      <c r="E186">
        <v>17</v>
      </c>
      <c r="F186">
        <v>1</v>
      </c>
      <c r="G186">
        <v>1</v>
      </c>
      <c r="H186">
        <v>3</v>
      </c>
      <c r="I186" t="s">
        <v>372</v>
      </c>
      <c r="J186" t="s">
        <v>6</v>
      </c>
      <c r="K186" t="s">
        <v>373</v>
      </c>
      <c r="L186">
        <v>1348</v>
      </c>
      <c r="N186">
        <v>1009</v>
      </c>
      <c r="O186" t="s">
        <v>100</v>
      </c>
      <c r="P186" t="s">
        <v>100</v>
      </c>
      <c r="Q186">
        <v>1000</v>
      </c>
      <c r="X186">
        <v>0.85499999999999998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0.85499999999999998</v>
      </c>
      <c r="AH186">
        <v>2</v>
      </c>
      <c r="AI186">
        <v>16745608</v>
      </c>
      <c r="AJ186">
        <v>193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ROW(Source!A130)</f>
        <v>130</v>
      </c>
      <c r="B187">
        <v>16745617</v>
      </c>
      <c r="C187">
        <v>16745601</v>
      </c>
      <c r="D187">
        <v>15162572</v>
      </c>
      <c r="E187">
        <v>17</v>
      </c>
      <c r="F187">
        <v>1</v>
      </c>
      <c r="G187">
        <v>1</v>
      </c>
      <c r="H187">
        <v>3</v>
      </c>
      <c r="I187" t="s">
        <v>361</v>
      </c>
      <c r="J187" t="s">
        <v>6</v>
      </c>
      <c r="K187" t="s">
        <v>362</v>
      </c>
      <c r="L187">
        <v>1348</v>
      </c>
      <c r="N187">
        <v>1009</v>
      </c>
      <c r="O187" t="s">
        <v>100</v>
      </c>
      <c r="P187" t="s">
        <v>100</v>
      </c>
      <c r="Q187">
        <v>1000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1</v>
      </c>
      <c r="AD187">
        <v>0</v>
      </c>
      <c r="AE187">
        <v>0</v>
      </c>
      <c r="AF187" t="s">
        <v>6</v>
      </c>
      <c r="AG187">
        <v>0</v>
      </c>
      <c r="AH187">
        <v>3</v>
      </c>
      <c r="AI187">
        <v>-1</v>
      </c>
      <c r="AJ187" t="s">
        <v>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ROW(Source!A133)</f>
        <v>133</v>
      </c>
      <c r="B188">
        <v>16748857</v>
      </c>
      <c r="C188">
        <v>16748856</v>
      </c>
      <c r="D188">
        <v>15430397</v>
      </c>
      <c r="E188">
        <v>1</v>
      </c>
      <c r="F188">
        <v>1</v>
      </c>
      <c r="G188">
        <v>1</v>
      </c>
      <c r="H188">
        <v>1</v>
      </c>
      <c r="I188" t="s">
        <v>1323</v>
      </c>
      <c r="J188" t="s">
        <v>6</v>
      </c>
      <c r="K188" t="s">
        <v>1324</v>
      </c>
      <c r="L188">
        <v>1191</v>
      </c>
      <c r="N188">
        <v>1013</v>
      </c>
      <c r="O188" t="s">
        <v>1287</v>
      </c>
      <c r="P188" t="s">
        <v>1287</v>
      </c>
      <c r="Q188">
        <v>1</v>
      </c>
      <c r="X188">
        <v>85.84</v>
      </c>
      <c r="Y188">
        <v>0</v>
      </c>
      <c r="Z188">
        <v>0</v>
      </c>
      <c r="AA188">
        <v>0</v>
      </c>
      <c r="AB188">
        <v>9.4</v>
      </c>
      <c r="AC188">
        <v>0</v>
      </c>
      <c r="AD188">
        <v>1</v>
      </c>
      <c r="AE188">
        <v>1</v>
      </c>
      <c r="AF188" t="s">
        <v>6</v>
      </c>
      <c r="AG188">
        <v>85.84</v>
      </c>
      <c r="AH188">
        <v>2</v>
      </c>
      <c r="AI188">
        <v>16748857</v>
      </c>
      <c r="AJ188">
        <v>194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ROW(Source!A133)</f>
        <v>133</v>
      </c>
      <c r="B189">
        <v>16748858</v>
      </c>
      <c r="C189">
        <v>16748856</v>
      </c>
      <c r="D189">
        <v>15430395</v>
      </c>
      <c r="E189">
        <v>1</v>
      </c>
      <c r="F189">
        <v>1</v>
      </c>
      <c r="G189">
        <v>1</v>
      </c>
      <c r="H189">
        <v>1</v>
      </c>
      <c r="I189" t="s">
        <v>1293</v>
      </c>
      <c r="J189" t="s">
        <v>6</v>
      </c>
      <c r="K189" t="s">
        <v>1294</v>
      </c>
      <c r="L189">
        <v>1191</v>
      </c>
      <c r="N189">
        <v>1013</v>
      </c>
      <c r="O189" t="s">
        <v>1287</v>
      </c>
      <c r="P189" t="s">
        <v>1287</v>
      </c>
      <c r="Q189">
        <v>1</v>
      </c>
      <c r="X189">
        <v>6.29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2</v>
      </c>
      <c r="AF189" t="s">
        <v>6</v>
      </c>
      <c r="AG189">
        <v>6.29</v>
      </c>
      <c r="AH189">
        <v>2</v>
      </c>
      <c r="AI189">
        <v>16748858</v>
      </c>
      <c r="AJ189">
        <v>195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ROW(Source!A133)</f>
        <v>133</v>
      </c>
      <c r="B190">
        <v>16748859</v>
      </c>
      <c r="C190">
        <v>16748856</v>
      </c>
      <c r="D190">
        <v>15247974</v>
      </c>
      <c r="E190">
        <v>1</v>
      </c>
      <c r="F190">
        <v>1</v>
      </c>
      <c r="G190">
        <v>1</v>
      </c>
      <c r="H190">
        <v>2</v>
      </c>
      <c r="I190" t="s">
        <v>1314</v>
      </c>
      <c r="J190" t="s">
        <v>1315</v>
      </c>
      <c r="K190" t="s">
        <v>1316</v>
      </c>
      <c r="L190">
        <v>1368</v>
      </c>
      <c r="N190">
        <v>1011</v>
      </c>
      <c r="O190" t="s">
        <v>1298</v>
      </c>
      <c r="P190" t="s">
        <v>1298</v>
      </c>
      <c r="Q190">
        <v>1</v>
      </c>
      <c r="X190">
        <v>0.84</v>
      </c>
      <c r="Y190">
        <v>0</v>
      </c>
      <c r="Z190">
        <v>31.26</v>
      </c>
      <c r="AA190">
        <v>13.5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0.84</v>
      </c>
      <c r="AH190">
        <v>2</v>
      </c>
      <c r="AI190">
        <v>16748859</v>
      </c>
      <c r="AJ190">
        <v>196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ROW(Source!A133)</f>
        <v>133</v>
      </c>
      <c r="B191">
        <v>16748860</v>
      </c>
      <c r="C191">
        <v>16748856</v>
      </c>
      <c r="D191">
        <v>15248130</v>
      </c>
      <c r="E191">
        <v>1</v>
      </c>
      <c r="F191">
        <v>1</v>
      </c>
      <c r="G191">
        <v>1</v>
      </c>
      <c r="H191">
        <v>2</v>
      </c>
      <c r="I191" t="s">
        <v>1498</v>
      </c>
      <c r="J191" t="s">
        <v>1499</v>
      </c>
      <c r="K191" t="s">
        <v>1500</v>
      </c>
      <c r="L191">
        <v>1368</v>
      </c>
      <c r="N191">
        <v>1011</v>
      </c>
      <c r="O191" t="s">
        <v>1298</v>
      </c>
      <c r="P191" t="s">
        <v>1298</v>
      </c>
      <c r="Q191">
        <v>1</v>
      </c>
      <c r="X191">
        <v>5.45</v>
      </c>
      <c r="Y191">
        <v>0</v>
      </c>
      <c r="Z191">
        <v>14.15</v>
      </c>
      <c r="AA191">
        <v>8.91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5.45</v>
      </c>
      <c r="AH191">
        <v>2</v>
      </c>
      <c r="AI191">
        <v>16748860</v>
      </c>
      <c r="AJ191">
        <v>197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ROW(Source!A133)</f>
        <v>133</v>
      </c>
      <c r="B192">
        <v>16748861</v>
      </c>
      <c r="C192">
        <v>16748856</v>
      </c>
      <c r="D192">
        <v>15170041</v>
      </c>
      <c r="E192">
        <v>1</v>
      </c>
      <c r="F192">
        <v>1</v>
      </c>
      <c r="G192">
        <v>1</v>
      </c>
      <c r="H192">
        <v>3</v>
      </c>
      <c r="I192" t="s">
        <v>1501</v>
      </c>
      <c r="J192" t="s">
        <v>1502</v>
      </c>
      <c r="K192" t="s">
        <v>1503</v>
      </c>
      <c r="L192">
        <v>1348</v>
      </c>
      <c r="N192">
        <v>1009</v>
      </c>
      <c r="O192" t="s">
        <v>100</v>
      </c>
      <c r="P192" t="s">
        <v>100</v>
      </c>
      <c r="Q192">
        <v>1000</v>
      </c>
      <c r="X192">
        <v>1.2E-4</v>
      </c>
      <c r="Y192">
        <v>8475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1.2E-4</v>
      </c>
      <c r="AH192">
        <v>2</v>
      </c>
      <c r="AI192">
        <v>16748861</v>
      </c>
      <c r="AJ192">
        <v>198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ROW(Source!A133)</f>
        <v>133</v>
      </c>
      <c r="B193">
        <v>16748862</v>
      </c>
      <c r="C193">
        <v>16748856</v>
      </c>
      <c r="D193">
        <v>15171982</v>
      </c>
      <c r="E193">
        <v>1</v>
      </c>
      <c r="F193">
        <v>1</v>
      </c>
      <c r="G193">
        <v>1</v>
      </c>
      <c r="H193">
        <v>3</v>
      </c>
      <c r="I193" t="s">
        <v>1320</v>
      </c>
      <c r="J193" t="s">
        <v>1321</v>
      </c>
      <c r="K193" t="s">
        <v>1322</v>
      </c>
      <c r="L193">
        <v>1348</v>
      </c>
      <c r="N193">
        <v>1009</v>
      </c>
      <c r="O193" t="s">
        <v>100</v>
      </c>
      <c r="P193" t="s">
        <v>100</v>
      </c>
      <c r="Q193">
        <v>1000</v>
      </c>
      <c r="X193">
        <v>6.0000000000000001E-3</v>
      </c>
      <c r="Y193">
        <v>729.98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6.0000000000000001E-3</v>
      </c>
      <c r="AH193">
        <v>2</v>
      </c>
      <c r="AI193">
        <v>16748862</v>
      </c>
      <c r="AJ193">
        <v>199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ROW(Source!A133)</f>
        <v>133</v>
      </c>
      <c r="B194">
        <v>16748863</v>
      </c>
      <c r="C194">
        <v>16748856</v>
      </c>
      <c r="D194">
        <v>15172875</v>
      </c>
      <c r="E194">
        <v>1</v>
      </c>
      <c r="F194">
        <v>1</v>
      </c>
      <c r="G194">
        <v>1</v>
      </c>
      <c r="H194">
        <v>3</v>
      </c>
      <c r="I194" t="s">
        <v>1425</v>
      </c>
      <c r="J194" t="s">
        <v>1426</v>
      </c>
      <c r="K194" t="s">
        <v>1427</v>
      </c>
      <c r="L194">
        <v>1339</v>
      </c>
      <c r="N194">
        <v>1007</v>
      </c>
      <c r="O194" t="s">
        <v>301</v>
      </c>
      <c r="P194" t="s">
        <v>301</v>
      </c>
      <c r="Q194">
        <v>1</v>
      </c>
      <c r="X194">
        <v>1.87</v>
      </c>
      <c r="Y194">
        <v>517.91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1.87</v>
      </c>
      <c r="AH194">
        <v>2</v>
      </c>
      <c r="AI194">
        <v>16748863</v>
      </c>
      <c r="AJ194">
        <v>200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ROW(Source!A133)</f>
        <v>133</v>
      </c>
      <c r="B195">
        <v>16748864</v>
      </c>
      <c r="C195">
        <v>16748856</v>
      </c>
      <c r="D195">
        <v>15189930</v>
      </c>
      <c r="E195">
        <v>1</v>
      </c>
      <c r="F195">
        <v>1</v>
      </c>
      <c r="G195">
        <v>1</v>
      </c>
      <c r="H195">
        <v>3</v>
      </c>
      <c r="I195" t="s">
        <v>1504</v>
      </c>
      <c r="J195" t="s">
        <v>1505</v>
      </c>
      <c r="K195" t="s">
        <v>1506</v>
      </c>
      <c r="L195">
        <v>1327</v>
      </c>
      <c r="N195">
        <v>1005</v>
      </c>
      <c r="O195" t="s">
        <v>193</v>
      </c>
      <c r="P195" t="s">
        <v>193</v>
      </c>
      <c r="Q195">
        <v>1</v>
      </c>
      <c r="X195">
        <v>5.54</v>
      </c>
      <c r="Y195">
        <v>28.25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5.54</v>
      </c>
      <c r="AH195">
        <v>2</v>
      </c>
      <c r="AI195">
        <v>16748864</v>
      </c>
      <c r="AJ195">
        <v>201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ROW(Source!A134)</f>
        <v>134</v>
      </c>
      <c r="B196">
        <v>16745634</v>
      </c>
      <c r="C196">
        <v>16745620</v>
      </c>
      <c r="D196">
        <v>15435099</v>
      </c>
      <c r="E196">
        <v>1</v>
      </c>
      <c r="F196">
        <v>1</v>
      </c>
      <c r="G196">
        <v>1</v>
      </c>
      <c r="H196">
        <v>1</v>
      </c>
      <c r="I196" t="s">
        <v>1463</v>
      </c>
      <c r="J196" t="s">
        <v>6</v>
      </c>
      <c r="K196" t="s">
        <v>1464</v>
      </c>
      <c r="L196">
        <v>1191</v>
      </c>
      <c r="N196">
        <v>1013</v>
      </c>
      <c r="O196" t="s">
        <v>1287</v>
      </c>
      <c r="P196" t="s">
        <v>1287</v>
      </c>
      <c r="Q196">
        <v>1</v>
      </c>
      <c r="X196">
        <v>28.02</v>
      </c>
      <c r="Y196">
        <v>0</v>
      </c>
      <c r="Z196">
        <v>0</v>
      </c>
      <c r="AA196">
        <v>0</v>
      </c>
      <c r="AB196">
        <v>8.64</v>
      </c>
      <c r="AC196">
        <v>0</v>
      </c>
      <c r="AD196">
        <v>1</v>
      </c>
      <c r="AE196">
        <v>1</v>
      </c>
      <c r="AF196" t="s">
        <v>6</v>
      </c>
      <c r="AG196">
        <v>28.02</v>
      </c>
      <c r="AH196">
        <v>2</v>
      </c>
      <c r="AI196">
        <v>16745621</v>
      </c>
      <c r="AJ196">
        <v>202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ROW(Source!A134)</f>
        <v>134</v>
      </c>
      <c r="B197">
        <v>16745635</v>
      </c>
      <c r="C197">
        <v>16745620</v>
      </c>
      <c r="D197">
        <v>15430395</v>
      </c>
      <c r="E197">
        <v>1</v>
      </c>
      <c r="F197">
        <v>1</v>
      </c>
      <c r="G197">
        <v>1</v>
      </c>
      <c r="H197">
        <v>1</v>
      </c>
      <c r="I197" t="s">
        <v>1293</v>
      </c>
      <c r="J197" t="s">
        <v>6</v>
      </c>
      <c r="K197" t="s">
        <v>1294</v>
      </c>
      <c r="L197">
        <v>1191</v>
      </c>
      <c r="N197">
        <v>1013</v>
      </c>
      <c r="O197" t="s">
        <v>1287</v>
      </c>
      <c r="P197" t="s">
        <v>1287</v>
      </c>
      <c r="Q197">
        <v>1</v>
      </c>
      <c r="X197">
        <v>0.16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6</v>
      </c>
      <c r="AG197">
        <v>0.16</v>
      </c>
      <c r="AH197">
        <v>2</v>
      </c>
      <c r="AI197">
        <v>16745622</v>
      </c>
      <c r="AJ197">
        <v>203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ROW(Source!A134)</f>
        <v>134</v>
      </c>
      <c r="B198">
        <v>16745636</v>
      </c>
      <c r="C198">
        <v>16745620</v>
      </c>
      <c r="D198">
        <v>15247974</v>
      </c>
      <c r="E198">
        <v>1</v>
      </c>
      <c r="F198">
        <v>1</v>
      </c>
      <c r="G198">
        <v>1</v>
      </c>
      <c r="H198">
        <v>2</v>
      </c>
      <c r="I198" t="s">
        <v>1314</v>
      </c>
      <c r="J198" t="s">
        <v>1315</v>
      </c>
      <c r="K198" t="s">
        <v>1316</v>
      </c>
      <c r="L198">
        <v>1368</v>
      </c>
      <c r="N198">
        <v>1011</v>
      </c>
      <c r="O198" t="s">
        <v>1298</v>
      </c>
      <c r="P198" t="s">
        <v>1298</v>
      </c>
      <c r="Q198">
        <v>1</v>
      </c>
      <c r="X198">
        <v>0.1</v>
      </c>
      <c r="Y198">
        <v>0</v>
      </c>
      <c r="Z198">
        <v>31.26</v>
      </c>
      <c r="AA198">
        <v>13.5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0.1</v>
      </c>
      <c r="AH198">
        <v>2</v>
      </c>
      <c r="AI198">
        <v>16745623</v>
      </c>
      <c r="AJ198">
        <v>204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ROW(Source!A134)</f>
        <v>134</v>
      </c>
      <c r="B199">
        <v>16745637</v>
      </c>
      <c r="C199">
        <v>16745620</v>
      </c>
      <c r="D199">
        <v>15249073</v>
      </c>
      <c r="E199">
        <v>1</v>
      </c>
      <c r="F199">
        <v>1</v>
      </c>
      <c r="G199">
        <v>1</v>
      </c>
      <c r="H199">
        <v>2</v>
      </c>
      <c r="I199" t="s">
        <v>1299</v>
      </c>
      <c r="J199" t="s">
        <v>1300</v>
      </c>
      <c r="K199" t="s">
        <v>1301</v>
      </c>
      <c r="L199">
        <v>1368</v>
      </c>
      <c r="N199">
        <v>1011</v>
      </c>
      <c r="O199" t="s">
        <v>1298</v>
      </c>
      <c r="P199" t="s">
        <v>1298</v>
      </c>
      <c r="Q199">
        <v>1</v>
      </c>
      <c r="X199">
        <v>0.06</v>
      </c>
      <c r="Y199">
        <v>0</v>
      </c>
      <c r="Z199">
        <v>65.709999999999994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0.06</v>
      </c>
      <c r="AH199">
        <v>2</v>
      </c>
      <c r="AI199">
        <v>16745624</v>
      </c>
      <c r="AJ199">
        <v>205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ROW(Source!A134)</f>
        <v>134</v>
      </c>
      <c r="B200">
        <v>16745638</v>
      </c>
      <c r="C200">
        <v>16745620</v>
      </c>
      <c r="D200">
        <v>15167286</v>
      </c>
      <c r="E200">
        <v>1</v>
      </c>
      <c r="F200">
        <v>1</v>
      </c>
      <c r="G200">
        <v>1</v>
      </c>
      <c r="H200">
        <v>3</v>
      </c>
      <c r="I200" t="s">
        <v>1317</v>
      </c>
      <c r="J200" t="s">
        <v>1318</v>
      </c>
      <c r="K200" t="s">
        <v>1319</v>
      </c>
      <c r="L200">
        <v>1339</v>
      </c>
      <c r="N200">
        <v>1007</v>
      </c>
      <c r="O200" t="s">
        <v>301</v>
      </c>
      <c r="P200" t="s">
        <v>301</v>
      </c>
      <c r="Q200">
        <v>1</v>
      </c>
      <c r="X200">
        <v>0.24</v>
      </c>
      <c r="Y200">
        <v>2.44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0.24</v>
      </c>
      <c r="AH200">
        <v>2</v>
      </c>
      <c r="AI200">
        <v>16745625</v>
      </c>
      <c r="AJ200">
        <v>206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ROW(Source!A134)</f>
        <v>134</v>
      </c>
      <c r="B201">
        <v>16745639</v>
      </c>
      <c r="C201">
        <v>16745620</v>
      </c>
      <c r="D201">
        <v>15167766</v>
      </c>
      <c r="E201">
        <v>1</v>
      </c>
      <c r="F201">
        <v>1</v>
      </c>
      <c r="G201">
        <v>1</v>
      </c>
      <c r="H201">
        <v>3</v>
      </c>
      <c r="I201" t="s">
        <v>1507</v>
      </c>
      <c r="J201" t="s">
        <v>1508</v>
      </c>
      <c r="K201" t="s">
        <v>1509</v>
      </c>
      <c r="L201">
        <v>1354</v>
      </c>
      <c r="N201">
        <v>1010</v>
      </c>
      <c r="O201" t="s">
        <v>73</v>
      </c>
      <c r="P201" t="s">
        <v>73</v>
      </c>
      <c r="Q201">
        <v>1</v>
      </c>
      <c r="X201">
        <v>3.2</v>
      </c>
      <c r="Y201">
        <v>4.5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3.2</v>
      </c>
      <c r="AH201">
        <v>2</v>
      </c>
      <c r="AI201">
        <v>16745626</v>
      </c>
      <c r="AJ201">
        <v>207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ROW(Source!A134)</f>
        <v>134</v>
      </c>
      <c r="B202">
        <v>16745640</v>
      </c>
      <c r="C202">
        <v>16745620</v>
      </c>
      <c r="D202">
        <v>15168015</v>
      </c>
      <c r="E202">
        <v>1</v>
      </c>
      <c r="F202">
        <v>1</v>
      </c>
      <c r="G202">
        <v>1</v>
      </c>
      <c r="H202">
        <v>3</v>
      </c>
      <c r="I202" t="s">
        <v>1510</v>
      </c>
      <c r="J202" t="s">
        <v>1511</v>
      </c>
      <c r="K202" t="s">
        <v>1512</v>
      </c>
      <c r="L202">
        <v>1348</v>
      </c>
      <c r="N202">
        <v>1009</v>
      </c>
      <c r="O202" t="s">
        <v>100</v>
      </c>
      <c r="P202" t="s">
        <v>100</v>
      </c>
      <c r="Q202">
        <v>1000</v>
      </c>
      <c r="X202">
        <v>1.2E-2</v>
      </c>
      <c r="Y202">
        <v>586.47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1.2E-2</v>
      </c>
      <c r="AH202">
        <v>2</v>
      </c>
      <c r="AI202">
        <v>16745627</v>
      </c>
      <c r="AJ202">
        <v>208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ROW(Source!A134)</f>
        <v>134</v>
      </c>
      <c r="B203">
        <v>16745641</v>
      </c>
      <c r="C203">
        <v>16745620</v>
      </c>
      <c r="D203">
        <v>15170682</v>
      </c>
      <c r="E203">
        <v>1</v>
      </c>
      <c r="F203">
        <v>1</v>
      </c>
      <c r="G203">
        <v>1</v>
      </c>
      <c r="H203">
        <v>3</v>
      </c>
      <c r="I203" t="s">
        <v>1428</v>
      </c>
      <c r="J203" t="s">
        <v>1429</v>
      </c>
      <c r="K203" t="s">
        <v>1430</v>
      </c>
      <c r="L203">
        <v>1327</v>
      </c>
      <c r="N203">
        <v>1005</v>
      </c>
      <c r="O203" t="s">
        <v>193</v>
      </c>
      <c r="P203" t="s">
        <v>193</v>
      </c>
      <c r="Q203">
        <v>1</v>
      </c>
      <c r="X203">
        <v>1.6</v>
      </c>
      <c r="Y203">
        <v>72.319999999999993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1.6</v>
      </c>
      <c r="AH203">
        <v>2</v>
      </c>
      <c r="AI203">
        <v>16745628</v>
      </c>
      <c r="AJ203">
        <v>209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ROW(Source!A134)</f>
        <v>134</v>
      </c>
      <c r="B204">
        <v>16745642</v>
      </c>
      <c r="C204">
        <v>16745620</v>
      </c>
      <c r="D204">
        <v>15171907</v>
      </c>
      <c r="E204">
        <v>1</v>
      </c>
      <c r="F204">
        <v>1</v>
      </c>
      <c r="G204">
        <v>1</v>
      </c>
      <c r="H204">
        <v>3</v>
      </c>
      <c r="I204" t="s">
        <v>1513</v>
      </c>
      <c r="J204" t="s">
        <v>1514</v>
      </c>
      <c r="K204" t="s">
        <v>1515</v>
      </c>
      <c r="L204">
        <v>1339</v>
      </c>
      <c r="N204">
        <v>1007</v>
      </c>
      <c r="O204" t="s">
        <v>301</v>
      </c>
      <c r="P204" t="s">
        <v>301</v>
      </c>
      <c r="Q204">
        <v>1</v>
      </c>
      <c r="X204">
        <v>4.4000000000000003E-3</v>
      </c>
      <c r="Y204">
        <v>74.58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4.4000000000000003E-3</v>
      </c>
      <c r="AH204">
        <v>2</v>
      </c>
      <c r="AI204">
        <v>16745629</v>
      </c>
      <c r="AJ204">
        <v>210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ROW(Source!A134)</f>
        <v>134</v>
      </c>
      <c r="B205">
        <v>16745643</v>
      </c>
      <c r="C205">
        <v>16745620</v>
      </c>
      <c r="D205">
        <v>15202490</v>
      </c>
      <c r="E205">
        <v>1</v>
      </c>
      <c r="F205">
        <v>1</v>
      </c>
      <c r="G205">
        <v>1</v>
      </c>
      <c r="H205">
        <v>3</v>
      </c>
      <c r="I205" t="s">
        <v>1516</v>
      </c>
      <c r="J205" t="s">
        <v>1517</v>
      </c>
      <c r="K205" t="s">
        <v>1518</v>
      </c>
      <c r="L205">
        <v>1346</v>
      </c>
      <c r="N205">
        <v>1009</v>
      </c>
      <c r="O205" t="s">
        <v>341</v>
      </c>
      <c r="P205" t="s">
        <v>341</v>
      </c>
      <c r="Q205">
        <v>1</v>
      </c>
      <c r="X205">
        <v>2.4300000000000002</v>
      </c>
      <c r="Y205">
        <v>8.09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2.4300000000000002</v>
      </c>
      <c r="AH205">
        <v>2</v>
      </c>
      <c r="AI205">
        <v>16745630</v>
      </c>
      <c r="AJ205">
        <v>211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ROW(Source!A134)</f>
        <v>134</v>
      </c>
      <c r="B206">
        <v>16745644</v>
      </c>
      <c r="C206">
        <v>16745620</v>
      </c>
      <c r="D206">
        <v>15163054</v>
      </c>
      <c r="E206">
        <v>17</v>
      </c>
      <c r="F206">
        <v>1</v>
      </c>
      <c r="G206">
        <v>1</v>
      </c>
      <c r="H206">
        <v>3</v>
      </c>
      <c r="I206" t="s">
        <v>240</v>
      </c>
      <c r="J206" t="s">
        <v>6</v>
      </c>
      <c r="K206" t="s">
        <v>241</v>
      </c>
      <c r="L206">
        <v>1348</v>
      </c>
      <c r="N206">
        <v>1009</v>
      </c>
      <c r="O206" t="s">
        <v>100</v>
      </c>
      <c r="P206" t="s">
        <v>100</v>
      </c>
      <c r="Q206">
        <v>1000</v>
      </c>
      <c r="X206">
        <v>6.7000000000000004E-2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6</v>
      </c>
      <c r="AG206">
        <v>6.7000000000000004E-2</v>
      </c>
      <c r="AH206">
        <v>2</v>
      </c>
      <c r="AI206">
        <v>16745631</v>
      </c>
      <c r="AJ206">
        <v>212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ROW(Source!A134)</f>
        <v>134</v>
      </c>
      <c r="B207">
        <v>16745645</v>
      </c>
      <c r="C207">
        <v>16745620</v>
      </c>
      <c r="D207">
        <v>15204729</v>
      </c>
      <c r="E207">
        <v>1</v>
      </c>
      <c r="F207">
        <v>1</v>
      </c>
      <c r="G207">
        <v>1</v>
      </c>
      <c r="H207">
        <v>3</v>
      </c>
      <c r="I207" t="s">
        <v>1434</v>
      </c>
      <c r="J207" t="s">
        <v>1435</v>
      </c>
      <c r="K207" t="s">
        <v>1436</v>
      </c>
      <c r="L207">
        <v>1348</v>
      </c>
      <c r="N207">
        <v>1009</v>
      </c>
      <c r="O207" t="s">
        <v>100</v>
      </c>
      <c r="P207" t="s">
        <v>100</v>
      </c>
      <c r="Q207">
        <v>1000</v>
      </c>
      <c r="X207">
        <v>6.4000000000000001E-2</v>
      </c>
      <c r="Y207">
        <v>4294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6</v>
      </c>
      <c r="AG207">
        <v>6.4000000000000001E-2</v>
      </c>
      <c r="AH207">
        <v>2</v>
      </c>
      <c r="AI207">
        <v>16745632</v>
      </c>
      <c r="AJ207">
        <v>214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ROW(Source!A137)</f>
        <v>137</v>
      </c>
      <c r="B208">
        <v>16745660</v>
      </c>
      <c r="C208">
        <v>16745648</v>
      </c>
      <c r="D208">
        <v>15430497</v>
      </c>
      <c r="E208">
        <v>1</v>
      </c>
      <c r="F208">
        <v>1</v>
      </c>
      <c r="G208">
        <v>1</v>
      </c>
      <c r="H208">
        <v>1</v>
      </c>
      <c r="I208" t="s">
        <v>1519</v>
      </c>
      <c r="J208" t="s">
        <v>6</v>
      </c>
      <c r="K208" t="s">
        <v>1520</v>
      </c>
      <c r="L208">
        <v>1191</v>
      </c>
      <c r="N208">
        <v>1013</v>
      </c>
      <c r="O208" t="s">
        <v>1287</v>
      </c>
      <c r="P208" t="s">
        <v>1287</v>
      </c>
      <c r="Q208">
        <v>1</v>
      </c>
      <c r="X208">
        <v>33.630000000000003</v>
      </c>
      <c r="Y208">
        <v>0</v>
      </c>
      <c r="Z208">
        <v>0</v>
      </c>
      <c r="AA208">
        <v>0</v>
      </c>
      <c r="AB208">
        <v>8.86</v>
      </c>
      <c r="AC208">
        <v>0</v>
      </c>
      <c r="AD208">
        <v>1</v>
      </c>
      <c r="AE208">
        <v>1</v>
      </c>
      <c r="AF208" t="s">
        <v>6</v>
      </c>
      <c r="AG208">
        <v>33.630000000000003</v>
      </c>
      <c r="AH208">
        <v>2</v>
      </c>
      <c r="AI208">
        <v>16745649</v>
      </c>
      <c r="AJ208">
        <v>215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ROW(Source!A137)</f>
        <v>137</v>
      </c>
      <c r="B209">
        <v>16745661</v>
      </c>
      <c r="C209">
        <v>16745648</v>
      </c>
      <c r="D209">
        <v>15430395</v>
      </c>
      <c r="E209">
        <v>1</v>
      </c>
      <c r="F209">
        <v>1</v>
      </c>
      <c r="G209">
        <v>1</v>
      </c>
      <c r="H209">
        <v>1</v>
      </c>
      <c r="I209" t="s">
        <v>1293</v>
      </c>
      <c r="J209" t="s">
        <v>6</v>
      </c>
      <c r="K209" t="s">
        <v>1294</v>
      </c>
      <c r="L209">
        <v>1191</v>
      </c>
      <c r="N209">
        <v>1013</v>
      </c>
      <c r="O209" t="s">
        <v>1287</v>
      </c>
      <c r="P209" t="s">
        <v>1287</v>
      </c>
      <c r="Q209">
        <v>1</v>
      </c>
      <c r="X209">
        <v>0.02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6</v>
      </c>
      <c r="AG209">
        <v>0.02</v>
      </c>
      <c r="AH209">
        <v>2</v>
      </c>
      <c r="AI209">
        <v>16745650</v>
      </c>
      <c r="AJ209">
        <v>216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ROW(Source!A137)</f>
        <v>137</v>
      </c>
      <c r="B210">
        <v>16745662</v>
      </c>
      <c r="C210">
        <v>16745648</v>
      </c>
      <c r="D210">
        <v>15247974</v>
      </c>
      <c r="E210">
        <v>1</v>
      </c>
      <c r="F210">
        <v>1</v>
      </c>
      <c r="G210">
        <v>1</v>
      </c>
      <c r="H210">
        <v>2</v>
      </c>
      <c r="I210" t="s">
        <v>1314</v>
      </c>
      <c r="J210" t="s">
        <v>1315</v>
      </c>
      <c r="K210" t="s">
        <v>1316</v>
      </c>
      <c r="L210">
        <v>1368</v>
      </c>
      <c r="N210">
        <v>1011</v>
      </c>
      <c r="O210" t="s">
        <v>1298</v>
      </c>
      <c r="P210" t="s">
        <v>1298</v>
      </c>
      <c r="Q210">
        <v>1</v>
      </c>
      <c r="X210">
        <v>0.01</v>
      </c>
      <c r="Y210">
        <v>0</v>
      </c>
      <c r="Z210">
        <v>31.26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0.01</v>
      </c>
      <c r="AH210">
        <v>2</v>
      </c>
      <c r="AI210">
        <v>16745651</v>
      </c>
      <c r="AJ210">
        <v>217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ROW(Source!A137)</f>
        <v>137</v>
      </c>
      <c r="B211">
        <v>16745663</v>
      </c>
      <c r="C211">
        <v>16745648</v>
      </c>
      <c r="D211">
        <v>15249073</v>
      </c>
      <c r="E211">
        <v>1</v>
      </c>
      <c r="F211">
        <v>1</v>
      </c>
      <c r="G211">
        <v>1</v>
      </c>
      <c r="H211">
        <v>2</v>
      </c>
      <c r="I211" t="s">
        <v>1299</v>
      </c>
      <c r="J211" t="s">
        <v>1300</v>
      </c>
      <c r="K211" t="s">
        <v>1301</v>
      </c>
      <c r="L211">
        <v>1368</v>
      </c>
      <c r="N211">
        <v>1011</v>
      </c>
      <c r="O211" t="s">
        <v>1298</v>
      </c>
      <c r="P211" t="s">
        <v>1298</v>
      </c>
      <c r="Q211">
        <v>1</v>
      </c>
      <c r="X211">
        <v>0.01</v>
      </c>
      <c r="Y211">
        <v>0</v>
      </c>
      <c r="Z211">
        <v>65.709999999999994</v>
      </c>
      <c r="AA211">
        <v>11.6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0.01</v>
      </c>
      <c r="AH211">
        <v>2</v>
      </c>
      <c r="AI211">
        <v>16745652</v>
      </c>
      <c r="AJ211">
        <v>218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ROW(Source!A137)</f>
        <v>137</v>
      </c>
      <c r="B212">
        <v>16745664</v>
      </c>
      <c r="C212">
        <v>16745648</v>
      </c>
      <c r="D212">
        <v>15163097</v>
      </c>
      <c r="E212">
        <v>17</v>
      </c>
      <c r="F212">
        <v>1</v>
      </c>
      <c r="G212">
        <v>1</v>
      </c>
      <c r="H212">
        <v>3</v>
      </c>
      <c r="I212" t="s">
        <v>394</v>
      </c>
      <c r="J212" t="s">
        <v>6</v>
      </c>
      <c r="K212" t="s">
        <v>395</v>
      </c>
      <c r="L212">
        <v>1328</v>
      </c>
      <c r="N212">
        <v>1005</v>
      </c>
      <c r="O212" t="s">
        <v>20</v>
      </c>
      <c r="P212" t="s">
        <v>20</v>
      </c>
      <c r="Q212">
        <v>100</v>
      </c>
      <c r="X212">
        <v>1.1299999999999999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 t="s">
        <v>6</v>
      </c>
      <c r="AG212">
        <v>1.1299999999999999</v>
      </c>
      <c r="AH212">
        <v>2</v>
      </c>
      <c r="AI212">
        <v>16745653</v>
      </c>
      <c r="AJ212">
        <v>219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ROW(Source!A137)</f>
        <v>137</v>
      </c>
      <c r="B213">
        <v>16745665</v>
      </c>
      <c r="C213">
        <v>16745648</v>
      </c>
      <c r="D213">
        <v>15167277</v>
      </c>
      <c r="E213">
        <v>1</v>
      </c>
      <c r="F213">
        <v>1</v>
      </c>
      <c r="G213">
        <v>1</v>
      </c>
      <c r="H213">
        <v>3</v>
      </c>
      <c r="I213" t="s">
        <v>1521</v>
      </c>
      <c r="J213" t="s">
        <v>1522</v>
      </c>
      <c r="K213" t="s">
        <v>1523</v>
      </c>
      <c r="L213">
        <v>1348</v>
      </c>
      <c r="N213">
        <v>1009</v>
      </c>
      <c r="O213" t="s">
        <v>100</v>
      </c>
      <c r="P213" t="s">
        <v>100</v>
      </c>
      <c r="Q213">
        <v>1000</v>
      </c>
      <c r="X213">
        <v>7.1000000000000004E-3</v>
      </c>
      <c r="Y213">
        <v>5650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7.1000000000000004E-3</v>
      </c>
      <c r="AH213">
        <v>2</v>
      </c>
      <c r="AI213">
        <v>16745654</v>
      </c>
      <c r="AJ213">
        <v>220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ROW(Source!A137)</f>
        <v>137</v>
      </c>
      <c r="B214">
        <v>16745666</v>
      </c>
      <c r="C214">
        <v>16745648</v>
      </c>
      <c r="D214">
        <v>15167286</v>
      </c>
      <c r="E214">
        <v>1</v>
      </c>
      <c r="F214">
        <v>1</v>
      </c>
      <c r="G214">
        <v>1</v>
      </c>
      <c r="H214">
        <v>3</v>
      </c>
      <c r="I214" t="s">
        <v>1317</v>
      </c>
      <c r="J214" t="s">
        <v>1318</v>
      </c>
      <c r="K214" t="s">
        <v>1319</v>
      </c>
      <c r="L214">
        <v>1339</v>
      </c>
      <c r="N214">
        <v>1007</v>
      </c>
      <c r="O214" t="s">
        <v>301</v>
      </c>
      <c r="P214" t="s">
        <v>301</v>
      </c>
      <c r="Q214">
        <v>1</v>
      </c>
      <c r="X214">
        <v>0.01</v>
      </c>
      <c r="Y214">
        <v>2.44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0.01</v>
      </c>
      <c r="AH214">
        <v>2</v>
      </c>
      <c r="AI214">
        <v>16745655</v>
      </c>
      <c r="AJ214">
        <v>221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ROW(Source!A137)</f>
        <v>137</v>
      </c>
      <c r="B215">
        <v>16745667</v>
      </c>
      <c r="C215">
        <v>16745648</v>
      </c>
      <c r="D215">
        <v>15171018</v>
      </c>
      <c r="E215">
        <v>1</v>
      </c>
      <c r="F215">
        <v>1</v>
      </c>
      <c r="G215">
        <v>1</v>
      </c>
      <c r="H215">
        <v>3</v>
      </c>
      <c r="I215" t="s">
        <v>1431</v>
      </c>
      <c r="J215" t="s">
        <v>1432</v>
      </c>
      <c r="K215" t="s">
        <v>1433</v>
      </c>
      <c r="L215">
        <v>1346</v>
      </c>
      <c r="N215">
        <v>1009</v>
      </c>
      <c r="O215" t="s">
        <v>341</v>
      </c>
      <c r="P215" t="s">
        <v>341</v>
      </c>
      <c r="Q215">
        <v>1</v>
      </c>
      <c r="X215">
        <v>0.01</v>
      </c>
      <c r="Y215">
        <v>1.82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0.01</v>
      </c>
      <c r="AH215">
        <v>2</v>
      </c>
      <c r="AI215">
        <v>16745656</v>
      </c>
      <c r="AJ215">
        <v>222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ROW(Source!A137)</f>
        <v>137</v>
      </c>
      <c r="B216">
        <v>16745668</v>
      </c>
      <c r="C216">
        <v>16745648</v>
      </c>
      <c r="D216">
        <v>15171907</v>
      </c>
      <c r="E216">
        <v>1</v>
      </c>
      <c r="F216">
        <v>1</v>
      </c>
      <c r="G216">
        <v>1</v>
      </c>
      <c r="H216">
        <v>3</v>
      </c>
      <c r="I216" t="s">
        <v>1513</v>
      </c>
      <c r="J216" t="s">
        <v>1514</v>
      </c>
      <c r="K216" t="s">
        <v>1515</v>
      </c>
      <c r="L216">
        <v>1339</v>
      </c>
      <c r="N216">
        <v>1007</v>
      </c>
      <c r="O216" t="s">
        <v>301</v>
      </c>
      <c r="P216" t="s">
        <v>301</v>
      </c>
      <c r="Q216">
        <v>1</v>
      </c>
      <c r="X216">
        <v>4.0000000000000002E-4</v>
      </c>
      <c r="Y216">
        <v>74.58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4.0000000000000002E-4</v>
      </c>
      <c r="AH216">
        <v>2</v>
      </c>
      <c r="AI216">
        <v>16745657</v>
      </c>
      <c r="AJ216">
        <v>223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ROW(Source!A137)</f>
        <v>137</v>
      </c>
      <c r="B217">
        <v>16745669</v>
      </c>
      <c r="C217">
        <v>16745648</v>
      </c>
      <c r="D217">
        <v>15202473</v>
      </c>
      <c r="E217">
        <v>1</v>
      </c>
      <c r="F217">
        <v>1</v>
      </c>
      <c r="G217">
        <v>1</v>
      </c>
      <c r="H217">
        <v>3</v>
      </c>
      <c r="I217" t="s">
        <v>1524</v>
      </c>
      <c r="J217" t="s">
        <v>1525</v>
      </c>
      <c r="K217" t="s">
        <v>1526</v>
      </c>
      <c r="L217">
        <v>1348</v>
      </c>
      <c r="N217">
        <v>1009</v>
      </c>
      <c r="O217" t="s">
        <v>100</v>
      </c>
      <c r="P217" t="s">
        <v>100</v>
      </c>
      <c r="Q217">
        <v>1000</v>
      </c>
      <c r="X217">
        <v>2E-3</v>
      </c>
      <c r="Y217">
        <v>25990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2E-3</v>
      </c>
      <c r="AH217">
        <v>2</v>
      </c>
      <c r="AI217">
        <v>16745658</v>
      </c>
      <c r="AJ217">
        <v>224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ROW(Source!A137)</f>
        <v>137</v>
      </c>
      <c r="B218">
        <v>16745670</v>
      </c>
      <c r="C218">
        <v>16745648</v>
      </c>
      <c r="D218">
        <v>15204729</v>
      </c>
      <c r="E218">
        <v>1</v>
      </c>
      <c r="F218">
        <v>1</v>
      </c>
      <c r="G218">
        <v>1</v>
      </c>
      <c r="H218">
        <v>3</v>
      </c>
      <c r="I218" t="s">
        <v>1434</v>
      </c>
      <c r="J218" t="s">
        <v>1435</v>
      </c>
      <c r="K218" t="s">
        <v>1436</v>
      </c>
      <c r="L218">
        <v>1348</v>
      </c>
      <c r="N218">
        <v>1009</v>
      </c>
      <c r="O218" t="s">
        <v>100</v>
      </c>
      <c r="P218" t="s">
        <v>100</v>
      </c>
      <c r="Q218">
        <v>1000</v>
      </c>
      <c r="X218">
        <v>6.7000000000000002E-3</v>
      </c>
      <c r="Y218">
        <v>4294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6.7000000000000002E-3</v>
      </c>
      <c r="AH218">
        <v>2</v>
      </c>
      <c r="AI218">
        <v>16745659</v>
      </c>
      <c r="AJ218">
        <v>225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ROW(Source!A139)</f>
        <v>139</v>
      </c>
      <c r="B219">
        <v>16745676</v>
      </c>
      <c r="C219">
        <v>16745672</v>
      </c>
      <c r="D219">
        <v>15436556</v>
      </c>
      <c r="E219">
        <v>1</v>
      </c>
      <c r="F219">
        <v>1</v>
      </c>
      <c r="G219">
        <v>1</v>
      </c>
      <c r="H219">
        <v>1</v>
      </c>
      <c r="I219" t="s">
        <v>1490</v>
      </c>
      <c r="J219" t="s">
        <v>6</v>
      </c>
      <c r="K219" t="s">
        <v>1491</v>
      </c>
      <c r="L219">
        <v>1191</v>
      </c>
      <c r="N219">
        <v>1013</v>
      </c>
      <c r="O219" t="s">
        <v>1287</v>
      </c>
      <c r="P219" t="s">
        <v>1287</v>
      </c>
      <c r="Q219">
        <v>1</v>
      </c>
      <c r="X219">
        <v>8.3800000000000008</v>
      </c>
      <c r="Y219">
        <v>0</v>
      </c>
      <c r="Z219">
        <v>0</v>
      </c>
      <c r="AA219">
        <v>0</v>
      </c>
      <c r="AB219">
        <v>9.6199999999999992</v>
      </c>
      <c r="AC219">
        <v>0</v>
      </c>
      <c r="AD219">
        <v>1</v>
      </c>
      <c r="AE219">
        <v>1</v>
      </c>
      <c r="AF219" t="s">
        <v>6</v>
      </c>
      <c r="AG219">
        <v>8.3800000000000008</v>
      </c>
      <c r="AH219">
        <v>2</v>
      </c>
      <c r="AI219">
        <v>16745673</v>
      </c>
      <c r="AJ219">
        <v>226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ROW(Source!A139)</f>
        <v>139</v>
      </c>
      <c r="B220">
        <v>16745677</v>
      </c>
      <c r="C220">
        <v>16745672</v>
      </c>
      <c r="D220">
        <v>15163100</v>
      </c>
      <c r="E220">
        <v>17</v>
      </c>
      <c r="F220">
        <v>1</v>
      </c>
      <c r="G220">
        <v>1</v>
      </c>
      <c r="H220">
        <v>3</v>
      </c>
      <c r="I220" t="s">
        <v>402</v>
      </c>
      <c r="J220" t="s">
        <v>6</v>
      </c>
      <c r="K220" t="s">
        <v>403</v>
      </c>
      <c r="L220">
        <v>1348</v>
      </c>
      <c r="N220">
        <v>1009</v>
      </c>
      <c r="O220" t="s">
        <v>100</v>
      </c>
      <c r="P220" t="s">
        <v>100</v>
      </c>
      <c r="Q220">
        <v>1000</v>
      </c>
      <c r="X220">
        <v>1.6E-2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 t="s">
        <v>6</v>
      </c>
      <c r="AG220">
        <v>1.6E-2</v>
      </c>
      <c r="AH220">
        <v>2</v>
      </c>
      <c r="AI220">
        <v>16745674</v>
      </c>
      <c r="AJ220">
        <v>228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ROW(Source!A142)</f>
        <v>142</v>
      </c>
      <c r="B221">
        <v>16745690</v>
      </c>
      <c r="C221">
        <v>16745681</v>
      </c>
      <c r="D221">
        <v>15430767</v>
      </c>
      <c r="E221">
        <v>1</v>
      </c>
      <c r="F221">
        <v>1</v>
      </c>
      <c r="G221">
        <v>1</v>
      </c>
      <c r="H221">
        <v>1</v>
      </c>
      <c r="I221" t="s">
        <v>1285</v>
      </c>
      <c r="J221" t="s">
        <v>6</v>
      </c>
      <c r="K221" t="s">
        <v>1286</v>
      </c>
      <c r="L221">
        <v>1191</v>
      </c>
      <c r="N221">
        <v>1013</v>
      </c>
      <c r="O221" t="s">
        <v>1287</v>
      </c>
      <c r="P221" t="s">
        <v>1287</v>
      </c>
      <c r="Q221">
        <v>1</v>
      </c>
      <c r="X221">
        <v>57.26</v>
      </c>
      <c r="Y221">
        <v>0</v>
      </c>
      <c r="Z221">
        <v>0</v>
      </c>
      <c r="AA221">
        <v>0</v>
      </c>
      <c r="AB221">
        <v>8.5299999999999994</v>
      </c>
      <c r="AC221">
        <v>0</v>
      </c>
      <c r="AD221">
        <v>1</v>
      </c>
      <c r="AE221">
        <v>1</v>
      </c>
      <c r="AF221" t="s">
        <v>188</v>
      </c>
      <c r="AG221">
        <v>65.84899999999999</v>
      </c>
      <c r="AH221">
        <v>2</v>
      </c>
      <c r="AI221">
        <v>16745682</v>
      </c>
      <c r="AJ221">
        <v>229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ROW(Source!A142)</f>
        <v>142</v>
      </c>
      <c r="B222">
        <v>16745691</v>
      </c>
      <c r="C222">
        <v>16745681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1293</v>
      </c>
      <c r="J222" t="s">
        <v>6</v>
      </c>
      <c r="K222" t="s">
        <v>1294</v>
      </c>
      <c r="L222">
        <v>1191</v>
      </c>
      <c r="N222">
        <v>1013</v>
      </c>
      <c r="O222" t="s">
        <v>1287</v>
      </c>
      <c r="P222" t="s">
        <v>1287</v>
      </c>
      <c r="Q222">
        <v>1</v>
      </c>
      <c r="X222">
        <v>0.06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187</v>
      </c>
      <c r="AG222">
        <v>7.4999999999999997E-2</v>
      </c>
      <c r="AH222">
        <v>2</v>
      </c>
      <c r="AI222">
        <v>16745683</v>
      </c>
      <c r="AJ222">
        <v>230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ROW(Source!A142)</f>
        <v>142</v>
      </c>
      <c r="B223">
        <v>16745692</v>
      </c>
      <c r="C223">
        <v>16745681</v>
      </c>
      <c r="D223">
        <v>15247974</v>
      </c>
      <c r="E223">
        <v>1</v>
      </c>
      <c r="F223">
        <v>1</v>
      </c>
      <c r="G223">
        <v>1</v>
      </c>
      <c r="H223">
        <v>2</v>
      </c>
      <c r="I223" t="s">
        <v>1314</v>
      </c>
      <c r="J223" t="s">
        <v>1315</v>
      </c>
      <c r="K223" t="s">
        <v>1316</v>
      </c>
      <c r="L223">
        <v>1368</v>
      </c>
      <c r="N223">
        <v>1011</v>
      </c>
      <c r="O223" t="s">
        <v>1298</v>
      </c>
      <c r="P223" t="s">
        <v>1298</v>
      </c>
      <c r="Q223">
        <v>1</v>
      </c>
      <c r="X223">
        <v>0.05</v>
      </c>
      <c r="Y223">
        <v>0</v>
      </c>
      <c r="Z223">
        <v>31.26</v>
      </c>
      <c r="AA223">
        <v>13.5</v>
      </c>
      <c r="AB223">
        <v>0</v>
      </c>
      <c r="AC223">
        <v>0</v>
      </c>
      <c r="AD223">
        <v>1</v>
      </c>
      <c r="AE223">
        <v>0</v>
      </c>
      <c r="AF223" t="s">
        <v>187</v>
      </c>
      <c r="AG223">
        <v>6.25E-2</v>
      </c>
      <c r="AH223">
        <v>2</v>
      </c>
      <c r="AI223">
        <v>16745684</v>
      </c>
      <c r="AJ223">
        <v>231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ROW(Source!A142)</f>
        <v>142</v>
      </c>
      <c r="B224">
        <v>16745693</v>
      </c>
      <c r="C224">
        <v>16745681</v>
      </c>
      <c r="D224">
        <v>15249073</v>
      </c>
      <c r="E224">
        <v>1</v>
      </c>
      <c r="F224">
        <v>1</v>
      </c>
      <c r="G224">
        <v>1</v>
      </c>
      <c r="H224">
        <v>2</v>
      </c>
      <c r="I224" t="s">
        <v>1299</v>
      </c>
      <c r="J224" t="s">
        <v>1300</v>
      </c>
      <c r="K224" t="s">
        <v>1301</v>
      </c>
      <c r="L224">
        <v>1368</v>
      </c>
      <c r="N224">
        <v>1011</v>
      </c>
      <c r="O224" t="s">
        <v>1298</v>
      </c>
      <c r="P224" t="s">
        <v>1298</v>
      </c>
      <c r="Q224">
        <v>1</v>
      </c>
      <c r="X224">
        <v>5.0000000000000001E-3</v>
      </c>
      <c r="Y224">
        <v>0</v>
      </c>
      <c r="Z224">
        <v>65.709999999999994</v>
      </c>
      <c r="AA224">
        <v>11.6</v>
      </c>
      <c r="AB224">
        <v>0</v>
      </c>
      <c r="AC224">
        <v>0</v>
      </c>
      <c r="AD224">
        <v>1</v>
      </c>
      <c r="AE224">
        <v>0</v>
      </c>
      <c r="AF224" t="s">
        <v>187</v>
      </c>
      <c r="AG224">
        <v>6.2500000000000003E-3</v>
      </c>
      <c r="AH224">
        <v>2</v>
      </c>
      <c r="AI224">
        <v>16745685</v>
      </c>
      <c r="AJ224">
        <v>232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ROW(Source!A142)</f>
        <v>142</v>
      </c>
      <c r="B225">
        <v>16745694</v>
      </c>
      <c r="C225">
        <v>16745681</v>
      </c>
      <c r="D225">
        <v>15170110</v>
      </c>
      <c r="E225">
        <v>1</v>
      </c>
      <c r="F225">
        <v>1</v>
      </c>
      <c r="G225">
        <v>1</v>
      </c>
      <c r="H225">
        <v>3</v>
      </c>
      <c r="I225" t="s">
        <v>1527</v>
      </c>
      <c r="J225" t="s">
        <v>1528</v>
      </c>
      <c r="K225" t="s">
        <v>1529</v>
      </c>
      <c r="L225">
        <v>1355</v>
      </c>
      <c r="N225">
        <v>1010</v>
      </c>
      <c r="O225" t="s">
        <v>843</v>
      </c>
      <c r="P225" t="s">
        <v>843</v>
      </c>
      <c r="Q225">
        <v>100</v>
      </c>
      <c r="X225">
        <v>0.82</v>
      </c>
      <c r="Y225">
        <v>70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0.82</v>
      </c>
      <c r="AH225">
        <v>2</v>
      </c>
      <c r="AI225">
        <v>16745686</v>
      </c>
      <c r="AJ225">
        <v>233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ROW(Source!A142)</f>
        <v>142</v>
      </c>
      <c r="B226">
        <v>16745695</v>
      </c>
      <c r="C226">
        <v>16745681</v>
      </c>
      <c r="D226">
        <v>15188398</v>
      </c>
      <c r="E226">
        <v>1</v>
      </c>
      <c r="F226">
        <v>1</v>
      </c>
      <c r="G226">
        <v>1</v>
      </c>
      <c r="H226">
        <v>3</v>
      </c>
      <c r="I226" t="s">
        <v>1530</v>
      </c>
      <c r="J226" t="s">
        <v>1531</v>
      </c>
      <c r="K226" t="s">
        <v>1532</v>
      </c>
      <c r="L226">
        <v>1301</v>
      </c>
      <c r="N226">
        <v>1003</v>
      </c>
      <c r="O226" t="s">
        <v>220</v>
      </c>
      <c r="P226" t="s">
        <v>220</v>
      </c>
      <c r="Q226">
        <v>1</v>
      </c>
      <c r="X226">
        <v>157</v>
      </c>
      <c r="Y226">
        <v>6.16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157</v>
      </c>
      <c r="AH226">
        <v>2</v>
      </c>
      <c r="AI226">
        <v>16745687</v>
      </c>
      <c r="AJ226">
        <v>234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ROW(Source!A142)</f>
        <v>142</v>
      </c>
      <c r="B227">
        <v>16745696</v>
      </c>
      <c r="C227">
        <v>16745681</v>
      </c>
      <c r="D227">
        <v>15188460</v>
      </c>
      <c r="E227">
        <v>1</v>
      </c>
      <c r="F227">
        <v>1</v>
      </c>
      <c r="G227">
        <v>1</v>
      </c>
      <c r="H227">
        <v>3</v>
      </c>
      <c r="I227" t="s">
        <v>1533</v>
      </c>
      <c r="J227" t="s">
        <v>1534</v>
      </c>
      <c r="K227" t="s">
        <v>1535</v>
      </c>
      <c r="L227">
        <v>1301</v>
      </c>
      <c r="N227">
        <v>1003</v>
      </c>
      <c r="O227" t="s">
        <v>220</v>
      </c>
      <c r="P227" t="s">
        <v>220</v>
      </c>
      <c r="Q227">
        <v>1</v>
      </c>
      <c r="X227">
        <v>241</v>
      </c>
      <c r="Y227">
        <v>6.86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241</v>
      </c>
      <c r="AH227">
        <v>2</v>
      </c>
      <c r="AI227">
        <v>16745688</v>
      </c>
      <c r="AJ227">
        <v>235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ROW(Source!A142)</f>
        <v>142</v>
      </c>
      <c r="B228">
        <v>16745697</v>
      </c>
      <c r="C228">
        <v>16745681</v>
      </c>
      <c r="D228">
        <v>15195776</v>
      </c>
      <c r="E228">
        <v>1</v>
      </c>
      <c r="F228">
        <v>1</v>
      </c>
      <c r="G228">
        <v>1</v>
      </c>
      <c r="H228">
        <v>3</v>
      </c>
      <c r="I228" t="s">
        <v>1536</v>
      </c>
      <c r="J228" t="s">
        <v>1537</v>
      </c>
      <c r="K228" t="s">
        <v>1538</v>
      </c>
      <c r="L228">
        <v>1301</v>
      </c>
      <c r="N228">
        <v>1003</v>
      </c>
      <c r="O228" t="s">
        <v>220</v>
      </c>
      <c r="P228" t="s">
        <v>220</v>
      </c>
      <c r="Q228">
        <v>1</v>
      </c>
      <c r="X228">
        <v>46</v>
      </c>
      <c r="Y228">
        <v>4.17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46</v>
      </c>
      <c r="AH228">
        <v>2</v>
      </c>
      <c r="AI228">
        <v>16745689</v>
      </c>
      <c r="AJ228">
        <v>236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ROW(Source!A143)</f>
        <v>143</v>
      </c>
      <c r="B229">
        <v>16745706</v>
      </c>
      <c r="C229">
        <v>16745699</v>
      </c>
      <c r="D229">
        <v>15432273</v>
      </c>
      <c r="E229">
        <v>1</v>
      </c>
      <c r="F229">
        <v>1</v>
      </c>
      <c r="G229">
        <v>1</v>
      </c>
      <c r="H229">
        <v>1</v>
      </c>
      <c r="I229" t="s">
        <v>1539</v>
      </c>
      <c r="J229" t="s">
        <v>6</v>
      </c>
      <c r="K229" t="s">
        <v>1540</v>
      </c>
      <c r="L229">
        <v>1191</v>
      </c>
      <c r="N229">
        <v>1013</v>
      </c>
      <c r="O229" t="s">
        <v>1287</v>
      </c>
      <c r="P229" t="s">
        <v>1287</v>
      </c>
      <c r="Q229">
        <v>1</v>
      </c>
      <c r="X229">
        <v>18.3</v>
      </c>
      <c r="Y229">
        <v>0</v>
      </c>
      <c r="Z229">
        <v>0</v>
      </c>
      <c r="AA229">
        <v>0</v>
      </c>
      <c r="AB229">
        <v>8.24</v>
      </c>
      <c r="AC229">
        <v>0</v>
      </c>
      <c r="AD229">
        <v>1</v>
      </c>
      <c r="AE229">
        <v>1</v>
      </c>
      <c r="AF229" t="s">
        <v>188</v>
      </c>
      <c r="AG229">
        <v>21.044999999999998</v>
      </c>
      <c r="AH229">
        <v>2</v>
      </c>
      <c r="AI229">
        <v>16745700</v>
      </c>
      <c r="AJ229">
        <v>237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ROW(Source!A143)</f>
        <v>143</v>
      </c>
      <c r="B230">
        <v>16745707</v>
      </c>
      <c r="C230">
        <v>16745699</v>
      </c>
      <c r="D230">
        <v>15430395</v>
      </c>
      <c r="E230">
        <v>1</v>
      </c>
      <c r="F230">
        <v>1</v>
      </c>
      <c r="G230">
        <v>1</v>
      </c>
      <c r="H230">
        <v>1</v>
      </c>
      <c r="I230" t="s">
        <v>1293</v>
      </c>
      <c r="J230" t="s">
        <v>6</v>
      </c>
      <c r="K230" t="s">
        <v>1294</v>
      </c>
      <c r="L230">
        <v>1191</v>
      </c>
      <c r="N230">
        <v>1013</v>
      </c>
      <c r="O230" t="s">
        <v>1287</v>
      </c>
      <c r="P230" t="s">
        <v>1287</v>
      </c>
      <c r="Q230">
        <v>1</v>
      </c>
      <c r="X230">
        <v>0.52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2</v>
      </c>
      <c r="AF230" t="s">
        <v>187</v>
      </c>
      <c r="AG230">
        <v>0.65</v>
      </c>
      <c r="AH230">
        <v>2</v>
      </c>
      <c r="AI230">
        <v>16745701</v>
      </c>
      <c r="AJ230">
        <v>238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ROW(Source!A143)</f>
        <v>143</v>
      </c>
      <c r="B231">
        <v>16745708</v>
      </c>
      <c r="C231">
        <v>16745699</v>
      </c>
      <c r="D231">
        <v>15249073</v>
      </c>
      <c r="E231">
        <v>1</v>
      </c>
      <c r="F231">
        <v>1</v>
      </c>
      <c r="G231">
        <v>1</v>
      </c>
      <c r="H231">
        <v>2</v>
      </c>
      <c r="I231" t="s">
        <v>1299</v>
      </c>
      <c r="J231" t="s">
        <v>1300</v>
      </c>
      <c r="K231" t="s">
        <v>1301</v>
      </c>
      <c r="L231">
        <v>1368</v>
      </c>
      <c r="N231">
        <v>1011</v>
      </c>
      <c r="O231" t="s">
        <v>1298</v>
      </c>
      <c r="P231" t="s">
        <v>1298</v>
      </c>
      <c r="Q231">
        <v>1</v>
      </c>
      <c r="X231">
        <v>0.52</v>
      </c>
      <c r="Y231">
        <v>0</v>
      </c>
      <c r="Z231">
        <v>65.709999999999994</v>
      </c>
      <c r="AA231">
        <v>11.6</v>
      </c>
      <c r="AB231">
        <v>0</v>
      </c>
      <c r="AC231">
        <v>0</v>
      </c>
      <c r="AD231">
        <v>1</v>
      </c>
      <c r="AE231">
        <v>0</v>
      </c>
      <c r="AF231" t="s">
        <v>187</v>
      </c>
      <c r="AG231">
        <v>0.65</v>
      </c>
      <c r="AH231">
        <v>2</v>
      </c>
      <c r="AI231">
        <v>16745702</v>
      </c>
      <c r="AJ231">
        <v>239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ROW(Source!A143)</f>
        <v>143</v>
      </c>
      <c r="B232">
        <v>16745709</v>
      </c>
      <c r="C232">
        <v>16745699</v>
      </c>
      <c r="D232">
        <v>15170043</v>
      </c>
      <c r="E232">
        <v>1</v>
      </c>
      <c r="F232">
        <v>1</v>
      </c>
      <c r="G232">
        <v>1</v>
      </c>
      <c r="H232">
        <v>3</v>
      </c>
      <c r="I232" t="s">
        <v>1541</v>
      </c>
      <c r="J232" t="s">
        <v>1542</v>
      </c>
      <c r="K232" t="s">
        <v>1543</v>
      </c>
      <c r="L232">
        <v>1348</v>
      </c>
      <c r="N232">
        <v>1009</v>
      </c>
      <c r="O232" t="s">
        <v>100</v>
      </c>
      <c r="P232" t="s">
        <v>100</v>
      </c>
      <c r="Q232">
        <v>1000</v>
      </c>
      <c r="X232">
        <v>3.7000000000000002E-3</v>
      </c>
      <c r="Y232">
        <v>8475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3.7000000000000002E-3</v>
      </c>
      <c r="AH232">
        <v>2</v>
      </c>
      <c r="AI232">
        <v>16745703</v>
      </c>
      <c r="AJ232">
        <v>241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ROW(Source!A143)</f>
        <v>143</v>
      </c>
      <c r="B233">
        <v>16745710</v>
      </c>
      <c r="C233">
        <v>16745699</v>
      </c>
      <c r="D233">
        <v>15196813</v>
      </c>
      <c r="E233">
        <v>1</v>
      </c>
      <c r="F233">
        <v>1</v>
      </c>
      <c r="G233">
        <v>1</v>
      </c>
      <c r="H233">
        <v>3</v>
      </c>
      <c r="I233" t="s">
        <v>417</v>
      </c>
      <c r="J233" t="s">
        <v>420</v>
      </c>
      <c r="K233" t="s">
        <v>418</v>
      </c>
      <c r="L233">
        <v>1329</v>
      </c>
      <c r="N233">
        <v>1005</v>
      </c>
      <c r="O233" t="s">
        <v>419</v>
      </c>
      <c r="P233" t="s">
        <v>419</v>
      </c>
      <c r="Q233">
        <v>1000</v>
      </c>
      <c r="X233">
        <v>0.10249999999999999</v>
      </c>
      <c r="Y233">
        <v>12000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0.10249999999999999</v>
      </c>
      <c r="AH233">
        <v>2</v>
      </c>
      <c r="AI233">
        <v>16745704</v>
      </c>
      <c r="AJ233">
        <v>242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ROW(Source!A146)</f>
        <v>146</v>
      </c>
      <c r="B234">
        <v>16745727</v>
      </c>
      <c r="C234">
        <v>16745713</v>
      </c>
      <c r="D234">
        <v>15438286</v>
      </c>
      <c r="E234">
        <v>1</v>
      </c>
      <c r="F234">
        <v>1</v>
      </c>
      <c r="G234">
        <v>1</v>
      </c>
      <c r="H234">
        <v>1</v>
      </c>
      <c r="I234" t="s">
        <v>1451</v>
      </c>
      <c r="J234" t="s">
        <v>6</v>
      </c>
      <c r="K234" t="s">
        <v>1452</v>
      </c>
      <c r="L234">
        <v>1191</v>
      </c>
      <c r="N234">
        <v>1013</v>
      </c>
      <c r="O234" t="s">
        <v>1287</v>
      </c>
      <c r="P234" t="s">
        <v>1287</v>
      </c>
      <c r="Q234">
        <v>1</v>
      </c>
      <c r="X234">
        <v>159.66999999999999</v>
      </c>
      <c r="Y234">
        <v>0</v>
      </c>
      <c r="Z234">
        <v>0</v>
      </c>
      <c r="AA234">
        <v>0</v>
      </c>
      <c r="AB234">
        <v>9.18</v>
      </c>
      <c r="AC234">
        <v>0</v>
      </c>
      <c r="AD234">
        <v>1</v>
      </c>
      <c r="AE234">
        <v>1</v>
      </c>
      <c r="AF234" t="s">
        <v>188</v>
      </c>
      <c r="AG234">
        <v>183.62049999999996</v>
      </c>
      <c r="AH234">
        <v>2</v>
      </c>
      <c r="AI234">
        <v>16745714</v>
      </c>
      <c r="AJ234">
        <v>243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ROW(Source!A146)</f>
        <v>146</v>
      </c>
      <c r="B235">
        <v>16745728</v>
      </c>
      <c r="C235">
        <v>16745713</v>
      </c>
      <c r="D235">
        <v>15430395</v>
      </c>
      <c r="E235">
        <v>1</v>
      </c>
      <c r="F235">
        <v>1</v>
      </c>
      <c r="G235">
        <v>1</v>
      </c>
      <c r="H235">
        <v>1</v>
      </c>
      <c r="I235" t="s">
        <v>1293</v>
      </c>
      <c r="J235" t="s">
        <v>6</v>
      </c>
      <c r="K235" t="s">
        <v>1294</v>
      </c>
      <c r="L235">
        <v>1191</v>
      </c>
      <c r="N235">
        <v>1013</v>
      </c>
      <c r="O235" t="s">
        <v>1287</v>
      </c>
      <c r="P235" t="s">
        <v>1287</v>
      </c>
      <c r="Q235">
        <v>1</v>
      </c>
      <c r="X235">
        <v>1.65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187</v>
      </c>
      <c r="AG235">
        <v>2.0625</v>
      </c>
      <c r="AH235">
        <v>2</v>
      </c>
      <c r="AI235">
        <v>16745715</v>
      </c>
      <c r="AJ235">
        <v>244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ROW(Source!A146)</f>
        <v>146</v>
      </c>
      <c r="B236">
        <v>16745729</v>
      </c>
      <c r="C236">
        <v>16745713</v>
      </c>
      <c r="D236">
        <v>15247905</v>
      </c>
      <c r="E236">
        <v>1</v>
      </c>
      <c r="F236">
        <v>1</v>
      </c>
      <c r="G236">
        <v>1</v>
      </c>
      <c r="H236">
        <v>2</v>
      </c>
      <c r="I236" t="s">
        <v>1492</v>
      </c>
      <c r="J236" t="s">
        <v>1493</v>
      </c>
      <c r="K236" t="s">
        <v>1494</v>
      </c>
      <c r="L236">
        <v>1368</v>
      </c>
      <c r="N236">
        <v>1011</v>
      </c>
      <c r="O236" t="s">
        <v>1298</v>
      </c>
      <c r="P236" t="s">
        <v>1298</v>
      </c>
      <c r="Q236">
        <v>1</v>
      </c>
      <c r="X236">
        <v>0.08</v>
      </c>
      <c r="Y236">
        <v>0</v>
      </c>
      <c r="Z236">
        <v>89.99</v>
      </c>
      <c r="AA236">
        <v>10.06</v>
      </c>
      <c r="AB236">
        <v>0</v>
      </c>
      <c r="AC236">
        <v>0</v>
      </c>
      <c r="AD236">
        <v>1</v>
      </c>
      <c r="AE236">
        <v>0</v>
      </c>
      <c r="AF236" t="s">
        <v>187</v>
      </c>
      <c r="AG236">
        <v>0.1</v>
      </c>
      <c r="AH236">
        <v>2</v>
      </c>
      <c r="AI236">
        <v>16745716</v>
      </c>
      <c r="AJ236">
        <v>245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ROW(Source!A146)</f>
        <v>146</v>
      </c>
      <c r="B237">
        <v>16745730</v>
      </c>
      <c r="C237">
        <v>16745713</v>
      </c>
      <c r="D237">
        <v>15247974</v>
      </c>
      <c r="E237">
        <v>1</v>
      </c>
      <c r="F237">
        <v>1</v>
      </c>
      <c r="G237">
        <v>1</v>
      </c>
      <c r="H237">
        <v>2</v>
      </c>
      <c r="I237" t="s">
        <v>1314</v>
      </c>
      <c r="J237" t="s">
        <v>1315</v>
      </c>
      <c r="K237" t="s">
        <v>1316</v>
      </c>
      <c r="L237">
        <v>1368</v>
      </c>
      <c r="N237">
        <v>1011</v>
      </c>
      <c r="O237" t="s">
        <v>1298</v>
      </c>
      <c r="P237" t="s">
        <v>1298</v>
      </c>
      <c r="Q237">
        <v>1</v>
      </c>
      <c r="X237">
        <v>0.27</v>
      </c>
      <c r="Y237">
        <v>0</v>
      </c>
      <c r="Z237">
        <v>31.26</v>
      </c>
      <c r="AA237">
        <v>13.5</v>
      </c>
      <c r="AB237">
        <v>0</v>
      </c>
      <c r="AC237">
        <v>0</v>
      </c>
      <c r="AD237">
        <v>1</v>
      </c>
      <c r="AE237">
        <v>0</v>
      </c>
      <c r="AF237" t="s">
        <v>187</v>
      </c>
      <c r="AG237">
        <v>0.33750000000000002</v>
      </c>
      <c r="AH237">
        <v>2</v>
      </c>
      <c r="AI237">
        <v>16745717</v>
      </c>
      <c r="AJ237">
        <v>246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ROW(Source!A146)</f>
        <v>146</v>
      </c>
      <c r="B238">
        <v>16745731</v>
      </c>
      <c r="C238">
        <v>16745713</v>
      </c>
      <c r="D238">
        <v>15248143</v>
      </c>
      <c r="E238">
        <v>1</v>
      </c>
      <c r="F238">
        <v>1</v>
      </c>
      <c r="G238">
        <v>1</v>
      </c>
      <c r="H238">
        <v>2</v>
      </c>
      <c r="I238" t="s">
        <v>1495</v>
      </c>
      <c r="J238" t="s">
        <v>1496</v>
      </c>
      <c r="K238" t="s">
        <v>1497</v>
      </c>
      <c r="L238">
        <v>1368</v>
      </c>
      <c r="N238">
        <v>1011</v>
      </c>
      <c r="O238" t="s">
        <v>1298</v>
      </c>
      <c r="P238" t="s">
        <v>1298</v>
      </c>
      <c r="Q238">
        <v>1</v>
      </c>
      <c r="X238">
        <v>1.3</v>
      </c>
      <c r="Y238">
        <v>0</v>
      </c>
      <c r="Z238">
        <v>12.39</v>
      </c>
      <c r="AA238">
        <v>10.06</v>
      </c>
      <c r="AB238">
        <v>0</v>
      </c>
      <c r="AC238">
        <v>0</v>
      </c>
      <c r="AD238">
        <v>1</v>
      </c>
      <c r="AE238">
        <v>0</v>
      </c>
      <c r="AF238" t="s">
        <v>187</v>
      </c>
      <c r="AG238">
        <v>1.625</v>
      </c>
      <c r="AH238">
        <v>2</v>
      </c>
      <c r="AI238">
        <v>16745718</v>
      </c>
      <c r="AJ238">
        <v>247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ROW(Source!A146)</f>
        <v>146</v>
      </c>
      <c r="B239">
        <v>16745732</v>
      </c>
      <c r="C239">
        <v>16745713</v>
      </c>
      <c r="D239">
        <v>15167286</v>
      </c>
      <c r="E239">
        <v>1</v>
      </c>
      <c r="F239">
        <v>1</v>
      </c>
      <c r="G239">
        <v>1</v>
      </c>
      <c r="H239">
        <v>3</v>
      </c>
      <c r="I239" t="s">
        <v>1317</v>
      </c>
      <c r="J239" t="s">
        <v>1318</v>
      </c>
      <c r="K239" t="s">
        <v>1319</v>
      </c>
      <c r="L239">
        <v>1339</v>
      </c>
      <c r="N239">
        <v>1007</v>
      </c>
      <c r="O239" t="s">
        <v>301</v>
      </c>
      <c r="P239" t="s">
        <v>301</v>
      </c>
      <c r="Q239">
        <v>1</v>
      </c>
      <c r="X239">
        <v>0.93</v>
      </c>
      <c r="Y239">
        <v>2.44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0.93</v>
      </c>
      <c r="AH239">
        <v>2</v>
      </c>
      <c r="AI239">
        <v>16745719</v>
      </c>
      <c r="AJ239">
        <v>248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ROW(Source!A146)</f>
        <v>146</v>
      </c>
      <c r="B240">
        <v>16745733</v>
      </c>
      <c r="C240">
        <v>16745713</v>
      </c>
      <c r="D240">
        <v>15171018</v>
      </c>
      <c r="E240">
        <v>1</v>
      </c>
      <c r="F240">
        <v>1</v>
      </c>
      <c r="G240">
        <v>1</v>
      </c>
      <c r="H240">
        <v>3</v>
      </c>
      <c r="I240" t="s">
        <v>1431</v>
      </c>
      <c r="J240" t="s">
        <v>1432</v>
      </c>
      <c r="K240" t="s">
        <v>1433</v>
      </c>
      <c r="L240">
        <v>1346</v>
      </c>
      <c r="N240">
        <v>1009</v>
      </c>
      <c r="O240" t="s">
        <v>341</v>
      </c>
      <c r="P240" t="s">
        <v>341</v>
      </c>
      <c r="Q240">
        <v>1</v>
      </c>
      <c r="X240">
        <v>0.5</v>
      </c>
      <c r="Y240">
        <v>1.82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0.5</v>
      </c>
      <c r="AH240">
        <v>2</v>
      </c>
      <c r="AI240">
        <v>16745720</v>
      </c>
      <c r="AJ240">
        <v>249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ROW(Source!A146)</f>
        <v>146</v>
      </c>
      <c r="B241">
        <v>16745734</v>
      </c>
      <c r="C241">
        <v>16745713</v>
      </c>
      <c r="D241">
        <v>15162949</v>
      </c>
      <c r="E241">
        <v>17</v>
      </c>
      <c r="F241">
        <v>1</v>
      </c>
      <c r="G241">
        <v>1</v>
      </c>
      <c r="H241">
        <v>3</v>
      </c>
      <c r="I241" t="s">
        <v>372</v>
      </c>
      <c r="J241" t="s">
        <v>6</v>
      </c>
      <c r="K241" t="s">
        <v>426</v>
      </c>
      <c r="L241">
        <v>1348</v>
      </c>
      <c r="N241">
        <v>1009</v>
      </c>
      <c r="O241" t="s">
        <v>100</v>
      </c>
      <c r="P241" t="s">
        <v>100</v>
      </c>
      <c r="Q241">
        <v>1000</v>
      </c>
      <c r="X241">
        <v>0.05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6</v>
      </c>
      <c r="AG241">
        <v>0.05</v>
      </c>
      <c r="AH241">
        <v>2</v>
      </c>
      <c r="AI241">
        <v>16745721</v>
      </c>
      <c r="AJ241">
        <v>250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ROW(Source!A146)</f>
        <v>146</v>
      </c>
      <c r="B242">
        <v>16745735</v>
      </c>
      <c r="C242">
        <v>16745713</v>
      </c>
      <c r="D242">
        <v>15162946</v>
      </c>
      <c r="E242">
        <v>17</v>
      </c>
      <c r="F242">
        <v>1</v>
      </c>
      <c r="G242">
        <v>1</v>
      </c>
      <c r="H242">
        <v>3</v>
      </c>
      <c r="I242" t="s">
        <v>440</v>
      </c>
      <c r="J242" t="s">
        <v>6</v>
      </c>
      <c r="K242" t="s">
        <v>441</v>
      </c>
      <c r="L242">
        <v>1327</v>
      </c>
      <c r="N242">
        <v>1005</v>
      </c>
      <c r="O242" t="s">
        <v>193</v>
      </c>
      <c r="P242" t="s">
        <v>193</v>
      </c>
      <c r="Q242">
        <v>1</v>
      </c>
      <c r="X242">
        <v>100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6</v>
      </c>
      <c r="AG242">
        <v>100</v>
      </c>
      <c r="AH242">
        <v>2</v>
      </c>
      <c r="AI242">
        <v>16745722</v>
      </c>
      <c r="AJ242">
        <v>253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ROW(Source!A146)</f>
        <v>146</v>
      </c>
      <c r="B243">
        <v>16745736</v>
      </c>
      <c r="C243">
        <v>16745713</v>
      </c>
      <c r="D243">
        <v>15162952</v>
      </c>
      <c r="E243">
        <v>17</v>
      </c>
      <c r="F243">
        <v>1</v>
      </c>
      <c r="G243">
        <v>1</v>
      </c>
      <c r="H243">
        <v>3</v>
      </c>
      <c r="I243" t="s">
        <v>443</v>
      </c>
      <c r="J243" t="s">
        <v>6</v>
      </c>
      <c r="K243" t="s">
        <v>444</v>
      </c>
      <c r="L243">
        <v>1348</v>
      </c>
      <c r="N243">
        <v>1009</v>
      </c>
      <c r="O243" t="s">
        <v>100</v>
      </c>
      <c r="P243" t="s">
        <v>100</v>
      </c>
      <c r="Q243">
        <v>1000</v>
      </c>
      <c r="X243">
        <v>0.375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 t="s">
        <v>6</v>
      </c>
      <c r="AG243">
        <v>0.375</v>
      </c>
      <c r="AH243">
        <v>2</v>
      </c>
      <c r="AI243">
        <v>16745723</v>
      </c>
      <c r="AJ243">
        <v>254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ROW(Source!A153)</f>
        <v>153</v>
      </c>
      <c r="B244">
        <v>16745754</v>
      </c>
      <c r="C244">
        <v>16745744</v>
      </c>
      <c r="D244">
        <v>15438406</v>
      </c>
      <c r="E244">
        <v>1</v>
      </c>
      <c r="F244">
        <v>1</v>
      </c>
      <c r="G244">
        <v>1</v>
      </c>
      <c r="H244">
        <v>1</v>
      </c>
      <c r="I244" t="s">
        <v>1544</v>
      </c>
      <c r="J244" t="s">
        <v>6</v>
      </c>
      <c r="K244" t="s">
        <v>1545</v>
      </c>
      <c r="L244">
        <v>1191</v>
      </c>
      <c r="N244">
        <v>1013</v>
      </c>
      <c r="O244" t="s">
        <v>1287</v>
      </c>
      <c r="P244" t="s">
        <v>1287</v>
      </c>
      <c r="Q244">
        <v>1</v>
      </c>
      <c r="X244">
        <v>1.26</v>
      </c>
      <c r="Y244">
        <v>0</v>
      </c>
      <c r="Z244">
        <v>0</v>
      </c>
      <c r="AA244">
        <v>0</v>
      </c>
      <c r="AB244">
        <v>10.210000000000001</v>
      </c>
      <c r="AC244">
        <v>0</v>
      </c>
      <c r="AD244">
        <v>1</v>
      </c>
      <c r="AE244">
        <v>1</v>
      </c>
      <c r="AF244" t="s">
        <v>188</v>
      </c>
      <c r="AG244">
        <v>1.4489999999999998</v>
      </c>
      <c r="AH244">
        <v>2</v>
      </c>
      <c r="AI244">
        <v>16745745</v>
      </c>
      <c r="AJ244">
        <v>256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ROW(Source!A153)</f>
        <v>153</v>
      </c>
      <c r="B245">
        <v>16745755</v>
      </c>
      <c r="C245">
        <v>16745744</v>
      </c>
      <c r="D245">
        <v>15430395</v>
      </c>
      <c r="E245">
        <v>1</v>
      </c>
      <c r="F245">
        <v>1</v>
      </c>
      <c r="G245">
        <v>1</v>
      </c>
      <c r="H245">
        <v>1</v>
      </c>
      <c r="I245" t="s">
        <v>1293</v>
      </c>
      <c r="J245" t="s">
        <v>6</v>
      </c>
      <c r="K245" t="s">
        <v>1294</v>
      </c>
      <c r="L245">
        <v>1191</v>
      </c>
      <c r="N245">
        <v>1013</v>
      </c>
      <c r="O245" t="s">
        <v>1287</v>
      </c>
      <c r="P245" t="s">
        <v>1287</v>
      </c>
      <c r="Q245">
        <v>1</v>
      </c>
      <c r="X245">
        <v>0.04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2</v>
      </c>
      <c r="AF245" t="s">
        <v>187</v>
      </c>
      <c r="AG245">
        <v>0.05</v>
      </c>
      <c r="AH245">
        <v>2</v>
      </c>
      <c r="AI245">
        <v>16745746</v>
      </c>
      <c r="AJ245">
        <v>257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ROW(Source!A153)</f>
        <v>153</v>
      </c>
      <c r="B246">
        <v>16745756</v>
      </c>
      <c r="C246">
        <v>16745744</v>
      </c>
      <c r="D246">
        <v>15249073</v>
      </c>
      <c r="E246">
        <v>1</v>
      </c>
      <c r="F246">
        <v>1</v>
      </c>
      <c r="G246">
        <v>1</v>
      </c>
      <c r="H246">
        <v>2</v>
      </c>
      <c r="I246" t="s">
        <v>1299</v>
      </c>
      <c r="J246" t="s">
        <v>1300</v>
      </c>
      <c r="K246" t="s">
        <v>1301</v>
      </c>
      <c r="L246">
        <v>1368</v>
      </c>
      <c r="N246">
        <v>1011</v>
      </c>
      <c r="O246" t="s">
        <v>1298</v>
      </c>
      <c r="P246" t="s">
        <v>1298</v>
      </c>
      <c r="Q246">
        <v>1</v>
      </c>
      <c r="X246">
        <v>0.04</v>
      </c>
      <c r="Y246">
        <v>0</v>
      </c>
      <c r="Z246">
        <v>65.709999999999994</v>
      </c>
      <c r="AA246">
        <v>11.6</v>
      </c>
      <c r="AB246">
        <v>0</v>
      </c>
      <c r="AC246">
        <v>0</v>
      </c>
      <c r="AD246">
        <v>1</v>
      </c>
      <c r="AE246">
        <v>0</v>
      </c>
      <c r="AF246" t="s">
        <v>187</v>
      </c>
      <c r="AG246">
        <v>0.05</v>
      </c>
      <c r="AH246">
        <v>2</v>
      </c>
      <c r="AI246">
        <v>16745747</v>
      </c>
      <c r="AJ246">
        <v>258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ROW(Source!A153)</f>
        <v>153</v>
      </c>
      <c r="B247">
        <v>16745757</v>
      </c>
      <c r="C247">
        <v>16745744</v>
      </c>
      <c r="D247">
        <v>15249377</v>
      </c>
      <c r="E247">
        <v>1</v>
      </c>
      <c r="F247">
        <v>1</v>
      </c>
      <c r="G247">
        <v>1</v>
      </c>
      <c r="H247">
        <v>2</v>
      </c>
      <c r="I247" t="s">
        <v>1302</v>
      </c>
      <c r="J247" t="s">
        <v>1303</v>
      </c>
      <c r="K247" t="s">
        <v>1304</v>
      </c>
      <c r="L247">
        <v>1368</v>
      </c>
      <c r="N247">
        <v>1011</v>
      </c>
      <c r="O247" t="s">
        <v>1298</v>
      </c>
      <c r="P247" t="s">
        <v>1298</v>
      </c>
      <c r="Q247">
        <v>1</v>
      </c>
      <c r="X247">
        <v>0.56999999999999995</v>
      </c>
      <c r="Y247">
        <v>0</v>
      </c>
      <c r="Z247">
        <v>8.1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187</v>
      </c>
      <c r="AG247">
        <v>0.71249999999999991</v>
      </c>
      <c r="AH247">
        <v>2</v>
      </c>
      <c r="AI247">
        <v>16745748</v>
      </c>
      <c r="AJ247">
        <v>259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ROW(Source!A153)</f>
        <v>153</v>
      </c>
      <c r="B248">
        <v>16745758</v>
      </c>
      <c r="C248">
        <v>16745744</v>
      </c>
      <c r="D248">
        <v>15168763</v>
      </c>
      <c r="E248">
        <v>1</v>
      </c>
      <c r="F248">
        <v>1</v>
      </c>
      <c r="G248">
        <v>1</v>
      </c>
      <c r="H248">
        <v>3</v>
      </c>
      <c r="I248" t="s">
        <v>1305</v>
      </c>
      <c r="J248" t="s">
        <v>1306</v>
      </c>
      <c r="K248" t="s">
        <v>1307</v>
      </c>
      <c r="L248">
        <v>1348</v>
      </c>
      <c r="N248">
        <v>1009</v>
      </c>
      <c r="O248" t="s">
        <v>100</v>
      </c>
      <c r="P248" t="s">
        <v>100</v>
      </c>
      <c r="Q248">
        <v>1000</v>
      </c>
      <c r="X248">
        <v>4.8999999999999998E-4</v>
      </c>
      <c r="Y248">
        <v>10362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4.8999999999999998E-4</v>
      </c>
      <c r="AH248">
        <v>2</v>
      </c>
      <c r="AI248">
        <v>16745749</v>
      </c>
      <c r="AJ248">
        <v>260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ROW(Source!A153)</f>
        <v>153</v>
      </c>
      <c r="B249">
        <v>16745759</v>
      </c>
      <c r="C249">
        <v>16745744</v>
      </c>
      <c r="D249">
        <v>15169941</v>
      </c>
      <c r="E249">
        <v>1</v>
      </c>
      <c r="F249">
        <v>1</v>
      </c>
      <c r="G249">
        <v>1</v>
      </c>
      <c r="H249">
        <v>3</v>
      </c>
      <c r="I249" t="s">
        <v>1308</v>
      </c>
      <c r="J249" t="s">
        <v>1309</v>
      </c>
      <c r="K249" t="s">
        <v>1310</v>
      </c>
      <c r="L249">
        <v>1348</v>
      </c>
      <c r="N249">
        <v>1009</v>
      </c>
      <c r="O249" t="s">
        <v>100</v>
      </c>
      <c r="P249" t="s">
        <v>100</v>
      </c>
      <c r="Q249">
        <v>1000</v>
      </c>
      <c r="X249">
        <v>1.9E-3</v>
      </c>
      <c r="Y249">
        <v>9040.01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1.9E-3</v>
      </c>
      <c r="AH249">
        <v>2</v>
      </c>
      <c r="AI249">
        <v>16745750</v>
      </c>
      <c r="AJ249">
        <v>261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ROW(Source!A153)</f>
        <v>153</v>
      </c>
      <c r="B250">
        <v>16745760</v>
      </c>
      <c r="C250">
        <v>16745744</v>
      </c>
      <c r="D250">
        <v>15163377</v>
      </c>
      <c r="E250">
        <v>17</v>
      </c>
      <c r="F250">
        <v>1</v>
      </c>
      <c r="G250">
        <v>1</v>
      </c>
      <c r="H250">
        <v>3</v>
      </c>
      <c r="I250" t="s">
        <v>454</v>
      </c>
      <c r="J250" t="s">
        <v>6</v>
      </c>
      <c r="K250" t="s">
        <v>455</v>
      </c>
      <c r="L250">
        <v>1354</v>
      </c>
      <c r="N250">
        <v>1010</v>
      </c>
      <c r="O250" t="s">
        <v>73</v>
      </c>
      <c r="P250" t="s">
        <v>73</v>
      </c>
      <c r="Q250">
        <v>1</v>
      </c>
      <c r="X250">
        <v>1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6</v>
      </c>
      <c r="AG250">
        <v>1</v>
      </c>
      <c r="AH250">
        <v>2</v>
      </c>
      <c r="AI250">
        <v>16745751</v>
      </c>
      <c r="AJ250">
        <v>262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ROW(Source!A156)</f>
        <v>156</v>
      </c>
      <c r="B251">
        <v>16745771</v>
      </c>
      <c r="C251">
        <v>16745763</v>
      </c>
      <c r="D251">
        <v>15430517</v>
      </c>
      <c r="E251">
        <v>1</v>
      </c>
      <c r="F251">
        <v>1</v>
      </c>
      <c r="G251">
        <v>1</v>
      </c>
      <c r="H251">
        <v>1</v>
      </c>
      <c r="I251" t="s">
        <v>1337</v>
      </c>
      <c r="J251" t="s">
        <v>6</v>
      </c>
      <c r="K251" t="s">
        <v>1338</v>
      </c>
      <c r="L251">
        <v>1191</v>
      </c>
      <c r="N251">
        <v>1013</v>
      </c>
      <c r="O251" t="s">
        <v>1287</v>
      </c>
      <c r="P251" t="s">
        <v>1287</v>
      </c>
      <c r="Q251">
        <v>1</v>
      </c>
      <c r="X251">
        <v>40.65</v>
      </c>
      <c r="Y251">
        <v>0</v>
      </c>
      <c r="Z251">
        <v>0</v>
      </c>
      <c r="AA251">
        <v>0</v>
      </c>
      <c r="AB251">
        <v>7.8</v>
      </c>
      <c r="AC251">
        <v>0</v>
      </c>
      <c r="AD251">
        <v>1</v>
      </c>
      <c r="AE251">
        <v>1</v>
      </c>
      <c r="AF251" t="s">
        <v>188</v>
      </c>
      <c r="AG251">
        <v>46.747499999999995</v>
      </c>
      <c r="AH251">
        <v>2</v>
      </c>
      <c r="AI251">
        <v>16745764</v>
      </c>
      <c r="AJ251">
        <v>264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ROW(Source!A156)</f>
        <v>156</v>
      </c>
      <c r="B252">
        <v>16745772</v>
      </c>
      <c r="C252">
        <v>16745763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1293</v>
      </c>
      <c r="J252" t="s">
        <v>6</v>
      </c>
      <c r="K252" t="s">
        <v>1294</v>
      </c>
      <c r="L252">
        <v>1191</v>
      </c>
      <c r="N252">
        <v>1013</v>
      </c>
      <c r="O252" t="s">
        <v>1287</v>
      </c>
      <c r="P252" t="s">
        <v>1287</v>
      </c>
      <c r="Q252">
        <v>1</v>
      </c>
      <c r="X252">
        <v>1.27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187</v>
      </c>
      <c r="AG252">
        <v>1.5874999999999999</v>
      </c>
      <c r="AH252">
        <v>2</v>
      </c>
      <c r="AI252">
        <v>16745765</v>
      </c>
      <c r="AJ252">
        <v>265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ROW(Source!A156)</f>
        <v>156</v>
      </c>
      <c r="B253">
        <v>16745773</v>
      </c>
      <c r="C253">
        <v>16745763</v>
      </c>
      <c r="D253">
        <v>15247974</v>
      </c>
      <c r="E253">
        <v>1</v>
      </c>
      <c r="F253">
        <v>1</v>
      </c>
      <c r="G253">
        <v>1</v>
      </c>
      <c r="H253">
        <v>2</v>
      </c>
      <c r="I253" t="s">
        <v>1314</v>
      </c>
      <c r="J253" t="s">
        <v>1315</v>
      </c>
      <c r="K253" t="s">
        <v>1316</v>
      </c>
      <c r="L253">
        <v>1368</v>
      </c>
      <c r="N253">
        <v>1011</v>
      </c>
      <c r="O253" t="s">
        <v>1298</v>
      </c>
      <c r="P253" t="s">
        <v>1298</v>
      </c>
      <c r="Q253">
        <v>1</v>
      </c>
      <c r="X253">
        <v>1.27</v>
      </c>
      <c r="Y253">
        <v>0</v>
      </c>
      <c r="Z253">
        <v>31.26</v>
      </c>
      <c r="AA253">
        <v>13.5</v>
      </c>
      <c r="AB253">
        <v>0</v>
      </c>
      <c r="AC253">
        <v>0</v>
      </c>
      <c r="AD253">
        <v>1</v>
      </c>
      <c r="AE253">
        <v>0</v>
      </c>
      <c r="AF253" t="s">
        <v>187</v>
      </c>
      <c r="AG253">
        <v>1.5874999999999999</v>
      </c>
      <c r="AH253">
        <v>2</v>
      </c>
      <c r="AI253">
        <v>16745766</v>
      </c>
      <c r="AJ253">
        <v>266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ROW(Source!A156)</f>
        <v>156</v>
      </c>
      <c r="B254">
        <v>16745774</v>
      </c>
      <c r="C254">
        <v>16745763</v>
      </c>
      <c r="D254">
        <v>15248091</v>
      </c>
      <c r="E254">
        <v>1</v>
      </c>
      <c r="F254">
        <v>1</v>
      </c>
      <c r="G254">
        <v>1</v>
      </c>
      <c r="H254">
        <v>2</v>
      </c>
      <c r="I254" t="s">
        <v>1546</v>
      </c>
      <c r="J254" t="s">
        <v>1547</v>
      </c>
      <c r="K254" t="s">
        <v>1548</v>
      </c>
      <c r="L254">
        <v>1368</v>
      </c>
      <c r="N254">
        <v>1011</v>
      </c>
      <c r="O254" t="s">
        <v>1298</v>
      </c>
      <c r="P254" t="s">
        <v>1298</v>
      </c>
      <c r="Q254">
        <v>1</v>
      </c>
      <c r="X254">
        <v>4.7</v>
      </c>
      <c r="Y254">
        <v>0</v>
      </c>
      <c r="Z254">
        <v>0.5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187</v>
      </c>
      <c r="AG254">
        <v>5.875</v>
      </c>
      <c r="AH254">
        <v>2</v>
      </c>
      <c r="AI254">
        <v>16745767</v>
      </c>
      <c r="AJ254">
        <v>267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ROW(Source!A156)</f>
        <v>156</v>
      </c>
      <c r="B255">
        <v>16745775</v>
      </c>
      <c r="C255">
        <v>16745763</v>
      </c>
      <c r="D255">
        <v>15167286</v>
      </c>
      <c r="E255">
        <v>1</v>
      </c>
      <c r="F255">
        <v>1</v>
      </c>
      <c r="G255">
        <v>1</v>
      </c>
      <c r="H255">
        <v>3</v>
      </c>
      <c r="I255" t="s">
        <v>1317</v>
      </c>
      <c r="J255" t="s">
        <v>1318</v>
      </c>
      <c r="K255" t="s">
        <v>1319</v>
      </c>
      <c r="L255">
        <v>1339</v>
      </c>
      <c r="N255">
        <v>1007</v>
      </c>
      <c r="O255" t="s">
        <v>301</v>
      </c>
      <c r="P255" t="s">
        <v>301</v>
      </c>
      <c r="Q255">
        <v>1</v>
      </c>
      <c r="X255">
        <v>3.5</v>
      </c>
      <c r="Y255">
        <v>2.44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3.5</v>
      </c>
      <c r="AH255">
        <v>2</v>
      </c>
      <c r="AI255">
        <v>16745768</v>
      </c>
      <c r="AJ255">
        <v>268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ROW(Source!A156)</f>
        <v>156</v>
      </c>
      <c r="B256">
        <v>16745776</v>
      </c>
      <c r="C256">
        <v>16745763</v>
      </c>
      <c r="D256">
        <v>15161601</v>
      </c>
      <c r="E256">
        <v>17</v>
      </c>
      <c r="F256">
        <v>1</v>
      </c>
      <c r="G256">
        <v>1</v>
      </c>
      <c r="H256">
        <v>3</v>
      </c>
      <c r="I256" t="s">
        <v>466</v>
      </c>
      <c r="J256" t="s">
        <v>6</v>
      </c>
      <c r="K256" t="s">
        <v>467</v>
      </c>
      <c r="L256">
        <v>1339</v>
      </c>
      <c r="N256">
        <v>1007</v>
      </c>
      <c r="O256" t="s">
        <v>301</v>
      </c>
      <c r="P256" t="s">
        <v>301</v>
      </c>
      <c r="Q256">
        <v>1</v>
      </c>
      <c r="X256">
        <v>2.04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 t="s">
        <v>6</v>
      </c>
      <c r="AG256">
        <v>2.04</v>
      </c>
      <c r="AH256">
        <v>2</v>
      </c>
      <c r="AI256">
        <v>16745769</v>
      </c>
      <c r="AJ256">
        <v>270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ROW(Source!A159)</f>
        <v>159</v>
      </c>
      <c r="B257">
        <v>16745787</v>
      </c>
      <c r="C257">
        <v>16745780</v>
      </c>
      <c r="D257">
        <v>15430517</v>
      </c>
      <c r="E257">
        <v>1</v>
      </c>
      <c r="F257">
        <v>1</v>
      </c>
      <c r="G257">
        <v>1</v>
      </c>
      <c r="H257">
        <v>1</v>
      </c>
      <c r="I257" t="s">
        <v>1337</v>
      </c>
      <c r="J257" t="s">
        <v>6</v>
      </c>
      <c r="K257" t="s">
        <v>1338</v>
      </c>
      <c r="L257">
        <v>1191</v>
      </c>
      <c r="N257">
        <v>1013</v>
      </c>
      <c r="O257" t="s">
        <v>1287</v>
      </c>
      <c r="P257" t="s">
        <v>1287</v>
      </c>
      <c r="Q257">
        <v>1</v>
      </c>
      <c r="X257">
        <v>0.5</v>
      </c>
      <c r="Y257">
        <v>0</v>
      </c>
      <c r="Z257">
        <v>0</v>
      </c>
      <c r="AA257">
        <v>0</v>
      </c>
      <c r="AB257">
        <v>7.8</v>
      </c>
      <c r="AC257">
        <v>0</v>
      </c>
      <c r="AD257">
        <v>1</v>
      </c>
      <c r="AE257">
        <v>1</v>
      </c>
      <c r="AF257" t="s">
        <v>474</v>
      </c>
      <c r="AG257">
        <v>3.4499999999999997</v>
      </c>
      <c r="AH257">
        <v>2</v>
      </c>
      <c r="AI257">
        <v>16745781</v>
      </c>
      <c r="AJ257">
        <v>271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ROW(Source!A159)</f>
        <v>159</v>
      </c>
      <c r="B258">
        <v>16745788</v>
      </c>
      <c r="C258">
        <v>16745780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1293</v>
      </c>
      <c r="J258" t="s">
        <v>6</v>
      </c>
      <c r="K258" t="s">
        <v>1294</v>
      </c>
      <c r="L258">
        <v>1191</v>
      </c>
      <c r="N258">
        <v>1013</v>
      </c>
      <c r="O258" t="s">
        <v>1287</v>
      </c>
      <c r="P258" t="s">
        <v>1287</v>
      </c>
      <c r="Q258">
        <v>1</v>
      </c>
      <c r="X258">
        <v>0.21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2</v>
      </c>
      <c r="AF258" t="s">
        <v>473</v>
      </c>
      <c r="AG258">
        <v>1.5750000000000002</v>
      </c>
      <c r="AH258">
        <v>2</v>
      </c>
      <c r="AI258">
        <v>16745782</v>
      </c>
      <c r="AJ258">
        <v>272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ROW(Source!A159)</f>
        <v>159</v>
      </c>
      <c r="B259">
        <v>16745789</v>
      </c>
      <c r="C259">
        <v>16745780</v>
      </c>
      <c r="D259">
        <v>15247974</v>
      </c>
      <c r="E259">
        <v>1</v>
      </c>
      <c r="F259">
        <v>1</v>
      </c>
      <c r="G259">
        <v>1</v>
      </c>
      <c r="H259">
        <v>2</v>
      </c>
      <c r="I259" t="s">
        <v>1314</v>
      </c>
      <c r="J259" t="s">
        <v>1315</v>
      </c>
      <c r="K259" t="s">
        <v>1316</v>
      </c>
      <c r="L259">
        <v>1368</v>
      </c>
      <c r="N259">
        <v>1011</v>
      </c>
      <c r="O259" t="s">
        <v>1298</v>
      </c>
      <c r="P259" t="s">
        <v>1298</v>
      </c>
      <c r="Q259">
        <v>1</v>
      </c>
      <c r="X259">
        <v>0.21</v>
      </c>
      <c r="Y259">
        <v>0</v>
      </c>
      <c r="Z259">
        <v>31.26</v>
      </c>
      <c r="AA259">
        <v>13.5</v>
      </c>
      <c r="AB259">
        <v>0</v>
      </c>
      <c r="AC259">
        <v>0</v>
      </c>
      <c r="AD259">
        <v>1</v>
      </c>
      <c r="AE259">
        <v>0</v>
      </c>
      <c r="AF259" t="s">
        <v>473</v>
      </c>
      <c r="AG259">
        <v>1.5750000000000002</v>
      </c>
      <c r="AH259">
        <v>2</v>
      </c>
      <c r="AI259">
        <v>16745783</v>
      </c>
      <c r="AJ259">
        <v>273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ROW(Source!A159)</f>
        <v>159</v>
      </c>
      <c r="B260">
        <v>16745790</v>
      </c>
      <c r="C260">
        <v>16745780</v>
      </c>
      <c r="D260">
        <v>15248091</v>
      </c>
      <c r="E260">
        <v>1</v>
      </c>
      <c r="F260">
        <v>1</v>
      </c>
      <c r="G260">
        <v>1</v>
      </c>
      <c r="H260">
        <v>2</v>
      </c>
      <c r="I260" t="s">
        <v>1546</v>
      </c>
      <c r="J260" t="s">
        <v>1547</v>
      </c>
      <c r="K260" t="s">
        <v>1548</v>
      </c>
      <c r="L260">
        <v>1368</v>
      </c>
      <c r="N260">
        <v>1011</v>
      </c>
      <c r="O260" t="s">
        <v>1298</v>
      </c>
      <c r="P260" t="s">
        <v>1298</v>
      </c>
      <c r="Q260">
        <v>1</v>
      </c>
      <c r="X260">
        <v>2.3199999999999998</v>
      </c>
      <c r="Y260">
        <v>0</v>
      </c>
      <c r="Z260">
        <v>0.5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473</v>
      </c>
      <c r="AG260">
        <v>17.399999999999999</v>
      </c>
      <c r="AH260">
        <v>2</v>
      </c>
      <c r="AI260">
        <v>16745784</v>
      </c>
      <c r="AJ260">
        <v>274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ROW(Source!A159)</f>
        <v>159</v>
      </c>
      <c r="B261">
        <v>16745791</v>
      </c>
      <c r="C261">
        <v>16745780</v>
      </c>
      <c r="D261">
        <v>15161601</v>
      </c>
      <c r="E261">
        <v>17</v>
      </c>
      <c r="F261">
        <v>1</v>
      </c>
      <c r="G261">
        <v>1</v>
      </c>
      <c r="H261">
        <v>3</v>
      </c>
      <c r="I261" t="s">
        <v>466</v>
      </c>
      <c r="J261" t="s">
        <v>6</v>
      </c>
      <c r="K261" t="s">
        <v>467</v>
      </c>
      <c r="L261">
        <v>1339</v>
      </c>
      <c r="N261">
        <v>1007</v>
      </c>
      <c r="O261" t="s">
        <v>301</v>
      </c>
      <c r="P261" t="s">
        <v>301</v>
      </c>
      <c r="Q261">
        <v>1</v>
      </c>
      <c r="X261">
        <v>0.51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 t="s">
        <v>472</v>
      </c>
      <c r="AG261">
        <v>3.06</v>
      </c>
      <c r="AH261">
        <v>2</v>
      </c>
      <c r="AI261">
        <v>16745785</v>
      </c>
      <c r="AJ261">
        <v>276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ROW(Source!A162)</f>
        <v>162</v>
      </c>
      <c r="B262">
        <v>16745802</v>
      </c>
      <c r="C262">
        <v>16745794</v>
      </c>
      <c r="D262">
        <v>15430767</v>
      </c>
      <c r="E262">
        <v>1</v>
      </c>
      <c r="F262">
        <v>1</v>
      </c>
      <c r="G262">
        <v>1</v>
      </c>
      <c r="H262">
        <v>1</v>
      </c>
      <c r="I262" t="s">
        <v>1285</v>
      </c>
      <c r="J262" t="s">
        <v>6</v>
      </c>
      <c r="K262" t="s">
        <v>1286</v>
      </c>
      <c r="L262">
        <v>1191</v>
      </c>
      <c r="N262">
        <v>1013</v>
      </c>
      <c r="O262" t="s">
        <v>1287</v>
      </c>
      <c r="P262" t="s">
        <v>1287</v>
      </c>
      <c r="Q262">
        <v>1</v>
      </c>
      <c r="X262">
        <v>37.67</v>
      </c>
      <c r="Y262">
        <v>0</v>
      </c>
      <c r="Z262">
        <v>0</v>
      </c>
      <c r="AA262">
        <v>0</v>
      </c>
      <c r="AB262">
        <v>8.5299999999999994</v>
      </c>
      <c r="AC262">
        <v>0</v>
      </c>
      <c r="AD262">
        <v>1</v>
      </c>
      <c r="AE262">
        <v>1</v>
      </c>
      <c r="AF262" t="s">
        <v>188</v>
      </c>
      <c r="AG262">
        <v>43.320499999999996</v>
      </c>
      <c r="AH262">
        <v>2</v>
      </c>
      <c r="AI262">
        <v>16745795</v>
      </c>
      <c r="AJ262">
        <v>277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ROW(Source!A162)</f>
        <v>162</v>
      </c>
      <c r="B263">
        <v>16745803</v>
      </c>
      <c r="C263">
        <v>16745794</v>
      </c>
      <c r="D263">
        <v>15430395</v>
      </c>
      <c r="E263">
        <v>1</v>
      </c>
      <c r="F263">
        <v>1</v>
      </c>
      <c r="G263">
        <v>1</v>
      </c>
      <c r="H263">
        <v>1</v>
      </c>
      <c r="I263" t="s">
        <v>1293</v>
      </c>
      <c r="J263" t="s">
        <v>6</v>
      </c>
      <c r="K263" t="s">
        <v>1294</v>
      </c>
      <c r="L263">
        <v>1191</v>
      </c>
      <c r="N263">
        <v>1013</v>
      </c>
      <c r="O263" t="s">
        <v>1287</v>
      </c>
      <c r="P263" t="s">
        <v>1287</v>
      </c>
      <c r="Q263">
        <v>1</v>
      </c>
      <c r="X263">
        <v>0.17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2</v>
      </c>
      <c r="AF263" t="s">
        <v>187</v>
      </c>
      <c r="AG263">
        <v>0.21250000000000002</v>
      </c>
      <c r="AH263">
        <v>2</v>
      </c>
      <c r="AI263">
        <v>16745796</v>
      </c>
      <c r="AJ263">
        <v>278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ROW(Source!A162)</f>
        <v>162</v>
      </c>
      <c r="B264">
        <v>16745804</v>
      </c>
      <c r="C264">
        <v>16745794</v>
      </c>
      <c r="D264">
        <v>15247970</v>
      </c>
      <c r="E264">
        <v>1</v>
      </c>
      <c r="F264">
        <v>1</v>
      </c>
      <c r="G264">
        <v>1</v>
      </c>
      <c r="H264">
        <v>2</v>
      </c>
      <c r="I264" t="s">
        <v>1549</v>
      </c>
      <c r="J264" t="s">
        <v>1550</v>
      </c>
      <c r="K264" t="s">
        <v>1551</v>
      </c>
      <c r="L264">
        <v>1368</v>
      </c>
      <c r="N264">
        <v>1011</v>
      </c>
      <c r="O264" t="s">
        <v>1298</v>
      </c>
      <c r="P264" t="s">
        <v>1298</v>
      </c>
      <c r="Q264">
        <v>1</v>
      </c>
      <c r="X264">
        <v>0.13</v>
      </c>
      <c r="Y264">
        <v>0</v>
      </c>
      <c r="Z264">
        <v>27.66</v>
      </c>
      <c r="AA264">
        <v>11.6</v>
      </c>
      <c r="AB264">
        <v>0</v>
      </c>
      <c r="AC264">
        <v>0</v>
      </c>
      <c r="AD264">
        <v>1</v>
      </c>
      <c r="AE264">
        <v>0</v>
      </c>
      <c r="AF264" t="s">
        <v>187</v>
      </c>
      <c r="AG264">
        <v>0.16250000000000001</v>
      </c>
      <c r="AH264">
        <v>2</v>
      </c>
      <c r="AI264">
        <v>16745797</v>
      </c>
      <c r="AJ264">
        <v>279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ROW(Source!A162)</f>
        <v>162</v>
      </c>
      <c r="B265">
        <v>16745805</v>
      </c>
      <c r="C265">
        <v>16745794</v>
      </c>
      <c r="D265">
        <v>15249073</v>
      </c>
      <c r="E265">
        <v>1</v>
      </c>
      <c r="F265">
        <v>1</v>
      </c>
      <c r="G265">
        <v>1</v>
      </c>
      <c r="H265">
        <v>2</v>
      </c>
      <c r="I265" t="s">
        <v>1299</v>
      </c>
      <c r="J265" t="s">
        <v>1300</v>
      </c>
      <c r="K265" t="s">
        <v>1301</v>
      </c>
      <c r="L265">
        <v>1368</v>
      </c>
      <c r="N265">
        <v>1011</v>
      </c>
      <c r="O265" t="s">
        <v>1298</v>
      </c>
      <c r="P265" t="s">
        <v>1298</v>
      </c>
      <c r="Q265">
        <v>1</v>
      </c>
      <c r="X265">
        <v>0.04</v>
      </c>
      <c r="Y265">
        <v>0</v>
      </c>
      <c r="Z265">
        <v>65.709999999999994</v>
      </c>
      <c r="AA265">
        <v>11.6</v>
      </c>
      <c r="AB265">
        <v>0</v>
      </c>
      <c r="AC265">
        <v>0</v>
      </c>
      <c r="AD265">
        <v>1</v>
      </c>
      <c r="AE265">
        <v>0</v>
      </c>
      <c r="AF265" t="s">
        <v>187</v>
      </c>
      <c r="AG265">
        <v>0.05</v>
      </c>
      <c r="AH265">
        <v>2</v>
      </c>
      <c r="AI265">
        <v>16745798</v>
      </c>
      <c r="AJ265">
        <v>280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ROW(Source!A162)</f>
        <v>162</v>
      </c>
      <c r="B266">
        <v>16745806</v>
      </c>
      <c r="C266">
        <v>16745794</v>
      </c>
      <c r="D266">
        <v>15167286</v>
      </c>
      <c r="E266">
        <v>1</v>
      </c>
      <c r="F266">
        <v>1</v>
      </c>
      <c r="G266">
        <v>1</v>
      </c>
      <c r="H266">
        <v>3</v>
      </c>
      <c r="I266" t="s">
        <v>1317</v>
      </c>
      <c r="J266" t="s">
        <v>1318</v>
      </c>
      <c r="K266" t="s">
        <v>1319</v>
      </c>
      <c r="L266">
        <v>1339</v>
      </c>
      <c r="N266">
        <v>1007</v>
      </c>
      <c r="O266" t="s">
        <v>301</v>
      </c>
      <c r="P266" t="s">
        <v>301</v>
      </c>
      <c r="Q266">
        <v>1</v>
      </c>
      <c r="X266">
        <v>0.17399999999999999</v>
      </c>
      <c r="Y266">
        <v>2.44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0.17399999999999999</v>
      </c>
      <c r="AH266">
        <v>2</v>
      </c>
      <c r="AI266">
        <v>16745799</v>
      </c>
      <c r="AJ266">
        <v>281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ROW(Source!A162)</f>
        <v>162</v>
      </c>
      <c r="B267">
        <v>16745807</v>
      </c>
      <c r="C267">
        <v>16745794</v>
      </c>
      <c r="D267">
        <v>15172906</v>
      </c>
      <c r="E267">
        <v>1</v>
      </c>
      <c r="F267">
        <v>1</v>
      </c>
      <c r="G267">
        <v>1</v>
      </c>
      <c r="H267">
        <v>3</v>
      </c>
      <c r="I267" t="s">
        <v>1552</v>
      </c>
      <c r="J267" t="s">
        <v>1553</v>
      </c>
      <c r="K267" t="s">
        <v>1554</v>
      </c>
      <c r="L267">
        <v>1348</v>
      </c>
      <c r="N267">
        <v>1009</v>
      </c>
      <c r="O267" t="s">
        <v>100</v>
      </c>
      <c r="P267" t="s">
        <v>100</v>
      </c>
      <c r="Q267">
        <v>1000</v>
      </c>
      <c r="X267">
        <v>0.9</v>
      </c>
      <c r="Y267">
        <v>11381.57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0.9</v>
      </c>
      <c r="AH267">
        <v>2</v>
      </c>
      <c r="AI267">
        <v>16745800</v>
      </c>
      <c r="AJ267">
        <v>282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ROW(Source!A162)</f>
        <v>162</v>
      </c>
      <c r="B268">
        <v>16745808</v>
      </c>
      <c r="C268">
        <v>16745794</v>
      </c>
      <c r="D268">
        <v>15203485</v>
      </c>
      <c r="E268">
        <v>1</v>
      </c>
      <c r="F268">
        <v>1</v>
      </c>
      <c r="G268">
        <v>1</v>
      </c>
      <c r="H268">
        <v>3</v>
      </c>
      <c r="I268" t="s">
        <v>1555</v>
      </c>
      <c r="J268" t="s">
        <v>1556</v>
      </c>
      <c r="K268" t="s">
        <v>1557</v>
      </c>
      <c r="L268">
        <v>1346</v>
      </c>
      <c r="N268">
        <v>1009</v>
      </c>
      <c r="O268" t="s">
        <v>341</v>
      </c>
      <c r="P268" t="s">
        <v>341</v>
      </c>
      <c r="Q268">
        <v>1</v>
      </c>
      <c r="X268">
        <v>30</v>
      </c>
      <c r="Y268">
        <v>15.25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30</v>
      </c>
      <c r="AH268">
        <v>2</v>
      </c>
      <c r="AI268">
        <v>16745801</v>
      </c>
      <c r="AJ268">
        <v>283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ROW(Source!A163)</f>
        <v>163</v>
      </c>
      <c r="B269">
        <v>16745817</v>
      </c>
      <c r="C269">
        <v>16745810</v>
      </c>
      <c r="D269">
        <v>15430767</v>
      </c>
      <c r="E269">
        <v>1</v>
      </c>
      <c r="F269">
        <v>1</v>
      </c>
      <c r="G269">
        <v>1</v>
      </c>
      <c r="H269">
        <v>1</v>
      </c>
      <c r="I269" t="s">
        <v>1285</v>
      </c>
      <c r="J269" t="s">
        <v>6</v>
      </c>
      <c r="K269" t="s">
        <v>1286</v>
      </c>
      <c r="L269">
        <v>1191</v>
      </c>
      <c r="N269">
        <v>1013</v>
      </c>
      <c r="O269" t="s">
        <v>1287</v>
      </c>
      <c r="P269" t="s">
        <v>1287</v>
      </c>
      <c r="Q269">
        <v>1</v>
      </c>
      <c r="X269">
        <v>2.42</v>
      </c>
      <c r="Y269">
        <v>0</v>
      </c>
      <c r="Z269">
        <v>0</v>
      </c>
      <c r="AA269">
        <v>0</v>
      </c>
      <c r="AB269">
        <v>8.5299999999999994</v>
      </c>
      <c r="AC269">
        <v>0</v>
      </c>
      <c r="AD269">
        <v>1</v>
      </c>
      <c r="AE269">
        <v>1</v>
      </c>
      <c r="AF269" t="s">
        <v>487</v>
      </c>
      <c r="AG269">
        <v>13.914999999999999</v>
      </c>
      <c r="AH269">
        <v>2</v>
      </c>
      <c r="AI269">
        <v>16745811</v>
      </c>
      <c r="AJ269">
        <v>284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ROW(Source!A163)</f>
        <v>163</v>
      </c>
      <c r="B270">
        <v>16745818</v>
      </c>
      <c r="C270">
        <v>16745810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1293</v>
      </c>
      <c r="J270" t="s">
        <v>6</v>
      </c>
      <c r="K270" t="s">
        <v>1294</v>
      </c>
      <c r="L270">
        <v>1191</v>
      </c>
      <c r="N270">
        <v>1013</v>
      </c>
      <c r="O270" t="s">
        <v>1287</v>
      </c>
      <c r="P270" t="s">
        <v>1287</v>
      </c>
      <c r="Q270">
        <v>1</v>
      </c>
      <c r="X270">
        <v>0.03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486</v>
      </c>
      <c r="AG270">
        <v>0.1875</v>
      </c>
      <c r="AH270">
        <v>2</v>
      </c>
      <c r="AI270">
        <v>16745812</v>
      </c>
      <c r="AJ270">
        <v>285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ROW(Source!A163)</f>
        <v>163</v>
      </c>
      <c r="B271">
        <v>16745819</v>
      </c>
      <c r="C271">
        <v>16745810</v>
      </c>
      <c r="D271">
        <v>15247970</v>
      </c>
      <c r="E271">
        <v>1</v>
      </c>
      <c r="F271">
        <v>1</v>
      </c>
      <c r="G271">
        <v>1</v>
      </c>
      <c r="H271">
        <v>2</v>
      </c>
      <c r="I271" t="s">
        <v>1549</v>
      </c>
      <c r="J271" t="s">
        <v>1550</v>
      </c>
      <c r="K271" t="s">
        <v>1551</v>
      </c>
      <c r="L271">
        <v>1368</v>
      </c>
      <c r="N271">
        <v>1011</v>
      </c>
      <c r="O271" t="s">
        <v>1298</v>
      </c>
      <c r="P271" t="s">
        <v>1298</v>
      </c>
      <c r="Q271">
        <v>1</v>
      </c>
      <c r="X271">
        <v>0.02</v>
      </c>
      <c r="Y271">
        <v>0</v>
      </c>
      <c r="Z271">
        <v>27.66</v>
      </c>
      <c r="AA271">
        <v>11.6</v>
      </c>
      <c r="AB271">
        <v>0</v>
      </c>
      <c r="AC271">
        <v>0</v>
      </c>
      <c r="AD271">
        <v>1</v>
      </c>
      <c r="AE271">
        <v>0</v>
      </c>
      <c r="AF271" t="s">
        <v>486</v>
      </c>
      <c r="AG271">
        <v>0.125</v>
      </c>
      <c r="AH271">
        <v>2</v>
      </c>
      <c r="AI271">
        <v>16745813</v>
      </c>
      <c r="AJ271">
        <v>286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ROW(Source!A163)</f>
        <v>163</v>
      </c>
      <c r="B272">
        <v>16745820</v>
      </c>
      <c r="C272">
        <v>16745810</v>
      </c>
      <c r="D272">
        <v>15249073</v>
      </c>
      <c r="E272">
        <v>1</v>
      </c>
      <c r="F272">
        <v>1</v>
      </c>
      <c r="G272">
        <v>1</v>
      </c>
      <c r="H272">
        <v>2</v>
      </c>
      <c r="I272" t="s">
        <v>1299</v>
      </c>
      <c r="J272" t="s">
        <v>1300</v>
      </c>
      <c r="K272" t="s">
        <v>1301</v>
      </c>
      <c r="L272">
        <v>1368</v>
      </c>
      <c r="N272">
        <v>1011</v>
      </c>
      <c r="O272" t="s">
        <v>1298</v>
      </c>
      <c r="P272" t="s">
        <v>1298</v>
      </c>
      <c r="Q272">
        <v>1</v>
      </c>
      <c r="X272">
        <v>0.01</v>
      </c>
      <c r="Y272">
        <v>0</v>
      </c>
      <c r="Z272">
        <v>65.709999999999994</v>
      </c>
      <c r="AA272">
        <v>11.6</v>
      </c>
      <c r="AB272">
        <v>0</v>
      </c>
      <c r="AC272">
        <v>0</v>
      </c>
      <c r="AD272">
        <v>1</v>
      </c>
      <c r="AE272">
        <v>0</v>
      </c>
      <c r="AF272" t="s">
        <v>486</v>
      </c>
      <c r="AG272">
        <v>6.25E-2</v>
      </c>
      <c r="AH272">
        <v>2</v>
      </c>
      <c r="AI272">
        <v>16745814</v>
      </c>
      <c r="AJ272">
        <v>287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ROW(Source!A163)</f>
        <v>163</v>
      </c>
      <c r="B273">
        <v>16745821</v>
      </c>
      <c r="C273">
        <v>16745810</v>
      </c>
      <c r="D273">
        <v>15167286</v>
      </c>
      <c r="E273">
        <v>1</v>
      </c>
      <c r="F273">
        <v>1</v>
      </c>
      <c r="G273">
        <v>1</v>
      </c>
      <c r="H273">
        <v>3</v>
      </c>
      <c r="I273" t="s">
        <v>1317</v>
      </c>
      <c r="J273" t="s">
        <v>1318</v>
      </c>
      <c r="K273" t="s">
        <v>1319</v>
      </c>
      <c r="L273">
        <v>1339</v>
      </c>
      <c r="N273">
        <v>1007</v>
      </c>
      <c r="O273" t="s">
        <v>301</v>
      </c>
      <c r="P273" t="s">
        <v>301</v>
      </c>
      <c r="Q273">
        <v>1</v>
      </c>
      <c r="X273">
        <v>0.03</v>
      </c>
      <c r="Y273">
        <v>2.44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485</v>
      </c>
      <c r="AG273">
        <v>0.15</v>
      </c>
      <c r="AH273">
        <v>2</v>
      </c>
      <c r="AI273">
        <v>16745815</v>
      </c>
      <c r="AJ273">
        <v>288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ROW(Source!A163)</f>
        <v>163</v>
      </c>
      <c r="B274">
        <v>16745822</v>
      </c>
      <c r="C274">
        <v>16745810</v>
      </c>
      <c r="D274">
        <v>15172906</v>
      </c>
      <c r="E274">
        <v>1</v>
      </c>
      <c r="F274">
        <v>1</v>
      </c>
      <c r="G274">
        <v>1</v>
      </c>
      <c r="H274">
        <v>3</v>
      </c>
      <c r="I274" t="s">
        <v>1552</v>
      </c>
      <c r="J274" t="s">
        <v>1553</v>
      </c>
      <c r="K274" t="s">
        <v>1554</v>
      </c>
      <c r="L274">
        <v>1348</v>
      </c>
      <c r="N274">
        <v>1009</v>
      </c>
      <c r="O274" t="s">
        <v>100</v>
      </c>
      <c r="P274" t="s">
        <v>100</v>
      </c>
      <c r="Q274">
        <v>1000</v>
      </c>
      <c r="X274">
        <v>0.18</v>
      </c>
      <c r="Y274">
        <v>11381.57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485</v>
      </c>
      <c r="AG274">
        <v>0.89999999999999991</v>
      </c>
      <c r="AH274">
        <v>2</v>
      </c>
      <c r="AI274">
        <v>16745816</v>
      </c>
      <c r="AJ274">
        <v>289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ROW(Source!A164)</f>
        <v>164</v>
      </c>
      <c r="B275">
        <v>16745833</v>
      </c>
      <c r="C275">
        <v>16745823</v>
      </c>
      <c r="D275">
        <v>15430767</v>
      </c>
      <c r="E275">
        <v>1</v>
      </c>
      <c r="F275">
        <v>1</v>
      </c>
      <c r="G275">
        <v>1</v>
      </c>
      <c r="H275">
        <v>1</v>
      </c>
      <c r="I275" t="s">
        <v>1285</v>
      </c>
      <c r="J275" t="s">
        <v>6</v>
      </c>
      <c r="K275" t="s">
        <v>1286</v>
      </c>
      <c r="L275">
        <v>1191</v>
      </c>
      <c r="N275">
        <v>1013</v>
      </c>
      <c r="O275" t="s">
        <v>1287</v>
      </c>
      <c r="P275" t="s">
        <v>1287</v>
      </c>
      <c r="Q275">
        <v>1</v>
      </c>
      <c r="X275">
        <v>372.18</v>
      </c>
      <c r="Y275">
        <v>0</v>
      </c>
      <c r="Z275">
        <v>0</v>
      </c>
      <c r="AA275">
        <v>0</v>
      </c>
      <c r="AB275">
        <v>8.5299999999999994</v>
      </c>
      <c r="AC275">
        <v>0</v>
      </c>
      <c r="AD275">
        <v>1</v>
      </c>
      <c r="AE275">
        <v>1</v>
      </c>
      <c r="AF275" t="s">
        <v>6</v>
      </c>
      <c r="AG275">
        <v>372.18</v>
      </c>
      <c r="AH275">
        <v>2</v>
      </c>
      <c r="AI275">
        <v>16745824</v>
      </c>
      <c r="AJ275">
        <v>290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ROW(Source!A164)</f>
        <v>164</v>
      </c>
      <c r="B276">
        <v>16745834</v>
      </c>
      <c r="C276">
        <v>16745823</v>
      </c>
      <c r="D276">
        <v>15249402</v>
      </c>
      <c r="E276">
        <v>1</v>
      </c>
      <c r="F276">
        <v>1</v>
      </c>
      <c r="G276">
        <v>1</v>
      </c>
      <c r="H276">
        <v>2</v>
      </c>
      <c r="I276" t="s">
        <v>1341</v>
      </c>
      <c r="J276" t="s">
        <v>1342</v>
      </c>
      <c r="K276" t="s">
        <v>1343</v>
      </c>
      <c r="L276">
        <v>1368</v>
      </c>
      <c r="N276">
        <v>1011</v>
      </c>
      <c r="O276" t="s">
        <v>1298</v>
      </c>
      <c r="P276" t="s">
        <v>1298</v>
      </c>
      <c r="Q276">
        <v>1</v>
      </c>
      <c r="X276">
        <v>2.5299999999999998</v>
      </c>
      <c r="Y276">
        <v>0</v>
      </c>
      <c r="Z276">
        <v>32.5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2.5299999999999998</v>
      </c>
      <c r="AH276">
        <v>2</v>
      </c>
      <c r="AI276">
        <v>16745825</v>
      </c>
      <c r="AJ276">
        <v>291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ROW(Source!A164)</f>
        <v>164</v>
      </c>
      <c r="B277">
        <v>16745835</v>
      </c>
      <c r="C277">
        <v>16745823</v>
      </c>
      <c r="D277">
        <v>15249998</v>
      </c>
      <c r="E277">
        <v>1</v>
      </c>
      <c r="F277">
        <v>1</v>
      </c>
      <c r="G277">
        <v>1</v>
      </c>
      <c r="H277">
        <v>2</v>
      </c>
      <c r="I277" t="s">
        <v>1344</v>
      </c>
      <c r="J277" t="s">
        <v>1345</v>
      </c>
      <c r="K277" t="s">
        <v>1346</v>
      </c>
      <c r="L277">
        <v>1368</v>
      </c>
      <c r="N277">
        <v>1011</v>
      </c>
      <c r="O277" t="s">
        <v>1298</v>
      </c>
      <c r="P277" t="s">
        <v>1298</v>
      </c>
      <c r="Q277">
        <v>1</v>
      </c>
      <c r="X277">
        <v>2.5299999999999998</v>
      </c>
      <c r="Y277">
        <v>0</v>
      </c>
      <c r="Z277">
        <v>1.53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2.5299999999999998</v>
      </c>
      <c r="AH277">
        <v>2</v>
      </c>
      <c r="AI277">
        <v>16745826</v>
      </c>
      <c r="AJ277">
        <v>292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ROW(Source!A164)</f>
        <v>164</v>
      </c>
      <c r="B278">
        <v>16745836</v>
      </c>
      <c r="C278">
        <v>16745823</v>
      </c>
      <c r="D278">
        <v>15167286</v>
      </c>
      <c r="E278">
        <v>1</v>
      </c>
      <c r="F278">
        <v>1</v>
      </c>
      <c r="G278">
        <v>1</v>
      </c>
      <c r="H278">
        <v>3</v>
      </c>
      <c r="I278" t="s">
        <v>1317</v>
      </c>
      <c r="J278" t="s">
        <v>1318</v>
      </c>
      <c r="K278" t="s">
        <v>1319</v>
      </c>
      <c r="L278">
        <v>1339</v>
      </c>
      <c r="N278">
        <v>1007</v>
      </c>
      <c r="O278" t="s">
        <v>301</v>
      </c>
      <c r="P278" t="s">
        <v>301</v>
      </c>
      <c r="Q278">
        <v>1</v>
      </c>
      <c r="X278">
        <v>0.1</v>
      </c>
      <c r="Y278">
        <v>2.44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0.1</v>
      </c>
      <c r="AH278">
        <v>2</v>
      </c>
      <c r="AI278">
        <v>16745827</v>
      </c>
      <c r="AJ278">
        <v>293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ROW(Source!A164)</f>
        <v>164</v>
      </c>
      <c r="B279">
        <v>16745837</v>
      </c>
      <c r="C279">
        <v>16745823</v>
      </c>
      <c r="D279">
        <v>15164566</v>
      </c>
      <c r="E279">
        <v>17</v>
      </c>
      <c r="F279">
        <v>1</v>
      </c>
      <c r="G279">
        <v>1</v>
      </c>
      <c r="H279">
        <v>3</v>
      </c>
      <c r="I279" t="s">
        <v>98</v>
      </c>
      <c r="J279" t="s">
        <v>6</v>
      </c>
      <c r="K279" t="s">
        <v>99</v>
      </c>
      <c r="L279">
        <v>1348</v>
      </c>
      <c r="N279">
        <v>1009</v>
      </c>
      <c r="O279" t="s">
        <v>100</v>
      </c>
      <c r="P279" t="s">
        <v>100</v>
      </c>
      <c r="Q279">
        <v>1000</v>
      </c>
      <c r="X279">
        <v>2.54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6</v>
      </c>
      <c r="AG279">
        <v>2.54</v>
      </c>
      <c r="AH279">
        <v>2</v>
      </c>
      <c r="AI279">
        <v>16745828</v>
      </c>
      <c r="AJ279">
        <v>294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ROW(Source!A164)</f>
        <v>164</v>
      </c>
      <c r="B280">
        <v>16745838</v>
      </c>
      <c r="C280">
        <v>16745823</v>
      </c>
      <c r="D280">
        <v>15162656</v>
      </c>
      <c r="E280">
        <v>17</v>
      </c>
      <c r="F280">
        <v>1</v>
      </c>
      <c r="G280">
        <v>1</v>
      </c>
      <c r="H280">
        <v>3</v>
      </c>
      <c r="I280" t="s">
        <v>503</v>
      </c>
      <c r="J280" t="s">
        <v>6</v>
      </c>
      <c r="K280" t="s">
        <v>495</v>
      </c>
      <c r="L280">
        <v>1339</v>
      </c>
      <c r="N280">
        <v>1007</v>
      </c>
      <c r="O280" t="s">
        <v>301</v>
      </c>
      <c r="P280" t="s">
        <v>301</v>
      </c>
      <c r="Q280">
        <v>1</v>
      </c>
      <c r="X280">
        <v>2.14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 t="s">
        <v>6</v>
      </c>
      <c r="AG280">
        <v>2.14</v>
      </c>
      <c r="AH280">
        <v>2</v>
      </c>
      <c r="AI280">
        <v>16745829</v>
      </c>
      <c r="AJ280">
        <v>295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ROW(Source!A164)</f>
        <v>164</v>
      </c>
      <c r="B281">
        <v>16745839</v>
      </c>
      <c r="C281">
        <v>16745823</v>
      </c>
      <c r="D281">
        <v>15161703</v>
      </c>
      <c r="E281">
        <v>17</v>
      </c>
      <c r="F281">
        <v>1</v>
      </c>
      <c r="G281">
        <v>1</v>
      </c>
      <c r="H281">
        <v>3</v>
      </c>
      <c r="I281" t="s">
        <v>505</v>
      </c>
      <c r="J281" t="s">
        <v>6</v>
      </c>
      <c r="K281" t="s">
        <v>506</v>
      </c>
      <c r="L281">
        <v>1339</v>
      </c>
      <c r="N281">
        <v>1007</v>
      </c>
      <c r="O281" t="s">
        <v>301</v>
      </c>
      <c r="P281" t="s">
        <v>301</v>
      </c>
      <c r="Q281">
        <v>1</v>
      </c>
      <c r="X281">
        <v>1.53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1.53</v>
      </c>
      <c r="AH281">
        <v>2</v>
      </c>
      <c r="AI281">
        <v>16745830</v>
      </c>
      <c r="AJ281">
        <v>297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ROW(Source!A170)</f>
        <v>170</v>
      </c>
      <c r="B282">
        <v>16745852</v>
      </c>
      <c r="C282">
        <v>16745845</v>
      </c>
      <c r="D282">
        <v>15430447</v>
      </c>
      <c r="E282">
        <v>1</v>
      </c>
      <c r="F282">
        <v>1</v>
      </c>
      <c r="G282">
        <v>1</v>
      </c>
      <c r="H282">
        <v>1</v>
      </c>
      <c r="I282" t="s">
        <v>1558</v>
      </c>
      <c r="J282" t="s">
        <v>6</v>
      </c>
      <c r="K282" t="s">
        <v>1559</v>
      </c>
      <c r="L282">
        <v>1191</v>
      </c>
      <c r="N282">
        <v>1013</v>
      </c>
      <c r="O282" t="s">
        <v>1287</v>
      </c>
      <c r="P282" t="s">
        <v>1287</v>
      </c>
      <c r="Q282">
        <v>1</v>
      </c>
      <c r="X282">
        <v>80.040000000000006</v>
      </c>
      <c r="Y282">
        <v>0</v>
      </c>
      <c r="Z282">
        <v>0</v>
      </c>
      <c r="AA282">
        <v>0</v>
      </c>
      <c r="AB282">
        <v>9.07</v>
      </c>
      <c r="AC282">
        <v>0</v>
      </c>
      <c r="AD282">
        <v>1</v>
      </c>
      <c r="AE282">
        <v>1</v>
      </c>
      <c r="AF282" t="s">
        <v>188</v>
      </c>
      <c r="AG282">
        <v>92.046000000000006</v>
      </c>
      <c r="AH282">
        <v>2</v>
      </c>
      <c r="AI282">
        <v>16745846</v>
      </c>
      <c r="AJ282">
        <v>299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ROW(Source!A170)</f>
        <v>170</v>
      </c>
      <c r="B283">
        <v>16745853</v>
      </c>
      <c r="C283">
        <v>16745845</v>
      </c>
      <c r="D283">
        <v>15430395</v>
      </c>
      <c r="E283">
        <v>1</v>
      </c>
      <c r="F283">
        <v>1</v>
      </c>
      <c r="G283">
        <v>1</v>
      </c>
      <c r="H283">
        <v>1</v>
      </c>
      <c r="I283" t="s">
        <v>1293</v>
      </c>
      <c r="J283" t="s">
        <v>6</v>
      </c>
      <c r="K283" t="s">
        <v>1294</v>
      </c>
      <c r="L283">
        <v>1191</v>
      </c>
      <c r="N283">
        <v>1013</v>
      </c>
      <c r="O283" t="s">
        <v>1287</v>
      </c>
      <c r="P283" t="s">
        <v>1287</v>
      </c>
      <c r="Q283">
        <v>1</v>
      </c>
      <c r="X283">
        <v>2.09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187</v>
      </c>
      <c r="AG283">
        <v>2.6124999999999998</v>
      </c>
      <c r="AH283">
        <v>2</v>
      </c>
      <c r="AI283">
        <v>16745847</v>
      </c>
      <c r="AJ283">
        <v>300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ROW(Source!A170)</f>
        <v>170</v>
      </c>
      <c r="B284">
        <v>16745854</v>
      </c>
      <c r="C284">
        <v>16745845</v>
      </c>
      <c r="D284">
        <v>15249397</v>
      </c>
      <c r="E284">
        <v>1</v>
      </c>
      <c r="F284">
        <v>1</v>
      </c>
      <c r="G284">
        <v>1</v>
      </c>
      <c r="H284">
        <v>2</v>
      </c>
      <c r="I284" t="s">
        <v>1468</v>
      </c>
      <c r="J284" t="s">
        <v>1469</v>
      </c>
      <c r="K284" t="s">
        <v>1470</v>
      </c>
      <c r="L284">
        <v>1368</v>
      </c>
      <c r="N284">
        <v>1011</v>
      </c>
      <c r="O284" t="s">
        <v>1298</v>
      </c>
      <c r="P284" t="s">
        <v>1298</v>
      </c>
      <c r="Q284">
        <v>1</v>
      </c>
      <c r="X284">
        <v>2.09</v>
      </c>
      <c r="Y284">
        <v>0</v>
      </c>
      <c r="Z284">
        <v>90</v>
      </c>
      <c r="AA284">
        <v>10.06</v>
      </c>
      <c r="AB284">
        <v>0</v>
      </c>
      <c r="AC284">
        <v>0</v>
      </c>
      <c r="AD284">
        <v>1</v>
      </c>
      <c r="AE284">
        <v>0</v>
      </c>
      <c r="AF284" t="s">
        <v>187</v>
      </c>
      <c r="AG284">
        <v>2.6124999999999998</v>
      </c>
      <c r="AH284">
        <v>2</v>
      </c>
      <c r="AI284">
        <v>16745848</v>
      </c>
      <c r="AJ284">
        <v>301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ROW(Source!A170)</f>
        <v>170</v>
      </c>
      <c r="B285">
        <v>16745855</v>
      </c>
      <c r="C285">
        <v>16745845</v>
      </c>
      <c r="D285">
        <v>15249979</v>
      </c>
      <c r="E285">
        <v>1</v>
      </c>
      <c r="F285">
        <v>1</v>
      </c>
      <c r="G285">
        <v>1</v>
      </c>
      <c r="H285">
        <v>2</v>
      </c>
      <c r="I285" t="s">
        <v>1560</v>
      </c>
      <c r="J285" t="s">
        <v>1561</v>
      </c>
      <c r="K285" t="s">
        <v>1562</v>
      </c>
      <c r="L285">
        <v>1368</v>
      </c>
      <c r="N285">
        <v>1011</v>
      </c>
      <c r="O285" t="s">
        <v>1298</v>
      </c>
      <c r="P285" t="s">
        <v>1298</v>
      </c>
      <c r="Q285">
        <v>1</v>
      </c>
      <c r="X285">
        <v>32</v>
      </c>
      <c r="Y285">
        <v>0</v>
      </c>
      <c r="Z285">
        <v>1.5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187</v>
      </c>
      <c r="AG285">
        <v>40</v>
      </c>
      <c r="AH285">
        <v>2</v>
      </c>
      <c r="AI285">
        <v>16745849</v>
      </c>
      <c r="AJ285">
        <v>302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ROW(Source!A170)</f>
        <v>170</v>
      </c>
      <c r="B286">
        <v>16745856</v>
      </c>
      <c r="C286">
        <v>16745845</v>
      </c>
      <c r="D286">
        <v>15167286</v>
      </c>
      <c r="E286">
        <v>1</v>
      </c>
      <c r="F286">
        <v>1</v>
      </c>
      <c r="G286">
        <v>1</v>
      </c>
      <c r="H286">
        <v>3</v>
      </c>
      <c r="I286" t="s">
        <v>1317</v>
      </c>
      <c r="J286" t="s">
        <v>1318</v>
      </c>
      <c r="K286" t="s">
        <v>1319</v>
      </c>
      <c r="L286">
        <v>1339</v>
      </c>
      <c r="N286">
        <v>1007</v>
      </c>
      <c r="O286" t="s">
        <v>301</v>
      </c>
      <c r="P286" t="s">
        <v>301</v>
      </c>
      <c r="Q286">
        <v>1</v>
      </c>
      <c r="X286">
        <v>2</v>
      </c>
      <c r="Y286">
        <v>2.44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2</v>
      </c>
      <c r="AH286">
        <v>2</v>
      </c>
      <c r="AI286">
        <v>16745850</v>
      </c>
      <c r="AJ286">
        <v>303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ROW(Source!A170)</f>
        <v>170</v>
      </c>
      <c r="B287">
        <v>16745857</v>
      </c>
      <c r="C287">
        <v>16745845</v>
      </c>
      <c r="D287">
        <v>15170537</v>
      </c>
      <c r="E287">
        <v>1</v>
      </c>
      <c r="F287">
        <v>1</v>
      </c>
      <c r="G287">
        <v>1</v>
      </c>
      <c r="H287">
        <v>3</v>
      </c>
      <c r="I287" t="s">
        <v>1563</v>
      </c>
      <c r="J287" t="s">
        <v>1564</v>
      </c>
      <c r="K287" t="s">
        <v>1565</v>
      </c>
      <c r="L287">
        <v>1346</v>
      </c>
      <c r="N287">
        <v>1009</v>
      </c>
      <c r="O287" t="s">
        <v>341</v>
      </c>
      <c r="P287" t="s">
        <v>341</v>
      </c>
      <c r="Q287">
        <v>1</v>
      </c>
      <c r="X287">
        <v>2</v>
      </c>
      <c r="Y287">
        <v>5.71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2</v>
      </c>
      <c r="AH287">
        <v>2</v>
      </c>
      <c r="AI287">
        <v>16745851</v>
      </c>
      <c r="AJ287">
        <v>304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ROW(Source!A171)</f>
        <v>171</v>
      </c>
      <c r="B288">
        <v>16745870</v>
      </c>
      <c r="C288">
        <v>16745858</v>
      </c>
      <c r="D288">
        <v>15436014</v>
      </c>
      <c r="E288">
        <v>1</v>
      </c>
      <c r="F288">
        <v>1</v>
      </c>
      <c r="G288">
        <v>1</v>
      </c>
      <c r="H288">
        <v>1</v>
      </c>
      <c r="I288" t="s">
        <v>1388</v>
      </c>
      <c r="J288" t="s">
        <v>6</v>
      </c>
      <c r="K288" t="s">
        <v>1389</v>
      </c>
      <c r="L288">
        <v>1191</v>
      </c>
      <c r="N288">
        <v>1013</v>
      </c>
      <c r="O288" t="s">
        <v>1287</v>
      </c>
      <c r="P288" t="s">
        <v>1287</v>
      </c>
      <c r="Q288">
        <v>1</v>
      </c>
      <c r="X288">
        <v>310.42</v>
      </c>
      <c r="Y288">
        <v>0</v>
      </c>
      <c r="Z288">
        <v>0</v>
      </c>
      <c r="AA288">
        <v>0</v>
      </c>
      <c r="AB288">
        <v>8.74</v>
      </c>
      <c r="AC288">
        <v>0</v>
      </c>
      <c r="AD288">
        <v>1</v>
      </c>
      <c r="AE288">
        <v>1</v>
      </c>
      <c r="AF288" t="s">
        <v>188</v>
      </c>
      <c r="AG288">
        <v>356.983</v>
      </c>
      <c r="AH288">
        <v>2</v>
      </c>
      <c r="AI288">
        <v>16745859</v>
      </c>
      <c r="AJ288">
        <v>305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ROW(Source!A171)</f>
        <v>171</v>
      </c>
      <c r="B289">
        <v>16745871</v>
      </c>
      <c r="C289">
        <v>16745858</v>
      </c>
      <c r="D289">
        <v>15430395</v>
      </c>
      <c r="E289">
        <v>1</v>
      </c>
      <c r="F289">
        <v>1</v>
      </c>
      <c r="G289">
        <v>1</v>
      </c>
      <c r="H289">
        <v>1</v>
      </c>
      <c r="I289" t="s">
        <v>1293</v>
      </c>
      <c r="J289" t="s">
        <v>6</v>
      </c>
      <c r="K289" t="s">
        <v>1294</v>
      </c>
      <c r="L289">
        <v>1191</v>
      </c>
      <c r="N289">
        <v>1013</v>
      </c>
      <c r="O289" t="s">
        <v>1287</v>
      </c>
      <c r="P289" t="s">
        <v>1287</v>
      </c>
      <c r="Q289">
        <v>1</v>
      </c>
      <c r="X289">
        <v>1.73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187</v>
      </c>
      <c r="AG289">
        <v>2.1625000000000001</v>
      </c>
      <c r="AH289">
        <v>2</v>
      </c>
      <c r="AI289">
        <v>16745860</v>
      </c>
      <c r="AJ289">
        <v>306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ROW(Source!A171)</f>
        <v>171</v>
      </c>
      <c r="B290">
        <v>16745872</v>
      </c>
      <c r="C290">
        <v>16745858</v>
      </c>
      <c r="D290">
        <v>15247576</v>
      </c>
      <c r="E290">
        <v>1</v>
      </c>
      <c r="F290">
        <v>1</v>
      </c>
      <c r="G290">
        <v>1</v>
      </c>
      <c r="H290">
        <v>2</v>
      </c>
      <c r="I290" t="s">
        <v>1476</v>
      </c>
      <c r="J290" t="s">
        <v>1477</v>
      </c>
      <c r="K290" t="s">
        <v>1478</v>
      </c>
      <c r="L290">
        <v>1368</v>
      </c>
      <c r="N290">
        <v>1011</v>
      </c>
      <c r="O290" t="s">
        <v>1298</v>
      </c>
      <c r="P290" t="s">
        <v>1298</v>
      </c>
      <c r="Q290">
        <v>1</v>
      </c>
      <c r="X290">
        <v>0.02</v>
      </c>
      <c r="Y290">
        <v>0</v>
      </c>
      <c r="Z290">
        <v>83.43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187</v>
      </c>
      <c r="AG290">
        <v>2.5000000000000001E-2</v>
      </c>
      <c r="AH290">
        <v>2</v>
      </c>
      <c r="AI290">
        <v>16745861</v>
      </c>
      <c r="AJ290">
        <v>307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ROW(Source!A171)</f>
        <v>171</v>
      </c>
      <c r="B291">
        <v>16745873</v>
      </c>
      <c r="C291">
        <v>16745858</v>
      </c>
      <c r="D291">
        <v>15247678</v>
      </c>
      <c r="E291">
        <v>1</v>
      </c>
      <c r="F291">
        <v>1</v>
      </c>
      <c r="G291">
        <v>1</v>
      </c>
      <c r="H291">
        <v>2</v>
      </c>
      <c r="I291" t="s">
        <v>1566</v>
      </c>
      <c r="J291" t="s">
        <v>1567</v>
      </c>
      <c r="K291" t="s">
        <v>1568</v>
      </c>
      <c r="L291">
        <v>1368</v>
      </c>
      <c r="N291">
        <v>1011</v>
      </c>
      <c r="O291" t="s">
        <v>1298</v>
      </c>
      <c r="P291" t="s">
        <v>1298</v>
      </c>
      <c r="Q291">
        <v>1</v>
      </c>
      <c r="X291">
        <v>0.01</v>
      </c>
      <c r="Y291">
        <v>0</v>
      </c>
      <c r="Z291">
        <v>88.01</v>
      </c>
      <c r="AA291">
        <v>11.6</v>
      </c>
      <c r="AB291">
        <v>0</v>
      </c>
      <c r="AC291">
        <v>0</v>
      </c>
      <c r="AD291">
        <v>1</v>
      </c>
      <c r="AE291">
        <v>0</v>
      </c>
      <c r="AF291" t="s">
        <v>187</v>
      </c>
      <c r="AG291">
        <v>1.2500000000000001E-2</v>
      </c>
      <c r="AH291">
        <v>2</v>
      </c>
      <c r="AI291">
        <v>16745862</v>
      </c>
      <c r="AJ291">
        <v>308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ROW(Source!A171)</f>
        <v>171</v>
      </c>
      <c r="B292">
        <v>16745874</v>
      </c>
      <c r="C292">
        <v>16745858</v>
      </c>
      <c r="D292">
        <v>15248143</v>
      </c>
      <c r="E292">
        <v>1</v>
      </c>
      <c r="F292">
        <v>1</v>
      </c>
      <c r="G292">
        <v>1</v>
      </c>
      <c r="H292">
        <v>2</v>
      </c>
      <c r="I292" t="s">
        <v>1495</v>
      </c>
      <c r="J292" t="s">
        <v>1496</v>
      </c>
      <c r="K292" t="s">
        <v>1497</v>
      </c>
      <c r="L292">
        <v>1368</v>
      </c>
      <c r="N292">
        <v>1011</v>
      </c>
      <c r="O292" t="s">
        <v>1298</v>
      </c>
      <c r="P292" t="s">
        <v>1298</v>
      </c>
      <c r="Q292">
        <v>1</v>
      </c>
      <c r="X292">
        <v>1.69</v>
      </c>
      <c r="Y292">
        <v>0</v>
      </c>
      <c r="Z292">
        <v>12.39</v>
      </c>
      <c r="AA292">
        <v>10.06</v>
      </c>
      <c r="AB292">
        <v>0</v>
      </c>
      <c r="AC292">
        <v>0</v>
      </c>
      <c r="AD292">
        <v>1</v>
      </c>
      <c r="AE292">
        <v>0</v>
      </c>
      <c r="AF292" t="s">
        <v>187</v>
      </c>
      <c r="AG292">
        <v>2.1124999999999998</v>
      </c>
      <c r="AH292">
        <v>2</v>
      </c>
      <c r="AI292">
        <v>16745863</v>
      </c>
      <c r="AJ292">
        <v>309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ROW(Source!A171)</f>
        <v>171</v>
      </c>
      <c r="B293">
        <v>16745875</v>
      </c>
      <c r="C293">
        <v>16745858</v>
      </c>
      <c r="D293">
        <v>15249073</v>
      </c>
      <c r="E293">
        <v>1</v>
      </c>
      <c r="F293">
        <v>1</v>
      </c>
      <c r="G293">
        <v>1</v>
      </c>
      <c r="H293">
        <v>2</v>
      </c>
      <c r="I293" t="s">
        <v>1299</v>
      </c>
      <c r="J293" t="s">
        <v>1300</v>
      </c>
      <c r="K293" t="s">
        <v>1301</v>
      </c>
      <c r="L293">
        <v>1368</v>
      </c>
      <c r="N293">
        <v>1011</v>
      </c>
      <c r="O293" t="s">
        <v>1298</v>
      </c>
      <c r="P293" t="s">
        <v>1298</v>
      </c>
      <c r="Q293">
        <v>1</v>
      </c>
      <c r="X293">
        <v>0.01</v>
      </c>
      <c r="Y293">
        <v>0</v>
      </c>
      <c r="Z293">
        <v>65.709999999999994</v>
      </c>
      <c r="AA293">
        <v>11.6</v>
      </c>
      <c r="AB293">
        <v>0</v>
      </c>
      <c r="AC293">
        <v>0</v>
      </c>
      <c r="AD293">
        <v>1</v>
      </c>
      <c r="AE293">
        <v>0</v>
      </c>
      <c r="AF293" t="s">
        <v>187</v>
      </c>
      <c r="AG293">
        <v>1.2500000000000001E-2</v>
      </c>
      <c r="AH293">
        <v>2</v>
      </c>
      <c r="AI293">
        <v>16745864</v>
      </c>
      <c r="AJ293">
        <v>310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ROW(Source!A171)</f>
        <v>171</v>
      </c>
      <c r="B294">
        <v>16745876</v>
      </c>
      <c r="C294">
        <v>16745858</v>
      </c>
      <c r="D294">
        <v>15167286</v>
      </c>
      <c r="E294">
        <v>1</v>
      </c>
      <c r="F294">
        <v>1</v>
      </c>
      <c r="G294">
        <v>1</v>
      </c>
      <c r="H294">
        <v>3</v>
      </c>
      <c r="I294" t="s">
        <v>1317</v>
      </c>
      <c r="J294" t="s">
        <v>1318</v>
      </c>
      <c r="K294" t="s">
        <v>1319</v>
      </c>
      <c r="L294">
        <v>1339</v>
      </c>
      <c r="N294">
        <v>1007</v>
      </c>
      <c r="O294" t="s">
        <v>301</v>
      </c>
      <c r="P294" t="s">
        <v>301</v>
      </c>
      <c r="Q294">
        <v>1</v>
      </c>
      <c r="X294">
        <v>0.44</v>
      </c>
      <c r="Y294">
        <v>2.44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0.44</v>
      </c>
      <c r="AH294">
        <v>2</v>
      </c>
      <c r="AI294">
        <v>16745865</v>
      </c>
      <c r="AJ294">
        <v>311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ROW(Source!A171)</f>
        <v>171</v>
      </c>
      <c r="B295">
        <v>16745877</v>
      </c>
      <c r="C295">
        <v>16745858</v>
      </c>
      <c r="D295">
        <v>15173044</v>
      </c>
      <c r="E295">
        <v>1</v>
      </c>
      <c r="F295">
        <v>1</v>
      </c>
      <c r="G295">
        <v>1</v>
      </c>
      <c r="H295">
        <v>3</v>
      </c>
      <c r="I295" t="s">
        <v>1569</v>
      </c>
      <c r="J295" t="s">
        <v>1570</v>
      </c>
      <c r="K295" t="s">
        <v>1571</v>
      </c>
      <c r="L295">
        <v>1348</v>
      </c>
      <c r="N295">
        <v>1009</v>
      </c>
      <c r="O295" t="s">
        <v>100</v>
      </c>
      <c r="P295" t="s">
        <v>100</v>
      </c>
      <c r="Q295">
        <v>1000</v>
      </c>
      <c r="X295">
        <v>1.2999999999999999E-2</v>
      </c>
      <c r="Y295">
        <v>6513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1.2999999999999999E-2</v>
      </c>
      <c r="AH295">
        <v>2</v>
      </c>
      <c r="AI295">
        <v>16745866</v>
      </c>
      <c r="AJ295">
        <v>312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ROW(Source!A171)</f>
        <v>171</v>
      </c>
      <c r="B296">
        <v>16745878</v>
      </c>
      <c r="C296">
        <v>16745858</v>
      </c>
      <c r="D296">
        <v>15187102</v>
      </c>
      <c r="E296">
        <v>1</v>
      </c>
      <c r="F296">
        <v>1</v>
      </c>
      <c r="G296">
        <v>1</v>
      </c>
      <c r="H296">
        <v>3</v>
      </c>
      <c r="I296" t="s">
        <v>516</v>
      </c>
      <c r="J296" t="s">
        <v>518</v>
      </c>
      <c r="K296" t="s">
        <v>517</v>
      </c>
      <c r="L296">
        <v>1327</v>
      </c>
      <c r="N296">
        <v>1005</v>
      </c>
      <c r="O296" t="s">
        <v>193</v>
      </c>
      <c r="P296" t="s">
        <v>193</v>
      </c>
      <c r="Q296">
        <v>1</v>
      </c>
      <c r="X296">
        <v>102</v>
      </c>
      <c r="Y296">
        <v>140.44999999999999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102</v>
      </c>
      <c r="AH296">
        <v>2</v>
      </c>
      <c r="AI296">
        <v>16745867</v>
      </c>
      <c r="AJ296">
        <v>313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ROW(Source!A171)</f>
        <v>171</v>
      </c>
      <c r="B297">
        <v>16745879</v>
      </c>
      <c r="C297">
        <v>16745858</v>
      </c>
      <c r="D297">
        <v>15162768</v>
      </c>
      <c r="E297">
        <v>17</v>
      </c>
      <c r="F297">
        <v>1</v>
      </c>
      <c r="G297">
        <v>1</v>
      </c>
      <c r="H297">
        <v>3</v>
      </c>
      <c r="I297" t="s">
        <v>1869</v>
      </c>
      <c r="J297" t="s">
        <v>6</v>
      </c>
      <c r="K297" t="s">
        <v>1870</v>
      </c>
      <c r="L297">
        <v>1339</v>
      </c>
      <c r="N297">
        <v>1007</v>
      </c>
      <c r="O297" t="s">
        <v>301</v>
      </c>
      <c r="P297" t="s">
        <v>301</v>
      </c>
      <c r="Q297">
        <v>1</v>
      </c>
      <c r="X297">
        <v>0.01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 t="s">
        <v>6</v>
      </c>
      <c r="AG297">
        <v>0.01</v>
      </c>
      <c r="AH297">
        <v>3</v>
      </c>
      <c r="AI297">
        <v>-1</v>
      </c>
      <c r="AJ297" t="s">
        <v>6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ROW(Source!A171)</f>
        <v>171</v>
      </c>
      <c r="B298">
        <v>16745880</v>
      </c>
      <c r="C298">
        <v>16745858</v>
      </c>
      <c r="D298">
        <v>15202597</v>
      </c>
      <c r="E298">
        <v>1</v>
      </c>
      <c r="F298">
        <v>1</v>
      </c>
      <c r="G298">
        <v>1</v>
      </c>
      <c r="H298">
        <v>3</v>
      </c>
      <c r="I298" t="s">
        <v>1572</v>
      </c>
      <c r="J298" t="s">
        <v>1573</v>
      </c>
      <c r="K298" t="s">
        <v>1574</v>
      </c>
      <c r="L298">
        <v>1346</v>
      </c>
      <c r="N298">
        <v>1009</v>
      </c>
      <c r="O298" t="s">
        <v>341</v>
      </c>
      <c r="P298" t="s">
        <v>341</v>
      </c>
      <c r="Q298">
        <v>1</v>
      </c>
      <c r="X298">
        <v>1200</v>
      </c>
      <c r="Y298">
        <v>3.69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1200</v>
      </c>
      <c r="AH298">
        <v>2</v>
      </c>
      <c r="AI298">
        <v>16745868</v>
      </c>
      <c r="AJ298">
        <v>315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ROW(Source!A171)</f>
        <v>171</v>
      </c>
      <c r="B299">
        <v>16745881</v>
      </c>
      <c r="C299">
        <v>16745858</v>
      </c>
      <c r="D299">
        <v>15162572</v>
      </c>
      <c r="E299">
        <v>17</v>
      </c>
      <c r="F299">
        <v>1</v>
      </c>
      <c r="G299">
        <v>1</v>
      </c>
      <c r="H299">
        <v>3</v>
      </c>
      <c r="I299" t="s">
        <v>361</v>
      </c>
      <c r="J299" t="s">
        <v>6</v>
      </c>
      <c r="K299" t="s">
        <v>362</v>
      </c>
      <c r="L299">
        <v>1348</v>
      </c>
      <c r="N299">
        <v>1009</v>
      </c>
      <c r="O299" t="s">
        <v>100</v>
      </c>
      <c r="P299" t="s">
        <v>100</v>
      </c>
      <c r="Q299">
        <v>1000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1</v>
      </c>
      <c r="AD299">
        <v>0</v>
      </c>
      <c r="AE299">
        <v>0</v>
      </c>
      <c r="AF299" t="s">
        <v>6</v>
      </c>
      <c r="AG299">
        <v>0</v>
      </c>
      <c r="AH299">
        <v>3</v>
      </c>
      <c r="AI299">
        <v>-1</v>
      </c>
      <c r="AJ299" t="s">
        <v>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ROW(Source!A174)</f>
        <v>174</v>
      </c>
      <c r="B300">
        <v>16745897</v>
      </c>
      <c r="C300">
        <v>16745884</v>
      </c>
      <c r="D300">
        <v>15435695</v>
      </c>
      <c r="E300">
        <v>1</v>
      </c>
      <c r="F300">
        <v>1</v>
      </c>
      <c r="G300">
        <v>1</v>
      </c>
      <c r="H300">
        <v>1</v>
      </c>
      <c r="I300" t="s">
        <v>1575</v>
      </c>
      <c r="J300" t="s">
        <v>6</v>
      </c>
      <c r="K300" t="s">
        <v>1576</v>
      </c>
      <c r="L300">
        <v>1191</v>
      </c>
      <c r="N300">
        <v>1013</v>
      </c>
      <c r="O300" t="s">
        <v>1287</v>
      </c>
      <c r="P300" t="s">
        <v>1287</v>
      </c>
      <c r="Q300">
        <v>1</v>
      </c>
      <c r="X300">
        <v>26.97</v>
      </c>
      <c r="Y300">
        <v>0</v>
      </c>
      <c r="Z300">
        <v>0</v>
      </c>
      <c r="AA300">
        <v>0</v>
      </c>
      <c r="AB300">
        <v>10.94</v>
      </c>
      <c r="AC300">
        <v>0</v>
      </c>
      <c r="AD300">
        <v>1</v>
      </c>
      <c r="AE300">
        <v>1</v>
      </c>
      <c r="AF300" t="s">
        <v>188</v>
      </c>
      <c r="AG300">
        <v>31.015499999999996</v>
      </c>
      <c r="AH300">
        <v>2</v>
      </c>
      <c r="AI300">
        <v>16745885</v>
      </c>
      <c r="AJ300">
        <v>316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ROW(Source!A174)</f>
        <v>174</v>
      </c>
      <c r="B301">
        <v>16745898</v>
      </c>
      <c r="C301">
        <v>16745884</v>
      </c>
      <c r="D301">
        <v>15430395</v>
      </c>
      <c r="E301">
        <v>1</v>
      </c>
      <c r="F301">
        <v>1</v>
      </c>
      <c r="G301">
        <v>1</v>
      </c>
      <c r="H301">
        <v>1</v>
      </c>
      <c r="I301" t="s">
        <v>1293</v>
      </c>
      <c r="J301" t="s">
        <v>6</v>
      </c>
      <c r="K301" t="s">
        <v>1294</v>
      </c>
      <c r="L301">
        <v>1191</v>
      </c>
      <c r="N301">
        <v>1013</v>
      </c>
      <c r="O301" t="s">
        <v>1287</v>
      </c>
      <c r="P301" t="s">
        <v>1287</v>
      </c>
      <c r="Q301">
        <v>1</v>
      </c>
      <c r="X301">
        <v>0.43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2</v>
      </c>
      <c r="AF301" t="s">
        <v>187</v>
      </c>
      <c r="AG301">
        <v>0.53749999999999998</v>
      </c>
      <c r="AH301">
        <v>2</v>
      </c>
      <c r="AI301">
        <v>16745886</v>
      </c>
      <c r="AJ301">
        <v>317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ROW(Source!A174)</f>
        <v>174</v>
      </c>
      <c r="B302">
        <v>16745899</v>
      </c>
      <c r="C302">
        <v>16745884</v>
      </c>
      <c r="D302">
        <v>15247974</v>
      </c>
      <c r="E302">
        <v>1</v>
      </c>
      <c r="F302">
        <v>1</v>
      </c>
      <c r="G302">
        <v>1</v>
      </c>
      <c r="H302">
        <v>2</v>
      </c>
      <c r="I302" t="s">
        <v>1314</v>
      </c>
      <c r="J302" t="s">
        <v>1315</v>
      </c>
      <c r="K302" t="s">
        <v>1316</v>
      </c>
      <c r="L302">
        <v>1368</v>
      </c>
      <c r="N302">
        <v>1011</v>
      </c>
      <c r="O302" t="s">
        <v>1298</v>
      </c>
      <c r="P302" t="s">
        <v>1298</v>
      </c>
      <c r="Q302">
        <v>1</v>
      </c>
      <c r="X302">
        <v>0.18</v>
      </c>
      <c r="Y302">
        <v>0</v>
      </c>
      <c r="Z302">
        <v>31.26</v>
      </c>
      <c r="AA302">
        <v>13.5</v>
      </c>
      <c r="AB302">
        <v>0</v>
      </c>
      <c r="AC302">
        <v>0</v>
      </c>
      <c r="AD302">
        <v>1</v>
      </c>
      <c r="AE302">
        <v>0</v>
      </c>
      <c r="AF302" t="s">
        <v>187</v>
      </c>
      <c r="AG302">
        <v>0.22499999999999998</v>
      </c>
      <c r="AH302">
        <v>2</v>
      </c>
      <c r="AI302">
        <v>16745887</v>
      </c>
      <c r="AJ302">
        <v>318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ROW(Source!A174)</f>
        <v>174</v>
      </c>
      <c r="B303">
        <v>16745900</v>
      </c>
      <c r="C303">
        <v>16745884</v>
      </c>
      <c r="D303">
        <v>15248306</v>
      </c>
      <c r="E303">
        <v>1</v>
      </c>
      <c r="F303">
        <v>1</v>
      </c>
      <c r="G303">
        <v>1</v>
      </c>
      <c r="H303">
        <v>2</v>
      </c>
      <c r="I303" t="s">
        <v>1577</v>
      </c>
      <c r="J303" t="s">
        <v>1578</v>
      </c>
      <c r="K303" t="s">
        <v>1579</v>
      </c>
      <c r="L303">
        <v>1368</v>
      </c>
      <c r="N303">
        <v>1011</v>
      </c>
      <c r="O303" t="s">
        <v>1298</v>
      </c>
      <c r="P303" t="s">
        <v>1298</v>
      </c>
      <c r="Q303">
        <v>1</v>
      </c>
      <c r="X303">
        <v>4.37</v>
      </c>
      <c r="Y303">
        <v>0</v>
      </c>
      <c r="Z303">
        <v>30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187</v>
      </c>
      <c r="AG303">
        <v>5.4625000000000004</v>
      </c>
      <c r="AH303">
        <v>2</v>
      </c>
      <c r="AI303">
        <v>16745888</v>
      </c>
      <c r="AJ303">
        <v>319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ROW(Source!A174)</f>
        <v>174</v>
      </c>
      <c r="B304">
        <v>16745901</v>
      </c>
      <c r="C304">
        <v>16745884</v>
      </c>
      <c r="D304">
        <v>15249073</v>
      </c>
      <c r="E304">
        <v>1</v>
      </c>
      <c r="F304">
        <v>1</v>
      </c>
      <c r="G304">
        <v>1</v>
      </c>
      <c r="H304">
        <v>2</v>
      </c>
      <c r="I304" t="s">
        <v>1299</v>
      </c>
      <c r="J304" t="s">
        <v>1300</v>
      </c>
      <c r="K304" t="s">
        <v>1301</v>
      </c>
      <c r="L304">
        <v>1368</v>
      </c>
      <c r="N304">
        <v>1011</v>
      </c>
      <c r="O304" t="s">
        <v>1298</v>
      </c>
      <c r="P304" t="s">
        <v>1298</v>
      </c>
      <c r="Q304">
        <v>1</v>
      </c>
      <c r="X304">
        <v>0.25</v>
      </c>
      <c r="Y304">
        <v>0</v>
      </c>
      <c r="Z304">
        <v>65.709999999999994</v>
      </c>
      <c r="AA304">
        <v>11.6</v>
      </c>
      <c r="AB304">
        <v>0</v>
      </c>
      <c r="AC304">
        <v>0</v>
      </c>
      <c r="AD304">
        <v>1</v>
      </c>
      <c r="AE304">
        <v>0</v>
      </c>
      <c r="AF304" t="s">
        <v>187</v>
      </c>
      <c r="AG304">
        <v>0.3125</v>
      </c>
      <c r="AH304">
        <v>2</v>
      </c>
      <c r="AI304">
        <v>16745889</v>
      </c>
      <c r="AJ304">
        <v>320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ROW(Source!A174)</f>
        <v>174</v>
      </c>
      <c r="B305">
        <v>16745902</v>
      </c>
      <c r="C305">
        <v>16745884</v>
      </c>
      <c r="D305">
        <v>15250226</v>
      </c>
      <c r="E305">
        <v>1</v>
      </c>
      <c r="F305">
        <v>1</v>
      </c>
      <c r="G305">
        <v>1</v>
      </c>
      <c r="H305">
        <v>2</v>
      </c>
      <c r="I305" t="s">
        <v>1580</v>
      </c>
      <c r="J305" t="s">
        <v>1581</v>
      </c>
      <c r="K305" t="s">
        <v>1582</v>
      </c>
      <c r="L305">
        <v>1368</v>
      </c>
      <c r="N305">
        <v>1011</v>
      </c>
      <c r="O305" t="s">
        <v>1298</v>
      </c>
      <c r="P305" t="s">
        <v>1298</v>
      </c>
      <c r="Q305">
        <v>1</v>
      </c>
      <c r="X305">
        <v>1.5</v>
      </c>
      <c r="Y305">
        <v>0</v>
      </c>
      <c r="Z305">
        <v>2.7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187</v>
      </c>
      <c r="AG305">
        <v>1.875</v>
      </c>
      <c r="AH305">
        <v>2</v>
      </c>
      <c r="AI305">
        <v>16745890</v>
      </c>
      <c r="AJ305">
        <v>321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ROW(Source!A174)</f>
        <v>174</v>
      </c>
      <c r="B306">
        <v>16745903</v>
      </c>
      <c r="C306">
        <v>16745884</v>
      </c>
      <c r="D306">
        <v>15165310</v>
      </c>
      <c r="E306">
        <v>1</v>
      </c>
      <c r="F306">
        <v>1</v>
      </c>
      <c r="G306">
        <v>1</v>
      </c>
      <c r="H306">
        <v>3</v>
      </c>
      <c r="I306" t="s">
        <v>1583</v>
      </c>
      <c r="J306" t="s">
        <v>1584</v>
      </c>
      <c r="K306" t="s">
        <v>1585</v>
      </c>
      <c r="L306">
        <v>1348</v>
      </c>
      <c r="N306">
        <v>1009</v>
      </c>
      <c r="O306" t="s">
        <v>100</v>
      </c>
      <c r="P306" t="s">
        <v>100</v>
      </c>
      <c r="Q306">
        <v>1000</v>
      </c>
      <c r="X306">
        <v>8.0000000000000002E-3</v>
      </c>
      <c r="Y306">
        <v>1160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8.0000000000000002E-3</v>
      </c>
      <c r="AH306">
        <v>2</v>
      </c>
      <c r="AI306">
        <v>16745891</v>
      </c>
      <c r="AJ306">
        <v>322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ROW(Source!A174)</f>
        <v>174</v>
      </c>
      <c r="B307">
        <v>16745904</v>
      </c>
      <c r="C307">
        <v>16745884</v>
      </c>
      <c r="D307">
        <v>15165346</v>
      </c>
      <c r="E307">
        <v>1</v>
      </c>
      <c r="F307">
        <v>1</v>
      </c>
      <c r="G307">
        <v>1</v>
      </c>
      <c r="H307">
        <v>3</v>
      </c>
      <c r="I307" t="s">
        <v>1586</v>
      </c>
      <c r="J307" t="s">
        <v>1587</v>
      </c>
      <c r="K307" t="s">
        <v>1588</v>
      </c>
      <c r="L307">
        <v>1348</v>
      </c>
      <c r="N307">
        <v>1009</v>
      </c>
      <c r="O307" t="s">
        <v>100</v>
      </c>
      <c r="P307" t="s">
        <v>100</v>
      </c>
      <c r="Q307">
        <v>1000</v>
      </c>
      <c r="X307">
        <v>1.9E-2</v>
      </c>
      <c r="Y307">
        <v>1525.5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1.9E-2</v>
      </c>
      <c r="AH307">
        <v>2</v>
      </c>
      <c r="AI307">
        <v>16745892</v>
      </c>
      <c r="AJ307">
        <v>323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ROW(Source!A174)</f>
        <v>174</v>
      </c>
      <c r="B308">
        <v>16745905</v>
      </c>
      <c r="C308">
        <v>16745884</v>
      </c>
      <c r="D308">
        <v>15165348</v>
      </c>
      <c r="E308">
        <v>1</v>
      </c>
      <c r="F308">
        <v>1</v>
      </c>
      <c r="G308">
        <v>1</v>
      </c>
      <c r="H308">
        <v>3</v>
      </c>
      <c r="I308" t="s">
        <v>1589</v>
      </c>
      <c r="J308" t="s">
        <v>1590</v>
      </c>
      <c r="K308" t="s">
        <v>1591</v>
      </c>
      <c r="L308">
        <v>1348</v>
      </c>
      <c r="N308">
        <v>1009</v>
      </c>
      <c r="O308" t="s">
        <v>100</v>
      </c>
      <c r="P308" t="s">
        <v>100</v>
      </c>
      <c r="Q308">
        <v>1000</v>
      </c>
      <c r="X308">
        <v>0.157</v>
      </c>
      <c r="Y308">
        <v>1383.1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0.157</v>
      </c>
      <c r="AH308">
        <v>2</v>
      </c>
      <c r="AI308">
        <v>16745893</v>
      </c>
      <c r="AJ308">
        <v>324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ROW(Source!A174)</f>
        <v>174</v>
      </c>
      <c r="B309">
        <v>16745906</v>
      </c>
      <c r="C309">
        <v>16745884</v>
      </c>
      <c r="D309">
        <v>15165532</v>
      </c>
      <c r="E309">
        <v>1</v>
      </c>
      <c r="F309">
        <v>1</v>
      </c>
      <c r="G309">
        <v>1</v>
      </c>
      <c r="H309">
        <v>3</v>
      </c>
      <c r="I309" t="s">
        <v>1592</v>
      </c>
      <c r="J309" t="s">
        <v>1593</v>
      </c>
      <c r="K309" t="s">
        <v>1594</v>
      </c>
      <c r="L309">
        <v>1348</v>
      </c>
      <c r="N309">
        <v>1009</v>
      </c>
      <c r="O309" t="s">
        <v>100</v>
      </c>
      <c r="P309" t="s">
        <v>100</v>
      </c>
      <c r="Q309">
        <v>1000</v>
      </c>
      <c r="X309">
        <v>5.7000000000000002E-2</v>
      </c>
      <c r="Y309">
        <v>6143.8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5.7000000000000002E-2</v>
      </c>
      <c r="AH309">
        <v>2</v>
      </c>
      <c r="AI309">
        <v>16745894</v>
      </c>
      <c r="AJ309">
        <v>325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ROW(Source!A174)</f>
        <v>174</v>
      </c>
      <c r="B310">
        <v>16745907</v>
      </c>
      <c r="C310">
        <v>16745884</v>
      </c>
      <c r="D310">
        <v>15167803</v>
      </c>
      <c r="E310">
        <v>1</v>
      </c>
      <c r="F310">
        <v>1</v>
      </c>
      <c r="G310">
        <v>1</v>
      </c>
      <c r="H310">
        <v>3</v>
      </c>
      <c r="I310" t="s">
        <v>1595</v>
      </c>
      <c r="J310" t="s">
        <v>1596</v>
      </c>
      <c r="K310" t="s">
        <v>1597</v>
      </c>
      <c r="L310">
        <v>1348</v>
      </c>
      <c r="N310">
        <v>1009</v>
      </c>
      <c r="O310" t="s">
        <v>100</v>
      </c>
      <c r="P310" t="s">
        <v>100</v>
      </c>
      <c r="Q310">
        <v>1000</v>
      </c>
      <c r="X310">
        <v>0.125</v>
      </c>
      <c r="Y310">
        <v>688.8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0.125</v>
      </c>
      <c r="AH310">
        <v>2</v>
      </c>
      <c r="AI310">
        <v>16745895</v>
      </c>
      <c r="AJ310">
        <v>326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ROW(Source!A174)</f>
        <v>174</v>
      </c>
      <c r="B311">
        <v>16745908</v>
      </c>
      <c r="C311">
        <v>16745884</v>
      </c>
      <c r="D311">
        <v>15171018</v>
      </c>
      <c r="E311">
        <v>1</v>
      </c>
      <c r="F311">
        <v>1</v>
      </c>
      <c r="G311">
        <v>1</v>
      </c>
      <c r="H311">
        <v>3</v>
      </c>
      <c r="I311" t="s">
        <v>1431</v>
      </c>
      <c r="J311" t="s">
        <v>1432</v>
      </c>
      <c r="K311" t="s">
        <v>1433</v>
      </c>
      <c r="L311">
        <v>1346</v>
      </c>
      <c r="N311">
        <v>1009</v>
      </c>
      <c r="O311" t="s">
        <v>341</v>
      </c>
      <c r="P311" t="s">
        <v>341</v>
      </c>
      <c r="Q311">
        <v>1</v>
      </c>
      <c r="X311">
        <v>0.5</v>
      </c>
      <c r="Y311">
        <v>1.82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0.5</v>
      </c>
      <c r="AH311">
        <v>2</v>
      </c>
      <c r="AI311">
        <v>16745896</v>
      </c>
      <c r="AJ311">
        <v>327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ROW(Source!A175)</f>
        <v>175</v>
      </c>
      <c r="B312">
        <v>16745919</v>
      </c>
      <c r="C312">
        <v>16745909</v>
      </c>
      <c r="D312">
        <v>15432356</v>
      </c>
      <c r="E312">
        <v>1</v>
      </c>
      <c r="F312">
        <v>1</v>
      </c>
      <c r="G312">
        <v>1</v>
      </c>
      <c r="H312">
        <v>1</v>
      </c>
      <c r="I312" t="s">
        <v>1598</v>
      </c>
      <c r="J312" t="s">
        <v>6</v>
      </c>
      <c r="K312" t="s">
        <v>1599</v>
      </c>
      <c r="L312">
        <v>1191</v>
      </c>
      <c r="N312">
        <v>1013</v>
      </c>
      <c r="O312" t="s">
        <v>1287</v>
      </c>
      <c r="P312" t="s">
        <v>1287</v>
      </c>
      <c r="Q312">
        <v>1</v>
      </c>
      <c r="X312">
        <v>42.4</v>
      </c>
      <c r="Y312">
        <v>0</v>
      </c>
      <c r="Z312">
        <v>0</v>
      </c>
      <c r="AA312">
        <v>0</v>
      </c>
      <c r="AB312">
        <v>8.31</v>
      </c>
      <c r="AC312">
        <v>0</v>
      </c>
      <c r="AD312">
        <v>1</v>
      </c>
      <c r="AE312">
        <v>1</v>
      </c>
      <c r="AF312" t="s">
        <v>188</v>
      </c>
      <c r="AG312">
        <v>48.76</v>
      </c>
      <c r="AH312">
        <v>2</v>
      </c>
      <c r="AI312">
        <v>16745910</v>
      </c>
      <c r="AJ312">
        <v>328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ROW(Source!A175)</f>
        <v>175</v>
      </c>
      <c r="B313">
        <v>16745920</v>
      </c>
      <c r="C313">
        <v>16745909</v>
      </c>
      <c r="D313">
        <v>15430395</v>
      </c>
      <c r="E313">
        <v>1</v>
      </c>
      <c r="F313">
        <v>1</v>
      </c>
      <c r="G313">
        <v>1</v>
      </c>
      <c r="H313">
        <v>1</v>
      </c>
      <c r="I313" t="s">
        <v>1293</v>
      </c>
      <c r="J313" t="s">
        <v>6</v>
      </c>
      <c r="K313" t="s">
        <v>1294</v>
      </c>
      <c r="L313">
        <v>1191</v>
      </c>
      <c r="N313">
        <v>1013</v>
      </c>
      <c r="O313" t="s">
        <v>1287</v>
      </c>
      <c r="P313" t="s">
        <v>1287</v>
      </c>
      <c r="Q313">
        <v>1</v>
      </c>
      <c r="X313">
        <v>0.85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2</v>
      </c>
      <c r="AF313" t="s">
        <v>187</v>
      </c>
      <c r="AG313">
        <v>1.0625</v>
      </c>
      <c r="AH313">
        <v>2</v>
      </c>
      <c r="AI313">
        <v>16745911</v>
      </c>
      <c r="AJ313">
        <v>329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ROW(Source!A175)</f>
        <v>175</v>
      </c>
      <c r="B314">
        <v>16745921</v>
      </c>
      <c r="C314">
        <v>16745909</v>
      </c>
      <c r="D314">
        <v>15247974</v>
      </c>
      <c r="E314">
        <v>1</v>
      </c>
      <c r="F314">
        <v>1</v>
      </c>
      <c r="G314">
        <v>1</v>
      </c>
      <c r="H314">
        <v>2</v>
      </c>
      <c r="I314" t="s">
        <v>1314</v>
      </c>
      <c r="J314" t="s">
        <v>1315</v>
      </c>
      <c r="K314" t="s">
        <v>1316</v>
      </c>
      <c r="L314">
        <v>1368</v>
      </c>
      <c r="N314">
        <v>1011</v>
      </c>
      <c r="O314" t="s">
        <v>1298</v>
      </c>
      <c r="P314" t="s">
        <v>1298</v>
      </c>
      <c r="Q314">
        <v>1</v>
      </c>
      <c r="X314">
        <v>0.35</v>
      </c>
      <c r="Y314">
        <v>0</v>
      </c>
      <c r="Z314">
        <v>31.26</v>
      </c>
      <c r="AA314">
        <v>13.5</v>
      </c>
      <c r="AB314">
        <v>0</v>
      </c>
      <c r="AC314">
        <v>0</v>
      </c>
      <c r="AD314">
        <v>1</v>
      </c>
      <c r="AE314">
        <v>0</v>
      </c>
      <c r="AF314" t="s">
        <v>187</v>
      </c>
      <c r="AG314">
        <v>0.4375</v>
      </c>
      <c r="AH314">
        <v>2</v>
      </c>
      <c r="AI314">
        <v>16745912</v>
      </c>
      <c r="AJ314">
        <v>330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ROW(Source!A175)</f>
        <v>175</v>
      </c>
      <c r="B315">
        <v>16745922</v>
      </c>
      <c r="C315">
        <v>16745909</v>
      </c>
      <c r="D315">
        <v>15249073</v>
      </c>
      <c r="E315">
        <v>1</v>
      </c>
      <c r="F315">
        <v>1</v>
      </c>
      <c r="G315">
        <v>1</v>
      </c>
      <c r="H315">
        <v>2</v>
      </c>
      <c r="I315" t="s">
        <v>1299</v>
      </c>
      <c r="J315" t="s">
        <v>1300</v>
      </c>
      <c r="K315" t="s">
        <v>1301</v>
      </c>
      <c r="L315">
        <v>1368</v>
      </c>
      <c r="N315">
        <v>1011</v>
      </c>
      <c r="O315" t="s">
        <v>1298</v>
      </c>
      <c r="P315" t="s">
        <v>1298</v>
      </c>
      <c r="Q315">
        <v>1</v>
      </c>
      <c r="X315">
        <v>0.5</v>
      </c>
      <c r="Y315">
        <v>0</v>
      </c>
      <c r="Z315">
        <v>65.709999999999994</v>
      </c>
      <c r="AA315">
        <v>11.6</v>
      </c>
      <c r="AB315">
        <v>0</v>
      </c>
      <c r="AC315">
        <v>0</v>
      </c>
      <c r="AD315">
        <v>1</v>
      </c>
      <c r="AE315">
        <v>0</v>
      </c>
      <c r="AF315" t="s">
        <v>187</v>
      </c>
      <c r="AG315">
        <v>0.625</v>
      </c>
      <c r="AH315">
        <v>2</v>
      </c>
      <c r="AI315">
        <v>16745913</v>
      </c>
      <c r="AJ315">
        <v>331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ROW(Source!A175)</f>
        <v>175</v>
      </c>
      <c r="B316">
        <v>16745923</v>
      </c>
      <c r="C316">
        <v>16745909</v>
      </c>
      <c r="D316">
        <v>15162736</v>
      </c>
      <c r="E316">
        <v>17</v>
      </c>
      <c r="F316">
        <v>1</v>
      </c>
      <c r="G316">
        <v>1</v>
      </c>
      <c r="H316">
        <v>3</v>
      </c>
      <c r="I316" t="s">
        <v>536</v>
      </c>
      <c r="J316" t="s">
        <v>6</v>
      </c>
      <c r="K316" t="s">
        <v>537</v>
      </c>
      <c r="L316">
        <v>1327</v>
      </c>
      <c r="N316">
        <v>1005</v>
      </c>
      <c r="O316" t="s">
        <v>193</v>
      </c>
      <c r="P316" t="s">
        <v>193</v>
      </c>
      <c r="Q316">
        <v>1</v>
      </c>
      <c r="X316">
        <v>102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 t="s">
        <v>6</v>
      </c>
      <c r="AG316">
        <v>102</v>
      </c>
      <c r="AH316">
        <v>2</v>
      </c>
      <c r="AI316">
        <v>16745914</v>
      </c>
      <c r="AJ316">
        <v>332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ROW(Source!A175)</f>
        <v>175</v>
      </c>
      <c r="B317">
        <v>16745924</v>
      </c>
      <c r="C317">
        <v>16745909</v>
      </c>
      <c r="D317">
        <v>15171018</v>
      </c>
      <c r="E317">
        <v>1</v>
      </c>
      <c r="F317">
        <v>1</v>
      </c>
      <c r="G317">
        <v>1</v>
      </c>
      <c r="H317">
        <v>3</v>
      </c>
      <c r="I317" t="s">
        <v>1431</v>
      </c>
      <c r="J317" t="s">
        <v>1432</v>
      </c>
      <c r="K317" t="s">
        <v>1433</v>
      </c>
      <c r="L317">
        <v>1346</v>
      </c>
      <c r="N317">
        <v>1009</v>
      </c>
      <c r="O317" t="s">
        <v>341</v>
      </c>
      <c r="P317" t="s">
        <v>341</v>
      </c>
      <c r="Q317">
        <v>1</v>
      </c>
      <c r="X317">
        <v>0.5</v>
      </c>
      <c r="Y317">
        <v>1.82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0.5</v>
      </c>
      <c r="AH317">
        <v>2</v>
      </c>
      <c r="AI317">
        <v>16745915</v>
      </c>
      <c r="AJ317">
        <v>334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ROW(Source!A175)</f>
        <v>175</v>
      </c>
      <c r="B318">
        <v>16745925</v>
      </c>
      <c r="C318">
        <v>16745909</v>
      </c>
      <c r="D318">
        <v>15162257</v>
      </c>
      <c r="E318">
        <v>17</v>
      </c>
      <c r="F318">
        <v>1</v>
      </c>
      <c r="G318">
        <v>1</v>
      </c>
      <c r="H318">
        <v>3</v>
      </c>
      <c r="I318" t="s">
        <v>339</v>
      </c>
      <c r="J318" t="s">
        <v>6</v>
      </c>
      <c r="K318" t="s">
        <v>340</v>
      </c>
      <c r="L318">
        <v>1346</v>
      </c>
      <c r="N318">
        <v>1009</v>
      </c>
      <c r="O318" t="s">
        <v>341</v>
      </c>
      <c r="P318" t="s">
        <v>341</v>
      </c>
      <c r="Q318">
        <v>1</v>
      </c>
      <c r="X318">
        <v>50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6</v>
      </c>
      <c r="AG318">
        <v>50</v>
      </c>
      <c r="AH318">
        <v>2</v>
      </c>
      <c r="AI318">
        <v>16745916</v>
      </c>
      <c r="AJ318">
        <v>336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ROW(Source!A180)</f>
        <v>180</v>
      </c>
      <c r="B319">
        <v>16745938</v>
      </c>
      <c r="C319">
        <v>16745930</v>
      </c>
      <c r="D319">
        <v>15430397</v>
      </c>
      <c r="E319">
        <v>1</v>
      </c>
      <c r="F319">
        <v>1</v>
      </c>
      <c r="G319">
        <v>1</v>
      </c>
      <c r="H319">
        <v>1</v>
      </c>
      <c r="I319" t="s">
        <v>1323</v>
      </c>
      <c r="J319" t="s">
        <v>6</v>
      </c>
      <c r="K319" t="s">
        <v>1324</v>
      </c>
      <c r="L319">
        <v>1191</v>
      </c>
      <c r="N319">
        <v>1013</v>
      </c>
      <c r="O319" t="s">
        <v>1287</v>
      </c>
      <c r="P319" t="s">
        <v>1287</v>
      </c>
      <c r="Q319">
        <v>1</v>
      </c>
      <c r="X319">
        <v>25.61</v>
      </c>
      <c r="Y319">
        <v>0</v>
      </c>
      <c r="Z319">
        <v>0</v>
      </c>
      <c r="AA319">
        <v>0</v>
      </c>
      <c r="AB319">
        <v>9.4</v>
      </c>
      <c r="AC319">
        <v>0</v>
      </c>
      <c r="AD319">
        <v>1</v>
      </c>
      <c r="AE319">
        <v>1</v>
      </c>
      <c r="AF319" t="s">
        <v>188</v>
      </c>
      <c r="AG319">
        <v>29.451499999999996</v>
      </c>
      <c r="AH319">
        <v>2</v>
      </c>
      <c r="AI319">
        <v>16745931</v>
      </c>
      <c r="AJ319">
        <v>337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ROW(Source!A180)</f>
        <v>180</v>
      </c>
      <c r="B320">
        <v>16745939</v>
      </c>
      <c r="C320">
        <v>16745930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1293</v>
      </c>
      <c r="J320" t="s">
        <v>6</v>
      </c>
      <c r="K320" t="s">
        <v>1294</v>
      </c>
      <c r="L320">
        <v>1191</v>
      </c>
      <c r="N320">
        <v>1013</v>
      </c>
      <c r="O320" t="s">
        <v>1287</v>
      </c>
      <c r="P320" t="s">
        <v>1287</v>
      </c>
      <c r="Q320">
        <v>1</v>
      </c>
      <c r="X320">
        <v>0.1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187</v>
      </c>
      <c r="AG320">
        <v>0.125</v>
      </c>
      <c r="AH320">
        <v>2</v>
      </c>
      <c r="AI320">
        <v>16745932</v>
      </c>
      <c r="AJ320">
        <v>338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ROW(Source!A180)</f>
        <v>180</v>
      </c>
      <c r="B321">
        <v>16745940</v>
      </c>
      <c r="C321">
        <v>16745930</v>
      </c>
      <c r="D321">
        <v>15249073</v>
      </c>
      <c r="E321">
        <v>1</v>
      </c>
      <c r="F321">
        <v>1</v>
      </c>
      <c r="G321">
        <v>1</v>
      </c>
      <c r="H321">
        <v>2</v>
      </c>
      <c r="I321" t="s">
        <v>1299</v>
      </c>
      <c r="J321" t="s">
        <v>1300</v>
      </c>
      <c r="K321" t="s">
        <v>1301</v>
      </c>
      <c r="L321">
        <v>1368</v>
      </c>
      <c r="N321">
        <v>1011</v>
      </c>
      <c r="O321" t="s">
        <v>1298</v>
      </c>
      <c r="P321" t="s">
        <v>1298</v>
      </c>
      <c r="Q321">
        <v>1</v>
      </c>
      <c r="X321">
        <v>0.1</v>
      </c>
      <c r="Y321">
        <v>0</v>
      </c>
      <c r="Z321">
        <v>65.709999999999994</v>
      </c>
      <c r="AA321">
        <v>11.6</v>
      </c>
      <c r="AB321">
        <v>0</v>
      </c>
      <c r="AC321">
        <v>0</v>
      </c>
      <c r="AD321">
        <v>1</v>
      </c>
      <c r="AE321">
        <v>0</v>
      </c>
      <c r="AF321" t="s">
        <v>187</v>
      </c>
      <c r="AG321">
        <v>0.125</v>
      </c>
      <c r="AH321">
        <v>2</v>
      </c>
      <c r="AI321">
        <v>16745933</v>
      </c>
      <c r="AJ321">
        <v>339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ROW(Source!A180)</f>
        <v>180</v>
      </c>
      <c r="B322">
        <v>16745941</v>
      </c>
      <c r="C322">
        <v>16745930</v>
      </c>
      <c r="D322">
        <v>15162728</v>
      </c>
      <c r="E322">
        <v>17</v>
      </c>
      <c r="F322">
        <v>1</v>
      </c>
      <c r="G322">
        <v>1</v>
      </c>
      <c r="H322">
        <v>3</v>
      </c>
      <c r="I322" t="s">
        <v>552</v>
      </c>
      <c r="J322" t="s">
        <v>6</v>
      </c>
      <c r="K322" t="s">
        <v>553</v>
      </c>
      <c r="L322">
        <v>1327</v>
      </c>
      <c r="N322">
        <v>1005</v>
      </c>
      <c r="O322" t="s">
        <v>193</v>
      </c>
      <c r="P322" t="s">
        <v>193</v>
      </c>
      <c r="Q322">
        <v>1</v>
      </c>
      <c r="X322">
        <v>102.5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6</v>
      </c>
      <c r="AG322">
        <v>102.5</v>
      </c>
      <c r="AH322">
        <v>2</v>
      </c>
      <c r="AI322">
        <v>16745934</v>
      </c>
      <c r="AJ322">
        <v>340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ROW(Source!A180)</f>
        <v>180</v>
      </c>
      <c r="B323">
        <v>16745942</v>
      </c>
      <c r="C323">
        <v>16745930</v>
      </c>
      <c r="D323">
        <v>15197694</v>
      </c>
      <c r="E323">
        <v>1</v>
      </c>
      <c r="F323">
        <v>1</v>
      </c>
      <c r="G323">
        <v>1</v>
      </c>
      <c r="H323">
        <v>3</v>
      </c>
      <c r="I323" t="s">
        <v>1600</v>
      </c>
      <c r="J323" t="s">
        <v>1601</v>
      </c>
      <c r="K323" t="s">
        <v>1602</v>
      </c>
      <c r="L323">
        <v>1330</v>
      </c>
      <c r="N323">
        <v>1005</v>
      </c>
      <c r="O323" t="s">
        <v>1603</v>
      </c>
      <c r="P323" t="s">
        <v>1603</v>
      </c>
      <c r="Q323">
        <v>10</v>
      </c>
      <c r="X323">
        <v>10.5</v>
      </c>
      <c r="Y323">
        <v>34.9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10.5</v>
      </c>
      <c r="AH323">
        <v>2</v>
      </c>
      <c r="AI323">
        <v>16745935</v>
      </c>
      <c r="AJ323">
        <v>342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ROW(Source!A183)</f>
        <v>183</v>
      </c>
      <c r="B324">
        <v>16745953</v>
      </c>
      <c r="C324">
        <v>16745945</v>
      </c>
      <c r="D324">
        <v>15447742</v>
      </c>
      <c r="E324">
        <v>1</v>
      </c>
      <c r="F324">
        <v>1</v>
      </c>
      <c r="G324">
        <v>1</v>
      </c>
      <c r="H324">
        <v>1</v>
      </c>
      <c r="I324" t="s">
        <v>1604</v>
      </c>
      <c r="J324" t="s">
        <v>6</v>
      </c>
      <c r="K324" t="s">
        <v>1605</v>
      </c>
      <c r="L324">
        <v>1191</v>
      </c>
      <c r="N324">
        <v>1013</v>
      </c>
      <c r="O324" t="s">
        <v>1287</v>
      </c>
      <c r="P324" t="s">
        <v>1287</v>
      </c>
      <c r="Q324">
        <v>1</v>
      </c>
      <c r="X324">
        <v>9.01</v>
      </c>
      <c r="Y324">
        <v>0</v>
      </c>
      <c r="Z324">
        <v>0</v>
      </c>
      <c r="AA324">
        <v>0</v>
      </c>
      <c r="AB324">
        <v>9.76</v>
      </c>
      <c r="AC324">
        <v>0</v>
      </c>
      <c r="AD324">
        <v>1</v>
      </c>
      <c r="AE324">
        <v>1</v>
      </c>
      <c r="AF324" t="s">
        <v>188</v>
      </c>
      <c r="AG324">
        <v>10.361499999999999</v>
      </c>
      <c r="AH324">
        <v>2</v>
      </c>
      <c r="AI324">
        <v>16745946</v>
      </c>
      <c r="AJ324">
        <v>343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ROW(Source!A183)</f>
        <v>183</v>
      </c>
      <c r="B325">
        <v>16745954</v>
      </c>
      <c r="C325">
        <v>16745945</v>
      </c>
      <c r="D325">
        <v>15430395</v>
      </c>
      <c r="E325">
        <v>1</v>
      </c>
      <c r="F325">
        <v>1</v>
      </c>
      <c r="G325">
        <v>1</v>
      </c>
      <c r="H325">
        <v>1</v>
      </c>
      <c r="I325" t="s">
        <v>1293</v>
      </c>
      <c r="J325" t="s">
        <v>6</v>
      </c>
      <c r="K325" t="s">
        <v>1294</v>
      </c>
      <c r="L325">
        <v>1191</v>
      </c>
      <c r="N325">
        <v>1013</v>
      </c>
      <c r="O325" t="s">
        <v>1287</v>
      </c>
      <c r="P325" t="s">
        <v>1287</v>
      </c>
      <c r="Q325">
        <v>1</v>
      </c>
      <c r="X325">
        <v>0.04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2</v>
      </c>
      <c r="AF325" t="s">
        <v>187</v>
      </c>
      <c r="AG325">
        <v>0.05</v>
      </c>
      <c r="AH325">
        <v>2</v>
      </c>
      <c r="AI325">
        <v>16745947</v>
      </c>
      <c r="AJ325">
        <v>344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ROW(Source!A183)</f>
        <v>183</v>
      </c>
      <c r="B326">
        <v>16745955</v>
      </c>
      <c r="C326">
        <v>16745945</v>
      </c>
      <c r="D326">
        <v>15247974</v>
      </c>
      <c r="E326">
        <v>1</v>
      </c>
      <c r="F326">
        <v>1</v>
      </c>
      <c r="G326">
        <v>1</v>
      </c>
      <c r="H326">
        <v>2</v>
      </c>
      <c r="I326" t="s">
        <v>1314</v>
      </c>
      <c r="J326" t="s">
        <v>1315</v>
      </c>
      <c r="K326" t="s">
        <v>1316</v>
      </c>
      <c r="L326">
        <v>1368</v>
      </c>
      <c r="N326">
        <v>1011</v>
      </c>
      <c r="O326" t="s">
        <v>1298</v>
      </c>
      <c r="P326" t="s">
        <v>1298</v>
      </c>
      <c r="Q326">
        <v>1</v>
      </c>
      <c r="X326">
        <v>5.0000000000000001E-3</v>
      </c>
      <c r="Y326">
        <v>0</v>
      </c>
      <c r="Z326">
        <v>31.26</v>
      </c>
      <c r="AA326">
        <v>13.5</v>
      </c>
      <c r="AB326">
        <v>0</v>
      </c>
      <c r="AC326">
        <v>0</v>
      </c>
      <c r="AD326">
        <v>1</v>
      </c>
      <c r="AE326">
        <v>0</v>
      </c>
      <c r="AF326" t="s">
        <v>187</v>
      </c>
      <c r="AG326">
        <v>6.2500000000000003E-3</v>
      </c>
      <c r="AH326">
        <v>2</v>
      </c>
      <c r="AI326">
        <v>16745948</v>
      </c>
      <c r="AJ326">
        <v>345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ROW(Source!A183)</f>
        <v>183</v>
      </c>
      <c r="B327">
        <v>16745956</v>
      </c>
      <c r="C327">
        <v>16745945</v>
      </c>
      <c r="D327">
        <v>15249073</v>
      </c>
      <c r="E327">
        <v>1</v>
      </c>
      <c r="F327">
        <v>1</v>
      </c>
      <c r="G327">
        <v>1</v>
      </c>
      <c r="H327">
        <v>2</v>
      </c>
      <c r="I327" t="s">
        <v>1299</v>
      </c>
      <c r="J327" t="s">
        <v>1300</v>
      </c>
      <c r="K327" t="s">
        <v>1301</v>
      </c>
      <c r="L327">
        <v>1368</v>
      </c>
      <c r="N327">
        <v>1011</v>
      </c>
      <c r="O327" t="s">
        <v>1298</v>
      </c>
      <c r="P327" t="s">
        <v>1298</v>
      </c>
      <c r="Q327">
        <v>1</v>
      </c>
      <c r="X327">
        <v>0.03</v>
      </c>
      <c r="Y327">
        <v>0</v>
      </c>
      <c r="Z327">
        <v>65.709999999999994</v>
      </c>
      <c r="AA327">
        <v>11.6</v>
      </c>
      <c r="AB327">
        <v>0</v>
      </c>
      <c r="AC327">
        <v>0</v>
      </c>
      <c r="AD327">
        <v>1</v>
      </c>
      <c r="AE327">
        <v>0</v>
      </c>
      <c r="AF327" t="s">
        <v>187</v>
      </c>
      <c r="AG327">
        <v>3.7499999999999999E-2</v>
      </c>
      <c r="AH327">
        <v>2</v>
      </c>
      <c r="AI327">
        <v>16745949</v>
      </c>
      <c r="AJ327">
        <v>346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ROW(Source!A183)</f>
        <v>183</v>
      </c>
      <c r="B328">
        <v>16745957</v>
      </c>
      <c r="C328">
        <v>16745945</v>
      </c>
      <c r="D328">
        <v>15162756</v>
      </c>
      <c r="E328">
        <v>17</v>
      </c>
      <c r="F328">
        <v>1</v>
      </c>
      <c r="G328">
        <v>1</v>
      </c>
      <c r="H328">
        <v>3</v>
      </c>
      <c r="I328" t="s">
        <v>563</v>
      </c>
      <c r="J328" t="s">
        <v>6</v>
      </c>
      <c r="K328" t="s">
        <v>564</v>
      </c>
      <c r="L328">
        <v>1301</v>
      </c>
      <c r="N328">
        <v>1003</v>
      </c>
      <c r="O328" t="s">
        <v>220</v>
      </c>
      <c r="P328" t="s">
        <v>220</v>
      </c>
      <c r="Q328">
        <v>1</v>
      </c>
      <c r="X328">
        <v>101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 t="s">
        <v>6</v>
      </c>
      <c r="AG328">
        <v>101</v>
      </c>
      <c r="AH328">
        <v>2</v>
      </c>
      <c r="AI328">
        <v>16745950</v>
      </c>
      <c r="AJ328">
        <v>347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ROW(Source!A183)</f>
        <v>183</v>
      </c>
      <c r="B329">
        <v>16745958</v>
      </c>
      <c r="C329">
        <v>16745945</v>
      </c>
      <c r="D329">
        <v>15204415</v>
      </c>
      <c r="E329">
        <v>1</v>
      </c>
      <c r="F329">
        <v>1</v>
      </c>
      <c r="G329">
        <v>1</v>
      </c>
      <c r="H329">
        <v>3</v>
      </c>
      <c r="I329" t="s">
        <v>1606</v>
      </c>
      <c r="J329" t="s">
        <v>1607</v>
      </c>
      <c r="K329" t="s">
        <v>1608</v>
      </c>
      <c r="L329">
        <v>1346</v>
      </c>
      <c r="N329">
        <v>1009</v>
      </c>
      <c r="O329" t="s">
        <v>341</v>
      </c>
      <c r="P329" t="s">
        <v>341</v>
      </c>
      <c r="Q329">
        <v>1</v>
      </c>
      <c r="X329">
        <v>5.15</v>
      </c>
      <c r="Y329">
        <v>8.36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5.15</v>
      </c>
      <c r="AH329">
        <v>2</v>
      </c>
      <c r="AI329">
        <v>16745951</v>
      </c>
      <c r="AJ329">
        <v>349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ROW(Source!A186)</f>
        <v>186</v>
      </c>
      <c r="B330">
        <v>16745968</v>
      </c>
      <c r="C330">
        <v>16745961</v>
      </c>
      <c r="D330">
        <v>15435721</v>
      </c>
      <c r="E330">
        <v>1</v>
      </c>
      <c r="F330">
        <v>1</v>
      </c>
      <c r="G330">
        <v>1</v>
      </c>
      <c r="H330">
        <v>1</v>
      </c>
      <c r="I330" t="s">
        <v>1609</v>
      </c>
      <c r="J330" t="s">
        <v>6</v>
      </c>
      <c r="K330" t="s">
        <v>1610</v>
      </c>
      <c r="L330">
        <v>1191</v>
      </c>
      <c r="N330">
        <v>1013</v>
      </c>
      <c r="O330" t="s">
        <v>1287</v>
      </c>
      <c r="P330" t="s">
        <v>1287</v>
      </c>
      <c r="Q330">
        <v>1</v>
      </c>
      <c r="X330">
        <v>23.82</v>
      </c>
      <c r="Y330">
        <v>0</v>
      </c>
      <c r="Z330">
        <v>0</v>
      </c>
      <c r="AA330">
        <v>0</v>
      </c>
      <c r="AB330">
        <v>9.51</v>
      </c>
      <c r="AC330">
        <v>0</v>
      </c>
      <c r="AD330">
        <v>1</v>
      </c>
      <c r="AE330">
        <v>1</v>
      </c>
      <c r="AF330" t="s">
        <v>188</v>
      </c>
      <c r="AG330">
        <v>27.392999999999997</v>
      </c>
      <c r="AH330">
        <v>2</v>
      </c>
      <c r="AI330">
        <v>16745962</v>
      </c>
      <c r="AJ330">
        <v>350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ROW(Source!A186)</f>
        <v>186</v>
      </c>
      <c r="B331">
        <v>16745969</v>
      </c>
      <c r="C331">
        <v>16745961</v>
      </c>
      <c r="D331">
        <v>15430395</v>
      </c>
      <c r="E331">
        <v>1</v>
      </c>
      <c r="F331">
        <v>1</v>
      </c>
      <c r="G331">
        <v>1</v>
      </c>
      <c r="H331">
        <v>1</v>
      </c>
      <c r="I331" t="s">
        <v>1293</v>
      </c>
      <c r="J331" t="s">
        <v>6</v>
      </c>
      <c r="K331" t="s">
        <v>1294</v>
      </c>
      <c r="L331">
        <v>1191</v>
      </c>
      <c r="N331">
        <v>1013</v>
      </c>
      <c r="O331" t="s">
        <v>1287</v>
      </c>
      <c r="P331" t="s">
        <v>1287</v>
      </c>
      <c r="Q331">
        <v>1</v>
      </c>
      <c r="X331">
        <v>0.11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187</v>
      </c>
      <c r="AG331">
        <v>0.13750000000000001</v>
      </c>
      <c r="AH331">
        <v>2</v>
      </c>
      <c r="AI331">
        <v>16745963</v>
      </c>
      <c r="AJ331">
        <v>351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ROW(Source!A186)</f>
        <v>186</v>
      </c>
      <c r="B332">
        <v>16745970</v>
      </c>
      <c r="C332">
        <v>16745961</v>
      </c>
      <c r="D332">
        <v>15247974</v>
      </c>
      <c r="E332">
        <v>1</v>
      </c>
      <c r="F332">
        <v>1</v>
      </c>
      <c r="G332">
        <v>1</v>
      </c>
      <c r="H332">
        <v>2</v>
      </c>
      <c r="I332" t="s">
        <v>1314</v>
      </c>
      <c r="J332" t="s">
        <v>1315</v>
      </c>
      <c r="K332" t="s">
        <v>1316</v>
      </c>
      <c r="L332">
        <v>1368</v>
      </c>
      <c r="N332">
        <v>1011</v>
      </c>
      <c r="O332" t="s">
        <v>1298</v>
      </c>
      <c r="P332" t="s">
        <v>1298</v>
      </c>
      <c r="Q332">
        <v>1</v>
      </c>
      <c r="X332">
        <v>0.05</v>
      </c>
      <c r="Y332">
        <v>0</v>
      </c>
      <c r="Z332">
        <v>31.26</v>
      </c>
      <c r="AA332">
        <v>13.5</v>
      </c>
      <c r="AB332">
        <v>0</v>
      </c>
      <c r="AC332">
        <v>0</v>
      </c>
      <c r="AD332">
        <v>1</v>
      </c>
      <c r="AE332">
        <v>0</v>
      </c>
      <c r="AF332" t="s">
        <v>187</v>
      </c>
      <c r="AG332">
        <v>6.25E-2</v>
      </c>
      <c r="AH332">
        <v>2</v>
      </c>
      <c r="AI332">
        <v>16745964</v>
      </c>
      <c r="AJ332">
        <v>352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ROW(Source!A186)</f>
        <v>186</v>
      </c>
      <c r="B333">
        <v>16745971</v>
      </c>
      <c r="C333">
        <v>16745961</v>
      </c>
      <c r="D333">
        <v>15249073</v>
      </c>
      <c r="E333">
        <v>1</v>
      </c>
      <c r="F333">
        <v>1</v>
      </c>
      <c r="G333">
        <v>1</v>
      </c>
      <c r="H333">
        <v>2</v>
      </c>
      <c r="I333" t="s">
        <v>1299</v>
      </c>
      <c r="J333" t="s">
        <v>1300</v>
      </c>
      <c r="K333" t="s">
        <v>1301</v>
      </c>
      <c r="L333">
        <v>1368</v>
      </c>
      <c r="N333">
        <v>1011</v>
      </c>
      <c r="O333" t="s">
        <v>1298</v>
      </c>
      <c r="P333" t="s">
        <v>1298</v>
      </c>
      <c r="Q333">
        <v>1</v>
      </c>
      <c r="X333">
        <v>0.06</v>
      </c>
      <c r="Y333">
        <v>0</v>
      </c>
      <c r="Z333">
        <v>65.709999999999994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187</v>
      </c>
      <c r="AG333">
        <v>7.4999999999999997E-2</v>
      </c>
      <c r="AH333">
        <v>2</v>
      </c>
      <c r="AI333">
        <v>16745965</v>
      </c>
      <c r="AJ333">
        <v>353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ROW(Source!A186)</f>
        <v>186</v>
      </c>
      <c r="B334">
        <v>16745972</v>
      </c>
      <c r="C334">
        <v>16745961</v>
      </c>
      <c r="D334">
        <v>15161703</v>
      </c>
      <c r="E334">
        <v>17</v>
      </c>
      <c r="F334">
        <v>1</v>
      </c>
      <c r="G334">
        <v>1</v>
      </c>
      <c r="H334">
        <v>3</v>
      </c>
      <c r="I334" t="s">
        <v>505</v>
      </c>
      <c r="J334" t="s">
        <v>6</v>
      </c>
      <c r="K334" t="s">
        <v>506</v>
      </c>
      <c r="L334">
        <v>1339</v>
      </c>
      <c r="N334">
        <v>1007</v>
      </c>
      <c r="O334" t="s">
        <v>301</v>
      </c>
      <c r="P334" t="s">
        <v>301</v>
      </c>
      <c r="Q334">
        <v>1</v>
      </c>
      <c r="X334">
        <v>0.16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 t="s">
        <v>6</v>
      </c>
      <c r="AG334">
        <v>0.16</v>
      </c>
      <c r="AH334">
        <v>3</v>
      </c>
      <c r="AI334">
        <v>-1</v>
      </c>
      <c r="AJ334" t="s">
        <v>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ROW(Source!A186)</f>
        <v>186</v>
      </c>
      <c r="B335">
        <v>16745973</v>
      </c>
      <c r="C335">
        <v>16745961</v>
      </c>
      <c r="D335">
        <v>15162753</v>
      </c>
      <c r="E335">
        <v>17</v>
      </c>
      <c r="F335">
        <v>1</v>
      </c>
      <c r="G335">
        <v>1</v>
      </c>
      <c r="H335">
        <v>3</v>
      </c>
      <c r="I335" t="s">
        <v>574</v>
      </c>
      <c r="J335" t="s">
        <v>6</v>
      </c>
      <c r="K335" t="s">
        <v>575</v>
      </c>
      <c r="L335">
        <v>1301</v>
      </c>
      <c r="N335">
        <v>1003</v>
      </c>
      <c r="O335" t="s">
        <v>220</v>
      </c>
      <c r="P335" t="s">
        <v>220</v>
      </c>
      <c r="Q335">
        <v>1</v>
      </c>
      <c r="X335">
        <v>101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 t="s">
        <v>6</v>
      </c>
      <c r="AG335">
        <v>101</v>
      </c>
      <c r="AH335">
        <v>2</v>
      </c>
      <c r="AI335">
        <v>16745966</v>
      </c>
      <c r="AJ335">
        <v>354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ROW(Source!A189)</f>
        <v>189</v>
      </c>
      <c r="B336">
        <v>16745982</v>
      </c>
      <c r="C336">
        <v>16745976</v>
      </c>
      <c r="D336">
        <v>15436014</v>
      </c>
      <c r="E336">
        <v>1</v>
      </c>
      <c r="F336">
        <v>1</v>
      </c>
      <c r="G336">
        <v>1</v>
      </c>
      <c r="H336">
        <v>1</v>
      </c>
      <c r="I336" t="s">
        <v>1388</v>
      </c>
      <c r="J336" t="s">
        <v>6</v>
      </c>
      <c r="K336" t="s">
        <v>1389</v>
      </c>
      <c r="L336">
        <v>1191</v>
      </c>
      <c r="N336">
        <v>1013</v>
      </c>
      <c r="O336" t="s">
        <v>1287</v>
      </c>
      <c r="P336" t="s">
        <v>1287</v>
      </c>
      <c r="Q336">
        <v>1</v>
      </c>
      <c r="X336">
        <v>16.64</v>
      </c>
      <c r="Y336">
        <v>0</v>
      </c>
      <c r="Z336">
        <v>0</v>
      </c>
      <c r="AA336">
        <v>0</v>
      </c>
      <c r="AB336">
        <v>8.74</v>
      </c>
      <c r="AC336">
        <v>0</v>
      </c>
      <c r="AD336">
        <v>1</v>
      </c>
      <c r="AE336">
        <v>1</v>
      </c>
      <c r="AF336" t="s">
        <v>188</v>
      </c>
      <c r="AG336">
        <v>19.135999999999999</v>
      </c>
      <c r="AH336">
        <v>2</v>
      </c>
      <c r="AI336">
        <v>16745977</v>
      </c>
      <c r="AJ336">
        <v>356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ROW(Source!A189)</f>
        <v>189</v>
      </c>
      <c r="B337">
        <v>16745983</v>
      </c>
      <c r="C337">
        <v>16745976</v>
      </c>
      <c r="D337">
        <v>15169972</v>
      </c>
      <c r="E337">
        <v>1</v>
      </c>
      <c r="F337">
        <v>1</v>
      </c>
      <c r="G337">
        <v>1</v>
      </c>
      <c r="H337">
        <v>3</v>
      </c>
      <c r="I337" t="s">
        <v>1611</v>
      </c>
      <c r="J337" t="s">
        <v>1612</v>
      </c>
      <c r="K337" t="s">
        <v>1613</v>
      </c>
      <c r="L337">
        <v>1355</v>
      </c>
      <c r="N337">
        <v>1010</v>
      </c>
      <c r="O337" t="s">
        <v>843</v>
      </c>
      <c r="P337" t="s">
        <v>843</v>
      </c>
      <c r="Q337">
        <v>100</v>
      </c>
      <c r="X337">
        <v>6.7</v>
      </c>
      <c r="Y337">
        <v>12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6.7</v>
      </c>
      <c r="AH337">
        <v>2</v>
      </c>
      <c r="AI337">
        <v>16745978</v>
      </c>
      <c r="AJ337">
        <v>357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ROW(Source!A189)</f>
        <v>189</v>
      </c>
      <c r="B338">
        <v>16745984</v>
      </c>
      <c r="C338">
        <v>16745976</v>
      </c>
      <c r="D338">
        <v>15162775</v>
      </c>
      <c r="E338">
        <v>17</v>
      </c>
      <c r="F338">
        <v>1</v>
      </c>
      <c r="G338">
        <v>1</v>
      </c>
      <c r="H338">
        <v>3</v>
      </c>
      <c r="I338" t="s">
        <v>589</v>
      </c>
      <c r="J338" t="s">
        <v>6</v>
      </c>
      <c r="K338" t="s">
        <v>590</v>
      </c>
      <c r="L338">
        <v>1301</v>
      </c>
      <c r="N338">
        <v>1003</v>
      </c>
      <c r="O338" t="s">
        <v>220</v>
      </c>
      <c r="P338" t="s">
        <v>220</v>
      </c>
      <c r="Q338">
        <v>1</v>
      </c>
      <c r="X338">
        <v>105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105</v>
      </c>
      <c r="AH338">
        <v>2</v>
      </c>
      <c r="AI338">
        <v>16745979</v>
      </c>
      <c r="AJ338">
        <v>358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ROW(Source!A193)</f>
        <v>193</v>
      </c>
      <c r="B339">
        <v>16745994</v>
      </c>
      <c r="C339">
        <v>16745988</v>
      </c>
      <c r="D339">
        <v>15430397</v>
      </c>
      <c r="E339">
        <v>1</v>
      </c>
      <c r="F339">
        <v>1</v>
      </c>
      <c r="G339">
        <v>1</v>
      </c>
      <c r="H339">
        <v>1</v>
      </c>
      <c r="I339" t="s">
        <v>1323</v>
      </c>
      <c r="J339" t="s">
        <v>6</v>
      </c>
      <c r="K339" t="s">
        <v>1324</v>
      </c>
      <c r="L339">
        <v>1191</v>
      </c>
      <c r="N339">
        <v>1013</v>
      </c>
      <c r="O339" t="s">
        <v>1287</v>
      </c>
      <c r="P339" t="s">
        <v>1287</v>
      </c>
      <c r="Q339">
        <v>1</v>
      </c>
      <c r="X339">
        <v>102.46</v>
      </c>
      <c r="Y339">
        <v>0</v>
      </c>
      <c r="Z339">
        <v>0</v>
      </c>
      <c r="AA339">
        <v>0</v>
      </c>
      <c r="AB339">
        <v>9.4</v>
      </c>
      <c r="AC339">
        <v>0</v>
      </c>
      <c r="AD339">
        <v>1</v>
      </c>
      <c r="AE339">
        <v>1</v>
      </c>
      <c r="AF339" t="s">
        <v>188</v>
      </c>
      <c r="AG339">
        <v>117.82899999999998</v>
      </c>
      <c r="AH339">
        <v>2</v>
      </c>
      <c r="AI339">
        <v>16745989</v>
      </c>
      <c r="AJ339">
        <v>361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ROW(Source!A193)</f>
        <v>193</v>
      </c>
      <c r="B340">
        <v>16745995</v>
      </c>
      <c r="C340">
        <v>16745988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1293</v>
      </c>
      <c r="J340" t="s">
        <v>6</v>
      </c>
      <c r="K340" t="s">
        <v>1294</v>
      </c>
      <c r="L340">
        <v>1191</v>
      </c>
      <c r="N340">
        <v>1013</v>
      </c>
      <c r="O340" t="s">
        <v>1287</v>
      </c>
      <c r="P340" t="s">
        <v>1287</v>
      </c>
      <c r="Q340">
        <v>1</v>
      </c>
      <c r="X340">
        <v>5.34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187</v>
      </c>
      <c r="AG340">
        <v>6.6749999999999998</v>
      </c>
      <c r="AH340">
        <v>2</v>
      </c>
      <c r="AI340">
        <v>16745990</v>
      </c>
      <c r="AJ340">
        <v>362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ROW(Source!A193)</f>
        <v>193</v>
      </c>
      <c r="B341">
        <v>16745996</v>
      </c>
      <c r="C341">
        <v>16745988</v>
      </c>
      <c r="D341">
        <v>15247974</v>
      </c>
      <c r="E341">
        <v>1</v>
      </c>
      <c r="F341">
        <v>1</v>
      </c>
      <c r="G341">
        <v>1</v>
      </c>
      <c r="H341">
        <v>2</v>
      </c>
      <c r="I341" t="s">
        <v>1314</v>
      </c>
      <c r="J341" t="s">
        <v>1315</v>
      </c>
      <c r="K341" t="s">
        <v>1316</v>
      </c>
      <c r="L341">
        <v>1368</v>
      </c>
      <c r="N341">
        <v>1011</v>
      </c>
      <c r="O341" t="s">
        <v>1298</v>
      </c>
      <c r="P341" t="s">
        <v>1298</v>
      </c>
      <c r="Q341">
        <v>1</v>
      </c>
      <c r="X341">
        <v>0.76</v>
      </c>
      <c r="Y341">
        <v>0</v>
      </c>
      <c r="Z341">
        <v>31.26</v>
      </c>
      <c r="AA341">
        <v>13.5</v>
      </c>
      <c r="AB341">
        <v>0</v>
      </c>
      <c r="AC341">
        <v>0</v>
      </c>
      <c r="AD341">
        <v>1</v>
      </c>
      <c r="AE341">
        <v>0</v>
      </c>
      <c r="AF341" t="s">
        <v>187</v>
      </c>
      <c r="AG341">
        <v>0.95</v>
      </c>
      <c r="AH341">
        <v>2</v>
      </c>
      <c r="AI341">
        <v>16745991</v>
      </c>
      <c r="AJ341">
        <v>363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ROW(Source!A193)</f>
        <v>193</v>
      </c>
      <c r="B342">
        <v>16745997</v>
      </c>
      <c r="C342">
        <v>16745988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1299</v>
      </c>
      <c r="J342" t="s">
        <v>1300</v>
      </c>
      <c r="K342" t="s">
        <v>1301</v>
      </c>
      <c r="L342">
        <v>1368</v>
      </c>
      <c r="N342">
        <v>1011</v>
      </c>
      <c r="O342" t="s">
        <v>1298</v>
      </c>
      <c r="P342" t="s">
        <v>1298</v>
      </c>
      <c r="Q342">
        <v>1</v>
      </c>
      <c r="X342">
        <v>4.58</v>
      </c>
      <c r="Y342">
        <v>0</v>
      </c>
      <c r="Z342">
        <v>65.709999999999994</v>
      </c>
      <c r="AA342">
        <v>11.6</v>
      </c>
      <c r="AB342">
        <v>0</v>
      </c>
      <c r="AC342">
        <v>0</v>
      </c>
      <c r="AD342">
        <v>1</v>
      </c>
      <c r="AE342">
        <v>0</v>
      </c>
      <c r="AF342" t="s">
        <v>187</v>
      </c>
      <c r="AG342">
        <v>5.7249999999999996</v>
      </c>
      <c r="AH342">
        <v>2</v>
      </c>
      <c r="AI342">
        <v>16745992</v>
      </c>
      <c r="AJ342">
        <v>364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ROW(Source!A193)</f>
        <v>193</v>
      </c>
      <c r="B343">
        <v>16745998</v>
      </c>
      <c r="C343">
        <v>16745988</v>
      </c>
      <c r="D343">
        <v>15167143</v>
      </c>
      <c r="E343">
        <v>1</v>
      </c>
      <c r="F343">
        <v>1</v>
      </c>
      <c r="G343">
        <v>1</v>
      </c>
      <c r="H343">
        <v>3</v>
      </c>
      <c r="I343" t="s">
        <v>1614</v>
      </c>
      <c r="J343" t="s">
        <v>1615</v>
      </c>
      <c r="K343" t="s">
        <v>1616</v>
      </c>
      <c r="L343">
        <v>1327</v>
      </c>
      <c r="N343">
        <v>1005</v>
      </c>
      <c r="O343" t="s">
        <v>193</v>
      </c>
      <c r="P343" t="s">
        <v>193</v>
      </c>
      <c r="Q343">
        <v>1</v>
      </c>
      <c r="X343">
        <v>103</v>
      </c>
      <c r="Y343">
        <v>51.8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103</v>
      </c>
      <c r="AH343">
        <v>2</v>
      </c>
      <c r="AI343">
        <v>16745993</v>
      </c>
      <c r="AJ343">
        <v>365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ROW(Source!A194)</f>
        <v>194</v>
      </c>
      <c r="B344">
        <v>16746012</v>
      </c>
      <c r="C344">
        <v>16746000</v>
      </c>
      <c r="D344">
        <v>15430397</v>
      </c>
      <c r="E344">
        <v>1</v>
      </c>
      <c r="F344">
        <v>1</v>
      </c>
      <c r="G344">
        <v>1</v>
      </c>
      <c r="H344">
        <v>1</v>
      </c>
      <c r="I344" t="s">
        <v>1323</v>
      </c>
      <c r="J344" t="s">
        <v>6</v>
      </c>
      <c r="K344" t="s">
        <v>1324</v>
      </c>
      <c r="L344">
        <v>1191</v>
      </c>
      <c r="N344">
        <v>1013</v>
      </c>
      <c r="O344" t="s">
        <v>1287</v>
      </c>
      <c r="P344" t="s">
        <v>1287</v>
      </c>
      <c r="Q344">
        <v>1</v>
      </c>
      <c r="X344">
        <v>108.36</v>
      </c>
      <c r="Y344">
        <v>0</v>
      </c>
      <c r="Z344">
        <v>0</v>
      </c>
      <c r="AA344">
        <v>0</v>
      </c>
      <c r="AB344">
        <v>9.4</v>
      </c>
      <c r="AC344">
        <v>0</v>
      </c>
      <c r="AD344">
        <v>1</v>
      </c>
      <c r="AE344">
        <v>1</v>
      </c>
      <c r="AF344" t="s">
        <v>188</v>
      </c>
      <c r="AG344">
        <v>124.61399999999999</v>
      </c>
      <c r="AH344">
        <v>2</v>
      </c>
      <c r="AI344">
        <v>16746001</v>
      </c>
      <c r="AJ344">
        <v>366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ROW(Source!A194)</f>
        <v>194</v>
      </c>
      <c r="B345">
        <v>16746013</v>
      </c>
      <c r="C345">
        <v>16746000</v>
      </c>
      <c r="D345">
        <v>15430395</v>
      </c>
      <c r="E345">
        <v>1</v>
      </c>
      <c r="F345">
        <v>1</v>
      </c>
      <c r="G345">
        <v>1</v>
      </c>
      <c r="H345">
        <v>1</v>
      </c>
      <c r="I345" t="s">
        <v>1293</v>
      </c>
      <c r="J345" t="s">
        <v>6</v>
      </c>
      <c r="K345" t="s">
        <v>1294</v>
      </c>
      <c r="L345">
        <v>1191</v>
      </c>
      <c r="N345">
        <v>1013</v>
      </c>
      <c r="O345" t="s">
        <v>1287</v>
      </c>
      <c r="P345" t="s">
        <v>1287</v>
      </c>
      <c r="Q345">
        <v>1</v>
      </c>
      <c r="X345">
        <v>0.39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2</v>
      </c>
      <c r="AF345" t="s">
        <v>187</v>
      </c>
      <c r="AG345">
        <v>0.48750000000000004</v>
      </c>
      <c r="AH345">
        <v>2</v>
      </c>
      <c r="AI345">
        <v>16746002</v>
      </c>
      <c r="AJ345">
        <v>367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ROW(Source!A194)</f>
        <v>194</v>
      </c>
      <c r="B346">
        <v>16746014</v>
      </c>
      <c r="C346">
        <v>16746000</v>
      </c>
      <c r="D346">
        <v>15247680</v>
      </c>
      <c r="E346">
        <v>1</v>
      </c>
      <c r="F346">
        <v>1</v>
      </c>
      <c r="G346">
        <v>1</v>
      </c>
      <c r="H346">
        <v>2</v>
      </c>
      <c r="I346" t="s">
        <v>1295</v>
      </c>
      <c r="J346" t="s">
        <v>1296</v>
      </c>
      <c r="K346" t="s">
        <v>1297</v>
      </c>
      <c r="L346">
        <v>1368</v>
      </c>
      <c r="N346">
        <v>1011</v>
      </c>
      <c r="O346" t="s">
        <v>1298</v>
      </c>
      <c r="P346" t="s">
        <v>1298</v>
      </c>
      <c r="Q346">
        <v>1</v>
      </c>
      <c r="X346">
        <v>0.25</v>
      </c>
      <c r="Y346">
        <v>0</v>
      </c>
      <c r="Z346">
        <v>111.99</v>
      </c>
      <c r="AA346">
        <v>13.5</v>
      </c>
      <c r="AB346">
        <v>0</v>
      </c>
      <c r="AC346">
        <v>0</v>
      </c>
      <c r="AD346">
        <v>1</v>
      </c>
      <c r="AE346">
        <v>0</v>
      </c>
      <c r="AF346" t="s">
        <v>187</v>
      </c>
      <c r="AG346">
        <v>0.3125</v>
      </c>
      <c r="AH346">
        <v>2</v>
      </c>
      <c r="AI346">
        <v>16746003</v>
      </c>
      <c r="AJ346">
        <v>368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ROW(Source!A194)</f>
        <v>194</v>
      </c>
      <c r="B347">
        <v>16746015</v>
      </c>
      <c r="C347">
        <v>16746000</v>
      </c>
      <c r="D347">
        <v>15247880</v>
      </c>
      <c r="E347">
        <v>1</v>
      </c>
      <c r="F347">
        <v>1</v>
      </c>
      <c r="G347">
        <v>1</v>
      </c>
      <c r="H347">
        <v>2</v>
      </c>
      <c r="I347" t="s">
        <v>1347</v>
      </c>
      <c r="J347" t="s">
        <v>1348</v>
      </c>
      <c r="K347" t="s">
        <v>1349</v>
      </c>
      <c r="L347">
        <v>1368</v>
      </c>
      <c r="N347">
        <v>1011</v>
      </c>
      <c r="O347" t="s">
        <v>1298</v>
      </c>
      <c r="P347" t="s">
        <v>1298</v>
      </c>
      <c r="Q347">
        <v>1</v>
      </c>
      <c r="X347">
        <v>16.2</v>
      </c>
      <c r="Y347">
        <v>0</v>
      </c>
      <c r="Z347">
        <v>6.9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187</v>
      </c>
      <c r="AG347">
        <v>20.25</v>
      </c>
      <c r="AH347">
        <v>2</v>
      </c>
      <c r="AI347">
        <v>16746004</v>
      </c>
      <c r="AJ347">
        <v>369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ROW(Source!A194)</f>
        <v>194</v>
      </c>
      <c r="B348">
        <v>16746016</v>
      </c>
      <c r="C348">
        <v>16746000</v>
      </c>
      <c r="D348">
        <v>15249073</v>
      </c>
      <c r="E348">
        <v>1</v>
      </c>
      <c r="F348">
        <v>1</v>
      </c>
      <c r="G348">
        <v>1</v>
      </c>
      <c r="H348">
        <v>2</v>
      </c>
      <c r="I348" t="s">
        <v>1299</v>
      </c>
      <c r="J348" t="s">
        <v>1300</v>
      </c>
      <c r="K348" t="s">
        <v>1301</v>
      </c>
      <c r="L348">
        <v>1368</v>
      </c>
      <c r="N348">
        <v>1011</v>
      </c>
      <c r="O348" t="s">
        <v>1298</v>
      </c>
      <c r="P348" t="s">
        <v>1298</v>
      </c>
      <c r="Q348">
        <v>1</v>
      </c>
      <c r="X348">
        <v>0.14000000000000001</v>
      </c>
      <c r="Y348">
        <v>0</v>
      </c>
      <c r="Z348">
        <v>65.709999999999994</v>
      </c>
      <c r="AA348">
        <v>11.6</v>
      </c>
      <c r="AB348">
        <v>0</v>
      </c>
      <c r="AC348">
        <v>0</v>
      </c>
      <c r="AD348">
        <v>1</v>
      </c>
      <c r="AE348">
        <v>0</v>
      </c>
      <c r="AF348" t="s">
        <v>187</v>
      </c>
      <c r="AG348">
        <v>0.17500000000000002</v>
      </c>
      <c r="AH348">
        <v>2</v>
      </c>
      <c r="AI348">
        <v>16746005</v>
      </c>
      <c r="AJ348">
        <v>370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ROW(Source!A194)</f>
        <v>194</v>
      </c>
      <c r="B349">
        <v>16746017</v>
      </c>
      <c r="C349">
        <v>16746000</v>
      </c>
      <c r="D349">
        <v>15192822</v>
      </c>
      <c r="E349">
        <v>1</v>
      </c>
      <c r="F349">
        <v>1</v>
      </c>
      <c r="G349">
        <v>1</v>
      </c>
      <c r="H349">
        <v>3</v>
      </c>
      <c r="I349" t="s">
        <v>1617</v>
      </c>
      <c r="J349" t="s">
        <v>1618</v>
      </c>
      <c r="K349" t="s">
        <v>1619</v>
      </c>
      <c r="L349">
        <v>1301</v>
      </c>
      <c r="N349">
        <v>1003</v>
      </c>
      <c r="O349" t="s">
        <v>220</v>
      </c>
      <c r="P349" t="s">
        <v>220</v>
      </c>
      <c r="Q349">
        <v>1</v>
      </c>
      <c r="X349">
        <v>100</v>
      </c>
      <c r="Y349">
        <v>20.47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100</v>
      </c>
      <c r="AH349">
        <v>2</v>
      </c>
      <c r="AI349">
        <v>16746006</v>
      </c>
      <c r="AJ349">
        <v>371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ROW(Source!A194)</f>
        <v>194</v>
      </c>
      <c r="B350">
        <v>16746018</v>
      </c>
      <c r="C350">
        <v>16746000</v>
      </c>
      <c r="D350">
        <v>15192828</v>
      </c>
      <c r="E350">
        <v>1</v>
      </c>
      <c r="F350">
        <v>1</v>
      </c>
      <c r="G350">
        <v>1</v>
      </c>
      <c r="H350">
        <v>3</v>
      </c>
      <c r="I350" t="s">
        <v>1620</v>
      </c>
      <c r="J350" t="s">
        <v>1621</v>
      </c>
      <c r="K350" t="s">
        <v>1622</v>
      </c>
      <c r="L350">
        <v>1355</v>
      </c>
      <c r="N350">
        <v>1010</v>
      </c>
      <c r="O350" t="s">
        <v>843</v>
      </c>
      <c r="P350" t="s">
        <v>843</v>
      </c>
      <c r="Q350">
        <v>100</v>
      </c>
      <c r="X350">
        <v>0.7</v>
      </c>
      <c r="Y350">
        <v>366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0.7</v>
      </c>
      <c r="AH350">
        <v>2</v>
      </c>
      <c r="AI350">
        <v>16746007</v>
      </c>
      <c r="AJ350">
        <v>372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ROW(Source!A194)</f>
        <v>194</v>
      </c>
      <c r="B351">
        <v>16746019</v>
      </c>
      <c r="C351">
        <v>16746000</v>
      </c>
      <c r="D351">
        <v>15192835</v>
      </c>
      <c r="E351">
        <v>1</v>
      </c>
      <c r="F351">
        <v>1</v>
      </c>
      <c r="G351">
        <v>1</v>
      </c>
      <c r="H351">
        <v>3</v>
      </c>
      <c r="I351" t="s">
        <v>600</v>
      </c>
      <c r="J351" t="s">
        <v>602</v>
      </c>
      <c r="K351" t="s">
        <v>601</v>
      </c>
      <c r="L351">
        <v>1301</v>
      </c>
      <c r="N351">
        <v>1003</v>
      </c>
      <c r="O351" t="s">
        <v>220</v>
      </c>
      <c r="P351" t="s">
        <v>220</v>
      </c>
      <c r="Q351">
        <v>1</v>
      </c>
      <c r="X351">
        <v>0</v>
      </c>
      <c r="Y351">
        <v>6.28</v>
      </c>
      <c r="Z351">
        <v>0</v>
      </c>
      <c r="AA351">
        <v>0</v>
      </c>
      <c r="AB351">
        <v>0</v>
      </c>
      <c r="AC351">
        <v>1</v>
      </c>
      <c r="AD351">
        <v>0</v>
      </c>
      <c r="AE351">
        <v>0</v>
      </c>
      <c r="AF351" t="s">
        <v>6</v>
      </c>
      <c r="AG351">
        <v>0</v>
      </c>
      <c r="AH351">
        <v>2</v>
      </c>
      <c r="AI351">
        <v>16746008</v>
      </c>
      <c r="AJ351">
        <v>373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ROW(Source!A194)</f>
        <v>194</v>
      </c>
      <c r="B352">
        <v>16746020</v>
      </c>
      <c r="C352">
        <v>16746000</v>
      </c>
      <c r="D352">
        <v>15192866</v>
      </c>
      <c r="E352">
        <v>1</v>
      </c>
      <c r="F352">
        <v>1</v>
      </c>
      <c r="G352">
        <v>1</v>
      </c>
      <c r="H352">
        <v>3</v>
      </c>
      <c r="I352" t="s">
        <v>604</v>
      </c>
      <c r="J352" t="s">
        <v>606</v>
      </c>
      <c r="K352" t="s">
        <v>605</v>
      </c>
      <c r="L352">
        <v>1301</v>
      </c>
      <c r="N352">
        <v>1003</v>
      </c>
      <c r="O352" t="s">
        <v>220</v>
      </c>
      <c r="P352" t="s">
        <v>220</v>
      </c>
      <c r="Q352">
        <v>1</v>
      </c>
      <c r="X352">
        <v>1050</v>
      </c>
      <c r="Y352">
        <v>24.71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1050</v>
      </c>
      <c r="AH352">
        <v>2</v>
      </c>
      <c r="AI352">
        <v>16746009</v>
      </c>
      <c r="AJ352">
        <v>375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ROW(Source!A198)</f>
        <v>198</v>
      </c>
      <c r="B353">
        <v>16753461</v>
      </c>
      <c r="C353">
        <v>16753460</v>
      </c>
      <c r="D353">
        <v>15432258</v>
      </c>
      <c r="E353">
        <v>1</v>
      </c>
      <c r="F353">
        <v>1</v>
      </c>
      <c r="G353">
        <v>1</v>
      </c>
      <c r="H353">
        <v>1</v>
      </c>
      <c r="I353" t="s">
        <v>1474</v>
      </c>
      <c r="J353" t="s">
        <v>6</v>
      </c>
      <c r="K353" t="s">
        <v>1475</v>
      </c>
      <c r="L353">
        <v>1191</v>
      </c>
      <c r="N353">
        <v>1013</v>
      </c>
      <c r="O353" t="s">
        <v>1287</v>
      </c>
      <c r="P353" t="s">
        <v>1287</v>
      </c>
      <c r="Q353">
        <v>1</v>
      </c>
      <c r="X353">
        <v>42.01</v>
      </c>
      <c r="Y353">
        <v>0</v>
      </c>
      <c r="Z353">
        <v>0</v>
      </c>
      <c r="AA353">
        <v>0</v>
      </c>
      <c r="AB353">
        <v>8.4600000000000009</v>
      </c>
      <c r="AC353">
        <v>0</v>
      </c>
      <c r="AD353">
        <v>1</v>
      </c>
      <c r="AE353">
        <v>1</v>
      </c>
      <c r="AF353" t="s">
        <v>188</v>
      </c>
      <c r="AG353">
        <v>48.311499999999995</v>
      </c>
      <c r="AH353">
        <v>2</v>
      </c>
      <c r="AI353">
        <v>16753461</v>
      </c>
      <c r="AJ353">
        <v>376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ROW(Source!A198)</f>
        <v>198</v>
      </c>
      <c r="B354">
        <v>16753462</v>
      </c>
      <c r="C354">
        <v>16753460</v>
      </c>
      <c r="D354">
        <v>15430395</v>
      </c>
      <c r="E354">
        <v>1</v>
      </c>
      <c r="F354">
        <v>1</v>
      </c>
      <c r="G354">
        <v>1</v>
      </c>
      <c r="H354">
        <v>1</v>
      </c>
      <c r="I354" t="s">
        <v>1293</v>
      </c>
      <c r="J354" t="s">
        <v>6</v>
      </c>
      <c r="K354" t="s">
        <v>1294</v>
      </c>
      <c r="L354">
        <v>1191</v>
      </c>
      <c r="N354">
        <v>1013</v>
      </c>
      <c r="O354" t="s">
        <v>1287</v>
      </c>
      <c r="P354" t="s">
        <v>1287</v>
      </c>
      <c r="Q354">
        <v>1</v>
      </c>
      <c r="X354">
        <v>0.99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2</v>
      </c>
      <c r="AF354" t="s">
        <v>6</v>
      </c>
      <c r="AG354">
        <v>0.99</v>
      </c>
      <c r="AH354">
        <v>2</v>
      </c>
      <c r="AI354">
        <v>16753462</v>
      </c>
      <c r="AJ354">
        <v>377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ROW(Source!A198)</f>
        <v>198</v>
      </c>
      <c r="B355">
        <v>16753463</v>
      </c>
      <c r="C355">
        <v>16753460</v>
      </c>
      <c r="D355">
        <v>15247905</v>
      </c>
      <c r="E355">
        <v>1</v>
      </c>
      <c r="F355">
        <v>1</v>
      </c>
      <c r="G355">
        <v>1</v>
      </c>
      <c r="H355">
        <v>2</v>
      </c>
      <c r="I355" t="s">
        <v>1492</v>
      </c>
      <c r="J355" t="s">
        <v>1493</v>
      </c>
      <c r="K355" t="s">
        <v>1494</v>
      </c>
      <c r="L355">
        <v>1368</v>
      </c>
      <c r="N355">
        <v>1011</v>
      </c>
      <c r="O355" t="s">
        <v>1298</v>
      </c>
      <c r="P355" t="s">
        <v>1298</v>
      </c>
      <c r="Q355">
        <v>1</v>
      </c>
      <c r="X355">
        <v>0.02</v>
      </c>
      <c r="Y355">
        <v>0</v>
      </c>
      <c r="Z355">
        <v>89.99</v>
      </c>
      <c r="AA355">
        <v>10.06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0.02</v>
      </c>
      <c r="AH355">
        <v>2</v>
      </c>
      <c r="AI355">
        <v>16753463</v>
      </c>
      <c r="AJ355">
        <v>378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ROW(Source!A198)</f>
        <v>198</v>
      </c>
      <c r="B356">
        <v>16753464</v>
      </c>
      <c r="C356">
        <v>16753460</v>
      </c>
      <c r="D356">
        <v>15247974</v>
      </c>
      <c r="E356">
        <v>1</v>
      </c>
      <c r="F356">
        <v>1</v>
      </c>
      <c r="G356">
        <v>1</v>
      </c>
      <c r="H356">
        <v>2</v>
      </c>
      <c r="I356" t="s">
        <v>1314</v>
      </c>
      <c r="J356" t="s">
        <v>1315</v>
      </c>
      <c r="K356" t="s">
        <v>1316</v>
      </c>
      <c r="L356">
        <v>1368</v>
      </c>
      <c r="N356">
        <v>1011</v>
      </c>
      <c r="O356" t="s">
        <v>1298</v>
      </c>
      <c r="P356" t="s">
        <v>1298</v>
      </c>
      <c r="Q356">
        <v>1</v>
      </c>
      <c r="X356">
        <v>0.22</v>
      </c>
      <c r="Y356">
        <v>0</v>
      </c>
      <c r="Z356">
        <v>31.26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0.22</v>
      </c>
      <c r="AH356">
        <v>2</v>
      </c>
      <c r="AI356">
        <v>16753464</v>
      </c>
      <c r="AJ356">
        <v>379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ROW(Source!A198)</f>
        <v>198</v>
      </c>
      <c r="B357">
        <v>16753465</v>
      </c>
      <c r="C357">
        <v>16753460</v>
      </c>
      <c r="D357">
        <v>15248143</v>
      </c>
      <c r="E357">
        <v>1</v>
      </c>
      <c r="F357">
        <v>1</v>
      </c>
      <c r="G357">
        <v>1</v>
      </c>
      <c r="H357">
        <v>2</v>
      </c>
      <c r="I357" t="s">
        <v>1495</v>
      </c>
      <c r="J357" t="s">
        <v>1496</v>
      </c>
      <c r="K357" t="s">
        <v>1497</v>
      </c>
      <c r="L357">
        <v>1368</v>
      </c>
      <c r="N357">
        <v>1011</v>
      </c>
      <c r="O357" t="s">
        <v>1298</v>
      </c>
      <c r="P357" t="s">
        <v>1298</v>
      </c>
      <c r="Q357">
        <v>1</v>
      </c>
      <c r="X357">
        <v>0.75</v>
      </c>
      <c r="Y357">
        <v>0</v>
      </c>
      <c r="Z357">
        <v>12.39</v>
      </c>
      <c r="AA357">
        <v>10.06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0.75</v>
      </c>
      <c r="AH357">
        <v>2</v>
      </c>
      <c r="AI357">
        <v>16753465</v>
      </c>
      <c r="AJ357">
        <v>380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ROW(Source!A198)</f>
        <v>198</v>
      </c>
      <c r="B358">
        <v>16753466</v>
      </c>
      <c r="C358">
        <v>16753460</v>
      </c>
      <c r="D358">
        <v>15167286</v>
      </c>
      <c r="E358">
        <v>1</v>
      </c>
      <c r="F358">
        <v>1</v>
      </c>
      <c r="G358">
        <v>1</v>
      </c>
      <c r="H358">
        <v>3</v>
      </c>
      <c r="I358" t="s">
        <v>1317</v>
      </c>
      <c r="J358" t="s">
        <v>1318</v>
      </c>
      <c r="K358" t="s">
        <v>1319</v>
      </c>
      <c r="L358">
        <v>1339</v>
      </c>
      <c r="N358">
        <v>1007</v>
      </c>
      <c r="O358" t="s">
        <v>301</v>
      </c>
      <c r="P358" t="s">
        <v>301</v>
      </c>
      <c r="Q358">
        <v>1</v>
      </c>
      <c r="X358">
        <v>0.54300000000000004</v>
      </c>
      <c r="Y358">
        <v>2.44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0.54300000000000004</v>
      </c>
      <c r="AH358">
        <v>2</v>
      </c>
      <c r="AI358">
        <v>16753466</v>
      </c>
      <c r="AJ358">
        <v>381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ROW(Source!A198)</f>
        <v>198</v>
      </c>
      <c r="B359">
        <v>16753467</v>
      </c>
      <c r="C359">
        <v>16753460</v>
      </c>
      <c r="D359">
        <v>15163028</v>
      </c>
      <c r="E359">
        <v>17</v>
      </c>
      <c r="F359">
        <v>1</v>
      </c>
      <c r="G359">
        <v>1</v>
      </c>
      <c r="H359">
        <v>3</v>
      </c>
      <c r="I359" t="s">
        <v>372</v>
      </c>
      <c r="J359" t="s">
        <v>6</v>
      </c>
      <c r="K359" t="s">
        <v>373</v>
      </c>
      <c r="L359">
        <v>1348</v>
      </c>
      <c r="N359">
        <v>1009</v>
      </c>
      <c r="O359" t="s">
        <v>100</v>
      </c>
      <c r="P359" t="s">
        <v>100</v>
      </c>
      <c r="Q359">
        <v>1000</v>
      </c>
      <c r="X359">
        <v>0.90700000000000003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 t="s">
        <v>6</v>
      </c>
      <c r="AG359">
        <v>0.90700000000000003</v>
      </c>
      <c r="AH359">
        <v>2</v>
      </c>
      <c r="AI359">
        <v>16753467</v>
      </c>
      <c r="AJ359">
        <v>383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ROW(Source!A198)</f>
        <v>198</v>
      </c>
      <c r="B360">
        <v>16753468</v>
      </c>
      <c r="C360">
        <v>16753460</v>
      </c>
      <c r="D360">
        <v>15162572</v>
      </c>
      <c r="E360">
        <v>17</v>
      </c>
      <c r="F360">
        <v>1</v>
      </c>
      <c r="G360">
        <v>1</v>
      </c>
      <c r="H360">
        <v>3</v>
      </c>
      <c r="I360" t="s">
        <v>361</v>
      </c>
      <c r="J360" t="s">
        <v>6</v>
      </c>
      <c r="K360" t="s">
        <v>362</v>
      </c>
      <c r="L360">
        <v>1348</v>
      </c>
      <c r="N360">
        <v>1009</v>
      </c>
      <c r="O360" t="s">
        <v>100</v>
      </c>
      <c r="P360" t="s">
        <v>100</v>
      </c>
      <c r="Q360">
        <v>1000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1</v>
      </c>
      <c r="AD360">
        <v>0</v>
      </c>
      <c r="AE360">
        <v>0</v>
      </c>
      <c r="AF360" t="s">
        <v>6</v>
      </c>
      <c r="AG360">
        <v>0</v>
      </c>
      <c r="AH360">
        <v>3</v>
      </c>
      <c r="AI360">
        <v>-1</v>
      </c>
      <c r="AJ360" t="s">
        <v>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ROW(Source!A201)</f>
        <v>201</v>
      </c>
      <c r="B361">
        <v>16746052</v>
      </c>
      <c r="C361">
        <v>16746038</v>
      </c>
      <c r="D361">
        <v>15435099</v>
      </c>
      <c r="E361">
        <v>1</v>
      </c>
      <c r="F361">
        <v>1</v>
      </c>
      <c r="G361">
        <v>1</v>
      </c>
      <c r="H361">
        <v>1</v>
      </c>
      <c r="I361" t="s">
        <v>1463</v>
      </c>
      <c r="J361" t="s">
        <v>6</v>
      </c>
      <c r="K361" t="s">
        <v>1464</v>
      </c>
      <c r="L361">
        <v>1191</v>
      </c>
      <c r="N361">
        <v>1013</v>
      </c>
      <c r="O361" t="s">
        <v>1287</v>
      </c>
      <c r="P361" t="s">
        <v>1287</v>
      </c>
      <c r="Q361">
        <v>1</v>
      </c>
      <c r="X361">
        <v>36.25</v>
      </c>
      <c r="Y361">
        <v>0</v>
      </c>
      <c r="Z361">
        <v>0</v>
      </c>
      <c r="AA361">
        <v>0</v>
      </c>
      <c r="AB361">
        <v>8.64</v>
      </c>
      <c r="AC361">
        <v>0</v>
      </c>
      <c r="AD361">
        <v>1</v>
      </c>
      <c r="AE361">
        <v>1</v>
      </c>
      <c r="AF361" t="s">
        <v>6</v>
      </c>
      <c r="AG361">
        <v>36.25</v>
      </c>
      <c r="AH361">
        <v>2</v>
      </c>
      <c r="AI361">
        <v>16746039</v>
      </c>
      <c r="AJ361">
        <v>384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ROW(Source!A201)</f>
        <v>201</v>
      </c>
      <c r="B362">
        <v>16746053</v>
      </c>
      <c r="C362">
        <v>16746038</v>
      </c>
      <c r="D362">
        <v>15430395</v>
      </c>
      <c r="E362">
        <v>1</v>
      </c>
      <c r="F362">
        <v>1</v>
      </c>
      <c r="G362">
        <v>1</v>
      </c>
      <c r="H362">
        <v>1</v>
      </c>
      <c r="I362" t="s">
        <v>1293</v>
      </c>
      <c r="J362" t="s">
        <v>6</v>
      </c>
      <c r="K362" t="s">
        <v>1294</v>
      </c>
      <c r="L362">
        <v>1191</v>
      </c>
      <c r="N362">
        <v>1013</v>
      </c>
      <c r="O362" t="s">
        <v>1287</v>
      </c>
      <c r="P362" t="s">
        <v>1287</v>
      </c>
      <c r="Q362">
        <v>1</v>
      </c>
      <c r="X362">
        <v>0.16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2</v>
      </c>
      <c r="AF362" t="s">
        <v>6</v>
      </c>
      <c r="AG362">
        <v>0.16</v>
      </c>
      <c r="AH362">
        <v>2</v>
      </c>
      <c r="AI362">
        <v>16746040</v>
      </c>
      <c r="AJ362">
        <v>385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ROW(Source!A201)</f>
        <v>201</v>
      </c>
      <c r="B363">
        <v>16746054</v>
      </c>
      <c r="C363">
        <v>16746038</v>
      </c>
      <c r="D363">
        <v>15247974</v>
      </c>
      <c r="E363">
        <v>1</v>
      </c>
      <c r="F363">
        <v>1</v>
      </c>
      <c r="G363">
        <v>1</v>
      </c>
      <c r="H363">
        <v>2</v>
      </c>
      <c r="I363" t="s">
        <v>1314</v>
      </c>
      <c r="J363" t="s">
        <v>1315</v>
      </c>
      <c r="K363" t="s">
        <v>1316</v>
      </c>
      <c r="L363">
        <v>1368</v>
      </c>
      <c r="N363">
        <v>1011</v>
      </c>
      <c r="O363" t="s">
        <v>1298</v>
      </c>
      <c r="P363" t="s">
        <v>1298</v>
      </c>
      <c r="Q363">
        <v>1</v>
      </c>
      <c r="X363">
        <v>0.1</v>
      </c>
      <c r="Y363">
        <v>0</v>
      </c>
      <c r="Z363">
        <v>31.26</v>
      </c>
      <c r="AA363">
        <v>13.5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0.1</v>
      </c>
      <c r="AH363">
        <v>2</v>
      </c>
      <c r="AI363">
        <v>16746041</v>
      </c>
      <c r="AJ363">
        <v>386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ROW(Source!A201)</f>
        <v>201</v>
      </c>
      <c r="B364">
        <v>16746055</v>
      </c>
      <c r="C364">
        <v>16746038</v>
      </c>
      <c r="D364">
        <v>15249073</v>
      </c>
      <c r="E364">
        <v>1</v>
      </c>
      <c r="F364">
        <v>1</v>
      </c>
      <c r="G364">
        <v>1</v>
      </c>
      <c r="H364">
        <v>2</v>
      </c>
      <c r="I364" t="s">
        <v>1299</v>
      </c>
      <c r="J364" t="s">
        <v>1300</v>
      </c>
      <c r="K364" t="s">
        <v>1301</v>
      </c>
      <c r="L364">
        <v>1368</v>
      </c>
      <c r="N364">
        <v>1011</v>
      </c>
      <c r="O364" t="s">
        <v>1298</v>
      </c>
      <c r="P364" t="s">
        <v>1298</v>
      </c>
      <c r="Q364">
        <v>1</v>
      </c>
      <c r="X364">
        <v>0.06</v>
      </c>
      <c r="Y364">
        <v>0</v>
      </c>
      <c r="Z364">
        <v>65.709999999999994</v>
      </c>
      <c r="AA364">
        <v>11.6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0.06</v>
      </c>
      <c r="AH364">
        <v>2</v>
      </c>
      <c r="AI364">
        <v>16746042</v>
      </c>
      <c r="AJ364">
        <v>387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ROW(Source!A201)</f>
        <v>201</v>
      </c>
      <c r="B365">
        <v>16746056</v>
      </c>
      <c r="C365">
        <v>16746038</v>
      </c>
      <c r="D365">
        <v>15167286</v>
      </c>
      <c r="E365">
        <v>1</v>
      </c>
      <c r="F365">
        <v>1</v>
      </c>
      <c r="G365">
        <v>1</v>
      </c>
      <c r="H365">
        <v>3</v>
      </c>
      <c r="I365" t="s">
        <v>1317</v>
      </c>
      <c r="J365" t="s">
        <v>1318</v>
      </c>
      <c r="K365" t="s">
        <v>1319</v>
      </c>
      <c r="L365">
        <v>1339</v>
      </c>
      <c r="N365">
        <v>1007</v>
      </c>
      <c r="O365" t="s">
        <v>301</v>
      </c>
      <c r="P365" t="s">
        <v>301</v>
      </c>
      <c r="Q365">
        <v>1</v>
      </c>
      <c r="X365">
        <v>0.24</v>
      </c>
      <c r="Y365">
        <v>2.44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0.24</v>
      </c>
      <c r="AH365">
        <v>2</v>
      </c>
      <c r="AI365">
        <v>16746043</v>
      </c>
      <c r="AJ365">
        <v>388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ROW(Source!A201)</f>
        <v>201</v>
      </c>
      <c r="B366">
        <v>16746057</v>
      </c>
      <c r="C366">
        <v>16746038</v>
      </c>
      <c r="D366">
        <v>15167766</v>
      </c>
      <c r="E366">
        <v>1</v>
      </c>
      <c r="F366">
        <v>1</v>
      </c>
      <c r="G366">
        <v>1</v>
      </c>
      <c r="H366">
        <v>3</v>
      </c>
      <c r="I366" t="s">
        <v>1507</v>
      </c>
      <c r="J366" t="s">
        <v>1508</v>
      </c>
      <c r="K366" t="s">
        <v>1509</v>
      </c>
      <c r="L366">
        <v>1354</v>
      </c>
      <c r="N366">
        <v>1010</v>
      </c>
      <c r="O366" t="s">
        <v>73</v>
      </c>
      <c r="P366" t="s">
        <v>73</v>
      </c>
      <c r="Q366">
        <v>1</v>
      </c>
      <c r="X366">
        <v>3.2</v>
      </c>
      <c r="Y366">
        <v>4.5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3.2</v>
      </c>
      <c r="AH366">
        <v>2</v>
      </c>
      <c r="AI366">
        <v>16746044</v>
      </c>
      <c r="AJ366">
        <v>389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ROW(Source!A201)</f>
        <v>201</v>
      </c>
      <c r="B367">
        <v>16746058</v>
      </c>
      <c r="C367">
        <v>16746038</v>
      </c>
      <c r="D367">
        <v>15168015</v>
      </c>
      <c r="E367">
        <v>1</v>
      </c>
      <c r="F367">
        <v>1</v>
      </c>
      <c r="G367">
        <v>1</v>
      </c>
      <c r="H367">
        <v>3</v>
      </c>
      <c r="I367" t="s">
        <v>1510</v>
      </c>
      <c r="J367" t="s">
        <v>1511</v>
      </c>
      <c r="K367" t="s">
        <v>1512</v>
      </c>
      <c r="L367">
        <v>1348</v>
      </c>
      <c r="N367">
        <v>1009</v>
      </c>
      <c r="O367" t="s">
        <v>100</v>
      </c>
      <c r="P367" t="s">
        <v>100</v>
      </c>
      <c r="Q367">
        <v>1000</v>
      </c>
      <c r="X367">
        <v>1.2E-2</v>
      </c>
      <c r="Y367">
        <v>586.47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1.2E-2</v>
      </c>
      <c r="AH367">
        <v>2</v>
      </c>
      <c r="AI367">
        <v>16746045</v>
      </c>
      <c r="AJ367">
        <v>390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ROW(Source!A201)</f>
        <v>201</v>
      </c>
      <c r="B368">
        <v>16746059</v>
      </c>
      <c r="C368">
        <v>16746038</v>
      </c>
      <c r="D368">
        <v>15170682</v>
      </c>
      <c r="E368">
        <v>1</v>
      </c>
      <c r="F368">
        <v>1</v>
      </c>
      <c r="G368">
        <v>1</v>
      </c>
      <c r="H368">
        <v>3</v>
      </c>
      <c r="I368" t="s">
        <v>1428</v>
      </c>
      <c r="J368" t="s">
        <v>1429</v>
      </c>
      <c r="K368" t="s">
        <v>1430</v>
      </c>
      <c r="L368">
        <v>1327</v>
      </c>
      <c r="N368">
        <v>1005</v>
      </c>
      <c r="O368" t="s">
        <v>193</v>
      </c>
      <c r="P368" t="s">
        <v>193</v>
      </c>
      <c r="Q368">
        <v>1</v>
      </c>
      <c r="X368">
        <v>1.6</v>
      </c>
      <c r="Y368">
        <v>72.319999999999993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1.6</v>
      </c>
      <c r="AH368">
        <v>2</v>
      </c>
      <c r="AI368">
        <v>16746046</v>
      </c>
      <c r="AJ368">
        <v>391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ROW(Source!A201)</f>
        <v>201</v>
      </c>
      <c r="B369">
        <v>16746060</v>
      </c>
      <c r="C369">
        <v>16746038</v>
      </c>
      <c r="D369">
        <v>15171907</v>
      </c>
      <c r="E369">
        <v>1</v>
      </c>
      <c r="F369">
        <v>1</v>
      </c>
      <c r="G369">
        <v>1</v>
      </c>
      <c r="H369">
        <v>3</v>
      </c>
      <c r="I369" t="s">
        <v>1513</v>
      </c>
      <c r="J369" t="s">
        <v>1514</v>
      </c>
      <c r="K369" t="s">
        <v>1515</v>
      </c>
      <c r="L369">
        <v>1339</v>
      </c>
      <c r="N369">
        <v>1007</v>
      </c>
      <c r="O369" t="s">
        <v>301</v>
      </c>
      <c r="P369" t="s">
        <v>301</v>
      </c>
      <c r="Q369">
        <v>1</v>
      </c>
      <c r="X369">
        <v>4.4000000000000003E-3</v>
      </c>
      <c r="Y369">
        <v>74.58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4.4000000000000003E-3</v>
      </c>
      <c r="AH369">
        <v>2</v>
      </c>
      <c r="AI369">
        <v>16746047</v>
      </c>
      <c r="AJ369">
        <v>392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ROW(Source!A201)</f>
        <v>201</v>
      </c>
      <c r="B370">
        <v>16746061</v>
      </c>
      <c r="C370">
        <v>16746038</v>
      </c>
      <c r="D370">
        <v>15202490</v>
      </c>
      <c r="E370">
        <v>1</v>
      </c>
      <c r="F370">
        <v>1</v>
      </c>
      <c r="G370">
        <v>1</v>
      </c>
      <c r="H370">
        <v>3</v>
      </c>
      <c r="I370" t="s">
        <v>1516</v>
      </c>
      <c r="J370" t="s">
        <v>1517</v>
      </c>
      <c r="K370" t="s">
        <v>1518</v>
      </c>
      <c r="L370">
        <v>1346</v>
      </c>
      <c r="N370">
        <v>1009</v>
      </c>
      <c r="O370" t="s">
        <v>341</v>
      </c>
      <c r="P370" t="s">
        <v>341</v>
      </c>
      <c r="Q370">
        <v>1</v>
      </c>
      <c r="X370">
        <v>2.4300000000000002</v>
      </c>
      <c r="Y370">
        <v>8.09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2.4300000000000002</v>
      </c>
      <c r="AH370">
        <v>2</v>
      </c>
      <c r="AI370">
        <v>16746048</v>
      </c>
      <c r="AJ370">
        <v>393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ROW(Source!A201)</f>
        <v>201</v>
      </c>
      <c r="B371">
        <v>16746062</v>
      </c>
      <c r="C371">
        <v>16746038</v>
      </c>
      <c r="D371">
        <v>15163054</v>
      </c>
      <c r="E371">
        <v>17</v>
      </c>
      <c r="F371">
        <v>1</v>
      </c>
      <c r="G371">
        <v>1</v>
      </c>
      <c r="H371">
        <v>3</v>
      </c>
      <c r="I371" t="s">
        <v>240</v>
      </c>
      <c r="J371" t="s">
        <v>6</v>
      </c>
      <c r="K371" t="s">
        <v>241</v>
      </c>
      <c r="L371">
        <v>1348</v>
      </c>
      <c r="N371">
        <v>1009</v>
      </c>
      <c r="O371" t="s">
        <v>100</v>
      </c>
      <c r="P371" t="s">
        <v>100</v>
      </c>
      <c r="Q371">
        <v>1000</v>
      </c>
      <c r="X371">
        <v>6.7000000000000004E-2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 t="s">
        <v>6</v>
      </c>
      <c r="AG371">
        <v>6.7000000000000004E-2</v>
      </c>
      <c r="AH371">
        <v>2</v>
      </c>
      <c r="AI371">
        <v>16746049</v>
      </c>
      <c r="AJ371">
        <v>394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ROW(Source!A201)</f>
        <v>201</v>
      </c>
      <c r="B372">
        <v>16746063</v>
      </c>
      <c r="C372">
        <v>16746038</v>
      </c>
      <c r="D372">
        <v>15204729</v>
      </c>
      <c r="E372">
        <v>1</v>
      </c>
      <c r="F372">
        <v>1</v>
      </c>
      <c r="G372">
        <v>1</v>
      </c>
      <c r="H372">
        <v>3</v>
      </c>
      <c r="I372" t="s">
        <v>1434</v>
      </c>
      <c r="J372" t="s">
        <v>1435</v>
      </c>
      <c r="K372" t="s">
        <v>1436</v>
      </c>
      <c r="L372">
        <v>1348</v>
      </c>
      <c r="N372">
        <v>1009</v>
      </c>
      <c r="O372" t="s">
        <v>100</v>
      </c>
      <c r="P372" t="s">
        <v>100</v>
      </c>
      <c r="Q372">
        <v>1000</v>
      </c>
      <c r="X372">
        <v>6.8000000000000005E-2</v>
      </c>
      <c r="Y372">
        <v>4294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6.8000000000000005E-2</v>
      </c>
      <c r="AH372">
        <v>2</v>
      </c>
      <c r="AI372">
        <v>16746050</v>
      </c>
      <c r="AJ372">
        <v>396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ROW(Source!A204)</f>
        <v>204</v>
      </c>
      <c r="B373">
        <v>16746073</v>
      </c>
      <c r="C373">
        <v>16746067</v>
      </c>
      <c r="D373">
        <v>15430497</v>
      </c>
      <c r="E373">
        <v>1</v>
      </c>
      <c r="F373">
        <v>1</v>
      </c>
      <c r="G373">
        <v>1</v>
      </c>
      <c r="H373">
        <v>1</v>
      </c>
      <c r="I373" t="s">
        <v>1519</v>
      </c>
      <c r="J373" t="s">
        <v>6</v>
      </c>
      <c r="K373" t="s">
        <v>1520</v>
      </c>
      <c r="L373">
        <v>1191</v>
      </c>
      <c r="N373">
        <v>1013</v>
      </c>
      <c r="O373" t="s">
        <v>1287</v>
      </c>
      <c r="P373" t="s">
        <v>1287</v>
      </c>
      <c r="Q373">
        <v>1</v>
      </c>
      <c r="X373">
        <v>28.78</v>
      </c>
      <c r="Y373">
        <v>0</v>
      </c>
      <c r="Z373">
        <v>0</v>
      </c>
      <c r="AA373">
        <v>0</v>
      </c>
      <c r="AB373">
        <v>8.86</v>
      </c>
      <c r="AC373">
        <v>0</v>
      </c>
      <c r="AD373">
        <v>1</v>
      </c>
      <c r="AE373">
        <v>1</v>
      </c>
      <c r="AF373" t="s">
        <v>188</v>
      </c>
      <c r="AG373">
        <v>33.097000000000001</v>
      </c>
      <c r="AH373">
        <v>2</v>
      </c>
      <c r="AI373">
        <v>16746068</v>
      </c>
      <c r="AJ373">
        <v>397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ROW(Source!A204)</f>
        <v>204</v>
      </c>
      <c r="B374">
        <v>16746074</v>
      </c>
      <c r="C374">
        <v>16746067</v>
      </c>
      <c r="D374">
        <v>15430395</v>
      </c>
      <c r="E374">
        <v>1</v>
      </c>
      <c r="F374">
        <v>1</v>
      </c>
      <c r="G374">
        <v>1</v>
      </c>
      <c r="H374">
        <v>1</v>
      </c>
      <c r="I374" t="s">
        <v>1293</v>
      </c>
      <c r="J374" t="s">
        <v>6</v>
      </c>
      <c r="K374" t="s">
        <v>1294</v>
      </c>
      <c r="L374">
        <v>1191</v>
      </c>
      <c r="N374">
        <v>1013</v>
      </c>
      <c r="O374" t="s">
        <v>1287</v>
      </c>
      <c r="P374" t="s">
        <v>1287</v>
      </c>
      <c r="Q374">
        <v>1</v>
      </c>
      <c r="X374">
        <v>1.17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2</v>
      </c>
      <c r="AF374" t="s">
        <v>187</v>
      </c>
      <c r="AG374">
        <v>1.4624999999999999</v>
      </c>
      <c r="AH374">
        <v>2</v>
      </c>
      <c r="AI374">
        <v>16746069</v>
      </c>
      <c r="AJ374">
        <v>398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ROW(Source!A204)</f>
        <v>204</v>
      </c>
      <c r="B375">
        <v>16746075</v>
      </c>
      <c r="C375">
        <v>16746067</v>
      </c>
      <c r="D375">
        <v>15247680</v>
      </c>
      <c r="E375">
        <v>1</v>
      </c>
      <c r="F375">
        <v>1</v>
      </c>
      <c r="G375">
        <v>1</v>
      </c>
      <c r="H375">
        <v>2</v>
      </c>
      <c r="I375" t="s">
        <v>1295</v>
      </c>
      <c r="J375" t="s">
        <v>1296</v>
      </c>
      <c r="K375" t="s">
        <v>1297</v>
      </c>
      <c r="L375">
        <v>1368</v>
      </c>
      <c r="N375">
        <v>1011</v>
      </c>
      <c r="O375" t="s">
        <v>1298</v>
      </c>
      <c r="P375" t="s">
        <v>1298</v>
      </c>
      <c r="Q375">
        <v>1</v>
      </c>
      <c r="X375">
        <v>0.47</v>
      </c>
      <c r="Y375">
        <v>0</v>
      </c>
      <c r="Z375">
        <v>111.99</v>
      </c>
      <c r="AA375">
        <v>13.5</v>
      </c>
      <c r="AB375">
        <v>0</v>
      </c>
      <c r="AC375">
        <v>0</v>
      </c>
      <c r="AD375">
        <v>1</v>
      </c>
      <c r="AE375">
        <v>0</v>
      </c>
      <c r="AF375" t="s">
        <v>187</v>
      </c>
      <c r="AG375">
        <v>0.58749999999999991</v>
      </c>
      <c r="AH375">
        <v>2</v>
      </c>
      <c r="AI375">
        <v>16746070</v>
      </c>
      <c r="AJ375">
        <v>399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ROW(Source!A204)</f>
        <v>204</v>
      </c>
      <c r="B376">
        <v>16746076</v>
      </c>
      <c r="C376">
        <v>16746067</v>
      </c>
      <c r="D376">
        <v>15249073</v>
      </c>
      <c r="E376">
        <v>1</v>
      </c>
      <c r="F376">
        <v>1</v>
      </c>
      <c r="G376">
        <v>1</v>
      </c>
      <c r="H376">
        <v>2</v>
      </c>
      <c r="I376" t="s">
        <v>1299</v>
      </c>
      <c r="J376" t="s">
        <v>1300</v>
      </c>
      <c r="K376" t="s">
        <v>1301</v>
      </c>
      <c r="L376">
        <v>1368</v>
      </c>
      <c r="N376">
        <v>1011</v>
      </c>
      <c r="O376" t="s">
        <v>1298</v>
      </c>
      <c r="P376" t="s">
        <v>1298</v>
      </c>
      <c r="Q376">
        <v>1</v>
      </c>
      <c r="X376">
        <v>0.7</v>
      </c>
      <c r="Y376">
        <v>0</v>
      </c>
      <c r="Z376">
        <v>65.709999999999994</v>
      </c>
      <c r="AA376">
        <v>11.6</v>
      </c>
      <c r="AB376">
        <v>0</v>
      </c>
      <c r="AC376">
        <v>0</v>
      </c>
      <c r="AD376">
        <v>1</v>
      </c>
      <c r="AE376">
        <v>0</v>
      </c>
      <c r="AF376" t="s">
        <v>187</v>
      </c>
      <c r="AG376">
        <v>0.875</v>
      </c>
      <c r="AH376">
        <v>2</v>
      </c>
      <c r="AI376">
        <v>16746071</v>
      </c>
      <c r="AJ376">
        <v>400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ROW(Source!A204)</f>
        <v>204</v>
      </c>
      <c r="B377">
        <v>16746077</v>
      </c>
      <c r="C377">
        <v>16746067</v>
      </c>
      <c r="D377">
        <v>15170039</v>
      </c>
      <c r="E377">
        <v>1</v>
      </c>
      <c r="F377">
        <v>1</v>
      </c>
      <c r="G377">
        <v>1</v>
      </c>
      <c r="H377">
        <v>3</v>
      </c>
      <c r="I377" t="s">
        <v>1365</v>
      </c>
      <c r="J377" t="s">
        <v>1366</v>
      </c>
      <c r="K377" t="s">
        <v>1367</v>
      </c>
      <c r="L377">
        <v>1348</v>
      </c>
      <c r="N377">
        <v>1009</v>
      </c>
      <c r="O377" t="s">
        <v>100</v>
      </c>
      <c r="P377" t="s">
        <v>100</v>
      </c>
      <c r="Q377">
        <v>1000</v>
      </c>
      <c r="X377">
        <v>7.62E-3</v>
      </c>
      <c r="Y377">
        <v>11978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7.62E-3</v>
      </c>
      <c r="AH377">
        <v>2</v>
      </c>
      <c r="AI377">
        <v>16746072</v>
      </c>
      <c r="AJ377">
        <v>401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ROW(Source!A205)</f>
        <v>205</v>
      </c>
      <c r="B378">
        <v>16746086</v>
      </c>
      <c r="C378">
        <v>16746078</v>
      </c>
      <c r="D378">
        <v>15435099</v>
      </c>
      <c r="E378">
        <v>1</v>
      </c>
      <c r="F378">
        <v>1</v>
      </c>
      <c r="G378">
        <v>1</v>
      </c>
      <c r="H378">
        <v>1</v>
      </c>
      <c r="I378" t="s">
        <v>1463</v>
      </c>
      <c r="J378" t="s">
        <v>6</v>
      </c>
      <c r="K378" t="s">
        <v>1464</v>
      </c>
      <c r="L378">
        <v>1191</v>
      </c>
      <c r="N378">
        <v>1013</v>
      </c>
      <c r="O378" t="s">
        <v>1287</v>
      </c>
      <c r="P378" t="s">
        <v>1287</v>
      </c>
      <c r="Q378">
        <v>1</v>
      </c>
      <c r="X378">
        <v>80.73</v>
      </c>
      <c r="Y378">
        <v>0</v>
      </c>
      <c r="Z378">
        <v>0</v>
      </c>
      <c r="AA378">
        <v>0</v>
      </c>
      <c r="AB378">
        <v>8.64</v>
      </c>
      <c r="AC378">
        <v>0</v>
      </c>
      <c r="AD378">
        <v>1</v>
      </c>
      <c r="AE378">
        <v>1</v>
      </c>
      <c r="AF378" t="s">
        <v>188</v>
      </c>
      <c r="AG378">
        <v>92.839500000000001</v>
      </c>
      <c r="AH378">
        <v>2</v>
      </c>
      <c r="AI378">
        <v>16746079</v>
      </c>
      <c r="AJ378">
        <v>402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ROW(Source!A205)</f>
        <v>205</v>
      </c>
      <c r="B379">
        <v>16746087</v>
      </c>
      <c r="C379">
        <v>16746078</v>
      </c>
      <c r="D379">
        <v>15430395</v>
      </c>
      <c r="E379">
        <v>1</v>
      </c>
      <c r="F379">
        <v>1</v>
      </c>
      <c r="G379">
        <v>1</v>
      </c>
      <c r="H379">
        <v>1</v>
      </c>
      <c r="I379" t="s">
        <v>1293</v>
      </c>
      <c r="J379" t="s">
        <v>6</v>
      </c>
      <c r="K379" t="s">
        <v>1294</v>
      </c>
      <c r="L379">
        <v>1191</v>
      </c>
      <c r="N379">
        <v>1013</v>
      </c>
      <c r="O379" t="s">
        <v>1287</v>
      </c>
      <c r="P379" t="s">
        <v>1287</v>
      </c>
      <c r="Q379">
        <v>1</v>
      </c>
      <c r="X379">
        <v>0.01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2</v>
      </c>
      <c r="AF379" t="s">
        <v>187</v>
      </c>
      <c r="AG379">
        <v>1.2500000000000001E-2</v>
      </c>
      <c r="AH379">
        <v>2</v>
      </c>
      <c r="AI379">
        <v>16746080</v>
      </c>
      <c r="AJ379">
        <v>403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ROW(Source!A205)</f>
        <v>205</v>
      </c>
      <c r="B380">
        <v>16746088</v>
      </c>
      <c r="C380">
        <v>16746078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1299</v>
      </c>
      <c r="J380" t="s">
        <v>1300</v>
      </c>
      <c r="K380" t="s">
        <v>1301</v>
      </c>
      <c r="L380">
        <v>1368</v>
      </c>
      <c r="N380">
        <v>1011</v>
      </c>
      <c r="O380" t="s">
        <v>1298</v>
      </c>
      <c r="P380" t="s">
        <v>1298</v>
      </c>
      <c r="Q380">
        <v>1</v>
      </c>
      <c r="X380">
        <v>0.01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187</v>
      </c>
      <c r="AG380">
        <v>1.2500000000000001E-2</v>
      </c>
      <c r="AH380">
        <v>2</v>
      </c>
      <c r="AI380">
        <v>16746081</v>
      </c>
      <c r="AJ380">
        <v>404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ROW(Source!A205)</f>
        <v>205</v>
      </c>
      <c r="B381">
        <v>16746089</v>
      </c>
      <c r="C381">
        <v>16746078</v>
      </c>
      <c r="D381">
        <v>15171018</v>
      </c>
      <c r="E381">
        <v>1</v>
      </c>
      <c r="F381">
        <v>1</v>
      </c>
      <c r="G381">
        <v>1</v>
      </c>
      <c r="H381">
        <v>3</v>
      </c>
      <c r="I381" t="s">
        <v>1431</v>
      </c>
      <c r="J381" t="s">
        <v>1432</v>
      </c>
      <c r="K381" t="s">
        <v>1433</v>
      </c>
      <c r="L381">
        <v>1346</v>
      </c>
      <c r="N381">
        <v>1009</v>
      </c>
      <c r="O381" t="s">
        <v>341</v>
      </c>
      <c r="P381" t="s">
        <v>341</v>
      </c>
      <c r="Q381">
        <v>1</v>
      </c>
      <c r="X381">
        <v>0.1</v>
      </c>
      <c r="Y381">
        <v>1.82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0.1</v>
      </c>
      <c r="AH381">
        <v>2</v>
      </c>
      <c r="AI381">
        <v>16746082</v>
      </c>
      <c r="AJ381">
        <v>405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ROW(Source!A205)</f>
        <v>205</v>
      </c>
      <c r="B382">
        <v>16746090</v>
      </c>
      <c r="C382">
        <v>16746078</v>
      </c>
      <c r="D382">
        <v>15163068</v>
      </c>
      <c r="E382">
        <v>17</v>
      </c>
      <c r="F382">
        <v>1</v>
      </c>
      <c r="G382">
        <v>1</v>
      </c>
      <c r="H382">
        <v>3</v>
      </c>
      <c r="I382" t="s">
        <v>640</v>
      </c>
      <c r="J382" t="s">
        <v>6</v>
      </c>
      <c r="K382" t="s">
        <v>641</v>
      </c>
      <c r="L382">
        <v>1348</v>
      </c>
      <c r="N382">
        <v>1009</v>
      </c>
      <c r="O382" t="s">
        <v>100</v>
      </c>
      <c r="P382" t="s">
        <v>100</v>
      </c>
      <c r="Q382">
        <v>1000</v>
      </c>
      <c r="X382">
        <v>1.3599999999999999E-2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6</v>
      </c>
      <c r="AG382">
        <v>1.3599999999999999E-2</v>
      </c>
      <c r="AH382">
        <v>2</v>
      </c>
      <c r="AI382">
        <v>16746083</v>
      </c>
      <c r="AJ382">
        <v>406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ROW(Source!A205)</f>
        <v>205</v>
      </c>
      <c r="B383">
        <v>16746091</v>
      </c>
      <c r="C383">
        <v>16746078</v>
      </c>
      <c r="D383">
        <v>15204468</v>
      </c>
      <c r="E383">
        <v>1</v>
      </c>
      <c r="F383">
        <v>1</v>
      </c>
      <c r="G383">
        <v>1</v>
      </c>
      <c r="H383">
        <v>3</v>
      </c>
      <c r="I383" t="s">
        <v>1623</v>
      </c>
      <c r="J383" t="s">
        <v>1624</v>
      </c>
      <c r="K383" t="s">
        <v>1625</v>
      </c>
      <c r="L383">
        <v>1348</v>
      </c>
      <c r="N383">
        <v>1009</v>
      </c>
      <c r="O383" t="s">
        <v>100</v>
      </c>
      <c r="P383" t="s">
        <v>100</v>
      </c>
      <c r="Q383">
        <v>1000</v>
      </c>
      <c r="X383">
        <v>7.0000000000000001E-3</v>
      </c>
      <c r="Y383">
        <v>16950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7.0000000000000001E-3</v>
      </c>
      <c r="AH383">
        <v>2</v>
      </c>
      <c r="AI383">
        <v>16746084</v>
      </c>
      <c r="AJ383">
        <v>408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ROW(Source!A208)</f>
        <v>208</v>
      </c>
      <c r="B384">
        <v>16746106</v>
      </c>
      <c r="C384">
        <v>16746094</v>
      </c>
      <c r="D384">
        <v>15435099</v>
      </c>
      <c r="E384">
        <v>1</v>
      </c>
      <c r="F384">
        <v>1</v>
      </c>
      <c r="G384">
        <v>1</v>
      </c>
      <c r="H384">
        <v>1</v>
      </c>
      <c r="I384" t="s">
        <v>1463</v>
      </c>
      <c r="J384" t="s">
        <v>6</v>
      </c>
      <c r="K384" t="s">
        <v>1464</v>
      </c>
      <c r="L384">
        <v>1191</v>
      </c>
      <c r="N384">
        <v>1013</v>
      </c>
      <c r="O384" t="s">
        <v>1287</v>
      </c>
      <c r="P384" t="s">
        <v>1287</v>
      </c>
      <c r="Q384">
        <v>1</v>
      </c>
      <c r="X384">
        <v>51.19</v>
      </c>
      <c r="Y384">
        <v>0</v>
      </c>
      <c r="Z384">
        <v>0</v>
      </c>
      <c r="AA384">
        <v>0</v>
      </c>
      <c r="AB384">
        <v>8.64</v>
      </c>
      <c r="AC384">
        <v>0</v>
      </c>
      <c r="AD384">
        <v>1</v>
      </c>
      <c r="AE384">
        <v>1</v>
      </c>
      <c r="AF384" t="s">
        <v>188</v>
      </c>
      <c r="AG384">
        <v>58.86849999999999</v>
      </c>
      <c r="AH384">
        <v>2</v>
      </c>
      <c r="AI384">
        <v>16746095</v>
      </c>
      <c r="AJ384">
        <v>409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ROW(Source!A208)</f>
        <v>208</v>
      </c>
      <c r="B385">
        <v>16746107</v>
      </c>
      <c r="C385">
        <v>16746094</v>
      </c>
      <c r="D385">
        <v>15430395</v>
      </c>
      <c r="E385">
        <v>1</v>
      </c>
      <c r="F385">
        <v>1</v>
      </c>
      <c r="G385">
        <v>1</v>
      </c>
      <c r="H385">
        <v>1</v>
      </c>
      <c r="I385" t="s">
        <v>1293</v>
      </c>
      <c r="J385" t="s">
        <v>6</v>
      </c>
      <c r="K385" t="s">
        <v>1294</v>
      </c>
      <c r="L385">
        <v>1191</v>
      </c>
      <c r="N385">
        <v>1013</v>
      </c>
      <c r="O385" t="s">
        <v>1287</v>
      </c>
      <c r="P385" t="s">
        <v>1287</v>
      </c>
      <c r="Q385">
        <v>1</v>
      </c>
      <c r="X385">
        <v>0.16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2</v>
      </c>
      <c r="AF385" t="s">
        <v>187</v>
      </c>
      <c r="AG385">
        <v>0.2</v>
      </c>
      <c r="AH385">
        <v>2</v>
      </c>
      <c r="AI385">
        <v>16746096</v>
      </c>
      <c r="AJ385">
        <v>410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ROW(Source!A208)</f>
        <v>208</v>
      </c>
      <c r="B386">
        <v>16746108</v>
      </c>
      <c r="C386">
        <v>16746094</v>
      </c>
      <c r="D386">
        <v>15247974</v>
      </c>
      <c r="E386">
        <v>1</v>
      </c>
      <c r="F386">
        <v>1</v>
      </c>
      <c r="G386">
        <v>1</v>
      </c>
      <c r="H386">
        <v>2</v>
      </c>
      <c r="I386" t="s">
        <v>1314</v>
      </c>
      <c r="J386" t="s">
        <v>1315</v>
      </c>
      <c r="K386" t="s">
        <v>1316</v>
      </c>
      <c r="L386">
        <v>1368</v>
      </c>
      <c r="N386">
        <v>1011</v>
      </c>
      <c r="O386" t="s">
        <v>1298</v>
      </c>
      <c r="P386" t="s">
        <v>1298</v>
      </c>
      <c r="Q386">
        <v>1</v>
      </c>
      <c r="X386">
        <v>0.1</v>
      </c>
      <c r="Y386">
        <v>0</v>
      </c>
      <c r="Z386">
        <v>31.26</v>
      </c>
      <c r="AA386">
        <v>13.5</v>
      </c>
      <c r="AB386">
        <v>0</v>
      </c>
      <c r="AC386">
        <v>0</v>
      </c>
      <c r="AD386">
        <v>1</v>
      </c>
      <c r="AE386">
        <v>0</v>
      </c>
      <c r="AF386" t="s">
        <v>187</v>
      </c>
      <c r="AG386">
        <v>0.125</v>
      </c>
      <c r="AH386">
        <v>2</v>
      </c>
      <c r="AI386">
        <v>16746097</v>
      </c>
      <c r="AJ386">
        <v>411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ROW(Source!A208)</f>
        <v>208</v>
      </c>
      <c r="B387">
        <v>16746109</v>
      </c>
      <c r="C387">
        <v>16746094</v>
      </c>
      <c r="D387">
        <v>15249073</v>
      </c>
      <c r="E387">
        <v>1</v>
      </c>
      <c r="F387">
        <v>1</v>
      </c>
      <c r="G387">
        <v>1</v>
      </c>
      <c r="H387">
        <v>2</v>
      </c>
      <c r="I387" t="s">
        <v>1299</v>
      </c>
      <c r="J387" t="s">
        <v>1300</v>
      </c>
      <c r="K387" t="s">
        <v>1301</v>
      </c>
      <c r="L387">
        <v>1368</v>
      </c>
      <c r="N387">
        <v>1011</v>
      </c>
      <c r="O387" t="s">
        <v>1298</v>
      </c>
      <c r="P387" t="s">
        <v>1298</v>
      </c>
      <c r="Q387">
        <v>1</v>
      </c>
      <c r="X387">
        <v>0.06</v>
      </c>
      <c r="Y387">
        <v>0</v>
      </c>
      <c r="Z387">
        <v>65.709999999999994</v>
      </c>
      <c r="AA387">
        <v>11.6</v>
      </c>
      <c r="AB387">
        <v>0</v>
      </c>
      <c r="AC387">
        <v>0</v>
      </c>
      <c r="AD387">
        <v>1</v>
      </c>
      <c r="AE387">
        <v>0</v>
      </c>
      <c r="AF387" t="s">
        <v>187</v>
      </c>
      <c r="AG387">
        <v>7.4999999999999997E-2</v>
      </c>
      <c r="AH387">
        <v>2</v>
      </c>
      <c r="AI387">
        <v>16746098</v>
      </c>
      <c r="AJ387">
        <v>412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ROW(Source!A208)</f>
        <v>208</v>
      </c>
      <c r="B388">
        <v>16746110</v>
      </c>
      <c r="C388">
        <v>16746094</v>
      </c>
      <c r="D388">
        <v>15170682</v>
      </c>
      <c r="E388">
        <v>1</v>
      </c>
      <c r="F388">
        <v>1</v>
      </c>
      <c r="G388">
        <v>1</v>
      </c>
      <c r="H388">
        <v>3</v>
      </c>
      <c r="I388" t="s">
        <v>1428</v>
      </c>
      <c r="J388" t="s">
        <v>1429</v>
      </c>
      <c r="K388" t="s">
        <v>1430</v>
      </c>
      <c r="L388">
        <v>1327</v>
      </c>
      <c r="N388">
        <v>1005</v>
      </c>
      <c r="O388" t="s">
        <v>193</v>
      </c>
      <c r="P388" t="s">
        <v>193</v>
      </c>
      <c r="Q388">
        <v>1</v>
      </c>
      <c r="X388">
        <v>1.1000000000000001</v>
      </c>
      <c r="Y388">
        <v>72.319999999999993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1.1000000000000001</v>
      </c>
      <c r="AH388">
        <v>2</v>
      </c>
      <c r="AI388">
        <v>16746099</v>
      </c>
      <c r="AJ388">
        <v>413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ROW(Source!A208)</f>
        <v>208</v>
      </c>
      <c r="B389">
        <v>16746111</v>
      </c>
      <c r="C389">
        <v>16746094</v>
      </c>
      <c r="D389">
        <v>15171018</v>
      </c>
      <c r="E389">
        <v>1</v>
      </c>
      <c r="F389">
        <v>1</v>
      </c>
      <c r="G389">
        <v>1</v>
      </c>
      <c r="H389">
        <v>3</v>
      </c>
      <c r="I389" t="s">
        <v>1431</v>
      </c>
      <c r="J389" t="s">
        <v>1432</v>
      </c>
      <c r="K389" t="s">
        <v>1433</v>
      </c>
      <c r="L389">
        <v>1346</v>
      </c>
      <c r="N389">
        <v>1009</v>
      </c>
      <c r="O389" t="s">
        <v>341</v>
      </c>
      <c r="P389" t="s">
        <v>341</v>
      </c>
      <c r="Q389">
        <v>1</v>
      </c>
      <c r="X389">
        <v>0.18</v>
      </c>
      <c r="Y389">
        <v>1.82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0.18</v>
      </c>
      <c r="AH389">
        <v>2</v>
      </c>
      <c r="AI389">
        <v>16746100</v>
      </c>
      <c r="AJ389">
        <v>414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ROW(Source!A208)</f>
        <v>208</v>
      </c>
      <c r="B390">
        <v>16746112</v>
      </c>
      <c r="C390">
        <v>16746094</v>
      </c>
      <c r="D390">
        <v>15171907</v>
      </c>
      <c r="E390">
        <v>1</v>
      </c>
      <c r="F390">
        <v>1</v>
      </c>
      <c r="G390">
        <v>1</v>
      </c>
      <c r="H390">
        <v>3</v>
      </c>
      <c r="I390" t="s">
        <v>1513</v>
      </c>
      <c r="J390" t="s">
        <v>1514</v>
      </c>
      <c r="K390" t="s">
        <v>1515</v>
      </c>
      <c r="L390">
        <v>1339</v>
      </c>
      <c r="N390">
        <v>1007</v>
      </c>
      <c r="O390" t="s">
        <v>301</v>
      </c>
      <c r="P390" t="s">
        <v>301</v>
      </c>
      <c r="Q390">
        <v>1</v>
      </c>
      <c r="X390">
        <v>2.3999999999999998E-3</v>
      </c>
      <c r="Y390">
        <v>74.58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2.3999999999999998E-3</v>
      </c>
      <c r="AH390">
        <v>2</v>
      </c>
      <c r="AI390">
        <v>16746101</v>
      </c>
      <c r="AJ390">
        <v>415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ROW(Source!A208)</f>
        <v>208</v>
      </c>
      <c r="B391">
        <v>16746113</v>
      </c>
      <c r="C391">
        <v>16746094</v>
      </c>
      <c r="D391">
        <v>15163068</v>
      </c>
      <c r="E391">
        <v>17</v>
      </c>
      <c r="F391">
        <v>1</v>
      </c>
      <c r="G391">
        <v>1</v>
      </c>
      <c r="H391">
        <v>3</v>
      </c>
      <c r="I391" t="s">
        <v>640</v>
      </c>
      <c r="J391" t="s">
        <v>6</v>
      </c>
      <c r="K391" t="s">
        <v>648</v>
      </c>
      <c r="L391">
        <v>1348</v>
      </c>
      <c r="N391">
        <v>1009</v>
      </c>
      <c r="O391" t="s">
        <v>100</v>
      </c>
      <c r="P391" t="s">
        <v>100</v>
      </c>
      <c r="Q391">
        <v>1000</v>
      </c>
      <c r="X391">
        <v>2.1100000000000001E-2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 t="s">
        <v>6</v>
      </c>
      <c r="AG391">
        <v>2.1100000000000001E-2</v>
      </c>
      <c r="AH391">
        <v>2</v>
      </c>
      <c r="AI391">
        <v>16746102</v>
      </c>
      <c r="AJ391">
        <v>416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ROW(Source!A208)</f>
        <v>208</v>
      </c>
      <c r="B392">
        <v>16746114</v>
      </c>
      <c r="C392">
        <v>16746094</v>
      </c>
      <c r="D392">
        <v>15204468</v>
      </c>
      <c r="E392">
        <v>1</v>
      </c>
      <c r="F392">
        <v>1</v>
      </c>
      <c r="G392">
        <v>1</v>
      </c>
      <c r="H392">
        <v>3</v>
      </c>
      <c r="I392" t="s">
        <v>1623</v>
      </c>
      <c r="J392" t="s">
        <v>1624</v>
      </c>
      <c r="K392" t="s">
        <v>1625</v>
      </c>
      <c r="L392">
        <v>1348</v>
      </c>
      <c r="N392">
        <v>1009</v>
      </c>
      <c r="O392" t="s">
        <v>100</v>
      </c>
      <c r="P392" t="s">
        <v>100</v>
      </c>
      <c r="Q392">
        <v>1000</v>
      </c>
      <c r="X392">
        <v>5.7000000000000002E-3</v>
      </c>
      <c r="Y392">
        <v>16950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5.7000000000000002E-3</v>
      </c>
      <c r="AH392">
        <v>2</v>
      </c>
      <c r="AI392">
        <v>16746103</v>
      </c>
      <c r="AJ392">
        <v>418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ROW(Source!A208)</f>
        <v>208</v>
      </c>
      <c r="B393">
        <v>16746115</v>
      </c>
      <c r="C393">
        <v>16746094</v>
      </c>
      <c r="D393">
        <v>15204729</v>
      </c>
      <c r="E393">
        <v>1</v>
      </c>
      <c r="F393">
        <v>1</v>
      </c>
      <c r="G393">
        <v>1</v>
      </c>
      <c r="H393">
        <v>3</v>
      </c>
      <c r="I393" t="s">
        <v>1434</v>
      </c>
      <c r="J393" t="s">
        <v>1435</v>
      </c>
      <c r="K393" t="s">
        <v>1436</v>
      </c>
      <c r="L393">
        <v>1348</v>
      </c>
      <c r="N393">
        <v>1009</v>
      </c>
      <c r="O393" t="s">
        <v>100</v>
      </c>
      <c r="P393" t="s">
        <v>100</v>
      </c>
      <c r="Q393">
        <v>1000</v>
      </c>
      <c r="X393">
        <v>4.0899999999999999E-2</v>
      </c>
      <c r="Y393">
        <v>4294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4.0899999999999999E-2</v>
      </c>
      <c r="AH393">
        <v>2</v>
      </c>
      <c r="AI393">
        <v>16746104</v>
      </c>
      <c r="AJ393">
        <v>419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ROW(Source!A211)</f>
        <v>211</v>
      </c>
      <c r="B394">
        <v>16748866</v>
      </c>
      <c r="C394">
        <v>16748865</v>
      </c>
      <c r="D394">
        <v>15430767</v>
      </c>
      <c r="E394">
        <v>1</v>
      </c>
      <c r="F394">
        <v>1</v>
      </c>
      <c r="G394">
        <v>1</v>
      </c>
      <c r="H394">
        <v>1</v>
      </c>
      <c r="I394" t="s">
        <v>1285</v>
      </c>
      <c r="J394" t="s">
        <v>6</v>
      </c>
      <c r="K394" t="s">
        <v>1286</v>
      </c>
      <c r="L394">
        <v>1191</v>
      </c>
      <c r="N394">
        <v>1013</v>
      </c>
      <c r="O394" t="s">
        <v>1287</v>
      </c>
      <c r="P394" t="s">
        <v>1287</v>
      </c>
      <c r="Q394">
        <v>1</v>
      </c>
      <c r="X394">
        <v>50.79</v>
      </c>
      <c r="Y394">
        <v>0</v>
      </c>
      <c r="Z394">
        <v>0</v>
      </c>
      <c r="AA394">
        <v>0</v>
      </c>
      <c r="AB394">
        <v>8.5299999999999994</v>
      </c>
      <c r="AC394">
        <v>0</v>
      </c>
      <c r="AD394">
        <v>1</v>
      </c>
      <c r="AE394">
        <v>1</v>
      </c>
      <c r="AF394" t="s">
        <v>188</v>
      </c>
      <c r="AG394">
        <v>58.408499999999997</v>
      </c>
      <c r="AH394">
        <v>2</v>
      </c>
      <c r="AI394">
        <v>16748866</v>
      </c>
      <c r="AJ394">
        <v>420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ROW(Source!A211)</f>
        <v>211</v>
      </c>
      <c r="B395">
        <v>16748867</v>
      </c>
      <c r="C395">
        <v>16748865</v>
      </c>
      <c r="D395">
        <v>15430395</v>
      </c>
      <c r="E395">
        <v>1</v>
      </c>
      <c r="F395">
        <v>1</v>
      </c>
      <c r="G395">
        <v>1</v>
      </c>
      <c r="H395">
        <v>1</v>
      </c>
      <c r="I395" t="s">
        <v>1293</v>
      </c>
      <c r="J395" t="s">
        <v>6</v>
      </c>
      <c r="K395" t="s">
        <v>1294</v>
      </c>
      <c r="L395">
        <v>1191</v>
      </c>
      <c r="N395">
        <v>1013</v>
      </c>
      <c r="O395" t="s">
        <v>1287</v>
      </c>
      <c r="P395" t="s">
        <v>1287</v>
      </c>
      <c r="Q395">
        <v>1</v>
      </c>
      <c r="X395">
        <v>0.31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 t="s">
        <v>187</v>
      </c>
      <c r="AG395">
        <v>0.38750000000000001</v>
      </c>
      <c r="AH395">
        <v>2</v>
      </c>
      <c r="AI395">
        <v>16748867</v>
      </c>
      <c r="AJ395">
        <v>421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ROW(Source!A211)</f>
        <v>211</v>
      </c>
      <c r="B396">
        <v>16748868</v>
      </c>
      <c r="C396">
        <v>16748865</v>
      </c>
      <c r="D396">
        <v>15247680</v>
      </c>
      <c r="E396">
        <v>1</v>
      </c>
      <c r="F396">
        <v>1</v>
      </c>
      <c r="G396">
        <v>1</v>
      </c>
      <c r="H396">
        <v>2</v>
      </c>
      <c r="I396" t="s">
        <v>1295</v>
      </c>
      <c r="J396" t="s">
        <v>1296</v>
      </c>
      <c r="K396" t="s">
        <v>1297</v>
      </c>
      <c r="L396">
        <v>1368</v>
      </c>
      <c r="N396">
        <v>1011</v>
      </c>
      <c r="O396" t="s">
        <v>1298</v>
      </c>
      <c r="P396" t="s">
        <v>1298</v>
      </c>
      <c r="Q396">
        <v>1</v>
      </c>
      <c r="X396">
        <v>0.12</v>
      </c>
      <c r="Y396">
        <v>0</v>
      </c>
      <c r="Z396">
        <v>111.99</v>
      </c>
      <c r="AA396">
        <v>13.5</v>
      </c>
      <c r="AB396">
        <v>0</v>
      </c>
      <c r="AC396">
        <v>0</v>
      </c>
      <c r="AD396">
        <v>1</v>
      </c>
      <c r="AE396">
        <v>0</v>
      </c>
      <c r="AF396" t="s">
        <v>187</v>
      </c>
      <c r="AG396">
        <v>0.15</v>
      </c>
      <c r="AH396">
        <v>2</v>
      </c>
      <c r="AI396">
        <v>16748868</v>
      </c>
      <c r="AJ396">
        <v>422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ROW(Source!A211)</f>
        <v>211</v>
      </c>
      <c r="B397">
        <v>16748869</v>
      </c>
      <c r="C397">
        <v>16748865</v>
      </c>
      <c r="D397">
        <v>15247880</v>
      </c>
      <c r="E397">
        <v>1</v>
      </c>
      <c r="F397">
        <v>1</v>
      </c>
      <c r="G397">
        <v>1</v>
      </c>
      <c r="H397">
        <v>2</v>
      </c>
      <c r="I397" t="s">
        <v>1347</v>
      </c>
      <c r="J397" t="s">
        <v>1348</v>
      </c>
      <c r="K397" t="s">
        <v>1349</v>
      </c>
      <c r="L397">
        <v>1368</v>
      </c>
      <c r="N397">
        <v>1011</v>
      </c>
      <c r="O397" t="s">
        <v>1298</v>
      </c>
      <c r="P397" t="s">
        <v>1298</v>
      </c>
      <c r="Q397">
        <v>1</v>
      </c>
      <c r="X397">
        <v>10.53</v>
      </c>
      <c r="Y397">
        <v>0</v>
      </c>
      <c r="Z397">
        <v>6.9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187</v>
      </c>
      <c r="AG397">
        <v>13.1625</v>
      </c>
      <c r="AH397">
        <v>2</v>
      </c>
      <c r="AI397">
        <v>16748869</v>
      </c>
      <c r="AJ397">
        <v>423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ROW(Source!A211)</f>
        <v>211</v>
      </c>
      <c r="B398">
        <v>16748870</v>
      </c>
      <c r="C398">
        <v>16748865</v>
      </c>
      <c r="D398">
        <v>15249073</v>
      </c>
      <c r="E398">
        <v>1</v>
      </c>
      <c r="F398">
        <v>1</v>
      </c>
      <c r="G398">
        <v>1</v>
      </c>
      <c r="H398">
        <v>2</v>
      </c>
      <c r="I398" t="s">
        <v>1299</v>
      </c>
      <c r="J398" t="s">
        <v>1300</v>
      </c>
      <c r="K398" t="s">
        <v>1301</v>
      </c>
      <c r="L398">
        <v>1368</v>
      </c>
      <c r="N398">
        <v>1011</v>
      </c>
      <c r="O398" t="s">
        <v>1298</v>
      </c>
      <c r="P398" t="s">
        <v>1298</v>
      </c>
      <c r="Q398">
        <v>1</v>
      </c>
      <c r="X398">
        <v>0.19</v>
      </c>
      <c r="Y398">
        <v>0</v>
      </c>
      <c r="Z398">
        <v>65.709999999999994</v>
      </c>
      <c r="AA398">
        <v>11.6</v>
      </c>
      <c r="AB398">
        <v>0</v>
      </c>
      <c r="AC398">
        <v>0</v>
      </c>
      <c r="AD398">
        <v>1</v>
      </c>
      <c r="AE398">
        <v>0</v>
      </c>
      <c r="AF398" t="s">
        <v>187</v>
      </c>
      <c r="AG398">
        <v>0.23749999999999999</v>
      </c>
      <c r="AH398">
        <v>2</v>
      </c>
      <c r="AI398">
        <v>16748870</v>
      </c>
      <c r="AJ398">
        <v>424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ROW(Source!A211)</f>
        <v>211</v>
      </c>
      <c r="B399">
        <v>16748871</v>
      </c>
      <c r="C399">
        <v>16748865</v>
      </c>
      <c r="D399">
        <v>15249308</v>
      </c>
      <c r="E399">
        <v>1</v>
      </c>
      <c r="F399">
        <v>1</v>
      </c>
      <c r="G399">
        <v>1</v>
      </c>
      <c r="H399">
        <v>2</v>
      </c>
      <c r="I399" t="s">
        <v>1350</v>
      </c>
      <c r="J399" t="s">
        <v>1351</v>
      </c>
      <c r="K399" t="s">
        <v>1352</v>
      </c>
      <c r="L399">
        <v>1368</v>
      </c>
      <c r="N399">
        <v>1011</v>
      </c>
      <c r="O399" t="s">
        <v>1298</v>
      </c>
      <c r="P399" t="s">
        <v>1298</v>
      </c>
      <c r="Q399">
        <v>1</v>
      </c>
      <c r="X399">
        <v>1.86</v>
      </c>
      <c r="Y399">
        <v>0</v>
      </c>
      <c r="Z399">
        <v>1.2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187</v>
      </c>
      <c r="AG399">
        <v>2.3250000000000002</v>
      </c>
      <c r="AH399">
        <v>2</v>
      </c>
      <c r="AI399">
        <v>16748871</v>
      </c>
      <c r="AJ399">
        <v>425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ROW(Source!A211)</f>
        <v>211</v>
      </c>
      <c r="B400">
        <v>16748872</v>
      </c>
      <c r="C400">
        <v>16748865</v>
      </c>
      <c r="D400">
        <v>15249355</v>
      </c>
      <c r="E400">
        <v>1</v>
      </c>
      <c r="F400">
        <v>1</v>
      </c>
      <c r="G400">
        <v>1</v>
      </c>
      <c r="H400">
        <v>2</v>
      </c>
      <c r="I400" t="s">
        <v>1353</v>
      </c>
      <c r="J400" t="s">
        <v>1354</v>
      </c>
      <c r="K400" t="s">
        <v>1355</v>
      </c>
      <c r="L400">
        <v>1368</v>
      </c>
      <c r="N400">
        <v>1011</v>
      </c>
      <c r="O400" t="s">
        <v>1298</v>
      </c>
      <c r="P400" t="s">
        <v>1298</v>
      </c>
      <c r="Q400">
        <v>1</v>
      </c>
      <c r="X400">
        <v>2.0299999999999998</v>
      </c>
      <c r="Y400">
        <v>0</v>
      </c>
      <c r="Z400">
        <v>12.31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187</v>
      </c>
      <c r="AG400">
        <v>2.5374999999999996</v>
      </c>
      <c r="AH400">
        <v>2</v>
      </c>
      <c r="AI400">
        <v>16748872</v>
      </c>
      <c r="AJ400">
        <v>426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ROW(Source!A211)</f>
        <v>211</v>
      </c>
      <c r="B401">
        <v>16748873</v>
      </c>
      <c r="C401">
        <v>16748865</v>
      </c>
      <c r="D401">
        <v>15165653</v>
      </c>
      <c r="E401">
        <v>1</v>
      </c>
      <c r="F401">
        <v>1</v>
      </c>
      <c r="G401">
        <v>1</v>
      </c>
      <c r="H401">
        <v>3</v>
      </c>
      <c r="I401" t="s">
        <v>1356</v>
      </c>
      <c r="J401" t="s">
        <v>1357</v>
      </c>
      <c r="K401" t="s">
        <v>1358</v>
      </c>
      <c r="L401">
        <v>1339</v>
      </c>
      <c r="N401">
        <v>1007</v>
      </c>
      <c r="O401" t="s">
        <v>301</v>
      </c>
      <c r="P401" t="s">
        <v>301</v>
      </c>
      <c r="Q401">
        <v>1</v>
      </c>
      <c r="X401">
        <v>1.5</v>
      </c>
      <c r="Y401">
        <v>6.22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1.5</v>
      </c>
      <c r="AH401">
        <v>2</v>
      </c>
      <c r="AI401">
        <v>16748873</v>
      </c>
      <c r="AJ401">
        <v>427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ROW(Source!A211)</f>
        <v>211</v>
      </c>
      <c r="B402">
        <v>16748874</v>
      </c>
      <c r="C402">
        <v>16748865</v>
      </c>
      <c r="D402">
        <v>15165660</v>
      </c>
      <c r="E402">
        <v>1</v>
      </c>
      <c r="F402">
        <v>1</v>
      </c>
      <c r="G402">
        <v>1</v>
      </c>
      <c r="H402">
        <v>3</v>
      </c>
      <c r="I402" t="s">
        <v>1359</v>
      </c>
      <c r="J402" t="s">
        <v>1360</v>
      </c>
      <c r="K402" t="s">
        <v>1361</v>
      </c>
      <c r="L402">
        <v>1346</v>
      </c>
      <c r="N402">
        <v>1009</v>
      </c>
      <c r="O402" t="s">
        <v>341</v>
      </c>
      <c r="P402" t="s">
        <v>341</v>
      </c>
      <c r="Q402">
        <v>1</v>
      </c>
      <c r="X402">
        <v>0.45</v>
      </c>
      <c r="Y402">
        <v>6.09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0.45</v>
      </c>
      <c r="AH402">
        <v>2</v>
      </c>
      <c r="AI402">
        <v>16748874</v>
      </c>
      <c r="AJ402">
        <v>428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ROW(Source!A211)</f>
        <v>211</v>
      </c>
      <c r="B403">
        <v>16748875</v>
      </c>
      <c r="C403">
        <v>16748865</v>
      </c>
      <c r="D403">
        <v>15168753</v>
      </c>
      <c r="E403">
        <v>1</v>
      </c>
      <c r="F403">
        <v>1</v>
      </c>
      <c r="G403">
        <v>1</v>
      </c>
      <c r="H403">
        <v>3</v>
      </c>
      <c r="I403" t="s">
        <v>1362</v>
      </c>
      <c r="J403" t="s">
        <v>1363</v>
      </c>
      <c r="K403" t="s">
        <v>1364</v>
      </c>
      <c r="L403">
        <v>1348</v>
      </c>
      <c r="N403">
        <v>1009</v>
      </c>
      <c r="O403" t="s">
        <v>100</v>
      </c>
      <c r="P403" t="s">
        <v>100</v>
      </c>
      <c r="Q403">
        <v>1000</v>
      </c>
      <c r="X403">
        <v>1.4E-3</v>
      </c>
      <c r="Y403">
        <v>10749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1.4E-3</v>
      </c>
      <c r="AH403">
        <v>2</v>
      </c>
      <c r="AI403">
        <v>16748875</v>
      </c>
      <c r="AJ403">
        <v>429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ROW(Source!A211)</f>
        <v>211</v>
      </c>
      <c r="B404">
        <v>16748876</v>
      </c>
      <c r="C404">
        <v>16748865</v>
      </c>
      <c r="D404">
        <v>15169941</v>
      </c>
      <c r="E404">
        <v>1</v>
      </c>
      <c r="F404">
        <v>1</v>
      </c>
      <c r="G404">
        <v>1</v>
      </c>
      <c r="H404">
        <v>3</v>
      </c>
      <c r="I404" t="s">
        <v>1308</v>
      </c>
      <c r="J404" t="s">
        <v>1309</v>
      </c>
      <c r="K404" t="s">
        <v>1310</v>
      </c>
      <c r="L404">
        <v>1348</v>
      </c>
      <c r="N404">
        <v>1009</v>
      </c>
      <c r="O404" t="s">
        <v>100</v>
      </c>
      <c r="P404" t="s">
        <v>100</v>
      </c>
      <c r="Q404">
        <v>1000</v>
      </c>
      <c r="X404">
        <v>3.3E-3</v>
      </c>
      <c r="Y404">
        <v>9040.01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3.3E-3</v>
      </c>
      <c r="AH404">
        <v>2</v>
      </c>
      <c r="AI404">
        <v>16748876</v>
      </c>
      <c r="AJ404">
        <v>430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ROW(Source!A211)</f>
        <v>211</v>
      </c>
      <c r="B405">
        <v>16748877</v>
      </c>
      <c r="C405">
        <v>16748865</v>
      </c>
      <c r="D405">
        <v>15170039</v>
      </c>
      <c r="E405">
        <v>1</v>
      </c>
      <c r="F405">
        <v>1</v>
      </c>
      <c r="G405">
        <v>1</v>
      </c>
      <c r="H405">
        <v>3</v>
      </c>
      <c r="I405" t="s">
        <v>1365</v>
      </c>
      <c r="J405" t="s">
        <v>1366</v>
      </c>
      <c r="K405" t="s">
        <v>1367</v>
      </c>
      <c r="L405">
        <v>1348</v>
      </c>
      <c r="N405">
        <v>1009</v>
      </c>
      <c r="O405" t="s">
        <v>100</v>
      </c>
      <c r="P405" t="s">
        <v>100</v>
      </c>
      <c r="Q405">
        <v>1000</v>
      </c>
      <c r="X405">
        <v>1.0000000000000001E-5</v>
      </c>
      <c r="Y405">
        <v>11978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1.0000000000000001E-5</v>
      </c>
      <c r="AH405">
        <v>2</v>
      </c>
      <c r="AI405">
        <v>16748877</v>
      </c>
      <c r="AJ405">
        <v>431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ROW(Source!A211)</f>
        <v>211</v>
      </c>
      <c r="B406">
        <v>16748878</v>
      </c>
      <c r="C406">
        <v>16748865</v>
      </c>
      <c r="D406">
        <v>15171021</v>
      </c>
      <c r="E406">
        <v>1</v>
      </c>
      <c r="F406">
        <v>1</v>
      </c>
      <c r="G406">
        <v>1</v>
      </c>
      <c r="H406">
        <v>3</v>
      </c>
      <c r="I406" t="s">
        <v>1368</v>
      </c>
      <c r="J406" t="s">
        <v>1369</v>
      </c>
      <c r="K406" t="s">
        <v>1370</v>
      </c>
      <c r="L406">
        <v>1348</v>
      </c>
      <c r="N406">
        <v>1009</v>
      </c>
      <c r="O406" t="s">
        <v>100</v>
      </c>
      <c r="P406" t="s">
        <v>100</v>
      </c>
      <c r="Q406">
        <v>1000</v>
      </c>
      <c r="X406">
        <v>1E-4</v>
      </c>
      <c r="Y406">
        <v>37900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1E-4</v>
      </c>
      <c r="AH406">
        <v>2</v>
      </c>
      <c r="AI406">
        <v>16748878</v>
      </c>
      <c r="AJ406">
        <v>432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ROW(Source!A211)</f>
        <v>211</v>
      </c>
      <c r="B407">
        <v>16748879</v>
      </c>
      <c r="C407">
        <v>16748865</v>
      </c>
      <c r="D407">
        <v>15161912</v>
      </c>
      <c r="E407">
        <v>17</v>
      </c>
      <c r="F407">
        <v>1</v>
      </c>
      <c r="G407">
        <v>1</v>
      </c>
      <c r="H407">
        <v>3</v>
      </c>
      <c r="I407" t="s">
        <v>319</v>
      </c>
      <c r="J407" t="s">
        <v>6</v>
      </c>
      <c r="K407" t="s">
        <v>320</v>
      </c>
      <c r="L407">
        <v>1348</v>
      </c>
      <c r="N407">
        <v>1009</v>
      </c>
      <c r="O407" t="s">
        <v>100</v>
      </c>
      <c r="P407" t="s">
        <v>100</v>
      </c>
      <c r="Q407">
        <v>1000</v>
      </c>
      <c r="X407">
        <v>1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 t="s">
        <v>6</v>
      </c>
      <c r="AG407">
        <v>1</v>
      </c>
      <c r="AH407">
        <v>2</v>
      </c>
      <c r="AI407">
        <v>16748879</v>
      </c>
      <c r="AJ407">
        <v>433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ROW(Source!A211)</f>
        <v>211</v>
      </c>
      <c r="B408">
        <v>16748880</v>
      </c>
      <c r="C408">
        <v>16748865</v>
      </c>
      <c r="D408">
        <v>15190794</v>
      </c>
      <c r="E408">
        <v>1</v>
      </c>
      <c r="F408">
        <v>1</v>
      </c>
      <c r="G408">
        <v>1</v>
      </c>
      <c r="H408">
        <v>3</v>
      </c>
      <c r="I408" t="s">
        <v>1371</v>
      </c>
      <c r="J408" t="s">
        <v>1372</v>
      </c>
      <c r="K408" t="s">
        <v>1373</v>
      </c>
      <c r="L408">
        <v>1302</v>
      </c>
      <c r="N408">
        <v>1003</v>
      </c>
      <c r="O408" t="s">
        <v>740</v>
      </c>
      <c r="P408" t="s">
        <v>740</v>
      </c>
      <c r="Q408">
        <v>10</v>
      </c>
      <c r="X408">
        <v>1.8700000000000001E-2</v>
      </c>
      <c r="Y408">
        <v>50.24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6</v>
      </c>
      <c r="AG408">
        <v>1.8700000000000001E-2</v>
      </c>
      <c r="AH408">
        <v>2</v>
      </c>
      <c r="AI408">
        <v>16748880</v>
      </c>
      <c r="AJ408">
        <v>434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ROW(Source!A211)</f>
        <v>211</v>
      </c>
      <c r="B409">
        <v>16748881</v>
      </c>
      <c r="C409">
        <v>16748865</v>
      </c>
      <c r="D409">
        <v>15191153</v>
      </c>
      <c r="E409">
        <v>1</v>
      </c>
      <c r="F409">
        <v>1</v>
      </c>
      <c r="G409">
        <v>1</v>
      </c>
      <c r="H409">
        <v>3</v>
      </c>
      <c r="I409" t="s">
        <v>1374</v>
      </c>
      <c r="J409" t="s">
        <v>1375</v>
      </c>
      <c r="K409" t="s">
        <v>1376</v>
      </c>
      <c r="L409">
        <v>1348</v>
      </c>
      <c r="N409">
        <v>1009</v>
      </c>
      <c r="O409" t="s">
        <v>100</v>
      </c>
      <c r="P409" t="s">
        <v>100</v>
      </c>
      <c r="Q409">
        <v>1000</v>
      </c>
      <c r="X409">
        <v>3.0000000000000001E-5</v>
      </c>
      <c r="Y409">
        <v>4455.2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3.0000000000000001E-5</v>
      </c>
      <c r="AH409">
        <v>2</v>
      </c>
      <c r="AI409">
        <v>16748881</v>
      </c>
      <c r="AJ409">
        <v>435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ROW(Source!A211)</f>
        <v>211</v>
      </c>
      <c r="B410">
        <v>16748882</v>
      </c>
      <c r="C410">
        <v>16748865</v>
      </c>
      <c r="D410">
        <v>15191913</v>
      </c>
      <c r="E410">
        <v>1</v>
      </c>
      <c r="F410">
        <v>1</v>
      </c>
      <c r="G410">
        <v>1</v>
      </c>
      <c r="H410">
        <v>3</v>
      </c>
      <c r="I410" t="s">
        <v>1377</v>
      </c>
      <c r="J410" t="s">
        <v>1378</v>
      </c>
      <c r="K410" t="s">
        <v>1379</v>
      </c>
      <c r="L410">
        <v>1348</v>
      </c>
      <c r="N410">
        <v>1009</v>
      </c>
      <c r="O410" t="s">
        <v>100</v>
      </c>
      <c r="P410" t="s">
        <v>100</v>
      </c>
      <c r="Q410">
        <v>1000</v>
      </c>
      <c r="X410">
        <v>1.9400000000000001E-3</v>
      </c>
      <c r="Y410">
        <v>4920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1.9400000000000001E-3</v>
      </c>
      <c r="AH410">
        <v>2</v>
      </c>
      <c r="AI410">
        <v>16748882</v>
      </c>
      <c r="AJ410">
        <v>436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ROW(Source!A211)</f>
        <v>211</v>
      </c>
      <c r="B411">
        <v>16748883</v>
      </c>
      <c r="C411">
        <v>16748865</v>
      </c>
      <c r="D411">
        <v>15203461</v>
      </c>
      <c r="E411">
        <v>1</v>
      </c>
      <c r="F411">
        <v>1</v>
      </c>
      <c r="G411">
        <v>1</v>
      </c>
      <c r="H411">
        <v>3</v>
      </c>
      <c r="I411" t="s">
        <v>1380</v>
      </c>
      <c r="J411" t="s">
        <v>1381</v>
      </c>
      <c r="K411" t="s">
        <v>1382</v>
      </c>
      <c r="L411">
        <v>1348</v>
      </c>
      <c r="N411">
        <v>1009</v>
      </c>
      <c r="O411" t="s">
        <v>100</v>
      </c>
      <c r="P411" t="s">
        <v>100</v>
      </c>
      <c r="Q411">
        <v>1000</v>
      </c>
      <c r="X411">
        <v>3.1E-4</v>
      </c>
      <c r="Y411">
        <v>15620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3.1E-4</v>
      </c>
      <c r="AH411">
        <v>2</v>
      </c>
      <c r="AI411">
        <v>16748883</v>
      </c>
      <c r="AJ411">
        <v>438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ROW(Source!A211)</f>
        <v>211</v>
      </c>
      <c r="B412">
        <v>16748884</v>
      </c>
      <c r="C412">
        <v>16748865</v>
      </c>
      <c r="D412">
        <v>15204663</v>
      </c>
      <c r="E412">
        <v>1</v>
      </c>
      <c r="F412">
        <v>1</v>
      </c>
      <c r="G412">
        <v>1</v>
      </c>
      <c r="H412">
        <v>3</v>
      </c>
      <c r="I412" t="s">
        <v>1383</v>
      </c>
      <c r="J412" t="s">
        <v>1384</v>
      </c>
      <c r="K412" t="s">
        <v>1385</v>
      </c>
      <c r="L412">
        <v>1348</v>
      </c>
      <c r="N412">
        <v>1009</v>
      </c>
      <c r="O412" t="s">
        <v>100</v>
      </c>
      <c r="P412" t="s">
        <v>100</v>
      </c>
      <c r="Q412">
        <v>1000</v>
      </c>
      <c r="X412">
        <v>5.9999999999999995E-4</v>
      </c>
      <c r="Y412">
        <v>9420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5.9999999999999995E-4</v>
      </c>
      <c r="AH412">
        <v>2</v>
      </c>
      <c r="AI412">
        <v>16748884</v>
      </c>
      <c r="AJ412">
        <v>439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ROW(Source!A214)</f>
        <v>214</v>
      </c>
      <c r="B413">
        <v>16746121</v>
      </c>
      <c r="C413">
        <v>16746118</v>
      </c>
      <c r="D413">
        <v>15433629</v>
      </c>
      <c r="E413">
        <v>1</v>
      </c>
      <c r="F413">
        <v>1</v>
      </c>
      <c r="G413">
        <v>1</v>
      </c>
      <c r="H413">
        <v>1</v>
      </c>
      <c r="I413" t="s">
        <v>1626</v>
      </c>
      <c r="J413" t="s">
        <v>6</v>
      </c>
      <c r="K413" t="s">
        <v>1627</v>
      </c>
      <c r="L413">
        <v>1191</v>
      </c>
      <c r="N413">
        <v>1013</v>
      </c>
      <c r="O413" t="s">
        <v>1287</v>
      </c>
      <c r="P413" t="s">
        <v>1287</v>
      </c>
      <c r="Q413">
        <v>1</v>
      </c>
      <c r="X413">
        <v>1.03</v>
      </c>
      <c r="Y413">
        <v>0</v>
      </c>
      <c r="Z413">
        <v>0</v>
      </c>
      <c r="AA413">
        <v>0</v>
      </c>
      <c r="AB413">
        <v>7.19</v>
      </c>
      <c r="AC413">
        <v>0</v>
      </c>
      <c r="AD413">
        <v>1</v>
      </c>
      <c r="AE413">
        <v>1</v>
      </c>
      <c r="AF413" t="s">
        <v>6</v>
      </c>
      <c r="AG413">
        <v>1.03</v>
      </c>
      <c r="AH413">
        <v>2</v>
      </c>
      <c r="AI413">
        <v>16746119</v>
      </c>
      <c r="AJ413">
        <v>440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ROW(Source!A214)</f>
        <v>214</v>
      </c>
      <c r="B414">
        <v>16746122</v>
      </c>
      <c r="C414">
        <v>16746118</v>
      </c>
      <c r="D414">
        <v>15170984</v>
      </c>
      <c r="E414">
        <v>1</v>
      </c>
      <c r="F414">
        <v>1</v>
      </c>
      <c r="G414">
        <v>1</v>
      </c>
      <c r="H414">
        <v>3</v>
      </c>
      <c r="I414" t="s">
        <v>1628</v>
      </c>
      <c r="J414" t="s">
        <v>1629</v>
      </c>
      <c r="K414" t="s">
        <v>1630</v>
      </c>
      <c r="L414">
        <v>1355</v>
      </c>
      <c r="N414">
        <v>1010</v>
      </c>
      <c r="O414" t="s">
        <v>843</v>
      </c>
      <c r="P414" t="s">
        <v>843</v>
      </c>
      <c r="Q414">
        <v>100</v>
      </c>
      <c r="X414">
        <v>0.2</v>
      </c>
      <c r="Y414">
        <v>82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0.2</v>
      </c>
      <c r="AH414">
        <v>2</v>
      </c>
      <c r="AI414">
        <v>16746120</v>
      </c>
      <c r="AJ414">
        <v>441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ROW(Source!A284)</f>
        <v>284</v>
      </c>
      <c r="B415">
        <v>16744317</v>
      </c>
      <c r="C415">
        <v>16744313</v>
      </c>
      <c r="D415">
        <v>15432010</v>
      </c>
      <c r="E415">
        <v>1</v>
      </c>
      <c r="F415">
        <v>1</v>
      </c>
      <c r="G415">
        <v>1</v>
      </c>
      <c r="H415">
        <v>1</v>
      </c>
      <c r="I415" t="s">
        <v>1631</v>
      </c>
      <c r="J415" t="s">
        <v>6</v>
      </c>
      <c r="K415" t="s">
        <v>1632</v>
      </c>
      <c r="L415">
        <v>1191</v>
      </c>
      <c r="N415">
        <v>1013</v>
      </c>
      <c r="O415" t="s">
        <v>1287</v>
      </c>
      <c r="P415" t="s">
        <v>1287</v>
      </c>
      <c r="Q415">
        <v>1</v>
      </c>
      <c r="X415">
        <v>17.89</v>
      </c>
      <c r="Y415">
        <v>0</v>
      </c>
      <c r="Z415">
        <v>0</v>
      </c>
      <c r="AA415">
        <v>0</v>
      </c>
      <c r="AB415">
        <v>8.02</v>
      </c>
      <c r="AC415">
        <v>0</v>
      </c>
      <c r="AD415">
        <v>1</v>
      </c>
      <c r="AE415">
        <v>1</v>
      </c>
      <c r="AF415" t="s">
        <v>6</v>
      </c>
      <c r="AG415">
        <v>17.89</v>
      </c>
      <c r="AH415">
        <v>2</v>
      </c>
      <c r="AI415">
        <v>16744314</v>
      </c>
      <c r="AJ415">
        <v>442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ROW(Source!A284)</f>
        <v>284</v>
      </c>
      <c r="B416">
        <v>16744318</v>
      </c>
      <c r="C416">
        <v>16744313</v>
      </c>
      <c r="D416">
        <v>15430395</v>
      </c>
      <c r="E416">
        <v>1</v>
      </c>
      <c r="F416">
        <v>1</v>
      </c>
      <c r="G416">
        <v>1</v>
      </c>
      <c r="H416">
        <v>1</v>
      </c>
      <c r="I416" t="s">
        <v>1293</v>
      </c>
      <c r="J416" t="s">
        <v>6</v>
      </c>
      <c r="K416" t="s">
        <v>1294</v>
      </c>
      <c r="L416">
        <v>1191</v>
      </c>
      <c r="N416">
        <v>1013</v>
      </c>
      <c r="O416" t="s">
        <v>1287</v>
      </c>
      <c r="P416" t="s">
        <v>1287</v>
      </c>
      <c r="Q416">
        <v>1</v>
      </c>
      <c r="X416">
        <v>0.08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2</v>
      </c>
      <c r="AF416" t="s">
        <v>6</v>
      </c>
      <c r="AG416">
        <v>0.08</v>
      </c>
      <c r="AH416">
        <v>2</v>
      </c>
      <c r="AI416">
        <v>16744315</v>
      </c>
      <c r="AJ416">
        <v>443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ROW(Source!A284)</f>
        <v>284</v>
      </c>
      <c r="B417">
        <v>16744319</v>
      </c>
      <c r="C417">
        <v>16744313</v>
      </c>
      <c r="D417">
        <v>15247974</v>
      </c>
      <c r="E417">
        <v>1</v>
      </c>
      <c r="F417">
        <v>1</v>
      </c>
      <c r="G417">
        <v>1</v>
      </c>
      <c r="H417">
        <v>2</v>
      </c>
      <c r="I417" t="s">
        <v>1314</v>
      </c>
      <c r="J417" t="s">
        <v>1315</v>
      </c>
      <c r="K417" t="s">
        <v>1316</v>
      </c>
      <c r="L417">
        <v>1368</v>
      </c>
      <c r="N417">
        <v>1011</v>
      </c>
      <c r="O417" t="s">
        <v>1298</v>
      </c>
      <c r="P417" t="s">
        <v>1298</v>
      </c>
      <c r="Q417">
        <v>1</v>
      </c>
      <c r="X417">
        <v>0.08</v>
      </c>
      <c r="Y417">
        <v>0</v>
      </c>
      <c r="Z417">
        <v>31.26</v>
      </c>
      <c r="AA417">
        <v>13.5</v>
      </c>
      <c r="AB417">
        <v>0</v>
      </c>
      <c r="AC417">
        <v>0</v>
      </c>
      <c r="AD417">
        <v>1</v>
      </c>
      <c r="AE417">
        <v>0</v>
      </c>
      <c r="AF417" t="s">
        <v>6</v>
      </c>
      <c r="AG417">
        <v>0.08</v>
      </c>
      <c r="AH417">
        <v>2</v>
      </c>
      <c r="AI417">
        <v>16744316</v>
      </c>
      <c r="AJ417">
        <v>444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ROW(Source!A285)</f>
        <v>285</v>
      </c>
      <c r="B418">
        <v>16744324</v>
      </c>
      <c r="C418">
        <v>16744320</v>
      </c>
      <c r="D418">
        <v>15430517</v>
      </c>
      <c r="E418">
        <v>1</v>
      </c>
      <c r="F418">
        <v>1</v>
      </c>
      <c r="G418">
        <v>1</v>
      </c>
      <c r="H418">
        <v>1</v>
      </c>
      <c r="I418" t="s">
        <v>1337</v>
      </c>
      <c r="J418" t="s">
        <v>6</v>
      </c>
      <c r="K418" t="s">
        <v>1338</v>
      </c>
      <c r="L418">
        <v>1191</v>
      </c>
      <c r="N418">
        <v>1013</v>
      </c>
      <c r="O418" t="s">
        <v>1287</v>
      </c>
      <c r="P418" t="s">
        <v>1287</v>
      </c>
      <c r="Q418">
        <v>1</v>
      </c>
      <c r="X418">
        <v>9.64</v>
      </c>
      <c r="Y418">
        <v>0</v>
      </c>
      <c r="Z418">
        <v>0</v>
      </c>
      <c r="AA418">
        <v>0</v>
      </c>
      <c r="AB418">
        <v>7.8</v>
      </c>
      <c r="AC418">
        <v>0</v>
      </c>
      <c r="AD418">
        <v>1</v>
      </c>
      <c r="AE418">
        <v>1</v>
      </c>
      <c r="AF418" t="s">
        <v>6</v>
      </c>
      <c r="AG418">
        <v>9.64</v>
      </c>
      <c r="AH418">
        <v>2</v>
      </c>
      <c r="AI418">
        <v>16744321</v>
      </c>
      <c r="AJ418">
        <v>445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ROW(Source!A285)</f>
        <v>285</v>
      </c>
      <c r="B419">
        <v>16744325</v>
      </c>
      <c r="C419">
        <v>16744320</v>
      </c>
      <c r="D419">
        <v>15430395</v>
      </c>
      <c r="E419">
        <v>1</v>
      </c>
      <c r="F419">
        <v>1</v>
      </c>
      <c r="G419">
        <v>1</v>
      </c>
      <c r="H419">
        <v>1</v>
      </c>
      <c r="I419" t="s">
        <v>1293</v>
      </c>
      <c r="J419" t="s">
        <v>6</v>
      </c>
      <c r="K419" t="s">
        <v>1294</v>
      </c>
      <c r="L419">
        <v>1191</v>
      </c>
      <c r="N419">
        <v>1013</v>
      </c>
      <c r="O419" t="s">
        <v>1287</v>
      </c>
      <c r="P419" t="s">
        <v>1287</v>
      </c>
      <c r="Q419">
        <v>1</v>
      </c>
      <c r="X419">
        <v>0.01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2</v>
      </c>
      <c r="AF419" t="s">
        <v>6</v>
      </c>
      <c r="AG419">
        <v>0.01</v>
      </c>
      <c r="AH419">
        <v>2</v>
      </c>
      <c r="AI419">
        <v>16744322</v>
      </c>
      <c r="AJ419">
        <v>446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ROW(Source!A285)</f>
        <v>285</v>
      </c>
      <c r="B420">
        <v>16744326</v>
      </c>
      <c r="C420">
        <v>16744320</v>
      </c>
      <c r="D420">
        <v>15247974</v>
      </c>
      <c r="E420">
        <v>1</v>
      </c>
      <c r="F420">
        <v>1</v>
      </c>
      <c r="G420">
        <v>1</v>
      </c>
      <c r="H420">
        <v>2</v>
      </c>
      <c r="I420" t="s">
        <v>1314</v>
      </c>
      <c r="J420" t="s">
        <v>1315</v>
      </c>
      <c r="K420" t="s">
        <v>1316</v>
      </c>
      <c r="L420">
        <v>1368</v>
      </c>
      <c r="N420">
        <v>1011</v>
      </c>
      <c r="O420" t="s">
        <v>1298</v>
      </c>
      <c r="P420" t="s">
        <v>1298</v>
      </c>
      <c r="Q420">
        <v>1</v>
      </c>
      <c r="X420">
        <v>0.01</v>
      </c>
      <c r="Y420">
        <v>0</v>
      </c>
      <c r="Z420">
        <v>31.26</v>
      </c>
      <c r="AA420">
        <v>13.5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0.01</v>
      </c>
      <c r="AH420">
        <v>2</v>
      </c>
      <c r="AI420">
        <v>16744323</v>
      </c>
      <c r="AJ420">
        <v>447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ROW(Source!A286)</f>
        <v>286</v>
      </c>
      <c r="B421">
        <v>16744329</v>
      </c>
      <c r="C421">
        <v>16744327</v>
      </c>
      <c r="D421">
        <v>15430517</v>
      </c>
      <c r="E421">
        <v>1</v>
      </c>
      <c r="F421">
        <v>1</v>
      </c>
      <c r="G421">
        <v>1</v>
      </c>
      <c r="H421">
        <v>1</v>
      </c>
      <c r="I421" t="s">
        <v>1337</v>
      </c>
      <c r="J421" t="s">
        <v>6</v>
      </c>
      <c r="K421" t="s">
        <v>1338</v>
      </c>
      <c r="L421">
        <v>1191</v>
      </c>
      <c r="N421">
        <v>1013</v>
      </c>
      <c r="O421" t="s">
        <v>1287</v>
      </c>
      <c r="P421" t="s">
        <v>1287</v>
      </c>
      <c r="Q421">
        <v>1</v>
      </c>
      <c r="X421">
        <v>5.84</v>
      </c>
      <c r="Y421">
        <v>0</v>
      </c>
      <c r="Z421">
        <v>0</v>
      </c>
      <c r="AA421">
        <v>0</v>
      </c>
      <c r="AB421">
        <v>7.8</v>
      </c>
      <c r="AC421">
        <v>0</v>
      </c>
      <c r="AD421">
        <v>1</v>
      </c>
      <c r="AE421">
        <v>1</v>
      </c>
      <c r="AF421" t="s">
        <v>6</v>
      </c>
      <c r="AG421">
        <v>5.84</v>
      </c>
      <c r="AH421">
        <v>2</v>
      </c>
      <c r="AI421">
        <v>16744328</v>
      </c>
      <c r="AJ421">
        <v>448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ROW(Source!A287)</f>
        <v>287</v>
      </c>
      <c r="B422">
        <v>16744337</v>
      </c>
      <c r="C422">
        <v>16744330</v>
      </c>
      <c r="D422">
        <v>15435721</v>
      </c>
      <c r="E422">
        <v>1</v>
      </c>
      <c r="F422">
        <v>1</v>
      </c>
      <c r="G422">
        <v>1</v>
      </c>
      <c r="H422">
        <v>1</v>
      </c>
      <c r="I422" t="s">
        <v>1609</v>
      </c>
      <c r="J422" t="s">
        <v>6</v>
      </c>
      <c r="K422" t="s">
        <v>1610</v>
      </c>
      <c r="L422">
        <v>1191</v>
      </c>
      <c r="N422">
        <v>1013</v>
      </c>
      <c r="O422" t="s">
        <v>1287</v>
      </c>
      <c r="P422" t="s">
        <v>1287</v>
      </c>
      <c r="Q422">
        <v>1</v>
      </c>
      <c r="X422">
        <v>16.29</v>
      </c>
      <c r="Y422">
        <v>0</v>
      </c>
      <c r="Z422">
        <v>0</v>
      </c>
      <c r="AA422">
        <v>0</v>
      </c>
      <c r="AB422">
        <v>9.51</v>
      </c>
      <c r="AC422">
        <v>0</v>
      </c>
      <c r="AD422">
        <v>1</v>
      </c>
      <c r="AE422">
        <v>1</v>
      </c>
      <c r="AF422" t="s">
        <v>82</v>
      </c>
      <c r="AG422">
        <v>4.8869999999999996</v>
      </c>
      <c r="AH422">
        <v>2</v>
      </c>
      <c r="AI422">
        <v>16744331</v>
      </c>
      <c r="AJ422">
        <v>449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ROW(Source!A287)</f>
        <v>287</v>
      </c>
      <c r="B423">
        <v>16744338</v>
      </c>
      <c r="C423">
        <v>16744330</v>
      </c>
      <c r="D423">
        <v>15430395</v>
      </c>
      <c r="E423">
        <v>1</v>
      </c>
      <c r="F423">
        <v>1</v>
      </c>
      <c r="G423">
        <v>1</v>
      </c>
      <c r="H423">
        <v>1</v>
      </c>
      <c r="I423" t="s">
        <v>1293</v>
      </c>
      <c r="J423" t="s">
        <v>6</v>
      </c>
      <c r="K423" t="s">
        <v>1294</v>
      </c>
      <c r="L423">
        <v>1191</v>
      </c>
      <c r="N423">
        <v>1013</v>
      </c>
      <c r="O423" t="s">
        <v>1287</v>
      </c>
      <c r="P423" t="s">
        <v>1287</v>
      </c>
      <c r="Q423">
        <v>1</v>
      </c>
      <c r="X423">
        <v>0.01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82</v>
      </c>
      <c r="AG423">
        <v>3.0000000000000001E-3</v>
      </c>
      <c r="AH423">
        <v>2</v>
      </c>
      <c r="AI423">
        <v>16744332</v>
      </c>
      <c r="AJ423">
        <v>450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ROW(Source!A287)</f>
        <v>287</v>
      </c>
      <c r="B424">
        <v>16744339</v>
      </c>
      <c r="C424">
        <v>16744330</v>
      </c>
      <c r="D424">
        <v>15247974</v>
      </c>
      <c r="E424">
        <v>1</v>
      </c>
      <c r="F424">
        <v>1</v>
      </c>
      <c r="G424">
        <v>1</v>
      </c>
      <c r="H424">
        <v>2</v>
      </c>
      <c r="I424" t="s">
        <v>1314</v>
      </c>
      <c r="J424" t="s">
        <v>1315</v>
      </c>
      <c r="K424" t="s">
        <v>1316</v>
      </c>
      <c r="L424">
        <v>1368</v>
      </c>
      <c r="N424">
        <v>1011</v>
      </c>
      <c r="O424" t="s">
        <v>1298</v>
      </c>
      <c r="P424" t="s">
        <v>1298</v>
      </c>
      <c r="Q424">
        <v>1</v>
      </c>
      <c r="X424">
        <v>0.01</v>
      </c>
      <c r="Y424">
        <v>0</v>
      </c>
      <c r="Z424">
        <v>31.26</v>
      </c>
      <c r="AA424">
        <v>13.5</v>
      </c>
      <c r="AB424">
        <v>0</v>
      </c>
      <c r="AC424">
        <v>0</v>
      </c>
      <c r="AD424">
        <v>1</v>
      </c>
      <c r="AE424">
        <v>0</v>
      </c>
      <c r="AF424" t="s">
        <v>82</v>
      </c>
      <c r="AG424">
        <v>3.0000000000000001E-3</v>
      </c>
      <c r="AH424">
        <v>2</v>
      </c>
      <c r="AI424">
        <v>16744333</v>
      </c>
      <c r="AJ424">
        <v>451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ROW(Source!A287)</f>
        <v>287</v>
      </c>
      <c r="B425">
        <v>16744340</v>
      </c>
      <c r="C425">
        <v>16744330</v>
      </c>
      <c r="D425">
        <v>15170076</v>
      </c>
      <c r="E425">
        <v>1</v>
      </c>
      <c r="F425">
        <v>1</v>
      </c>
      <c r="G425">
        <v>1</v>
      </c>
      <c r="H425">
        <v>3</v>
      </c>
      <c r="I425" t="s">
        <v>1633</v>
      </c>
      <c r="J425" t="s">
        <v>1634</v>
      </c>
      <c r="K425" t="s">
        <v>1635</v>
      </c>
      <c r="L425">
        <v>1356</v>
      </c>
      <c r="N425">
        <v>1010</v>
      </c>
      <c r="O425" t="s">
        <v>306</v>
      </c>
      <c r="P425" t="s">
        <v>306</v>
      </c>
      <c r="Q425">
        <v>1000</v>
      </c>
      <c r="X425">
        <v>0.2</v>
      </c>
      <c r="Y425">
        <v>180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48</v>
      </c>
      <c r="AG425">
        <v>0</v>
      </c>
      <c r="AH425">
        <v>2</v>
      </c>
      <c r="AI425">
        <v>16744334</v>
      </c>
      <c r="AJ425">
        <v>452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ROW(Source!A287)</f>
        <v>287</v>
      </c>
      <c r="B426">
        <v>16744341</v>
      </c>
      <c r="C426">
        <v>16744330</v>
      </c>
      <c r="D426">
        <v>15170438</v>
      </c>
      <c r="E426">
        <v>1</v>
      </c>
      <c r="F426">
        <v>1</v>
      </c>
      <c r="G426">
        <v>1</v>
      </c>
      <c r="H426">
        <v>3</v>
      </c>
      <c r="I426" t="s">
        <v>1636</v>
      </c>
      <c r="J426" t="s">
        <v>1637</v>
      </c>
      <c r="K426" t="s">
        <v>1638</v>
      </c>
      <c r="L426">
        <v>1348</v>
      </c>
      <c r="N426">
        <v>1009</v>
      </c>
      <c r="O426" t="s">
        <v>100</v>
      </c>
      <c r="P426" t="s">
        <v>100</v>
      </c>
      <c r="Q426">
        <v>1000</v>
      </c>
      <c r="X426">
        <v>1E-3</v>
      </c>
      <c r="Y426">
        <v>12430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48</v>
      </c>
      <c r="AG426">
        <v>0</v>
      </c>
      <c r="AH426">
        <v>2</v>
      </c>
      <c r="AI426">
        <v>16744335</v>
      </c>
      <c r="AJ426">
        <v>453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ROW(Source!A287)</f>
        <v>287</v>
      </c>
      <c r="B427">
        <v>16744342</v>
      </c>
      <c r="C427">
        <v>16744330</v>
      </c>
      <c r="D427">
        <v>15164559</v>
      </c>
      <c r="E427">
        <v>17</v>
      </c>
      <c r="F427">
        <v>1</v>
      </c>
      <c r="G427">
        <v>1</v>
      </c>
      <c r="H427">
        <v>3</v>
      </c>
      <c r="I427" t="s">
        <v>1334</v>
      </c>
      <c r="J427" t="s">
        <v>6</v>
      </c>
      <c r="K427" t="s">
        <v>1335</v>
      </c>
      <c r="L427">
        <v>1374</v>
      </c>
      <c r="N427">
        <v>1013</v>
      </c>
      <c r="O427" t="s">
        <v>1336</v>
      </c>
      <c r="P427" t="s">
        <v>1336</v>
      </c>
      <c r="Q427">
        <v>1</v>
      </c>
      <c r="X427">
        <v>3.1</v>
      </c>
      <c r="Y427">
        <v>1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48</v>
      </c>
      <c r="AG427">
        <v>0</v>
      </c>
      <c r="AH427">
        <v>2</v>
      </c>
      <c r="AI427">
        <v>16744336</v>
      </c>
      <c r="AJ427">
        <v>454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ROW(Source!A288)</f>
        <v>288</v>
      </c>
      <c r="B428">
        <v>16744352</v>
      </c>
      <c r="C428">
        <v>16744343</v>
      </c>
      <c r="D428">
        <v>15442878</v>
      </c>
      <c r="E428">
        <v>1</v>
      </c>
      <c r="F428">
        <v>1</v>
      </c>
      <c r="G428">
        <v>1</v>
      </c>
      <c r="H428">
        <v>1</v>
      </c>
      <c r="I428" t="s">
        <v>1639</v>
      </c>
      <c r="J428" t="s">
        <v>6</v>
      </c>
      <c r="K428" t="s">
        <v>1640</v>
      </c>
      <c r="L428">
        <v>1191</v>
      </c>
      <c r="N428">
        <v>1013</v>
      </c>
      <c r="O428" t="s">
        <v>1287</v>
      </c>
      <c r="P428" t="s">
        <v>1287</v>
      </c>
      <c r="Q428">
        <v>1</v>
      </c>
      <c r="X428">
        <v>0.9</v>
      </c>
      <c r="Y428">
        <v>0</v>
      </c>
      <c r="Z428">
        <v>0</v>
      </c>
      <c r="AA428">
        <v>0</v>
      </c>
      <c r="AB428">
        <v>10.5</v>
      </c>
      <c r="AC428">
        <v>0</v>
      </c>
      <c r="AD428">
        <v>1</v>
      </c>
      <c r="AE428">
        <v>1</v>
      </c>
      <c r="AF428" t="s">
        <v>82</v>
      </c>
      <c r="AG428">
        <v>0.27</v>
      </c>
      <c r="AH428">
        <v>2</v>
      </c>
      <c r="AI428">
        <v>16744344</v>
      </c>
      <c r="AJ428">
        <v>455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ROW(Source!A288)</f>
        <v>288</v>
      </c>
      <c r="B429">
        <v>16744353</v>
      </c>
      <c r="C429">
        <v>16744343</v>
      </c>
      <c r="D429">
        <v>15430395</v>
      </c>
      <c r="E429">
        <v>1</v>
      </c>
      <c r="F429">
        <v>1</v>
      </c>
      <c r="G429">
        <v>1</v>
      </c>
      <c r="H429">
        <v>1</v>
      </c>
      <c r="I429" t="s">
        <v>1293</v>
      </c>
      <c r="J429" t="s">
        <v>6</v>
      </c>
      <c r="K429" t="s">
        <v>1294</v>
      </c>
      <c r="L429">
        <v>1191</v>
      </c>
      <c r="N429">
        <v>1013</v>
      </c>
      <c r="O429" t="s">
        <v>1287</v>
      </c>
      <c r="P429" t="s">
        <v>1287</v>
      </c>
      <c r="Q429">
        <v>1</v>
      </c>
      <c r="X429">
        <v>0.2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82</v>
      </c>
      <c r="AG429">
        <v>0.06</v>
      </c>
      <c r="AH429">
        <v>2</v>
      </c>
      <c r="AI429">
        <v>16744345</v>
      </c>
      <c r="AJ429">
        <v>456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ROW(Source!A288)</f>
        <v>288</v>
      </c>
      <c r="B430">
        <v>16744354</v>
      </c>
      <c r="C430">
        <v>16744343</v>
      </c>
      <c r="D430">
        <v>15247680</v>
      </c>
      <c r="E430">
        <v>1</v>
      </c>
      <c r="F430">
        <v>1</v>
      </c>
      <c r="G430">
        <v>1</v>
      </c>
      <c r="H430">
        <v>2</v>
      </c>
      <c r="I430" t="s">
        <v>1295</v>
      </c>
      <c r="J430" t="s">
        <v>1296</v>
      </c>
      <c r="K430" t="s">
        <v>1297</v>
      </c>
      <c r="L430">
        <v>1368</v>
      </c>
      <c r="N430">
        <v>1011</v>
      </c>
      <c r="O430" t="s">
        <v>1298</v>
      </c>
      <c r="P430" t="s">
        <v>1298</v>
      </c>
      <c r="Q430">
        <v>1</v>
      </c>
      <c r="X430">
        <v>0.1</v>
      </c>
      <c r="Y430">
        <v>0</v>
      </c>
      <c r="Z430">
        <v>111.99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82</v>
      </c>
      <c r="AG430">
        <v>0.03</v>
      </c>
      <c r="AH430">
        <v>2</v>
      </c>
      <c r="AI430">
        <v>16744346</v>
      </c>
      <c r="AJ430">
        <v>457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ROW(Source!A288)</f>
        <v>288</v>
      </c>
      <c r="B431">
        <v>16744355</v>
      </c>
      <c r="C431">
        <v>16744343</v>
      </c>
      <c r="D431">
        <v>15249073</v>
      </c>
      <c r="E431">
        <v>1</v>
      </c>
      <c r="F431">
        <v>1</v>
      </c>
      <c r="G431">
        <v>1</v>
      </c>
      <c r="H431">
        <v>2</v>
      </c>
      <c r="I431" t="s">
        <v>1299</v>
      </c>
      <c r="J431" t="s">
        <v>1300</v>
      </c>
      <c r="K431" t="s">
        <v>1301</v>
      </c>
      <c r="L431">
        <v>1368</v>
      </c>
      <c r="N431">
        <v>1011</v>
      </c>
      <c r="O431" t="s">
        <v>1298</v>
      </c>
      <c r="P431" t="s">
        <v>1298</v>
      </c>
      <c r="Q431">
        <v>1</v>
      </c>
      <c r="X431">
        <v>0.1</v>
      </c>
      <c r="Y431">
        <v>0</v>
      </c>
      <c r="Z431">
        <v>65.709999999999994</v>
      </c>
      <c r="AA431">
        <v>11.6</v>
      </c>
      <c r="AB431">
        <v>0</v>
      </c>
      <c r="AC431">
        <v>0</v>
      </c>
      <c r="AD431">
        <v>1</v>
      </c>
      <c r="AE431">
        <v>0</v>
      </c>
      <c r="AF431" t="s">
        <v>82</v>
      </c>
      <c r="AG431">
        <v>0.03</v>
      </c>
      <c r="AH431">
        <v>2</v>
      </c>
      <c r="AI431">
        <v>16744347</v>
      </c>
      <c r="AJ431">
        <v>458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ROW(Source!A288)</f>
        <v>288</v>
      </c>
      <c r="B432">
        <v>16744356</v>
      </c>
      <c r="C432">
        <v>16744343</v>
      </c>
      <c r="D432">
        <v>15167588</v>
      </c>
      <c r="E432">
        <v>1</v>
      </c>
      <c r="F432">
        <v>1</v>
      </c>
      <c r="G432">
        <v>1</v>
      </c>
      <c r="H432">
        <v>3</v>
      </c>
      <c r="I432" t="s">
        <v>1641</v>
      </c>
      <c r="J432" t="s">
        <v>1642</v>
      </c>
      <c r="K432" t="s">
        <v>1643</v>
      </c>
      <c r="L432">
        <v>1346</v>
      </c>
      <c r="N432">
        <v>1009</v>
      </c>
      <c r="O432" t="s">
        <v>341</v>
      </c>
      <c r="P432" t="s">
        <v>341</v>
      </c>
      <c r="Q432">
        <v>1</v>
      </c>
      <c r="X432">
        <v>0.01</v>
      </c>
      <c r="Y432">
        <v>30.4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48</v>
      </c>
      <c r="AG432">
        <v>0</v>
      </c>
      <c r="AH432">
        <v>2</v>
      </c>
      <c r="AI432">
        <v>16744348</v>
      </c>
      <c r="AJ432">
        <v>459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ROW(Source!A288)</f>
        <v>288</v>
      </c>
      <c r="B433">
        <v>16744357</v>
      </c>
      <c r="C433">
        <v>16744343</v>
      </c>
      <c r="D433">
        <v>15169942</v>
      </c>
      <c r="E433">
        <v>1</v>
      </c>
      <c r="F433">
        <v>1</v>
      </c>
      <c r="G433">
        <v>1</v>
      </c>
      <c r="H433">
        <v>3</v>
      </c>
      <c r="I433" t="s">
        <v>1644</v>
      </c>
      <c r="J433" t="s">
        <v>1645</v>
      </c>
      <c r="K433" t="s">
        <v>1310</v>
      </c>
      <c r="L433">
        <v>1346</v>
      </c>
      <c r="N433">
        <v>1009</v>
      </c>
      <c r="O433" t="s">
        <v>341</v>
      </c>
      <c r="P433" t="s">
        <v>341</v>
      </c>
      <c r="Q433">
        <v>1</v>
      </c>
      <c r="X433">
        <v>0.3</v>
      </c>
      <c r="Y433">
        <v>9.0399999999999991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48</v>
      </c>
      <c r="AG433">
        <v>0</v>
      </c>
      <c r="AH433">
        <v>2</v>
      </c>
      <c r="AI433">
        <v>16744349</v>
      </c>
      <c r="AJ433">
        <v>460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ROW(Source!A288)</f>
        <v>288</v>
      </c>
      <c r="B434">
        <v>16744358</v>
      </c>
      <c r="C434">
        <v>16744343</v>
      </c>
      <c r="D434">
        <v>15191488</v>
      </c>
      <c r="E434">
        <v>1</v>
      </c>
      <c r="F434">
        <v>1</v>
      </c>
      <c r="G434">
        <v>1</v>
      </c>
      <c r="H434">
        <v>3</v>
      </c>
      <c r="I434" t="s">
        <v>1646</v>
      </c>
      <c r="J434" t="s">
        <v>1647</v>
      </c>
      <c r="K434" t="s">
        <v>1648</v>
      </c>
      <c r="L434">
        <v>1348</v>
      </c>
      <c r="N434">
        <v>1009</v>
      </c>
      <c r="O434" t="s">
        <v>100</v>
      </c>
      <c r="P434" t="s">
        <v>100</v>
      </c>
      <c r="Q434">
        <v>1000</v>
      </c>
      <c r="X434">
        <v>5.9999999999999995E-4</v>
      </c>
      <c r="Y434">
        <v>5000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48</v>
      </c>
      <c r="AG434">
        <v>0</v>
      </c>
      <c r="AH434">
        <v>2</v>
      </c>
      <c r="AI434">
        <v>16744350</v>
      </c>
      <c r="AJ434">
        <v>461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ROW(Source!A288)</f>
        <v>288</v>
      </c>
      <c r="B435">
        <v>16744359</v>
      </c>
      <c r="C435">
        <v>16744343</v>
      </c>
      <c r="D435">
        <v>15164559</v>
      </c>
      <c r="E435">
        <v>17</v>
      </c>
      <c r="F435">
        <v>1</v>
      </c>
      <c r="G435">
        <v>1</v>
      </c>
      <c r="H435">
        <v>3</v>
      </c>
      <c r="I435" t="s">
        <v>1334</v>
      </c>
      <c r="J435" t="s">
        <v>6</v>
      </c>
      <c r="K435" t="s">
        <v>1335</v>
      </c>
      <c r="L435">
        <v>1374</v>
      </c>
      <c r="N435">
        <v>1013</v>
      </c>
      <c r="O435" t="s">
        <v>1336</v>
      </c>
      <c r="P435" t="s">
        <v>1336</v>
      </c>
      <c r="Q435">
        <v>1</v>
      </c>
      <c r="X435">
        <v>0.19</v>
      </c>
      <c r="Y435">
        <v>1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48</v>
      </c>
      <c r="AG435">
        <v>0</v>
      </c>
      <c r="AH435">
        <v>2</v>
      </c>
      <c r="AI435">
        <v>16744351</v>
      </c>
      <c r="AJ435">
        <v>462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ROW(Source!A323)</f>
        <v>323</v>
      </c>
      <c r="B436">
        <v>16744369</v>
      </c>
      <c r="C436">
        <v>16744360</v>
      </c>
      <c r="D436">
        <v>15446300</v>
      </c>
      <c r="E436">
        <v>1</v>
      </c>
      <c r="F436">
        <v>1</v>
      </c>
      <c r="G436">
        <v>1</v>
      </c>
      <c r="H436">
        <v>1</v>
      </c>
      <c r="I436" t="s">
        <v>1437</v>
      </c>
      <c r="J436" t="s">
        <v>6</v>
      </c>
      <c r="K436" t="s">
        <v>1438</v>
      </c>
      <c r="L436">
        <v>1191</v>
      </c>
      <c r="N436">
        <v>1013</v>
      </c>
      <c r="O436" t="s">
        <v>1287</v>
      </c>
      <c r="P436" t="s">
        <v>1287</v>
      </c>
      <c r="Q436">
        <v>1</v>
      </c>
      <c r="X436">
        <v>94.4</v>
      </c>
      <c r="Y436">
        <v>0</v>
      </c>
      <c r="Z436">
        <v>0</v>
      </c>
      <c r="AA436">
        <v>0</v>
      </c>
      <c r="AB436">
        <v>9.92</v>
      </c>
      <c r="AC436">
        <v>0</v>
      </c>
      <c r="AD436">
        <v>1</v>
      </c>
      <c r="AE436">
        <v>1</v>
      </c>
      <c r="AF436" t="s">
        <v>6</v>
      </c>
      <c r="AG436">
        <v>94.4</v>
      </c>
      <c r="AH436">
        <v>2</v>
      </c>
      <c r="AI436">
        <v>16744361</v>
      </c>
      <c r="AJ436">
        <v>463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ROW(Source!A323)</f>
        <v>323</v>
      </c>
      <c r="B437">
        <v>16744370</v>
      </c>
      <c r="C437">
        <v>16744360</v>
      </c>
      <c r="D437">
        <v>15430395</v>
      </c>
      <c r="E437">
        <v>1</v>
      </c>
      <c r="F437">
        <v>1</v>
      </c>
      <c r="G437">
        <v>1</v>
      </c>
      <c r="H437">
        <v>1</v>
      </c>
      <c r="I437" t="s">
        <v>1293</v>
      </c>
      <c r="J437" t="s">
        <v>6</v>
      </c>
      <c r="K437" t="s">
        <v>1294</v>
      </c>
      <c r="L437">
        <v>1191</v>
      </c>
      <c r="N437">
        <v>1013</v>
      </c>
      <c r="O437" t="s">
        <v>1287</v>
      </c>
      <c r="P437" t="s">
        <v>1287</v>
      </c>
      <c r="Q437">
        <v>1</v>
      </c>
      <c r="X437">
        <v>0.4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2</v>
      </c>
      <c r="AF437" t="s">
        <v>6</v>
      </c>
      <c r="AG437">
        <v>0.4</v>
      </c>
      <c r="AH437">
        <v>2</v>
      </c>
      <c r="AI437">
        <v>16744362</v>
      </c>
      <c r="AJ437">
        <v>464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ROW(Source!A323)</f>
        <v>323</v>
      </c>
      <c r="B438">
        <v>16744371</v>
      </c>
      <c r="C438">
        <v>16744360</v>
      </c>
      <c r="D438">
        <v>15247680</v>
      </c>
      <c r="E438">
        <v>1</v>
      </c>
      <c r="F438">
        <v>1</v>
      </c>
      <c r="G438">
        <v>1</v>
      </c>
      <c r="H438">
        <v>2</v>
      </c>
      <c r="I438" t="s">
        <v>1295</v>
      </c>
      <c r="J438" t="s">
        <v>1296</v>
      </c>
      <c r="K438" t="s">
        <v>1297</v>
      </c>
      <c r="L438">
        <v>1368</v>
      </c>
      <c r="N438">
        <v>1011</v>
      </c>
      <c r="O438" t="s">
        <v>1298</v>
      </c>
      <c r="P438" t="s">
        <v>1298</v>
      </c>
      <c r="Q438">
        <v>1</v>
      </c>
      <c r="X438">
        <v>0.2</v>
      </c>
      <c r="Y438">
        <v>0</v>
      </c>
      <c r="Z438">
        <v>111.99</v>
      </c>
      <c r="AA438">
        <v>13.5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0.2</v>
      </c>
      <c r="AH438">
        <v>2</v>
      </c>
      <c r="AI438">
        <v>16744363</v>
      </c>
      <c r="AJ438">
        <v>465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ROW(Source!A323)</f>
        <v>323</v>
      </c>
      <c r="B439">
        <v>16744372</v>
      </c>
      <c r="C439">
        <v>16744360</v>
      </c>
      <c r="D439">
        <v>15249073</v>
      </c>
      <c r="E439">
        <v>1</v>
      </c>
      <c r="F439">
        <v>1</v>
      </c>
      <c r="G439">
        <v>1</v>
      </c>
      <c r="H439">
        <v>2</v>
      </c>
      <c r="I439" t="s">
        <v>1299</v>
      </c>
      <c r="J439" t="s">
        <v>1300</v>
      </c>
      <c r="K439" t="s">
        <v>1301</v>
      </c>
      <c r="L439">
        <v>1368</v>
      </c>
      <c r="N439">
        <v>1011</v>
      </c>
      <c r="O439" t="s">
        <v>1298</v>
      </c>
      <c r="P439" t="s">
        <v>1298</v>
      </c>
      <c r="Q439">
        <v>1</v>
      </c>
      <c r="X439">
        <v>0.2</v>
      </c>
      <c r="Y439">
        <v>0</v>
      </c>
      <c r="Z439">
        <v>65.709999999999994</v>
      </c>
      <c r="AA439">
        <v>11.6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0.2</v>
      </c>
      <c r="AH439">
        <v>2</v>
      </c>
      <c r="AI439">
        <v>16744364</v>
      </c>
      <c r="AJ439">
        <v>466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ROW(Source!A323)</f>
        <v>323</v>
      </c>
      <c r="B440">
        <v>16744373</v>
      </c>
      <c r="C440">
        <v>16744360</v>
      </c>
      <c r="D440">
        <v>15221296</v>
      </c>
      <c r="E440">
        <v>1</v>
      </c>
      <c r="F440">
        <v>1</v>
      </c>
      <c r="G440">
        <v>1</v>
      </c>
      <c r="H440">
        <v>3</v>
      </c>
      <c r="I440" t="s">
        <v>1649</v>
      </c>
      <c r="J440" t="s">
        <v>1650</v>
      </c>
      <c r="K440" t="s">
        <v>1651</v>
      </c>
      <c r="L440">
        <v>1355</v>
      </c>
      <c r="N440">
        <v>1010</v>
      </c>
      <c r="O440" t="s">
        <v>843</v>
      </c>
      <c r="P440" t="s">
        <v>843</v>
      </c>
      <c r="Q440">
        <v>100</v>
      </c>
      <c r="X440">
        <v>1.02</v>
      </c>
      <c r="Y440">
        <v>100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1.02</v>
      </c>
      <c r="AH440">
        <v>2</v>
      </c>
      <c r="AI440">
        <v>16744365</v>
      </c>
      <c r="AJ440">
        <v>468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ROW(Source!A323)</f>
        <v>323</v>
      </c>
      <c r="B441">
        <v>16744374</v>
      </c>
      <c r="C441">
        <v>16744360</v>
      </c>
      <c r="D441">
        <v>15164559</v>
      </c>
      <c r="E441">
        <v>17</v>
      </c>
      <c r="F441">
        <v>1</v>
      </c>
      <c r="G441">
        <v>1</v>
      </c>
      <c r="H441">
        <v>3</v>
      </c>
      <c r="I441" t="s">
        <v>1334</v>
      </c>
      <c r="J441" t="s">
        <v>6</v>
      </c>
      <c r="K441" t="s">
        <v>1335</v>
      </c>
      <c r="L441">
        <v>1374</v>
      </c>
      <c r="N441">
        <v>1013</v>
      </c>
      <c r="O441" t="s">
        <v>1336</v>
      </c>
      <c r="P441" t="s">
        <v>1336</v>
      </c>
      <c r="Q441">
        <v>1</v>
      </c>
      <c r="X441">
        <v>18.73</v>
      </c>
      <c r="Y441">
        <v>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18.73</v>
      </c>
      <c r="AH441">
        <v>2</v>
      </c>
      <c r="AI441">
        <v>16744366</v>
      </c>
      <c r="AJ441">
        <v>469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ROW(Source!A325)</f>
        <v>325</v>
      </c>
      <c r="B442">
        <v>16753484</v>
      </c>
      <c r="C442">
        <v>16753483</v>
      </c>
      <c r="D442">
        <v>15446300</v>
      </c>
      <c r="E442">
        <v>1</v>
      </c>
      <c r="F442">
        <v>1</v>
      </c>
      <c r="G442">
        <v>1</v>
      </c>
      <c r="H442">
        <v>1</v>
      </c>
      <c r="I442" t="s">
        <v>1437</v>
      </c>
      <c r="J442" t="s">
        <v>6</v>
      </c>
      <c r="K442" t="s">
        <v>1438</v>
      </c>
      <c r="L442">
        <v>1191</v>
      </c>
      <c r="N442">
        <v>1013</v>
      </c>
      <c r="O442" t="s">
        <v>1287</v>
      </c>
      <c r="P442" t="s">
        <v>1287</v>
      </c>
      <c r="Q442">
        <v>1</v>
      </c>
      <c r="X442">
        <v>135.19999999999999</v>
      </c>
      <c r="Y442">
        <v>0</v>
      </c>
      <c r="Z442">
        <v>0</v>
      </c>
      <c r="AA442">
        <v>0</v>
      </c>
      <c r="AB442">
        <v>9.92</v>
      </c>
      <c r="AC442">
        <v>0</v>
      </c>
      <c r="AD442">
        <v>1</v>
      </c>
      <c r="AE442">
        <v>1</v>
      </c>
      <c r="AF442" t="s">
        <v>6</v>
      </c>
      <c r="AG442">
        <v>135.19999999999999</v>
      </c>
      <c r="AH442">
        <v>2</v>
      </c>
      <c r="AI442">
        <v>16753484</v>
      </c>
      <c r="AJ442">
        <v>470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ROW(Source!A325)</f>
        <v>325</v>
      </c>
      <c r="B443">
        <v>16753485</v>
      </c>
      <c r="C443">
        <v>16753483</v>
      </c>
      <c r="D443">
        <v>15430395</v>
      </c>
      <c r="E443">
        <v>1</v>
      </c>
      <c r="F443">
        <v>1</v>
      </c>
      <c r="G443">
        <v>1</v>
      </c>
      <c r="H443">
        <v>1</v>
      </c>
      <c r="I443" t="s">
        <v>1293</v>
      </c>
      <c r="J443" t="s">
        <v>6</v>
      </c>
      <c r="K443" t="s">
        <v>1294</v>
      </c>
      <c r="L443">
        <v>1191</v>
      </c>
      <c r="N443">
        <v>1013</v>
      </c>
      <c r="O443" t="s">
        <v>1287</v>
      </c>
      <c r="P443" t="s">
        <v>1287</v>
      </c>
      <c r="Q443">
        <v>1</v>
      </c>
      <c r="X443">
        <v>0.6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2</v>
      </c>
      <c r="AF443" t="s">
        <v>6</v>
      </c>
      <c r="AG443">
        <v>0.6</v>
      </c>
      <c r="AH443">
        <v>2</v>
      </c>
      <c r="AI443">
        <v>16753485</v>
      </c>
      <c r="AJ443">
        <v>471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ROW(Source!A325)</f>
        <v>325</v>
      </c>
      <c r="B444">
        <v>16753486</v>
      </c>
      <c r="C444">
        <v>16753483</v>
      </c>
      <c r="D444">
        <v>15247680</v>
      </c>
      <c r="E444">
        <v>1</v>
      </c>
      <c r="F444">
        <v>1</v>
      </c>
      <c r="G444">
        <v>1</v>
      </c>
      <c r="H444">
        <v>2</v>
      </c>
      <c r="I444" t="s">
        <v>1295</v>
      </c>
      <c r="J444" t="s">
        <v>1296</v>
      </c>
      <c r="K444" t="s">
        <v>1297</v>
      </c>
      <c r="L444">
        <v>1368</v>
      </c>
      <c r="N444">
        <v>1011</v>
      </c>
      <c r="O444" t="s">
        <v>1298</v>
      </c>
      <c r="P444" t="s">
        <v>1298</v>
      </c>
      <c r="Q444">
        <v>1</v>
      </c>
      <c r="X444">
        <v>0.3</v>
      </c>
      <c r="Y444">
        <v>0</v>
      </c>
      <c r="Z444">
        <v>111.99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0.3</v>
      </c>
      <c r="AH444">
        <v>2</v>
      </c>
      <c r="AI444">
        <v>16753486</v>
      </c>
      <c r="AJ444">
        <v>472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ROW(Source!A325)</f>
        <v>325</v>
      </c>
      <c r="B445">
        <v>16753487</v>
      </c>
      <c r="C445">
        <v>16753483</v>
      </c>
      <c r="D445">
        <v>15249073</v>
      </c>
      <c r="E445">
        <v>1</v>
      </c>
      <c r="F445">
        <v>1</v>
      </c>
      <c r="G445">
        <v>1</v>
      </c>
      <c r="H445">
        <v>2</v>
      </c>
      <c r="I445" t="s">
        <v>1299</v>
      </c>
      <c r="J445" t="s">
        <v>1300</v>
      </c>
      <c r="K445" t="s">
        <v>1301</v>
      </c>
      <c r="L445">
        <v>1368</v>
      </c>
      <c r="N445">
        <v>1011</v>
      </c>
      <c r="O445" t="s">
        <v>1298</v>
      </c>
      <c r="P445" t="s">
        <v>1298</v>
      </c>
      <c r="Q445">
        <v>1</v>
      </c>
      <c r="X445">
        <v>0.3</v>
      </c>
      <c r="Y445">
        <v>0</v>
      </c>
      <c r="Z445">
        <v>65.709999999999994</v>
      </c>
      <c r="AA445">
        <v>11.6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0.3</v>
      </c>
      <c r="AH445">
        <v>2</v>
      </c>
      <c r="AI445">
        <v>16753487</v>
      </c>
      <c r="AJ445">
        <v>473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ROW(Source!A325)</f>
        <v>325</v>
      </c>
      <c r="B446">
        <v>16753488</v>
      </c>
      <c r="C446">
        <v>16753483</v>
      </c>
      <c r="D446">
        <v>15171982</v>
      </c>
      <c r="E446">
        <v>1</v>
      </c>
      <c r="F446">
        <v>1</v>
      </c>
      <c r="G446">
        <v>1</v>
      </c>
      <c r="H446">
        <v>3</v>
      </c>
      <c r="I446" t="s">
        <v>1320</v>
      </c>
      <c r="J446" t="s">
        <v>1321</v>
      </c>
      <c r="K446" t="s">
        <v>1322</v>
      </c>
      <c r="L446">
        <v>1348</v>
      </c>
      <c r="N446">
        <v>1009</v>
      </c>
      <c r="O446" t="s">
        <v>100</v>
      </c>
      <c r="P446" t="s">
        <v>100</v>
      </c>
      <c r="Q446">
        <v>1000</v>
      </c>
      <c r="X446">
        <v>3.15E-3</v>
      </c>
      <c r="Y446">
        <v>729.98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3.15E-3</v>
      </c>
      <c r="AH446">
        <v>2</v>
      </c>
      <c r="AI446">
        <v>16753488</v>
      </c>
      <c r="AJ446">
        <v>474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ROW(Source!A325)</f>
        <v>325</v>
      </c>
      <c r="B447">
        <v>16753489</v>
      </c>
      <c r="C447">
        <v>16753483</v>
      </c>
      <c r="D447">
        <v>15233312</v>
      </c>
      <c r="E447">
        <v>1</v>
      </c>
      <c r="F447">
        <v>1</v>
      </c>
      <c r="G447">
        <v>1</v>
      </c>
      <c r="H447">
        <v>3</v>
      </c>
      <c r="I447" t="s">
        <v>1652</v>
      </c>
      <c r="J447" t="s">
        <v>1653</v>
      </c>
      <c r="K447" t="s">
        <v>1654</v>
      </c>
      <c r="L447">
        <v>1346</v>
      </c>
      <c r="N447">
        <v>1009</v>
      </c>
      <c r="O447" t="s">
        <v>341</v>
      </c>
      <c r="P447" t="s">
        <v>341</v>
      </c>
      <c r="Q447">
        <v>1</v>
      </c>
      <c r="X447">
        <v>2.8</v>
      </c>
      <c r="Y447">
        <v>35.700000000000003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2.8</v>
      </c>
      <c r="AH447">
        <v>2</v>
      </c>
      <c r="AI447">
        <v>16753489</v>
      </c>
      <c r="AJ447">
        <v>476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ROW(Source!A325)</f>
        <v>325</v>
      </c>
      <c r="B448">
        <v>16753490</v>
      </c>
      <c r="C448">
        <v>16753483</v>
      </c>
      <c r="D448">
        <v>15164559</v>
      </c>
      <c r="E448">
        <v>17</v>
      </c>
      <c r="F448">
        <v>1</v>
      </c>
      <c r="G448">
        <v>1</v>
      </c>
      <c r="H448">
        <v>3</v>
      </c>
      <c r="I448" t="s">
        <v>1334</v>
      </c>
      <c r="J448" t="s">
        <v>6</v>
      </c>
      <c r="K448" t="s">
        <v>1335</v>
      </c>
      <c r="L448">
        <v>1374</v>
      </c>
      <c r="N448">
        <v>1013</v>
      </c>
      <c r="O448" t="s">
        <v>1336</v>
      </c>
      <c r="P448" t="s">
        <v>1336</v>
      </c>
      <c r="Q448">
        <v>1</v>
      </c>
      <c r="X448">
        <v>26.82</v>
      </c>
      <c r="Y448">
        <v>1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26.82</v>
      </c>
      <c r="AH448">
        <v>2</v>
      </c>
      <c r="AI448">
        <v>16753490</v>
      </c>
      <c r="AJ448">
        <v>477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ROW(Source!A327)</f>
        <v>327</v>
      </c>
      <c r="B449">
        <v>16744386</v>
      </c>
      <c r="C449">
        <v>16744376</v>
      </c>
      <c r="D449">
        <v>15446300</v>
      </c>
      <c r="E449">
        <v>1</v>
      </c>
      <c r="F449">
        <v>1</v>
      </c>
      <c r="G449">
        <v>1</v>
      </c>
      <c r="H449">
        <v>1</v>
      </c>
      <c r="I449" t="s">
        <v>1437</v>
      </c>
      <c r="J449" t="s">
        <v>6</v>
      </c>
      <c r="K449" t="s">
        <v>1438</v>
      </c>
      <c r="L449">
        <v>1191</v>
      </c>
      <c r="N449">
        <v>1013</v>
      </c>
      <c r="O449" t="s">
        <v>1287</v>
      </c>
      <c r="P449" t="s">
        <v>1287</v>
      </c>
      <c r="Q449">
        <v>1</v>
      </c>
      <c r="X449">
        <v>35.130000000000003</v>
      </c>
      <c r="Y449">
        <v>0</v>
      </c>
      <c r="Z449">
        <v>0</v>
      </c>
      <c r="AA449">
        <v>0</v>
      </c>
      <c r="AB449">
        <v>9.92</v>
      </c>
      <c r="AC449">
        <v>0</v>
      </c>
      <c r="AD449">
        <v>1</v>
      </c>
      <c r="AE449">
        <v>1</v>
      </c>
      <c r="AF449" t="s">
        <v>6</v>
      </c>
      <c r="AG449">
        <v>35.130000000000003</v>
      </c>
      <c r="AH449">
        <v>2</v>
      </c>
      <c r="AI449">
        <v>16744377</v>
      </c>
      <c r="AJ449">
        <v>478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ROW(Source!A327)</f>
        <v>327</v>
      </c>
      <c r="B450">
        <v>16744387</v>
      </c>
      <c r="C450">
        <v>16744376</v>
      </c>
      <c r="D450">
        <v>15430395</v>
      </c>
      <c r="E450">
        <v>1</v>
      </c>
      <c r="F450">
        <v>1</v>
      </c>
      <c r="G450">
        <v>1</v>
      </c>
      <c r="H450">
        <v>1</v>
      </c>
      <c r="I450" t="s">
        <v>1293</v>
      </c>
      <c r="J450" t="s">
        <v>6</v>
      </c>
      <c r="K450" t="s">
        <v>1294</v>
      </c>
      <c r="L450">
        <v>1191</v>
      </c>
      <c r="N450">
        <v>1013</v>
      </c>
      <c r="O450" t="s">
        <v>1287</v>
      </c>
      <c r="P450" t="s">
        <v>1287</v>
      </c>
      <c r="Q450">
        <v>1</v>
      </c>
      <c r="X450">
        <v>0.05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6</v>
      </c>
      <c r="AG450">
        <v>0.05</v>
      </c>
      <c r="AH450">
        <v>2</v>
      </c>
      <c r="AI450">
        <v>16744378</v>
      </c>
      <c r="AJ450">
        <v>479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ROW(Source!A327)</f>
        <v>327</v>
      </c>
      <c r="B451">
        <v>16744388</v>
      </c>
      <c r="C451">
        <v>16744376</v>
      </c>
      <c r="D451">
        <v>15247680</v>
      </c>
      <c r="E451">
        <v>1</v>
      </c>
      <c r="F451">
        <v>1</v>
      </c>
      <c r="G451">
        <v>1</v>
      </c>
      <c r="H451">
        <v>2</v>
      </c>
      <c r="I451" t="s">
        <v>1295</v>
      </c>
      <c r="J451" t="s">
        <v>1296</v>
      </c>
      <c r="K451" t="s">
        <v>1297</v>
      </c>
      <c r="L451">
        <v>1368</v>
      </c>
      <c r="N451">
        <v>1011</v>
      </c>
      <c r="O451" t="s">
        <v>1298</v>
      </c>
      <c r="P451" t="s">
        <v>1298</v>
      </c>
      <c r="Q451">
        <v>1</v>
      </c>
      <c r="X451">
        <v>0.03</v>
      </c>
      <c r="Y451">
        <v>0</v>
      </c>
      <c r="Z451">
        <v>111.99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0.03</v>
      </c>
      <c r="AH451">
        <v>2</v>
      </c>
      <c r="AI451">
        <v>16744379</v>
      </c>
      <c r="AJ451">
        <v>480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ROW(Source!A327)</f>
        <v>327</v>
      </c>
      <c r="B452">
        <v>16744389</v>
      </c>
      <c r="C452">
        <v>16744376</v>
      </c>
      <c r="D452">
        <v>15249073</v>
      </c>
      <c r="E452">
        <v>1</v>
      </c>
      <c r="F452">
        <v>1</v>
      </c>
      <c r="G452">
        <v>1</v>
      </c>
      <c r="H452">
        <v>2</v>
      </c>
      <c r="I452" t="s">
        <v>1299</v>
      </c>
      <c r="J452" t="s">
        <v>1300</v>
      </c>
      <c r="K452" t="s">
        <v>1301</v>
      </c>
      <c r="L452">
        <v>1368</v>
      </c>
      <c r="N452">
        <v>1011</v>
      </c>
      <c r="O452" t="s">
        <v>1298</v>
      </c>
      <c r="P452" t="s">
        <v>1298</v>
      </c>
      <c r="Q452">
        <v>1</v>
      </c>
      <c r="X452">
        <v>0.02</v>
      </c>
      <c r="Y452">
        <v>0</v>
      </c>
      <c r="Z452">
        <v>65.709999999999994</v>
      </c>
      <c r="AA452">
        <v>11.6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0.02</v>
      </c>
      <c r="AH452">
        <v>2</v>
      </c>
      <c r="AI452">
        <v>16744380</v>
      </c>
      <c r="AJ452">
        <v>481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ROW(Source!A327)</f>
        <v>327</v>
      </c>
      <c r="B453">
        <v>16744390</v>
      </c>
      <c r="C453">
        <v>16744376</v>
      </c>
      <c r="D453">
        <v>15170074</v>
      </c>
      <c r="E453">
        <v>1</v>
      </c>
      <c r="F453">
        <v>1</v>
      </c>
      <c r="G453">
        <v>1</v>
      </c>
      <c r="H453">
        <v>3</v>
      </c>
      <c r="I453" t="s">
        <v>1655</v>
      </c>
      <c r="J453" t="s">
        <v>1656</v>
      </c>
      <c r="K453" t="s">
        <v>1657</v>
      </c>
      <c r="L453">
        <v>1355</v>
      </c>
      <c r="N453">
        <v>1010</v>
      </c>
      <c r="O453" t="s">
        <v>843</v>
      </c>
      <c r="P453" t="s">
        <v>843</v>
      </c>
      <c r="Q453">
        <v>100</v>
      </c>
      <c r="X453">
        <v>1.02</v>
      </c>
      <c r="Y453">
        <v>86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1.02</v>
      </c>
      <c r="AH453">
        <v>2</v>
      </c>
      <c r="AI453">
        <v>16744381</v>
      </c>
      <c r="AJ453">
        <v>482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ROW(Source!A327)</f>
        <v>327</v>
      </c>
      <c r="B454">
        <v>16744391</v>
      </c>
      <c r="C454">
        <v>16744376</v>
      </c>
      <c r="D454">
        <v>15170434</v>
      </c>
      <c r="E454">
        <v>1</v>
      </c>
      <c r="F454">
        <v>1</v>
      </c>
      <c r="G454">
        <v>1</v>
      </c>
      <c r="H454">
        <v>3</v>
      </c>
      <c r="I454" t="s">
        <v>1658</v>
      </c>
      <c r="J454" t="s">
        <v>1659</v>
      </c>
      <c r="K454" t="s">
        <v>1660</v>
      </c>
      <c r="L454">
        <v>1348</v>
      </c>
      <c r="N454">
        <v>1009</v>
      </c>
      <c r="O454" t="s">
        <v>100</v>
      </c>
      <c r="P454" t="s">
        <v>100</v>
      </c>
      <c r="Q454">
        <v>1000</v>
      </c>
      <c r="X454">
        <v>1.6000000000000001E-4</v>
      </c>
      <c r="Y454">
        <v>29800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</v>
      </c>
      <c r="AG454">
        <v>1.6000000000000001E-4</v>
      </c>
      <c r="AH454">
        <v>2</v>
      </c>
      <c r="AI454">
        <v>16744382</v>
      </c>
      <c r="AJ454">
        <v>483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ROW(Source!A327)</f>
        <v>327</v>
      </c>
      <c r="B455">
        <v>16744392</v>
      </c>
      <c r="C455">
        <v>16744376</v>
      </c>
      <c r="D455">
        <v>15170438</v>
      </c>
      <c r="E455">
        <v>1</v>
      </c>
      <c r="F455">
        <v>1</v>
      </c>
      <c r="G455">
        <v>1</v>
      </c>
      <c r="H455">
        <v>3</v>
      </c>
      <c r="I455" t="s">
        <v>1636</v>
      </c>
      <c r="J455" t="s">
        <v>1637</v>
      </c>
      <c r="K455" t="s">
        <v>1638</v>
      </c>
      <c r="L455">
        <v>1348</v>
      </c>
      <c r="N455">
        <v>1009</v>
      </c>
      <c r="O455" t="s">
        <v>100</v>
      </c>
      <c r="P455" t="s">
        <v>100</v>
      </c>
      <c r="Q455">
        <v>1000</v>
      </c>
      <c r="X455">
        <v>2.9999999999999997E-4</v>
      </c>
      <c r="Y455">
        <v>12430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</v>
      </c>
      <c r="AG455">
        <v>2.9999999999999997E-4</v>
      </c>
      <c r="AH455">
        <v>2</v>
      </c>
      <c r="AI455">
        <v>16744383</v>
      </c>
      <c r="AJ455">
        <v>484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ROW(Source!A327)</f>
        <v>327</v>
      </c>
      <c r="B456">
        <v>16744393</v>
      </c>
      <c r="C456">
        <v>16744376</v>
      </c>
      <c r="D456">
        <v>15164559</v>
      </c>
      <c r="E456">
        <v>17</v>
      </c>
      <c r="F456">
        <v>1</v>
      </c>
      <c r="G456">
        <v>1</v>
      </c>
      <c r="H456">
        <v>3</v>
      </c>
      <c r="I456" t="s">
        <v>1334</v>
      </c>
      <c r="J456" t="s">
        <v>6</v>
      </c>
      <c r="K456" t="s">
        <v>1335</v>
      </c>
      <c r="L456">
        <v>1374</v>
      </c>
      <c r="N456">
        <v>1013</v>
      </c>
      <c r="O456" t="s">
        <v>1336</v>
      </c>
      <c r="P456" t="s">
        <v>1336</v>
      </c>
      <c r="Q456">
        <v>1</v>
      </c>
      <c r="X456">
        <v>6.97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6</v>
      </c>
      <c r="AG456">
        <v>6.97</v>
      </c>
      <c r="AH456">
        <v>2</v>
      </c>
      <c r="AI456">
        <v>16744384</v>
      </c>
      <c r="AJ456">
        <v>486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ROW(Source!A329)</f>
        <v>329</v>
      </c>
      <c r="B457">
        <v>16744406</v>
      </c>
      <c r="C457">
        <v>16744395</v>
      </c>
      <c r="D457">
        <v>15446300</v>
      </c>
      <c r="E457">
        <v>1</v>
      </c>
      <c r="F457">
        <v>1</v>
      </c>
      <c r="G457">
        <v>1</v>
      </c>
      <c r="H457">
        <v>1</v>
      </c>
      <c r="I457" t="s">
        <v>1437</v>
      </c>
      <c r="J457" t="s">
        <v>6</v>
      </c>
      <c r="K457" t="s">
        <v>1438</v>
      </c>
      <c r="L457">
        <v>1191</v>
      </c>
      <c r="N457">
        <v>1013</v>
      </c>
      <c r="O457" t="s">
        <v>1287</v>
      </c>
      <c r="P457" t="s">
        <v>1287</v>
      </c>
      <c r="Q457">
        <v>1</v>
      </c>
      <c r="X457">
        <v>31.6</v>
      </c>
      <c r="Y457">
        <v>0</v>
      </c>
      <c r="Z457">
        <v>0</v>
      </c>
      <c r="AA457">
        <v>0</v>
      </c>
      <c r="AB457">
        <v>9.92</v>
      </c>
      <c r="AC457">
        <v>0</v>
      </c>
      <c r="AD457">
        <v>1</v>
      </c>
      <c r="AE457">
        <v>1</v>
      </c>
      <c r="AF457" t="s">
        <v>6</v>
      </c>
      <c r="AG457">
        <v>31.6</v>
      </c>
      <c r="AH457">
        <v>2</v>
      </c>
      <c r="AI457">
        <v>16744396</v>
      </c>
      <c r="AJ457">
        <v>487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ROW(Source!A329)</f>
        <v>329</v>
      </c>
      <c r="B458">
        <v>16744407</v>
      </c>
      <c r="C458">
        <v>16744395</v>
      </c>
      <c r="D458">
        <v>15430395</v>
      </c>
      <c r="E458">
        <v>1</v>
      </c>
      <c r="F458">
        <v>1</v>
      </c>
      <c r="G458">
        <v>1</v>
      </c>
      <c r="H458">
        <v>1</v>
      </c>
      <c r="I458" t="s">
        <v>1293</v>
      </c>
      <c r="J458" t="s">
        <v>6</v>
      </c>
      <c r="K458" t="s">
        <v>1294</v>
      </c>
      <c r="L458">
        <v>1191</v>
      </c>
      <c r="N458">
        <v>1013</v>
      </c>
      <c r="O458" t="s">
        <v>1287</v>
      </c>
      <c r="P458" t="s">
        <v>1287</v>
      </c>
      <c r="Q458">
        <v>1</v>
      </c>
      <c r="X458">
        <v>0.05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2</v>
      </c>
      <c r="AF458" t="s">
        <v>6</v>
      </c>
      <c r="AG458">
        <v>0.05</v>
      </c>
      <c r="AH458">
        <v>2</v>
      </c>
      <c r="AI458">
        <v>16744397</v>
      </c>
      <c r="AJ458">
        <v>488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ROW(Source!A329)</f>
        <v>329</v>
      </c>
      <c r="B459">
        <v>16744408</v>
      </c>
      <c r="C459">
        <v>16744395</v>
      </c>
      <c r="D459">
        <v>15247680</v>
      </c>
      <c r="E459">
        <v>1</v>
      </c>
      <c r="F459">
        <v>1</v>
      </c>
      <c r="G459">
        <v>1</v>
      </c>
      <c r="H459">
        <v>2</v>
      </c>
      <c r="I459" t="s">
        <v>1295</v>
      </c>
      <c r="J459" t="s">
        <v>1296</v>
      </c>
      <c r="K459" t="s">
        <v>1297</v>
      </c>
      <c r="L459">
        <v>1368</v>
      </c>
      <c r="N459">
        <v>1011</v>
      </c>
      <c r="O459" t="s">
        <v>1298</v>
      </c>
      <c r="P459" t="s">
        <v>1298</v>
      </c>
      <c r="Q459">
        <v>1</v>
      </c>
      <c r="X459">
        <v>0.03</v>
      </c>
      <c r="Y459">
        <v>0</v>
      </c>
      <c r="Z459">
        <v>111.99</v>
      </c>
      <c r="AA459">
        <v>13.5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0.03</v>
      </c>
      <c r="AH459">
        <v>2</v>
      </c>
      <c r="AI459">
        <v>16744398</v>
      </c>
      <c r="AJ459">
        <v>489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ROW(Source!A329)</f>
        <v>329</v>
      </c>
      <c r="B460">
        <v>16744409</v>
      </c>
      <c r="C460">
        <v>16744395</v>
      </c>
      <c r="D460">
        <v>15249073</v>
      </c>
      <c r="E460">
        <v>1</v>
      </c>
      <c r="F460">
        <v>1</v>
      </c>
      <c r="G460">
        <v>1</v>
      </c>
      <c r="H460">
        <v>2</v>
      </c>
      <c r="I460" t="s">
        <v>1299</v>
      </c>
      <c r="J460" t="s">
        <v>1300</v>
      </c>
      <c r="K460" t="s">
        <v>1301</v>
      </c>
      <c r="L460">
        <v>1368</v>
      </c>
      <c r="N460">
        <v>1011</v>
      </c>
      <c r="O460" t="s">
        <v>1298</v>
      </c>
      <c r="P460" t="s">
        <v>1298</v>
      </c>
      <c r="Q460">
        <v>1</v>
      </c>
      <c r="X460">
        <v>0.02</v>
      </c>
      <c r="Y460">
        <v>0</v>
      </c>
      <c r="Z460">
        <v>65.709999999999994</v>
      </c>
      <c r="AA460">
        <v>11.6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0.02</v>
      </c>
      <c r="AH460">
        <v>2</v>
      </c>
      <c r="AI460">
        <v>16744399</v>
      </c>
      <c r="AJ460">
        <v>490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ROW(Source!A329)</f>
        <v>329</v>
      </c>
      <c r="B461">
        <v>16744410</v>
      </c>
      <c r="C461">
        <v>16744395</v>
      </c>
      <c r="D461">
        <v>15167588</v>
      </c>
      <c r="E461">
        <v>1</v>
      </c>
      <c r="F461">
        <v>1</v>
      </c>
      <c r="G461">
        <v>1</v>
      </c>
      <c r="H461">
        <v>3</v>
      </c>
      <c r="I461" t="s">
        <v>1641</v>
      </c>
      <c r="J461" t="s">
        <v>1642</v>
      </c>
      <c r="K461" t="s">
        <v>1643</v>
      </c>
      <c r="L461">
        <v>1346</v>
      </c>
      <c r="N461">
        <v>1009</v>
      </c>
      <c r="O461" t="s">
        <v>341</v>
      </c>
      <c r="P461" t="s">
        <v>341</v>
      </c>
      <c r="Q461">
        <v>1</v>
      </c>
      <c r="X461">
        <v>0.11</v>
      </c>
      <c r="Y461">
        <v>30.4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6</v>
      </c>
      <c r="AG461">
        <v>0.11</v>
      </c>
      <c r="AH461">
        <v>2</v>
      </c>
      <c r="AI461">
        <v>16744400</v>
      </c>
      <c r="AJ461">
        <v>491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ROW(Source!A329)</f>
        <v>329</v>
      </c>
      <c r="B462">
        <v>16744411</v>
      </c>
      <c r="C462">
        <v>16744395</v>
      </c>
      <c r="D462">
        <v>15170074</v>
      </c>
      <c r="E462">
        <v>1</v>
      </c>
      <c r="F462">
        <v>1</v>
      </c>
      <c r="G462">
        <v>1</v>
      </c>
      <c r="H462">
        <v>3</v>
      </c>
      <c r="I462" t="s">
        <v>1655</v>
      </c>
      <c r="J462" t="s">
        <v>1656</v>
      </c>
      <c r="K462" t="s">
        <v>1657</v>
      </c>
      <c r="L462">
        <v>1355</v>
      </c>
      <c r="N462">
        <v>1010</v>
      </c>
      <c r="O462" t="s">
        <v>843</v>
      </c>
      <c r="P462" t="s">
        <v>843</v>
      </c>
      <c r="Q462">
        <v>100</v>
      </c>
      <c r="X462">
        <v>1.02</v>
      </c>
      <c r="Y462">
        <v>86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6</v>
      </c>
      <c r="AG462">
        <v>1.02</v>
      </c>
      <c r="AH462">
        <v>2</v>
      </c>
      <c r="AI462">
        <v>16744401</v>
      </c>
      <c r="AJ462">
        <v>492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ROW(Source!A329)</f>
        <v>329</v>
      </c>
      <c r="B463">
        <v>16744412</v>
      </c>
      <c r="C463">
        <v>16744395</v>
      </c>
      <c r="D463">
        <v>15170434</v>
      </c>
      <c r="E463">
        <v>1</v>
      </c>
      <c r="F463">
        <v>1</v>
      </c>
      <c r="G463">
        <v>1</v>
      </c>
      <c r="H463">
        <v>3</v>
      </c>
      <c r="I463" t="s">
        <v>1658</v>
      </c>
      <c r="J463" t="s">
        <v>1659</v>
      </c>
      <c r="K463" t="s">
        <v>1660</v>
      </c>
      <c r="L463">
        <v>1348</v>
      </c>
      <c r="N463">
        <v>1009</v>
      </c>
      <c r="O463" t="s">
        <v>100</v>
      </c>
      <c r="P463" t="s">
        <v>100</v>
      </c>
      <c r="Q463">
        <v>1000</v>
      </c>
      <c r="X463">
        <v>1.6000000000000001E-4</v>
      </c>
      <c r="Y463">
        <v>29800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1.6000000000000001E-4</v>
      </c>
      <c r="AH463">
        <v>2</v>
      </c>
      <c r="AI463">
        <v>16744402</v>
      </c>
      <c r="AJ463">
        <v>493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ROW(Source!A329)</f>
        <v>329</v>
      </c>
      <c r="B464">
        <v>16744413</v>
      </c>
      <c r="C464">
        <v>16744395</v>
      </c>
      <c r="D464">
        <v>15170438</v>
      </c>
      <c r="E464">
        <v>1</v>
      </c>
      <c r="F464">
        <v>1</v>
      </c>
      <c r="G464">
        <v>1</v>
      </c>
      <c r="H464">
        <v>3</v>
      </c>
      <c r="I464" t="s">
        <v>1636</v>
      </c>
      <c r="J464" t="s">
        <v>1637</v>
      </c>
      <c r="K464" t="s">
        <v>1638</v>
      </c>
      <c r="L464">
        <v>1348</v>
      </c>
      <c r="N464">
        <v>1009</v>
      </c>
      <c r="O464" t="s">
        <v>100</v>
      </c>
      <c r="P464" t="s">
        <v>100</v>
      </c>
      <c r="Q464">
        <v>1000</v>
      </c>
      <c r="X464">
        <v>2.9999999999999997E-4</v>
      </c>
      <c r="Y464">
        <v>12430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2.9999999999999997E-4</v>
      </c>
      <c r="AH464">
        <v>2</v>
      </c>
      <c r="AI464">
        <v>16744403</v>
      </c>
      <c r="AJ464">
        <v>494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ROW(Source!A329)</f>
        <v>329</v>
      </c>
      <c r="B465">
        <v>16744414</v>
      </c>
      <c r="C465">
        <v>16744395</v>
      </c>
      <c r="D465">
        <v>15164559</v>
      </c>
      <c r="E465">
        <v>17</v>
      </c>
      <c r="F465">
        <v>1</v>
      </c>
      <c r="G465">
        <v>1</v>
      </c>
      <c r="H465">
        <v>3</v>
      </c>
      <c r="I465" t="s">
        <v>1334</v>
      </c>
      <c r="J465" t="s">
        <v>6</v>
      </c>
      <c r="K465" t="s">
        <v>1335</v>
      </c>
      <c r="L465">
        <v>1374</v>
      </c>
      <c r="N465">
        <v>1013</v>
      </c>
      <c r="O465" t="s">
        <v>1336</v>
      </c>
      <c r="P465" t="s">
        <v>1336</v>
      </c>
      <c r="Q465">
        <v>1</v>
      </c>
      <c r="X465">
        <v>6.27</v>
      </c>
      <c r="Y465">
        <v>1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6</v>
      </c>
      <c r="AG465">
        <v>6.27</v>
      </c>
      <c r="AH465">
        <v>2</v>
      </c>
      <c r="AI465">
        <v>16744404</v>
      </c>
      <c r="AJ465">
        <v>496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ROW(Source!A331)</f>
        <v>331</v>
      </c>
      <c r="B466">
        <v>16744421</v>
      </c>
      <c r="C466">
        <v>16744416</v>
      </c>
      <c r="D466">
        <v>15438286</v>
      </c>
      <c r="E466">
        <v>1</v>
      </c>
      <c r="F466">
        <v>1</v>
      </c>
      <c r="G466">
        <v>1</v>
      </c>
      <c r="H466">
        <v>1</v>
      </c>
      <c r="I466" t="s">
        <v>1451</v>
      </c>
      <c r="J466" t="s">
        <v>6</v>
      </c>
      <c r="K466" t="s">
        <v>1452</v>
      </c>
      <c r="L466">
        <v>1191</v>
      </c>
      <c r="N466">
        <v>1013</v>
      </c>
      <c r="O466" t="s">
        <v>1287</v>
      </c>
      <c r="P466" t="s">
        <v>1287</v>
      </c>
      <c r="Q466">
        <v>1</v>
      </c>
      <c r="X466">
        <v>15.2</v>
      </c>
      <c r="Y466">
        <v>0</v>
      </c>
      <c r="Z466">
        <v>0</v>
      </c>
      <c r="AA466">
        <v>0</v>
      </c>
      <c r="AB466">
        <v>9.18</v>
      </c>
      <c r="AC466">
        <v>0</v>
      </c>
      <c r="AD466">
        <v>1</v>
      </c>
      <c r="AE466">
        <v>1</v>
      </c>
      <c r="AF466" t="s">
        <v>6</v>
      </c>
      <c r="AG466">
        <v>15.2</v>
      </c>
      <c r="AH466">
        <v>2</v>
      </c>
      <c r="AI466">
        <v>16744417</v>
      </c>
      <c r="AJ466">
        <v>497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ROW(Source!A331)</f>
        <v>331</v>
      </c>
      <c r="B467">
        <v>16744422</v>
      </c>
      <c r="C467">
        <v>16744416</v>
      </c>
      <c r="D467">
        <v>15170155</v>
      </c>
      <c r="E467">
        <v>1</v>
      </c>
      <c r="F467">
        <v>1</v>
      </c>
      <c r="G467">
        <v>1</v>
      </c>
      <c r="H467">
        <v>3</v>
      </c>
      <c r="I467" t="s">
        <v>1661</v>
      </c>
      <c r="J467" t="s">
        <v>1662</v>
      </c>
      <c r="K467" t="s">
        <v>1663</v>
      </c>
      <c r="L467">
        <v>1355</v>
      </c>
      <c r="N467">
        <v>1010</v>
      </c>
      <c r="O467" t="s">
        <v>843</v>
      </c>
      <c r="P467" t="s">
        <v>843</v>
      </c>
      <c r="Q467">
        <v>100</v>
      </c>
      <c r="X467">
        <v>1.75</v>
      </c>
      <c r="Y467">
        <v>8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6</v>
      </c>
      <c r="AG467">
        <v>1.75</v>
      </c>
      <c r="AH467">
        <v>2</v>
      </c>
      <c r="AI467">
        <v>16744418</v>
      </c>
      <c r="AJ467">
        <v>498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ROW(Source!A331)</f>
        <v>331</v>
      </c>
      <c r="B468">
        <v>16744423</v>
      </c>
      <c r="C468">
        <v>16744416</v>
      </c>
      <c r="D468">
        <v>15164559</v>
      </c>
      <c r="E468">
        <v>17</v>
      </c>
      <c r="F468">
        <v>1</v>
      </c>
      <c r="G468">
        <v>1</v>
      </c>
      <c r="H468">
        <v>3</v>
      </c>
      <c r="I468" t="s">
        <v>1334</v>
      </c>
      <c r="J468" t="s">
        <v>6</v>
      </c>
      <c r="K468" t="s">
        <v>1335</v>
      </c>
      <c r="L468">
        <v>1374</v>
      </c>
      <c r="N468">
        <v>1013</v>
      </c>
      <c r="O468" t="s">
        <v>1336</v>
      </c>
      <c r="P468" t="s">
        <v>1336</v>
      </c>
      <c r="Q468">
        <v>1</v>
      </c>
      <c r="X468">
        <v>2.79</v>
      </c>
      <c r="Y468">
        <v>1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6</v>
      </c>
      <c r="AG468">
        <v>2.79</v>
      </c>
      <c r="AH468">
        <v>2</v>
      </c>
      <c r="AI468">
        <v>16744419</v>
      </c>
      <c r="AJ468">
        <v>500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ROW(Source!A333)</f>
        <v>333</v>
      </c>
      <c r="B469">
        <v>16744437</v>
      </c>
      <c r="C469">
        <v>16744425</v>
      </c>
      <c r="D469">
        <v>15430397</v>
      </c>
      <c r="E469">
        <v>1</v>
      </c>
      <c r="F469">
        <v>1</v>
      </c>
      <c r="G469">
        <v>1</v>
      </c>
      <c r="H469">
        <v>1</v>
      </c>
      <c r="I469" t="s">
        <v>1323</v>
      </c>
      <c r="J469" t="s">
        <v>6</v>
      </c>
      <c r="K469" t="s">
        <v>1324</v>
      </c>
      <c r="L469">
        <v>1191</v>
      </c>
      <c r="N469">
        <v>1013</v>
      </c>
      <c r="O469" t="s">
        <v>1287</v>
      </c>
      <c r="P469" t="s">
        <v>1287</v>
      </c>
      <c r="Q469">
        <v>1</v>
      </c>
      <c r="X469">
        <v>5.39</v>
      </c>
      <c r="Y469">
        <v>0</v>
      </c>
      <c r="Z469">
        <v>0</v>
      </c>
      <c r="AA469">
        <v>0</v>
      </c>
      <c r="AB469">
        <v>9.4</v>
      </c>
      <c r="AC469">
        <v>0</v>
      </c>
      <c r="AD469">
        <v>1</v>
      </c>
      <c r="AE469">
        <v>1</v>
      </c>
      <c r="AF469" t="s">
        <v>6</v>
      </c>
      <c r="AG469">
        <v>5.39</v>
      </c>
      <c r="AH469">
        <v>2</v>
      </c>
      <c r="AI469">
        <v>16744426</v>
      </c>
      <c r="AJ469">
        <v>501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ROW(Source!A333)</f>
        <v>333</v>
      </c>
      <c r="B470">
        <v>16744438</v>
      </c>
      <c r="C470">
        <v>16744425</v>
      </c>
      <c r="D470">
        <v>15430395</v>
      </c>
      <c r="E470">
        <v>1</v>
      </c>
      <c r="F470">
        <v>1</v>
      </c>
      <c r="G470">
        <v>1</v>
      </c>
      <c r="H470">
        <v>1</v>
      </c>
      <c r="I470" t="s">
        <v>1293</v>
      </c>
      <c r="J470" t="s">
        <v>6</v>
      </c>
      <c r="K470" t="s">
        <v>1294</v>
      </c>
      <c r="L470">
        <v>1191</v>
      </c>
      <c r="N470">
        <v>1013</v>
      </c>
      <c r="O470" t="s">
        <v>1287</v>
      </c>
      <c r="P470" t="s">
        <v>1287</v>
      </c>
      <c r="Q470">
        <v>1</v>
      </c>
      <c r="X470">
        <v>0.04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2</v>
      </c>
      <c r="AF470" t="s">
        <v>6</v>
      </c>
      <c r="AG470">
        <v>0.04</v>
      </c>
      <c r="AH470">
        <v>2</v>
      </c>
      <c r="AI470">
        <v>16744427</v>
      </c>
      <c r="AJ470">
        <v>502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ROW(Source!A333)</f>
        <v>333</v>
      </c>
      <c r="B471">
        <v>16744439</v>
      </c>
      <c r="C471">
        <v>16744425</v>
      </c>
      <c r="D471">
        <v>15247680</v>
      </c>
      <c r="E471">
        <v>1</v>
      </c>
      <c r="F471">
        <v>1</v>
      </c>
      <c r="G471">
        <v>1</v>
      </c>
      <c r="H471">
        <v>2</v>
      </c>
      <c r="I471" t="s">
        <v>1295</v>
      </c>
      <c r="J471" t="s">
        <v>1296</v>
      </c>
      <c r="K471" t="s">
        <v>1297</v>
      </c>
      <c r="L471">
        <v>1368</v>
      </c>
      <c r="N471">
        <v>1011</v>
      </c>
      <c r="O471" t="s">
        <v>1298</v>
      </c>
      <c r="P471" t="s">
        <v>1298</v>
      </c>
      <c r="Q471">
        <v>1</v>
      </c>
      <c r="X471">
        <v>0.02</v>
      </c>
      <c r="Y471">
        <v>0</v>
      </c>
      <c r="Z471">
        <v>111.99</v>
      </c>
      <c r="AA471">
        <v>13.5</v>
      </c>
      <c r="AB471">
        <v>0</v>
      </c>
      <c r="AC471">
        <v>0</v>
      </c>
      <c r="AD471">
        <v>1</v>
      </c>
      <c r="AE471">
        <v>0</v>
      </c>
      <c r="AF471" t="s">
        <v>6</v>
      </c>
      <c r="AG471">
        <v>0.02</v>
      </c>
      <c r="AH471">
        <v>2</v>
      </c>
      <c r="AI471">
        <v>16744428</v>
      </c>
      <c r="AJ471">
        <v>503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ROW(Source!A333)</f>
        <v>333</v>
      </c>
      <c r="B472">
        <v>16744440</v>
      </c>
      <c r="C472">
        <v>16744425</v>
      </c>
      <c r="D472">
        <v>15249073</v>
      </c>
      <c r="E472">
        <v>1</v>
      </c>
      <c r="F472">
        <v>1</v>
      </c>
      <c r="G472">
        <v>1</v>
      </c>
      <c r="H472">
        <v>2</v>
      </c>
      <c r="I472" t="s">
        <v>1299</v>
      </c>
      <c r="J472" t="s">
        <v>1300</v>
      </c>
      <c r="K472" t="s">
        <v>1301</v>
      </c>
      <c r="L472">
        <v>1368</v>
      </c>
      <c r="N472">
        <v>1011</v>
      </c>
      <c r="O472" t="s">
        <v>1298</v>
      </c>
      <c r="P472" t="s">
        <v>1298</v>
      </c>
      <c r="Q472">
        <v>1</v>
      </c>
      <c r="X472">
        <v>0.02</v>
      </c>
      <c r="Y472">
        <v>0</v>
      </c>
      <c r="Z472">
        <v>65.709999999999994</v>
      </c>
      <c r="AA472">
        <v>11.6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0.02</v>
      </c>
      <c r="AH472">
        <v>2</v>
      </c>
      <c r="AI472">
        <v>16744429</v>
      </c>
      <c r="AJ472">
        <v>504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ROW(Source!A333)</f>
        <v>333</v>
      </c>
      <c r="B473">
        <v>16744441</v>
      </c>
      <c r="C473">
        <v>16744425</v>
      </c>
      <c r="D473">
        <v>15167588</v>
      </c>
      <c r="E473">
        <v>1</v>
      </c>
      <c r="F473">
        <v>1</v>
      </c>
      <c r="G473">
        <v>1</v>
      </c>
      <c r="H473">
        <v>3</v>
      </c>
      <c r="I473" t="s">
        <v>1641</v>
      </c>
      <c r="J473" t="s">
        <v>1642</v>
      </c>
      <c r="K473" t="s">
        <v>1643</v>
      </c>
      <c r="L473">
        <v>1346</v>
      </c>
      <c r="N473">
        <v>1009</v>
      </c>
      <c r="O473" t="s">
        <v>341</v>
      </c>
      <c r="P473" t="s">
        <v>341</v>
      </c>
      <c r="Q473">
        <v>1</v>
      </c>
      <c r="X473">
        <v>0.16</v>
      </c>
      <c r="Y473">
        <v>30.4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0.16</v>
      </c>
      <c r="AH473">
        <v>2</v>
      </c>
      <c r="AI473">
        <v>16744430</v>
      </c>
      <c r="AJ473">
        <v>505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ROW(Source!A333)</f>
        <v>333</v>
      </c>
      <c r="B474">
        <v>16744442</v>
      </c>
      <c r="C474">
        <v>16744425</v>
      </c>
      <c r="D474">
        <v>15167867</v>
      </c>
      <c r="E474">
        <v>1</v>
      </c>
      <c r="F474">
        <v>1</v>
      </c>
      <c r="G474">
        <v>1</v>
      </c>
      <c r="H474">
        <v>3</v>
      </c>
      <c r="I474" t="s">
        <v>1664</v>
      </c>
      <c r="J474" t="s">
        <v>1665</v>
      </c>
      <c r="K474" t="s">
        <v>1666</v>
      </c>
      <c r="L474">
        <v>1348</v>
      </c>
      <c r="N474">
        <v>1009</v>
      </c>
      <c r="O474" t="s">
        <v>100</v>
      </c>
      <c r="P474" t="s">
        <v>100</v>
      </c>
      <c r="Q474">
        <v>1000</v>
      </c>
      <c r="X474">
        <v>5.9999999999999995E-4</v>
      </c>
      <c r="Y474">
        <v>1820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</v>
      </c>
      <c r="AG474">
        <v>5.9999999999999995E-4</v>
      </c>
      <c r="AH474">
        <v>2</v>
      </c>
      <c r="AI474">
        <v>16744431</v>
      </c>
      <c r="AJ474">
        <v>506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ROW(Source!A333)</f>
        <v>333</v>
      </c>
      <c r="B475">
        <v>16744443</v>
      </c>
      <c r="C475">
        <v>16744425</v>
      </c>
      <c r="D475">
        <v>15203834</v>
      </c>
      <c r="E475">
        <v>1</v>
      </c>
      <c r="F475">
        <v>1</v>
      </c>
      <c r="G475">
        <v>1</v>
      </c>
      <c r="H475">
        <v>3</v>
      </c>
      <c r="I475" t="s">
        <v>1667</v>
      </c>
      <c r="J475" t="s">
        <v>1668</v>
      </c>
      <c r="K475" t="s">
        <v>403</v>
      </c>
      <c r="L475">
        <v>1346</v>
      </c>
      <c r="N475">
        <v>1009</v>
      </c>
      <c r="O475" t="s">
        <v>341</v>
      </c>
      <c r="P475" t="s">
        <v>341</v>
      </c>
      <c r="Q475">
        <v>1</v>
      </c>
      <c r="X475">
        <v>0.02</v>
      </c>
      <c r="Y475">
        <v>28.6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6</v>
      </c>
      <c r="AG475">
        <v>0.02</v>
      </c>
      <c r="AH475">
        <v>2</v>
      </c>
      <c r="AI475">
        <v>16744432</v>
      </c>
      <c r="AJ475">
        <v>507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ROW(Source!A333)</f>
        <v>333</v>
      </c>
      <c r="B476">
        <v>16744444</v>
      </c>
      <c r="C476">
        <v>16744425</v>
      </c>
      <c r="D476">
        <v>15217527</v>
      </c>
      <c r="E476">
        <v>1</v>
      </c>
      <c r="F476">
        <v>1</v>
      </c>
      <c r="G476">
        <v>1</v>
      </c>
      <c r="H476">
        <v>3</v>
      </c>
      <c r="I476" t="s">
        <v>1669</v>
      </c>
      <c r="J476" t="s">
        <v>1670</v>
      </c>
      <c r="K476" t="s">
        <v>1671</v>
      </c>
      <c r="L476">
        <v>1355</v>
      </c>
      <c r="N476">
        <v>1010</v>
      </c>
      <c r="O476" t="s">
        <v>843</v>
      </c>
      <c r="P476" t="s">
        <v>843</v>
      </c>
      <c r="Q476">
        <v>100</v>
      </c>
      <c r="X476">
        <v>0.05</v>
      </c>
      <c r="Y476">
        <v>110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0.05</v>
      </c>
      <c r="AH476">
        <v>2</v>
      </c>
      <c r="AI476">
        <v>16744433</v>
      </c>
      <c r="AJ476">
        <v>508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ROW(Source!A333)</f>
        <v>333</v>
      </c>
      <c r="B477">
        <v>16744445</v>
      </c>
      <c r="C477">
        <v>16744425</v>
      </c>
      <c r="D477">
        <v>15217578</v>
      </c>
      <c r="E477">
        <v>1</v>
      </c>
      <c r="F477">
        <v>1</v>
      </c>
      <c r="G477">
        <v>1</v>
      </c>
      <c r="H477">
        <v>3</v>
      </c>
      <c r="I477" t="s">
        <v>1672</v>
      </c>
      <c r="J477" t="s">
        <v>1673</v>
      </c>
      <c r="K477" t="s">
        <v>1674</v>
      </c>
      <c r="L477">
        <v>1356</v>
      </c>
      <c r="N477">
        <v>1010</v>
      </c>
      <c r="O477" t="s">
        <v>306</v>
      </c>
      <c r="P477" t="s">
        <v>306</v>
      </c>
      <c r="Q477">
        <v>1000</v>
      </c>
      <c r="X477">
        <v>1.2200000000000001E-2</v>
      </c>
      <c r="Y477">
        <v>119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1.2200000000000001E-2</v>
      </c>
      <c r="AH477">
        <v>2</v>
      </c>
      <c r="AI477">
        <v>16744434</v>
      </c>
      <c r="AJ477">
        <v>509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ROW(Source!A333)</f>
        <v>333</v>
      </c>
      <c r="B478">
        <v>16744446</v>
      </c>
      <c r="C478">
        <v>16744425</v>
      </c>
      <c r="D478">
        <v>15164559</v>
      </c>
      <c r="E478">
        <v>17</v>
      </c>
      <c r="F478">
        <v>1</v>
      </c>
      <c r="G478">
        <v>1</v>
      </c>
      <c r="H478">
        <v>3</v>
      </c>
      <c r="I478" t="s">
        <v>1334</v>
      </c>
      <c r="J478" t="s">
        <v>6</v>
      </c>
      <c r="K478" t="s">
        <v>1335</v>
      </c>
      <c r="L478">
        <v>1374</v>
      </c>
      <c r="N478">
        <v>1013</v>
      </c>
      <c r="O478" t="s">
        <v>1336</v>
      </c>
      <c r="P478" t="s">
        <v>1336</v>
      </c>
      <c r="Q478">
        <v>1</v>
      </c>
      <c r="X478">
        <v>1.01</v>
      </c>
      <c r="Y478">
        <v>1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6</v>
      </c>
      <c r="AG478">
        <v>1.01</v>
      </c>
      <c r="AH478">
        <v>2</v>
      </c>
      <c r="AI478">
        <v>16744435</v>
      </c>
      <c r="AJ478">
        <v>511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ROW(Source!A335)</f>
        <v>335</v>
      </c>
      <c r="B479">
        <v>16744456</v>
      </c>
      <c r="C479">
        <v>16744448</v>
      </c>
      <c r="D479">
        <v>15435721</v>
      </c>
      <c r="E479">
        <v>1</v>
      </c>
      <c r="F479">
        <v>1</v>
      </c>
      <c r="G479">
        <v>1</v>
      </c>
      <c r="H479">
        <v>1</v>
      </c>
      <c r="I479" t="s">
        <v>1609</v>
      </c>
      <c r="J479" t="s">
        <v>6</v>
      </c>
      <c r="K479" t="s">
        <v>1610</v>
      </c>
      <c r="L479">
        <v>1191</v>
      </c>
      <c r="N479">
        <v>1013</v>
      </c>
      <c r="O479" t="s">
        <v>1287</v>
      </c>
      <c r="P479" t="s">
        <v>1287</v>
      </c>
      <c r="Q479">
        <v>1</v>
      </c>
      <c r="X479">
        <v>16.29</v>
      </c>
      <c r="Y479">
        <v>0</v>
      </c>
      <c r="Z479">
        <v>0</v>
      </c>
      <c r="AA479">
        <v>0</v>
      </c>
      <c r="AB479">
        <v>9.51</v>
      </c>
      <c r="AC479">
        <v>0</v>
      </c>
      <c r="AD479">
        <v>1</v>
      </c>
      <c r="AE479">
        <v>1</v>
      </c>
      <c r="AF479" t="s">
        <v>6</v>
      </c>
      <c r="AG479">
        <v>16.29</v>
      </c>
      <c r="AH479">
        <v>2</v>
      </c>
      <c r="AI479">
        <v>16744449</v>
      </c>
      <c r="AJ479">
        <v>512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ROW(Source!A335)</f>
        <v>335</v>
      </c>
      <c r="B480">
        <v>16744457</v>
      </c>
      <c r="C480">
        <v>16744448</v>
      </c>
      <c r="D480">
        <v>15430395</v>
      </c>
      <c r="E480">
        <v>1</v>
      </c>
      <c r="F480">
        <v>1</v>
      </c>
      <c r="G480">
        <v>1</v>
      </c>
      <c r="H480">
        <v>1</v>
      </c>
      <c r="I480" t="s">
        <v>1293</v>
      </c>
      <c r="J480" t="s">
        <v>6</v>
      </c>
      <c r="K480" t="s">
        <v>1294</v>
      </c>
      <c r="L480">
        <v>1191</v>
      </c>
      <c r="N480">
        <v>1013</v>
      </c>
      <c r="O480" t="s">
        <v>1287</v>
      </c>
      <c r="P480" t="s">
        <v>1287</v>
      </c>
      <c r="Q480">
        <v>1</v>
      </c>
      <c r="X480">
        <v>0.01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2</v>
      </c>
      <c r="AF480" t="s">
        <v>6</v>
      </c>
      <c r="AG480">
        <v>0.01</v>
      </c>
      <c r="AH480">
        <v>2</v>
      </c>
      <c r="AI480">
        <v>16744450</v>
      </c>
      <c r="AJ480">
        <v>513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ROW(Source!A335)</f>
        <v>335</v>
      </c>
      <c r="B481">
        <v>16744458</v>
      </c>
      <c r="C481">
        <v>16744448</v>
      </c>
      <c r="D481">
        <v>15247974</v>
      </c>
      <c r="E481">
        <v>1</v>
      </c>
      <c r="F481">
        <v>1</v>
      </c>
      <c r="G481">
        <v>1</v>
      </c>
      <c r="H481">
        <v>2</v>
      </c>
      <c r="I481" t="s">
        <v>1314</v>
      </c>
      <c r="J481" t="s">
        <v>1315</v>
      </c>
      <c r="K481" t="s">
        <v>1316</v>
      </c>
      <c r="L481">
        <v>1368</v>
      </c>
      <c r="N481">
        <v>1011</v>
      </c>
      <c r="O481" t="s">
        <v>1298</v>
      </c>
      <c r="P481" t="s">
        <v>1298</v>
      </c>
      <c r="Q481">
        <v>1</v>
      </c>
      <c r="X481">
        <v>0.01</v>
      </c>
      <c r="Y481">
        <v>0</v>
      </c>
      <c r="Z481">
        <v>31.26</v>
      </c>
      <c r="AA481">
        <v>13.5</v>
      </c>
      <c r="AB481">
        <v>0</v>
      </c>
      <c r="AC481">
        <v>0</v>
      </c>
      <c r="AD481">
        <v>1</v>
      </c>
      <c r="AE481">
        <v>0</v>
      </c>
      <c r="AF481" t="s">
        <v>6</v>
      </c>
      <c r="AG481">
        <v>0.01</v>
      </c>
      <c r="AH481">
        <v>2</v>
      </c>
      <c r="AI481">
        <v>16744451</v>
      </c>
      <c r="AJ481">
        <v>514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ROW(Source!A335)</f>
        <v>335</v>
      </c>
      <c r="B482">
        <v>16744459</v>
      </c>
      <c r="C482">
        <v>16744448</v>
      </c>
      <c r="D482">
        <v>15170076</v>
      </c>
      <c r="E482">
        <v>1</v>
      </c>
      <c r="F482">
        <v>1</v>
      </c>
      <c r="G482">
        <v>1</v>
      </c>
      <c r="H482">
        <v>3</v>
      </c>
      <c r="I482" t="s">
        <v>1633</v>
      </c>
      <c r="J482" t="s">
        <v>1634</v>
      </c>
      <c r="K482" t="s">
        <v>1635</v>
      </c>
      <c r="L482">
        <v>1356</v>
      </c>
      <c r="N482">
        <v>1010</v>
      </c>
      <c r="O482" t="s">
        <v>306</v>
      </c>
      <c r="P482" t="s">
        <v>306</v>
      </c>
      <c r="Q482">
        <v>1000</v>
      </c>
      <c r="X482">
        <v>0.2</v>
      </c>
      <c r="Y482">
        <v>180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6</v>
      </c>
      <c r="AG482">
        <v>0.2</v>
      </c>
      <c r="AH482">
        <v>2</v>
      </c>
      <c r="AI482">
        <v>16744452</v>
      </c>
      <c r="AJ482">
        <v>515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ROW(Source!A335)</f>
        <v>335</v>
      </c>
      <c r="B483">
        <v>16744460</v>
      </c>
      <c r="C483">
        <v>16744448</v>
      </c>
      <c r="D483">
        <v>15170438</v>
      </c>
      <c r="E483">
        <v>1</v>
      </c>
      <c r="F483">
        <v>1</v>
      </c>
      <c r="G483">
        <v>1</v>
      </c>
      <c r="H483">
        <v>3</v>
      </c>
      <c r="I483" t="s">
        <v>1636</v>
      </c>
      <c r="J483" t="s">
        <v>1637</v>
      </c>
      <c r="K483" t="s">
        <v>1638</v>
      </c>
      <c r="L483">
        <v>1348</v>
      </c>
      <c r="N483">
        <v>1009</v>
      </c>
      <c r="O483" t="s">
        <v>100</v>
      </c>
      <c r="P483" t="s">
        <v>100</v>
      </c>
      <c r="Q483">
        <v>1000</v>
      </c>
      <c r="X483">
        <v>1E-3</v>
      </c>
      <c r="Y483">
        <v>12430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6</v>
      </c>
      <c r="AG483">
        <v>1E-3</v>
      </c>
      <c r="AH483">
        <v>2</v>
      </c>
      <c r="AI483">
        <v>16744453</v>
      </c>
      <c r="AJ483">
        <v>516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ROW(Source!A335)</f>
        <v>335</v>
      </c>
      <c r="B484">
        <v>16744461</v>
      </c>
      <c r="C484">
        <v>16744448</v>
      </c>
      <c r="D484">
        <v>15164559</v>
      </c>
      <c r="E484">
        <v>17</v>
      </c>
      <c r="F484">
        <v>1</v>
      </c>
      <c r="G484">
        <v>1</v>
      </c>
      <c r="H484">
        <v>3</v>
      </c>
      <c r="I484" t="s">
        <v>1334</v>
      </c>
      <c r="J484" t="s">
        <v>6</v>
      </c>
      <c r="K484" t="s">
        <v>1335</v>
      </c>
      <c r="L484">
        <v>1374</v>
      </c>
      <c r="N484">
        <v>1013</v>
      </c>
      <c r="O484" t="s">
        <v>1336</v>
      </c>
      <c r="P484" t="s">
        <v>1336</v>
      </c>
      <c r="Q484">
        <v>1</v>
      </c>
      <c r="X484">
        <v>3.1</v>
      </c>
      <c r="Y484">
        <v>1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6</v>
      </c>
      <c r="AG484">
        <v>3.1</v>
      </c>
      <c r="AH484">
        <v>2</v>
      </c>
      <c r="AI484">
        <v>16744454</v>
      </c>
      <c r="AJ484">
        <v>518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ROW(Source!A337)</f>
        <v>337</v>
      </c>
      <c r="B485">
        <v>16744473</v>
      </c>
      <c r="C485">
        <v>16744463</v>
      </c>
      <c r="D485">
        <v>15430397</v>
      </c>
      <c r="E485">
        <v>1</v>
      </c>
      <c r="F485">
        <v>1</v>
      </c>
      <c r="G485">
        <v>1</v>
      </c>
      <c r="H485">
        <v>1</v>
      </c>
      <c r="I485" t="s">
        <v>1323</v>
      </c>
      <c r="J485" t="s">
        <v>6</v>
      </c>
      <c r="K485" t="s">
        <v>1324</v>
      </c>
      <c r="L485">
        <v>1191</v>
      </c>
      <c r="N485">
        <v>1013</v>
      </c>
      <c r="O485" t="s">
        <v>1287</v>
      </c>
      <c r="P485" t="s">
        <v>1287</v>
      </c>
      <c r="Q485">
        <v>1</v>
      </c>
      <c r="X485">
        <v>2.82</v>
      </c>
      <c r="Y485">
        <v>0</v>
      </c>
      <c r="Z485">
        <v>0</v>
      </c>
      <c r="AA485">
        <v>0</v>
      </c>
      <c r="AB485">
        <v>9.4</v>
      </c>
      <c r="AC485">
        <v>0</v>
      </c>
      <c r="AD485">
        <v>1</v>
      </c>
      <c r="AE485">
        <v>1</v>
      </c>
      <c r="AF485" t="s">
        <v>6</v>
      </c>
      <c r="AG485">
        <v>2.82</v>
      </c>
      <c r="AH485">
        <v>2</v>
      </c>
      <c r="AI485">
        <v>16744464</v>
      </c>
      <c r="AJ485">
        <v>519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ROW(Source!A337)</f>
        <v>337</v>
      </c>
      <c r="B486">
        <v>16744474</v>
      </c>
      <c r="C486">
        <v>16744463</v>
      </c>
      <c r="D486">
        <v>15430395</v>
      </c>
      <c r="E486">
        <v>1</v>
      </c>
      <c r="F486">
        <v>1</v>
      </c>
      <c r="G486">
        <v>1</v>
      </c>
      <c r="H486">
        <v>1</v>
      </c>
      <c r="I486" t="s">
        <v>1293</v>
      </c>
      <c r="J486" t="s">
        <v>6</v>
      </c>
      <c r="K486" t="s">
        <v>1294</v>
      </c>
      <c r="L486">
        <v>1191</v>
      </c>
      <c r="N486">
        <v>1013</v>
      </c>
      <c r="O486" t="s">
        <v>1287</v>
      </c>
      <c r="P486" t="s">
        <v>1287</v>
      </c>
      <c r="Q486">
        <v>1</v>
      </c>
      <c r="X486">
        <v>0.02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2</v>
      </c>
      <c r="AF486" t="s">
        <v>6</v>
      </c>
      <c r="AG486">
        <v>0.02</v>
      </c>
      <c r="AH486">
        <v>2</v>
      </c>
      <c r="AI486">
        <v>16744465</v>
      </c>
      <c r="AJ486">
        <v>520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ROW(Source!A337)</f>
        <v>337</v>
      </c>
      <c r="B487">
        <v>16744475</v>
      </c>
      <c r="C487">
        <v>16744463</v>
      </c>
      <c r="D487">
        <v>15247680</v>
      </c>
      <c r="E487">
        <v>1</v>
      </c>
      <c r="F487">
        <v>1</v>
      </c>
      <c r="G487">
        <v>1</v>
      </c>
      <c r="H487">
        <v>2</v>
      </c>
      <c r="I487" t="s">
        <v>1295</v>
      </c>
      <c r="J487" t="s">
        <v>1296</v>
      </c>
      <c r="K487" t="s">
        <v>1297</v>
      </c>
      <c r="L487">
        <v>1368</v>
      </c>
      <c r="N487">
        <v>1011</v>
      </c>
      <c r="O487" t="s">
        <v>1298</v>
      </c>
      <c r="P487" t="s">
        <v>1298</v>
      </c>
      <c r="Q487">
        <v>1</v>
      </c>
      <c r="X487">
        <v>0.01</v>
      </c>
      <c r="Y487">
        <v>0</v>
      </c>
      <c r="Z487">
        <v>111.99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6</v>
      </c>
      <c r="AG487">
        <v>0.01</v>
      </c>
      <c r="AH487">
        <v>2</v>
      </c>
      <c r="AI487">
        <v>16744466</v>
      </c>
      <c r="AJ487">
        <v>521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ROW(Source!A337)</f>
        <v>337</v>
      </c>
      <c r="B488">
        <v>16744476</v>
      </c>
      <c r="C488">
        <v>16744463</v>
      </c>
      <c r="D488">
        <v>15249073</v>
      </c>
      <c r="E488">
        <v>1</v>
      </c>
      <c r="F488">
        <v>1</v>
      </c>
      <c r="G488">
        <v>1</v>
      </c>
      <c r="H488">
        <v>2</v>
      </c>
      <c r="I488" t="s">
        <v>1299</v>
      </c>
      <c r="J488" t="s">
        <v>1300</v>
      </c>
      <c r="K488" t="s">
        <v>1301</v>
      </c>
      <c r="L488">
        <v>1368</v>
      </c>
      <c r="N488">
        <v>1011</v>
      </c>
      <c r="O488" t="s">
        <v>1298</v>
      </c>
      <c r="P488" t="s">
        <v>1298</v>
      </c>
      <c r="Q488">
        <v>1</v>
      </c>
      <c r="X488">
        <v>0.01</v>
      </c>
      <c r="Y488">
        <v>0</v>
      </c>
      <c r="Z488">
        <v>65.709999999999994</v>
      </c>
      <c r="AA488">
        <v>11.6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0.01</v>
      </c>
      <c r="AH488">
        <v>2</v>
      </c>
      <c r="AI488">
        <v>16744467</v>
      </c>
      <c r="AJ488">
        <v>522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ROW(Source!A337)</f>
        <v>337</v>
      </c>
      <c r="B489">
        <v>16744477</v>
      </c>
      <c r="C489">
        <v>16744463</v>
      </c>
      <c r="D489">
        <v>15167588</v>
      </c>
      <c r="E489">
        <v>1</v>
      </c>
      <c r="F489">
        <v>1</v>
      </c>
      <c r="G489">
        <v>1</v>
      </c>
      <c r="H489">
        <v>3</v>
      </c>
      <c r="I489" t="s">
        <v>1641</v>
      </c>
      <c r="J489" t="s">
        <v>1642</v>
      </c>
      <c r="K489" t="s">
        <v>1643</v>
      </c>
      <c r="L489">
        <v>1346</v>
      </c>
      <c r="N489">
        <v>1009</v>
      </c>
      <c r="O489" t="s">
        <v>341</v>
      </c>
      <c r="P489" t="s">
        <v>341</v>
      </c>
      <c r="Q489">
        <v>1</v>
      </c>
      <c r="X489">
        <v>0.16</v>
      </c>
      <c r="Y489">
        <v>30.4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0.16</v>
      </c>
      <c r="AH489">
        <v>2</v>
      </c>
      <c r="AI489">
        <v>16744468</v>
      </c>
      <c r="AJ489">
        <v>523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ROW(Source!A337)</f>
        <v>337</v>
      </c>
      <c r="B490">
        <v>16744478</v>
      </c>
      <c r="C490">
        <v>16744463</v>
      </c>
      <c r="D490">
        <v>15167600</v>
      </c>
      <c r="E490">
        <v>1</v>
      </c>
      <c r="F490">
        <v>1</v>
      </c>
      <c r="G490">
        <v>1</v>
      </c>
      <c r="H490">
        <v>3</v>
      </c>
      <c r="I490" t="s">
        <v>1675</v>
      </c>
      <c r="J490" t="s">
        <v>1676</v>
      </c>
      <c r="K490" t="s">
        <v>1677</v>
      </c>
      <c r="L490">
        <v>1308</v>
      </c>
      <c r="N490">
        <v>1003</v>
      </c>
      <c r="O490" t="s">
        <v>34</v>
      </c>
      <c r="P490" t="s">
        <v>34</v>
      </c>
      <c r="Q490">
        <v>100</v>
      </c>
      <c r="X490">
        <v>0.05</v>
      </c>
      <c r="Y490">
        <v>120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6</v>
      </c>
      <c r="AG490">
        <v>0.05</v>
      </c>
      <c r="AH490">
        <v>2</v>
      </c>
      <c r="AI490">
        <v>16744469</v>
      </c>
      <c r="AJ490">
        <v>524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ROW(Source!A337)</f>
        <v>337</v>
      </c>
      <c r="B491">
        <v>16744479</v>
      </c>
      <c r="C491">
        <v>16744463</v>
      </c>
      <c r="D491">
        <v>15203834</v>
      </c>
      <c r="E491">
        <v>1</v>
      </c>
      <c r="F491">
        <v>1</v>
      </c>
      <c r="G491">
        <v>1</v>
      </c>
      <c r="H491">
        <v>3</v>
      </c>
      <c r="I491" t="s">
        <v>1667</v>
      </c>
      <c r="J491" t="s">
        <v>1668</v>
      </c>
      <c r="K491" t="s">
        <v>403</v>
      </c>
      <c r="L491">
        <v>1346</v>
      </c>
      <c r="N491">
        <v>1009</v>
      </c>
      <c r="O491" t="s">
        <v>341</v>
      </c>
      <c r="P491" t="s">
        <v>341</v>
      </c>
      <c r="Q491">
        <v>1</v>
      </c>
      <c r="X491">
        <v>0.05</v>
      </c>
      <c r="Y491">
        <v>28.6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0.05</v>
      </c>
      <c r="AH491">
        <v>2</v>
      </c>
      <c r="AI491">
        <v>16744470</v>
      </c>
      <c r="AJ491">
        <v>525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ROW(Source!A337)</f>
        <v>337</v>
      </c>
      <c r="B492">
        <v>16744480</v>
      </c>
      <c r="C492">
        <v>16744463</v>
      </c>
      <c r="D492">
        <v>15164559</v>
      </c>
      <c r="E492">
        <v>17</v>
      </c>
      <c r="F492">
        <v>1</v>
      </c>
      <c r="G492">
        <v>1</v>
      </c>
      <c r="H492">
        <v>3</v>
      </c>
      <c r="I492" t="s">
        <v>1334</v>
      </c>
      <c r="J492" t="s">
        <v>6</v>
      </c>
      <c r="K492" t="s">
        <v>1335</v>
      </c>
      <c r="L492">
        <v>1374</v>
      </c>
      <c r="N492">
        <v>1013</v>
      </c>
      <c r="O492" t="s">
        <v>1336</v>
      </c>
      <c r="P492" t="s">
        <v>1336</v>
      </c>
      <c r="Q492">
        <v>1</v>
      </c>
      <c r="X492">
        <v>0.53</v>
      </c>
      <c r="Y492">
        <v>1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6</v>
      </c>
      <c r="AG492">
        <v>0.53</v>
      </c>
      <c r="AH492">
        <v>2</v>
      </c>
      <c r="AI492">
        <v>16744471</v>
      </c>
      <c r="AJ492">
        <v>527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ROW(Source!A339)</f>
        <v>339</v>
      </c>
      <c r="B493">
        <v>16744490</v>
      </c>
      <c r="C493">
        <v>16744482</v>
      </c>
      <c r="D493">
        <v>15447742</v>
      </c>
      <c r="E493">
        <v>1</v>
      </c>
      <c r="F493">
        <v>1</v>
      </c>
      <c r="G493">
        <v>1</v>
      </c>
      <c r="H493">
        <v>1</v>
      </c>
      <c r="I493" t="s">
        <v>1604</v>
      </c>
      <c r="J493" t="s">
        <v>6</v>
      </c>
      <c r="K493" t="s">
        <v>1605</v>
      </c>
      <c r="L493">
        <v>1191</v>
      </c>
      <c r="N493">
        <v>1013</v>
      </c>
      <c r="O493" t="s">
        <v>1287</v>
      </c>
      <c r="P493" t="s">
        <v>1287</v>
      </c>
      <c r="Q493">
        <v>1</v>
      </c>
      <c r="X493">
        <v>0.5</v>
      </c>
      <c r="Y493">
        <v>0</v>
      </c>
      <c r="Z493">
        <v>0</v>
      </c>
      <c r="AA493">
        <v>0</v>
      </c>
      <c r="AB493">
        <v>9.76</v>
      </c>
      <c r="AC493">
        <v>0</v>
      </c>
      <c r="AD493">
        <v>1</v>
      </c>
      <c r="AE493">
        <v>1</v>
      </c>
      <c r="AF493" t="s">
        <v>6</v>
      </c>
      <c r="AG493">
        <v>0.5</v>
      </c>
      <c r="AH493">
        <v>2</v>
      </c>
      <c r="AI493">
        <v>16744483</v>
      </c>
      <c r="AJ493">
        <v>528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ROW(Source!A339)</f>
        <v>339</v>
      </c>
      <c r="B494">
        <v>16744491</v>
      </c>
      <c r="C494">
        <v>16744482</v>
      </c>
      <c r="D494">
        <v>15170438</v>
      </c>
      <c r="E494">
        <v>1</v>
      </c>
      <c r="F494">
        <v>1</v>
      </c>
      <c r="G494">
        <v>1</v>
      </c>
      <c r="H494">
        <v>3</v>
      </c>
      <c r="I494" t="s">
        <v>1636</v>
      </c>
      <c r="J494" t="s">
        <v>1637</v>
      </c>
      <c r="K494" t="s">
        <v>1638</v>
      </c>
      <c r="L494">
        <v>1348</v>
      </c>
      <c r="N494">
        <v>1009</v>
      </c>
      <c r="O494" t="s">
        <v>100</v>
      </c>
      <c r="P494" t="s">
        <v>100</v>
      </c>
      <c r="Q494">
        <v>1000</v>
      </c>
      <c r="X494">
        <v>1.0000000000000001E-5</v>
      </c>
      <c r="Y494">
        <v>12430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6</v>
      </c>
      <c r="AG494">
        <v>1.0000000000000001E-5</v>
      </c>
      <c r="AH494">
        <v>2</v>
      </c>
      <c r="AI494">
        <v>16744484</v>
      </c>
      <c r="AJ494">
        <v>529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ROW(Source!A339)</f>
        <v>339</v>
      </c>
      <c r="B495">
        <v>16744492</v>
      </c>
      <c r="C495">
        <v>16744482</v>
      </c>
      <c r="D495">
        <v>15171982</v>
      </c>
      <c r="E495">
        <v>1</v>
      </c>
      <c r="F495">
        <v>1</v>
      </c>
      <c r="G495">
        <v>1</v>
      </c>
      <c r="H495">
        <v>3</v>
      </c>
      <c r="I495" t="s">
        <v>1320</v>
      </c>
      <c r="J495" t="s">
        <v>1321</v>
      </c>
      <c r="K495" t="s">
        <v>1322</v>
      </c>
      <c r="L495">
        <v>1348</v>
      </c>
      <c r="N495">
        <v>1009</v>
      </c>
      <c r="O495" t="s">
        <v>100</v>
      </c>
      <c r="P495" t="s">
        <v>100</v>
      </c>
      <c r="Q495">
        <v>1000</v>
      </c>
      <c r="X495">
        <v>5.0000000000000002E-5</v>
      </c>
      <c r="Y495">
        <v>729.98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6</v>
      </c>
      <c r="AG495">
        <v>5.0000000000000002E-5</v>
      </c>
      <c r="AH495">
        <v>2</v>
      </c>
      <c r="AI495">
        <v>16744485</v>
      </c>
      <c r="AJ495">
        <v>530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ROW(Source!A339)</f>
        <v>339</v>
      </c>
      <c r="B496">
        <v>16744493</v>
      </c>
      <c r="C496">
        <v>16744482</v>
      </c>
      <c r="D496">
        <v>15191144</v>
      </c>
      <c r="E496">
        <v>1</v>
      </c>
      <c r="F496">
        <v>1</v>
      </c>
      <c r="G496">
        <v>1</v>
      </c>
      <c r="H496">
        <v>3</v>
      </c>
      <c r="I496" t="s">
        <v>1678</v>
      </c>
      <c r="J496" t="s">
        <v>1679</v>
      </c>
      <c r="K496" t="s">
        <v>1680</v>
      </c>
      <c r="L496">
        <v>1348</v>
      </c>
      <c r="N496">
        <v>1009</v>
      </c>
      <c r="O496" t="s">
        <v>100</v>
      </c>
      <c r="P496" t="s">
        <v>100</v>
      </c>
      <c r="Q496">
        <v>1000</v>
      </c>
      <c r="X496">
        <v>1.0000000000000001E-5</v>
      </c>
      <c r="Y496">
        <v>14690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</v>
      </c>
      <c r="AG496">
        <v>1.0000000000000001E-5</v>
      </c>
      <c r="AH496">
        <v>2</v>
      </c>
      <c r="AI496">
        <v>16744486</v>
      </c>
      <c r="AJ496">
        <v>531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ROW(Source!A339)</f>
        <v>339</v>
      </c>
      <c r="B497">
        <v>16744494</v>
      </c>
      <c r="C497">
        <v>16744482</v>
      </c>
      <c r="D497">
        <v>15164559</v>
      </c>
      <c r="E497">
        <v>17</v>
      </c>
      <c r="F497">
        <v>1</v>
      </c>
      <c r="G497">
        <v>1</v>
      </c>
      <c r="H497">
        <v>3</v>
      </c>
      <c r="I497" t="s">
        <v>1334</v>
      </c>
      <c r="J497" t="s">
        <v>6</v>
      </c>
      <c r="K497" t="s">
        <v>1335</v>
      </c>
      <c r="L497">
        <v>1374</v>
      </c>
      <c r="N497">
        <v>1013</v>
      </c>
      <c r="O497" t="s">
        <v>1336</v>
      </c>
      <c r="P497" t="s">
        <v>1336</v>
      </c>
      <c r="Q497">
        <v>1</v>
      </c>
      <c r="X497">
        <v>0.1</v>
      </c>
      <c r="Y497">
        <v>1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0.1</v>
      </c>
      <c r="AH497">
        <v>2</v>
      </c>
      <c r="AI497">
        <v>16744487</v>
      </c>
      <c r="AJ497">
        <v>533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ROW(Source!A341)</f>
        <v>341</v>
      </c>
      <c r="B498">
        <v>16744498</v>
      </c>
      <c r="C498">
        <v>16744496</v>
      </c>
      <c r="D498">
        <v>15430767</v>
      </c>
      <c r="E498">
        <v>1</v>
      </c>
      <c r="F498">
        <v>1</v>
      </c>
      <c r="G498">
        <v>1</v>
      </c>
      <c r="H498">
        <v>1</v>
      </c>
      <c r="I498" t="s">
        <v>1285</v>
      </c>
      <c r="J498" t="s">
        <v>6</v>
      </c>
      <c r="K498" t="s">
        <v>1286</v>
      </c>
      <c r="L498">
        <v>1191</v>
      </c>
      <c r="N498">
        <v>1013</v>
      </c>
      <c r="O498" t="s">
        <v>1287</v>
      </c>
      <c r="P498" t="s">
        <v>1287</v>
      </c>
      <c r="Q498">
        <v>1</v>
      </c>
      <c r="X498">
        <v>5.49</v>
      </c>
      <c r="Y498">
        <v>0</v>
      </c>
      <c r="Z498">
        <v>0</v>
      </c>
      <c r="AA498">
        <v>0</v>
      </c>
      <c r="AB498">
        <v>8.5299999999999994</v>
      </c>
      <c r="AC498">
        <v>0</v>
      </c>
      <c r="AD498">
        <v>1</v>
      </c>
      <c r="AE498">
        <v>1</v>
      </c>
      <c r="AF498" t="s">
        <v>6</v>
      </c>
      <c r="AG498">
        <v>5.49</v>
      </c>
      <c r="AH498">
        <v>2</v>
      </c>
      <c r="AI498">
        <v>16744497</v>
      </c>
      <c r="AJ498">
        <v>534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ROW(Source!A341)</f>
        <v>341</v>
      </c>
      <c r="B499">
        <v>16744499</v>
      </c>
      <c r="C499">
        <v>16744496</v>
      </c>
      <c r="D499">
        <v>15164566</v>
      </c>
      <c r="E499">
        <v>17</v>
      </c>
      <c r="F499">
        <v>1</v>
      </c>
      <c r="G499">
        <v>1</v>
      </c>
      <c r="H499">
        <v>3</v>
      </c>
      <c r="I499" t="s">
        <v>98</v>
      </c>
      <c r="J499" t="s">
        <v>6</v>
      </c>
      <c r="K499" t="s">
        <v>99</v>
      </c>
      <c r="L499">
        <v>1348</v>
      </c>
      <c r="N499">
        <v>1009</v>
      </c>
      <c r="O499" t="s">
        <v>100</v>
      </c>
      <c r="P499" t="s">
        <v>100</v>
      </c>
      <c r="Q499">
        <v>1000</v>
      </c>
      <c r="X499">
        <v>6.0000000000000001E-3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6</v>
      </c>
      <c r="AG499">
        <v>6.0000000000000001E-3</v>
      </c>
      <c r="AH499">
        <v>3</v>
      </c>
      <c r="AI499">
        <v>-1</v>
      </c>
      <c r="AJ499" t="s">
        <v>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ROW(Source!A342)</f>
        <v>342</v>
      </c>
      <c r="B500">
        <v>16744512</v>
      </c>
      <c r="C500">
        <v>16744500</v>
      </c>
      <c r="D500">
        <v>15430397</v>
      </c>
      <c r="E500">
        <v>1</v>
      </c>
      <c r="F500">
        <v>1</v>
      </c>
      <c r="G500">
        <v>1</v>
      </c>
      <c r="H500">
        <v>1</v>
      </c>
      <c r="I500" t="s">
        <v>1323</v>
      </c>
      <c r="J500" t="s">
        <v>6</v>
      </c>
      <c r="K500" t="s">
        <v>1324</v>
      </c>
      <c r="L500">
        <v>1191</v>
      </c>
      <c r="N500">
        <v>1013</v>
      </c>
      <c r="O500" t="s">
        <v>1287</v>
      </c>
      <c r="P500" t="s">
        <v>1287</v>
      </c>
      <c r="Q500">
        <v>1</v>
      </c>
      <c r="X500">
        <v>15.28</v>
      </c>
      <c r="Y500">
        <v>0</v>
      </c>
      <c r="Z500">
        <v>0</v>
      </c>
      <c r="AA500">
        <v>0</v>
      </c>
      <c r="AB500">
        <v>9.4</v>
      </c>
      <c r="AC500">
        <v>0</v>
      </c>
      <c r="AD500">
        <v>1</v>
      </c>
      <c r="AE500">
        <v>1</v>
      </c>
      <c r="AF500" t="s">
        <v>6</v>
      </c>
      <c r="AG500">
        <v>15.28</v>
      </c>
      <c r="AH500">
        <v>2</v>
      </c>
      <c r="AI500">
        <v>16744501</v>
      </c>
      <c r="AJ500">
        <v>535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ROW(Source!A342)</f>
        <v>342</v>
      </c>
      <c r="B501">
        <v>16744513</v>
      </c>
      <c r="C501">
        <v>16744500</v>
      </c>
      <c r="D501">
        <v>15430395</v>
      </c>
      <c r="E501">
        <v>1</v>
      </c>
      <c r="F501">
        <v>1</v>
      </c>
      <c r="G501">
        <v>1</v>
      </c>
      <c r="H501">
        <v>1</v>
      </c>
      <c r="I501" t="s">
        <v>1293</v>
      </c>
      <c r="J501" t="s">
        <v>6</v>
      </c>
      <c r="K501" t="s">
        <v>1294</v>
      </c>
      <c r="L501">
        <v>1191</v>
      </c>
      <c r="N501">
        <v>1013</v>
      </c>
      <c r="O501" t="s">
        <v>1287</v>
      </c>
      <c r="P501" t="s">
        <v>1287</v>
      </c>
      <c r="Q501">
        <v>1</v>
      </c>
      <c r="X501">
        <v>0.22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2</v>
      </c>
      <c r="AF501" t="s">
        <v>6</v>
      </c>
      <c r="AG501">
        <v>0.22</v>
      </c>
      <c r="AH501">
        <v>2</v>
      </c>
      <c r="AI501">
        <v>16744502</v>
      </c>
      <c r="AJ501">
        <v>536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ROW(Source!A342)</f>
        <v>342</v>
      </c>
      <c r="B502">
        <v>16744514</v>
      </c>
      <c r="C502">
        <v>16744500</v>
      </c>
      <c r="D502">
        <v>15247680</v>
      </c>
      <c r="E502">
        <v>1</v>
      </c>
      <c r="F502">
        <v>1</v>
      </c>
      <c r="G502">
        <v>1</v>
      </c>
      <c r="H502">
        <v>2</v>
      </c>
      <c r="I502" t="s">
        <v>1295</v>
      </c>
      <c r="J502" t="s">
        <v>1296</v>
      </c>
      <c r="K502" t="s">
        <v>1297</v>
      </c>
      <c r="L502">
        <v>1368</v>
      </c>
      <c r="N502">
        <v>1011</v>
      </c>
      <c r="O502" t="s">
        <v>1298</v>
      </c>
      <c r="P502" t="s">
        <v>1298</v>
      </c>
      <c r="Q502">
        <v>1</v>
      </c>
      <c r="X502">
        <v>0.11</v>
      </c>
      <c r="Y502">
        <v>0</v>
      </c>
      <c r="Z502">
        <v>111.99</v>
      </c>
      <c r="AA502">
        <v>13.5</v>
      </c>
      <c r="AB502">
        <v>0</v>
      </c>
      <c r="AC502">
        <v>0</v>
      </c>
      <c r="AD502">
        <v>1</v>
      </c>
      <c r="AE502">
        <v>0</v>
      </c>
      <c r="AF502" t="s">
        <v>6</v>
      </c>
      <c r="AG502">
        <v>0.11</v>
      </c>
      <c r="AH502">
        <v>2</v>
      </c>
      <c r="AI502">
        <v>16744503</v>
      </c>
      <c r="AJ502">
        <v>537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ROW(Source!A342)</f>
        <v>342</v>
      </c>
      <c r="B503">
        <v>16744515</v>
      </c>
      <c r="C503">
        <v>16744500</v>
      </c>
      <c r="D503">
        <v>15249073</v>
      </c>
      <c r="E503">
        <v>1</v>
      </c>
      <c r="F503">
        <v>1</v>
      </c>
      <c r="G503">
        <v>1</v>
      </c>
      <c r="H503">
        <v>2</v>
      </c>
      <c r="I503" t="s">
        <v>1299</v>
      </c>
      <c r="J503" t="s">
        <v>1300</v>
      </c>
      <c r="K503" t="s">
        <v>1301</v>
      </c>
      <c r="L503">
        <v>1368</v>
      </c>
      <c r="N503">
        <v>1011</v>
      </c>
      <c r="O503" t="s">
        <v>1298</v>
      </c>
      <c r="P503" t="s">
        <v>1298</v>
      </c>
      <c r="Q503">
        <v>1</v>
      </c>
      <c r="X503">
        <v>0.11</v>
      </c>
      <c r="Y503">
        <v>0</v>
      </c>
      <c r="Z503">
        <v>65.709999999999994</v>
      </c>
      <c r="AA503">
        <v>11.6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0.11</v>
      </c>
      <c r="AH503">
        <v>2</v>
      </c>
      <c r="AI503">
        <v>16744504</v>
      </c>
      <c r="AJ503">
        <v>538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ROW(Source!A342)</f>
        <v>342</v>
      </c>
      <c r="B504">
        <v>16744516</v>
      </c>
      <c r="C504">
        <v>16744500</v>
      </c>
      <c r="D504">
        <v>15172838</v>
      </c>
      <c r="E504">
        <v>1</v>
      </c>
      <c r="F504">
        <v>1</v>
      </c>
      <c r="G504">
        <v>1</v>
      </c>
      <c r="H504">
        <v>3</v>
      </c>
      <c r="I504" t="s">
        <v>1681</v>
      </c>
      <c r="J504" t="s">
        <v>1682</v>
      </c>
      <c r="K504" t="s">
        <v>1683</v>
      </c>
      <c r="L504">
        <v>1339</v>
      </c>
      <c r="N504">
        <v>1007</v>
      </c>
      <c r="O504" t="s">
        <v>301</v>
      </c>
      <c r="P504" t="s">
        <v>301</v>
      </c>
      <c r="Q504">
        <v>1</v>
      </c>
      <c r="X504">
        <v>2.1000000000000001E-2</v>
      </c>
      <c r="Y504">
        <v>600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6</v>
      </c>
      <c r="AG504">
        <v>2.1000000000000001E-2</v>
      </c>
      <c r="AH504">
        <v>2</v>
      </c>
      <c r="AI504">
        <v>16744505</v>
      </c>
      <c r="AJ504">
        <v>539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ROW(Source!A342)</f>
        <v>342</v>
      </c>
      <c r="B505">
        <v>16744517</v>
      </c>
      <c r="C505">
        <v>16744500</v>
      </c>
      <c r="D505">
        <v>15202442</v>
      </c>
      <c r="E505">
        <v>1</v>
      </c>
      <c r="F505">
        <v>1</v>
      </c>
      <c r="G505">
        <v>1</v>
      </c>
      <c r="H505">
        <v>3</v>
      </c>
      <c r="I505" t="s">
        <v>1684</v>
      </c>
      <c r="J505" t="s">
        <v>1685</v>
      </c>
      <c r="K505" t="s">
        <v>1686</v>
      </c>
      <c r="L505">
        <v>1346</v>
      </c>
      <c r="N505">
        <v>1009</v>
      </c>
      <c r="O505" t="s">
        <v>341</v>
      </c>
      <c r="P505" t="s">
        <v>341</v>
      </c>
      <c r="Q505">
        <v>1</v>
      </c>
      <c r="X505">
        <v>0.4</v>
      </c>
      <c r="Y505">
        <v>25.8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</v>
      </c>
      <c r="AG505">
        <v>0.4</v>
      </c>
      <c r="AH505">
        <v>2</v>
      </c>
      <c r="AI505">
        <v>16744506</v>
      </c>
      <c r="AJ505">
        <v>540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ROW(Source!A342)</f>
        <v>342</v>
      </c>
      <c r="B506">
        <v>16744518</v>
      </c>
      <c r="C506">
        <v>16744500</v>
      </c>
      <c r="D506">
        <v>15217585</v>
      </c>
      <c r="E506">
        <v>1</v>
      </c>
      <c r="F506">
        <v>1</v>
      </c>
      <c r="G506">
        <v>1</v>
      </c>
      <c r="H506">
        <v>3</v>
      </c>
      <c r="I506" t="s">
        <v>1687</v>
      </c>
      <c r="J506" t="s">
        <v>1688</v>
      </c>
      <c r="K506" t="s">
        <v>1689</v>
      </c>
      <c r="L506">
        <v>1356</v>
      </c>
      <c r="N506">
        <v>1010</v>
      </c>
      <c r="O506" t="s">
        <v>306</v>
      </c>
      <c r="P506" t="s">
        <v>306</v>
      </c>
      <c r="Q506">
        <v>1000</v>
      </c>
      <c r="X506">
        <v>3.2000000000000001E-2</v>
      </c>
      <c r="Y506">
        <v>270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6</v>
      </c>
      <c r="AG506">
        <v>3.2000000000000001E-2</v>
      </c>
      <c r="AH506">
        <v>2</v>
      </c>
      <c r="AI506">
        <v>16744507</v>
      </c>
      <c r="AJ506">
        <v>541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ROW(Source!A342)</f>
        <v>342</v>
      </c>
      <c r="B507">
        <v>16744519</v>
      </c>
      <c r="C507">
        <v>16744500</v>
      </c>
      <c r="D507">
        <v>15217593</v>
      </c>
      <c r="E507">
        <v>1</v>
      </c>
      <c r="F507">
        <v>1</v>
      </c>
      <c r="G507">
        <v>1</v>
      </c>
      <c r="H507">
        <v>3</v>
      </c>
      <c r="I507" t="s">
        <v>1690</v>
      </c>
      <c r="J507" t="s">
        <v>1691</v>
      </c>
      <c r="K507" t="s">
        <v>1692</v>
      </c>
      <c r="L507">
        <v>1358</v>
      </c>
      <c r="N507">
        <v>1010</v>
      </c>
      <c r="O507" t="s">
        <v>723</v>
      </c>
      <c r="P507" t="s">
        <v>723</v>
      </c>
      <c r="Q507">
        <v>10</v>
      </c>
      <c r="X507">
        <v>1</v>
      </c>
      <c r="Y507">
        <v>19.899999999999999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6</v>
      </c>
      <c r="AG507">
        <v>1</v>
      </c>
      <c r="AH507">
        <v>2</v>
      </c>
      <c r="AI507">
        <v>16744508</v>
      </c>
      <c r="AJ507">
        <v>542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ROW(Source!A342)</f>
        <v>342</v>
      </c>
      <c r="B508">
        <v>16744520</v>
      </c>
      <c r="C508">
        <v>16744500</v>
      </c>
      <c r="D508">
        <v>15218939</v>
      </c>
      <c r="E508">
        <v>1</v>
      </c>
      <c r="F508">
        <v>1</v>
      </c>
      <c r="G508">
        <v>1</v>
      </c>
      <c r="H508">
        <v>3</v>
      </c>
      <c r="I508" t="s">
        <v>1693</v>
      </c>
      <c r="J508" t="s">
        <v>1694</v>
      </c>
      <c r="K508" t="s">
        <v>1695</v>
      </c>
      <c r="L508">
        <v>1354</v>
      </c>
      <c r="N508">
        <v>1010</v>
      </c>
      <c r="O508" t="s">
        <v>73</v>
      </c>
      <c r="P508" t="s">
        <v>73</v>
      </c>
      <c r="Q508">
        <v>1</v>
      </c>
      <c r="X508">
        <v>0.5</v>
      </c>
      <c r="Y508">
        <v>66.819999999999993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6</v>
      </c>
      <c r="AG508">
        <v>0.5</v>
      </c>
      <c r="AH508">
        <v>2</v>
      </c>
      <c r="AI508">
        <v>16744509</v>
      </c>
      <c r="AJ508">
        <v>543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ROW(Source!A342)</f>
        <v>342</v>
      </c>
      <c r="B509">
        <v>16744521</v>
      </c>
      <c r="C509">
        <v>16744500</v>
      </c>
      <c r="D509">
        <v>15164559</v>
      </c>
      <c r="E509">
        <v>17</v>
      </c>
      <c r="F509">
        <v>1</v>
      </c>
      <c r="G509">
        <v>1</v>
      </c>
      <c r="H509">
        <v>3</v>
      </c>
      <c r="I509" t="s">
        <v>1334</v>
      </c>
      <c r="J509" t="s">
        <v>6</v>
      </c>
      <c r="K509" t="s">
        <v>1335</v>
      </c>
      <c r="L509">
        <v>1374</v>
      </c>
      <c r="N509">
        <v>1013</v>
      </c>
      <c r="O509" t="s">
        <v>1336</v>
      </c>
      <c r="P509" t="s">
        <v>1336</v>
      </c>
      <c r="Q509">
        <v>1</v>
      </c>
      <c r="X509">
        <v>2.87</v>
      </c>
      <c r="Y509">
        <v>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</v>
      </c>
      <c r="AG509">
        <v>2.87</v>
      </c>
      <c r="AH509">
        <v>2</v>
      </c>
      <c r="AI509">
        <v>16744510</v>
      </c>
      <c r="AJ509">
        <v>545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ROW(Source!A344)</f>
        <v>344</v>
      </c>
      <c r="B510">
        <v>16744534</v>
      </c>
      <c r="C510">
        <v>16744523</v>
      </c>
      <c r="D510">
        <v>15442878</v>
      </c>
      <c r="E510">
        <v>1</v>
      </c>
      <c r="F510">
        <v>1</v>
      </c>
      <c r="G510">
        <v>1</v>
      </c>
      <c r="H510">
        <v>1</v>
      </c>
      <c r="I510" t="s">
        <v>1639</v>
      </c>
      <c r="J510" t="s">
        <v>6</v>
      </c>
      <c r="K510" t="s">
        <v>1640</v>
      </c>
      <c r="L510">
        <v>1191</v>
      </c>
      <c r="N510">
        <v>1013</v>
      </c>
      <c r="O510" t="s">
        <v>1287</v>
      </c>
      <c r="P510" t="s">
        <v>1287</v>
      </c>
      <c r="Q510">
        <v>1</v>
      </c>
      <c r="X510">
        <v>0.9</v>
      </c>
      <c r="Y510">
        <v>0</v>
      </c>
      <c r="Z510">
        <v>0</v>
      </c>
      <c r="AA510">
        <v>0</v>
      </c>
      <c r="AB510">
        <v>10.5</v>
      </c>
      <c r="AC510">
        <v>0</v>
      </c>
      <c r="AD510">
        <v>1</v>
      </c>
      <c r="AE510">
        <v>1</v>
      </c>
      <c r="AF510" t="s">
        <v>6</v>
      </c>
      <c r="AG510">
        <v>0.9</v>
      </c>
      <c r="AH510">
        <v>2</v>
      </c>
      <c r="AI510">
        <v>16744524</v>
      </c>
      <c r="AJ510">
        <v>546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ROW(Source!A344)</f>
        <v>344</v>
      </c>
      <c r="B511">
        <v>16744535</v>
      </c>
      <c r="C511">
        <v>16744523</v>
      </c>
      <c r="D511">
        <v>15430395</v>
      </c>
      <c r="E511">
        <v>1</v>
      </c>
      <c r="F511">
        <v>1</v>
      </c>
      <c r="G511">
        <v>1</v>
      </c>
      <c r="H511">
        <v>1</v>
      </c>
      <c r="I511" t="s">
        <v>1293</v>
      </c>
      <c r="J511" t="s">
        <v>6</v>
      </c>
      <c r="K511" t="s">
        <v>1294</v>
      </c>
      <c r="L511">
        <v>1191</v>
      </c>
      <c r="N511">
        <v>1013</v>
      </c>
      <c r="O511" t="s">
        <v>1287</v>
      </c>
      <c r="P511" t="s">
        <v>1287</v>
      </c>
      <c r="Q511">
        <v>1</v>
      </c>
      <c r="X511">
        <v>0.2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2</v>
      </c>
      <c r="AF511" t="s">
        <v>6</v>
      </c>
      <c r="AG511">
        <v>0.2</v>
      </c>
      <c r="AH511">
        <v>2</v>
      </c>
      <c r="AI511">
        <v>16744525</v>
      </c>
      <c r="AJ511">
        <v>547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ROW(Source!A344)</f>
        <v>344</v>
      </c>
      <c r="B512">
        <v>16744536</v>
      </c>
      <c r="C512">
        <v>16744523</v>
      </c>
      <c r="D512">
        <v>15247680</v>
      </c>
      <c r="E512">
        <v>1</v>
      </c>
      <c r="F512">
        <v>1</v>
      </c>
      <c r="G512">
        <v>1</v>
      </c>
      <c r="H512">
        <v>2</v>
      </c>
      <c r="I512" t="s">
        <v>1295</v>
      </c>
      <c r="J512" t="s">
        <v>1296</v>
      </c>
      <c r="K512" t="s">
        <v>1297</v>
      </c>
      <c r="L512">
        <v>1368</v>
      </c>
      <c r="N512">
        <v>1011</v>
      </c>
      <c r="O512" t="s">
        <v>1298</v>
      </c>
      <c r="P512" t="s">
        <v>1298</v>
      </c>
      <c r="Q512">
        <v>1</v>
      </c>
      <c r="X512">
        <v>0.1</v>
      </c>
      <c r="Y512">
        <v>0</v>
      </c>
      <c r="Z512">
        <v>111.99</v>
      </c>
      <c r="AA512">
        <v>13.5</v>
      </c>
      <c r="AB512">
        <v>0</v>
      </c>
      <c r="AC512">
        <v>0</v>
      </c>
      <c r="AD512">
        <v>1</v>
      </c>
      <c r="AE512">
        <v>0</v>
      </c>
      <c r="AF512" t="s">
        <v>6</v>
      </c>
      <c r="AG512">
        <v>0.1</v>
      </c>
      <c r="AH512">
        <v>2</v>
      </c>
      <c r="AI512">
        <v>16744526</v>
      </c>
      <c r="AJ512">
        <v>548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ROW(Source!A344)</f>
        <v>344</v>
      </c>
      <c r="B513">
        <v>16744537</v>
      </c>
      <c r="C513">
        <v>16744523</v>
      </c>
      <c r="D513">
        <v>15249073</v>
      </c>
      <c r="E513">
        <v>1</v>
      </c>
      <c r="F513">
        <v>1</v>
      </c>
      <c r="G513">
        <v>1</v>
      </c>
      <c r="H513">
        <v>2</v>
      </c>
      <c r="I513" t="s">
        <v>1299</v>
      </c>
      <c r="J513" t="s">
        <v>1300</v>
      </c>
      <c r="K513" t="s">
        <v>1301</v>
      </c>
      <c r="L513">
        <v>1368</v>
      </c>
      <c r="N513">
        <v>1011</v>
      </c>
      <c r="O513" t="s">
        <v>1298</v>
      </c>
      <c r="P513" t="s">
        <v>1298</v>
      </c>
      <c r="Q513">
        <v>1</v>
      </c>
      <c r="X513">
        <v>0.1</v>
      </c>
      <c r="Y513">
        <v>0</v>
      </c>
      <c r="Z513">
        <v>65.709999999999994</v>
      </c>
      <c r="AA513">
        <v>11.6</v>
      </c>
      <c r="AB513">
        <v>0</v>
      </c>
      <c r="AC513">
        <v>0</v>
      </c>
      <c r="AD513">
        <v>1</v>
      </c>
      <c r="AE513">
        <v>0</v>
      </c>
      <c r="AF513" t="s">
        <v>6</v>
      </c>
      <c r="AG513">
        <v>0.1</v>
      </c>
      <c r="AH513">
        <v>2</v>
      </c>
      <c r="AI513">
        <v>16744527</v>
      </c>
      <c r="AJ513">
        <v>549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ROW(Source!A344)</f>
        <v>344</v>
      </c>
      <c r="B514">
        <v>16744538</v>
      </c>
      <c r="C514">
        <v>16744523</v>
      </c>
      <c r="D514">
        <v>15167588</v>
      </c>
      <c r="E514">
        <v>1</v>
      </c>
      <c r="F514">
        <v>1</v>
      </c>
      <c r="G514">
        <v>1</v>
      </c>
      <c r="H514">
        <v>3</v>
      </c>
      <c r="I514" t="s">
        <v>1641</v>
      </c>
      <c r="J514" t="s">
        <v>1642</v>
      </c>
      <c r="K514" t="s">
        <v>1643</v>
      </c>
      <c r="L514">
        <v>1346</v>
      </c>
      <c r="N514">
        <v>1009</v>
      </c>
      <c r="O514" t="s">
        <v>341</v>
      </c>
      <c r="P514" t="s">
        <v>341</v>
      </c>
      <c r="Q514">
        <v>1</v>
      </c>
      <c r="X514">
        <v>0.01</v>
      </c>
      <c r="Y514">
        <v>30.4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6</v>
      </c>
      <c r="AG514">
        <v>0.01</v>
      </c>
      <c r="AH514">
        <v>2</v>
      </c>
      <c r="AI514">
        <v>16744528</v>
      </c>
      <c r="AJ514">
        <v>550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ROW(Source!A344)</f>
        <v>344</v>
      </c>
      <c r="B515">
        <v>16744539</v>
      </c>
      <c r="C515">
        <v>16744523</v>
      </c>
      <c r="D515">
        <v>15169942</v>
      </c>
      <c r="E515">
        <v>1</v>
      </c>
      <c r="F515">
        <v>1</v>
      </c>
      <c r="G515">
        <v>1</v>
      </c>
      <c r="H515">
        <v>3</v>
      </c>
      <c r="I515" t="s">
        <v>1644</v>
      </c>
      <c r="J515" t="s">
        <v>1645</v>
      </c>
      <c r="K515" t="s">
        <v>1310</v>
      </c>
      <c r="L515">
        <v>1346</v>
      </c>
      <c r="N515">
        <v>1009</v>
      </c>
      <c r="O515" t="s">
        <v>341</v>
      </c>
      <c r="P515" t="s">
        <v>341</v>
      </c>
      <c r="Q515">
        <v>1</v>
      </c>
      <c r="X515">
        <v>0.3</v>
      </c>
      <c r="Y515">
        <v>9.0399999999999991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6</v>
      </c>
      <c r="AG515">
        <v>0.3</v>
      </c>
      <c r="AH515">
        <v>2</v>
      </c>
      <c r="AI515">
        <v>16744529</v>
      </c>
      <c r="AJ515">
        <v>551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ROW(Source!A344)</f>
        <v>344</v>
      </c>
      <c r="B516">
        <v>16744540</v>
      </c>
      <c r="C516">
        <v>16744523</v>
      </c>
      <c r="D516">
        <v>15191488</v>
      </c>
      <c r="E516">
        <v>1</v>
      </c>
      <c r="F516">
        <v>1</v>
      </c>
      <c r="G516">
        <v>1</v>
      </c>
      <c r="H516">
        <v>3</v>
      </c>
      <c r="I516" t="s">
        <v>1646</v>
      </c>
      <c r="J516" t="s">
        <v>1647</v>
      </c>
      <c r="K516" t="s">
        <v>1648</v>
      </c>
      <c r="L516">
        <v>1348</v>
      </c>
      <c r="N516">
        <v>1009</v>
      </c>
      <c r="O516" t="s">
        <v>100</v>
      </c>
      <c r="P516" t="s">
        <v>100</v>
      </c>
      <c r="Q516">
        <v>1000</v>
      </c>
      <c r="X516">
        <v>5.9999999999999995E-4</v>
      </c>
      <c r="Y516">
        <v>5000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6</v>
      </c>
      <c r="AG516">
        <v>5.9999999999999995E-4</v>
      </c>
      <c r="AH516">
        <v>2</v>
      </c>
      <c r="AI516">
        <v>16744530</v>
      </c>
      <c r="AJ516">
        <v>552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ROW(Source!A344)</f>
        <v>344</v>
      </c>
      <c r="B517">
        <v>16744541</v>
      </c>
      <c r="C517">
        <v>16744523</v>
      </c>
      <c r="D517">
        <v>15164559</v>
      </c>
      <c r="E517">
        <v>17</v>
      </c>
      <c r="F517">
        <v>1</v>
      </c>
      <c r="G517">
        <v>1</v>
      </c>
      <c r="H517">
        <v>3</v>
      </c>
      <c r="I517" t="s">
        <v>1334</v>
      </c>
      <c r="J517" t="s">
        <v>6</v>
      </c>
      <c r="K517" t="s">
        <v>1335</v>
      </c>
      <c r="L517">
        <v>1374</v>
      </c>
      <c r="N517">
        <v>1013</v>
      </c>
      <c r="O517" t="s">
        <v>1336</v>
      </c>
      <c r="P517" t="s">
        <v>1336</v>
      </c>
      <c r="Q517">
        <v>1</v>
      </c>
      <c r="X517">
        <v>0.19</v>
      </c>
      <c r="Y517">
        <v>1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6</v>
      </c>
      <c r="AG517">
        <v>0.19</v>
      </c>
      <c r="AH517">
        <v>2</v>
      </c>
      <c r="AI517">
        <v>16744531</v>
      </c>
      <c r="AJ517">
        <v>554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ROW(Source!A346)</f>
        <v>346</v>
      </c>
      <c r="B518">
        <v>16744560</v>
      </c>
      <c r="C518">
        <v>16744543</v>
      </c>
      <c r="D518">
        <v>15435721</v>
      </c>
      <c r="E518">
        <v>1</v>
      </c>
      <c r="F518">
        <v>1</v>
      </c>
      <c r="G518">
        <v>1</v>
      </c>
      <c r="H518">
        <v>1</v>
      </c>
      <c r="I518" t="s">
        <v>1609</v>
      </c>
      <c r="J518" t="s">
        <v>6</v>
      </c>
      <c r="K518" t="s">
        <v>1610</v>
      </c>
      <c r="L518">
        <v>1191</v>
      </c>
      <c r="N518">
        <v>1013</v>
      </c>
      <c r="O518" t="s">
        <v>1287</v>
      </c>
      <c r="P518" t="s">
        <v>1287</v>
      </c>
      <c r="Q518">
        <v>1</v>
      </c>
      <c r="X518">
        <v>1.62</v>
      </c>
      <c r="Y518">
        <v>0</v>
      </c>
      <c r="Z518">
        <v>0</v>
      </c>
      <c r="AA518">
        <v>0</v>
      </c>
      <c r="AB518">
        <v>9.51</v>
      </c>
      <c r="AC518">
        <v>0</v>
      </c>
      <c r="AD518">
        <v>1</v>
      </c>
      <c r="AE518">
        <v>1</v>
      </c>
      <c r="AF518" t="s">
        <v>6</v>
      </c>
      <c r="AG518">
        <v>1.62</v>
      </c>
      <c r="AH518">
        <v>2</v>
      </c>
      <c r="AI518">
        <v>16744544</v>
      </c>
      <c r="AJ518">
        <v>555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ROW(Source!A346)</f>
        <v>346</v>
      </c>
      <c r="B519">
        <v>16744561</v>
      </c>
      <c r="C519">
        <v>16744543</v>
      </c>
      <c r="D519">
        <v>15249377</v>
      </c>
      <c r="E519">
        <v>1</v>
      </c>
      <c r="F519">
        <v>1</v>
      </c>
      <c r="G519">
        <v>1</v>
      </c>
      <c r="H519">
        <v>2</v>
      </c>
      <c r="I519" t="s">
        <v>1302</v>
      </c>
      <c r="J519" t="s">
        <v>1303</v>
      </c>
      <c r="K519" t="s">
        <v>1304</v>
      </c>
      <c r="L519">
        <v>1368</v>
      </c>
      <c r="N519">
        <v>1011</v>
      </c>
      <c r="O519" t="s">
        <v>1298</v>
      </c>
      <c r="P519" t="s">
        <v>1298</v>
      </c>
      <c r="Q519">
        <v>1</v>
      </c>
      <c r="X519">
        <v>0.14000000000000001</v>
      </c>
      <c r="Y519">
        <v>0</v>
      </c>
      <c r="Z519">
        <v>8.1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6</v>
      </c>
      <c r="AG519">
        <v>0.14000000000000001</v>
      </c>
      <c r="AH519">
        <v>2</v>
      </c>
      <c r="AI519">
        <v>16744545</v>
      </c>
      <c r="AJ519">
        <v>556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ROW(Source!A346)</f>
        <v>346</v>
      </c>
      <c r="B520">
        <v>16744562</v>
      </c>
      <c r="C520">
        <v>16744543</v>
      </c>
      <c r="D520">
        <v>15165537</v>
      </c>
      <c r="E520">
        <v>1</v>
      </c>
      <c r="F520">
        <v>1</v>
      </c>
      <c r="G520">
        <v>1</v>
      </c>
      <c r="H520">
        <v>3</v>
      </c>
      <c r="I520" t="s">
        <v>1696</v>
      </c>
      <c r="J520" t="s">
        <v>1697</v>
      </c>
      <c r="K520" t="s">
        <v>1698</v>
      </c>
      <c r="L520">
        <v>1346</v>
      </c>
      <c r="N520">
        <v>1009</v>
      </c>
      <c r="O520" t="s">
        <v>341</v>
      </c>
      <c r="P520" t="s">
        <v>341</v>
      </c>
      <c r="Q520">
        <v>1</v>
      </c>
      <c r="X520">
        <v>6.0000000000000001E-3</v>
      </c>
      <c r="Y520">
        <v>44.97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6</v>
      </c>
      <c r="AG520">
        <v>6.0000000000000001E-3</v>
      </c>
      <c r="AH520">
        <v>2</v>
      </c>
      <c r="AI520">
        <v>16744546</v>
      </c>
      <c r="AJ520">
        <v>557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ROW(Source!A346)</f>
        <v>346</v>
      </c>
      <c r="B521">
        <v>16744563</v>
      </c>
      <c r="C521">
        <v>16744543</v>
      </c>
      <c r="D521">
        <v>15167269</v>
      </c>
      <c r="E521">
        <v>1</v>
      </c>
      <c r="F521">
        <v>1</v>
      </c>
      <c r="G521">
        <v>1</v>
      </c>
      <c r="H521">
        <v>3</v>
      </c>
      <c r="I521" t="s">
        <v>1699</v>
      </c>
      <c r="J521" t="s">
        <v>1700</v>
      </c>
      <c r="K521" t="s">
        <v>1701</v>
      </c>
      <c r="L521">
        <v>1346</v>
      </c>
      <c r="N521">
        <v>1009</v>
      </c>
      <c r="O521" t="s">
        <v>341</v>
      </c>
      <c r="P521" t="s">
        <v>341</v>
      </c>
      <c r="Q521">
        <v>1</v>
      </c>
      <c r="X521">
        <v>1E-3</v>
      </c>
      <c r="Y521">
        <v>11.5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6</v>
      </c>
      <c r="AG521">
        <v>1E-3</v>
      </c>
      <c r="AH521">
        <v>2</v>
      </c>
      <c r="AI521">
        <v>16744547</v>
      </c>
      <c r="AJ521">
        <v>558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ROW(Source!A346)</f>
        <v>346</v>
      </c>
      <c r="B522">
        <v>16744564</v>
      </c>
      <c r="C522">
        <v>16744543</v>
      </c>
      <c r="D522">
        <v>15167588</v>
      </c>
      <c r="E522">
        <v>1</v>
      </c>
      <c r="F522">
        <v>1</v>
      </c>
      <c r="G522">
        <v>1</v>
      </c>
      <c r="H522">
        <v>3</v>
      </c>
      <c r="I522" t="s">
        <v>1641</v>
      </c>
      <c r="J522" t="s">
        <v>1642</v>
      </c>
      <c r="K522" t="s">
        <v>1643</v>
      </c>
      <c r="L522">
        <v>1346</v>
      </c>
      <c r="N522">
        <v>1009</v>
      </c>
      <c r="O522" t="s">
        <v>341</v>
      </c>
      <c r="P522" t="s">
        <v>341</v>
      </c>
      <c r="Q522">
        <v>1</v>
      </c>
      <c r="X522">
        <v>1.2E-2</v>
      </c>
      <c r="Y522">
        <v>30.4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6</v>
      </c>
      <c r="AG522">
        <v>1.2E-2</v>
      </c>
      <c r="AH522">
        <v>2</v>
      </c>
      <c r="AI522">
        <v>16744548</v>
      </c>
      <c r="AJ522">
        <v>559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ROW(Source!A346)</f>
        <v>346</v>
      </c>
      <c r="B523">
        <v>16744565</v>
      </c>
      <c r="C523">
        <v>16744543</v>
      </c>
      <c r="D523">
        <v>15168752</v>
      </c>
      <c r="E523">
        <v>1</v>
      </c>
      <c r="F523">
        <v>1</v>
      </c>
      <c r="G523">
        <v>1</v>
      </c>
      <c r="H523">
        <v>3</v>
      </c>
      <c r="I523" t="s">
        <v>1325</v>
      </c>
      <c r="J523" t="s">
        <v>1326</v>
      </c>
      <c r="K523" t="s">
        <v>1327</v>
      </c>
      <c r="L523">
        <v>1346</v>
      </c>
      <c r="N523">
        <v>1009</v>
      </c>
      <c r="O523" t="s">
        <v>341</v>
      </c>
      <c r="P523" t="s">
        <v>341</v>
      </c>
      <c r="Q523">
        <v>1</v>
      </c>
      <c r="X523">
        <v>7.0000000000000007E-2</v>
      </c>
      <c r="Y523">
        <v>10.57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6</v>
      </c>
      <c r="AG523">
        <v>7.0000000000000007E-2</v>
      </c>
      <c r="AH523">
        <v>2</v>
      </c>
      <c r="AI523">
        <v>16744549</v>
      </c>
      <c r="AJ523">
        <v>560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ROW(Source!A346)</f>
        <v>346</v>
      </c>
      <c r="B524">
        <v>16744566</v>
      </c>
      <c r="C524">
        <v>16744543</v>
      </c>
      <c r="D524">
        <v>15169942</v>
      </c>
      <c r="E524">
        <v>1</v>
      </c>
      <c r="F524">
        <v>1</v>
      </c>
      <c r="G524">
        <v>1</v>
      </c>
      <c r="H524">
        <v>3</v>
      </c>
      <c r="I524" t="s">
        <v>1644</v>
      </c>
      <c r="J524" t="s">
        <v>1645</v>
      </c>
      <c r="K524" t="s">
        <v>1310</v>
      </c>
      <c r="L524">
        <v>1346</v>
      </c>
      <c r="N524">
        <v>1009</v>
      </c>
      <c r="O524" t="s">
        <v>341</v>
      </c>
      <c r="P524" t="s">
        <v>341</v>
      </c>
      <c r="Q524">
        <v>1</v>
      </c>
      <c r="X524">
        <v>4.9000000000000002E-2</v>
      </c>
      <c r="Y524">
        <v>9.0399999999999991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4.9000000000000002E-2</v>
      </c>
      <c r="AH524">
        <v>2</v>
      </c>
      <c r="AI524">
        <v>16744550</v>
      </c>
      <c r="AJ524">
        <v>561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ROW(Source!A346)</f>
        <v>346</v>
      </c>
      <c r="B525">
        <v>16744567</v>
      </c>
      <c r="C525">
        <v>16744543</v>
      </c>
      <c r="D525">
        <v>15170074</v>
      </c>
      <c r="E525">
        <v>1</v>
      </c>
      <c r="F525">
        <v>1</v>
      </c>
      <c r="G525">
        <v>1</v>
      </c>
      <c r="H525">
        <v>3</v>
      </c>
      <c r="I525" t="s">
        <v>1655</v>
      </c>
      <c r="J525" t="s">
        <v>1656</v>
      </c>
      <c r="K525" t="s">
        <v>1657</v>
      </c>
      <c r="L525">
        <v>1355</v>
      </c>
      <c r="N525">
        <v>1010</v>
      </c>
      <c r="O525" t="s">
        <v>843</v>
      </c>
      <c r="P525" t="s">
        <v>843</v>
      </c>
      <c r="Q525">
        <v>100</v>
      </c>
      <c r="X525">
        <v>0.02</v>
      </c>
      <c r="Y525">
        <v>86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0.02</v>
      </c>
      <c r="AH525">
        <v>2</v>
      </c>
      <c r="AI525">
        <v>16744551</v>
      </c>
      <c r="AJ525">
        <v>562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ROW(Source!A346)</f>
        <v>346</v>
      </c>
      <c r="B526">
        <v>16744568</v>
      </c>
      <c r="C526">
        <v>16744543</v>
      </c>
      <c r="D526">
        <v>15170994</v>
      </c>
      <c r="E526">
        <v>1</v>
      </c>
      <c r="F526">
        <v>1</v>
      </c>
      <c r="G526">
        <v>1</v>
      </c>
      <c r="H526">
        <v>3</v>
      </c>
      <c r="I526" t="s">
        <v>1702</v>
      </c>
      <c r="J526" t="s">
        <v>1703</v>
      </c>
      <c r="K526" t="s">
        <v>1704</v>
      </c>
      <c r="L526">
        <v>1346</v>
      </c>
      <c r="N526">
        <v>1009</v>
      </c>
      <c r="O526" t="s">
        <v>341</v>
      </c>
      <c r="P526" t="s">
        <v>341</v>
      </c>
      <c r="Q526">
        <v>1</v>
      </c>
      <c r="X526">
        <v>1E-3</v>
      </c>
      <c r="Y526">
        <v>133.05000000000001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1E-3</v>
      </c>
      <c r="AH526">
        <v>2</v>
      </c>
      <c r="AI526">
        <v>16744552</v>
      </c>
      <c r="AJ526">
        <v>563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ROW(Source!A346)</f>
        <v>346</v>
      </c>
      <c r="B527">
        <v>16744569</v>
      </c>
      <c r="C527">
        <v>16744543</v>
      </c>
      <c r="D527">
        <v>15188647</v>
      </c>
      <c r="E527">
        <v>1</v>
      </c>
      <c r="F527">
        <v>1</v>
      </c>
      <c r="G527">
        <v>1</v>
      </c>
      <c r="H527">
        <v>3</v>
      </c>
      <c r="I527" t="s">
        <v>1705</v>
      </c>
      <c r="J527" t="s">
        <v>1706</v>
      </c>
      <c r="K527" t="s">
        <v>1707</v>
      </c>
      <c r="L527">
        <v>1348</v>
      </c>
      <c r="N527">
        <v>1009</v>
      </c>
      <c r="O527" t="s">
        <v>100</v>
      </c>
      <c r="P527" t="s">
        <v>100</v>
      </c>
      <c r="Q527">
        <v>1000</v>
      </c>
      <c r="X527">
        <v>4.0000000000000001E-3</v>
      </c>
      <c r="Y527">
        <v>11500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4.0000000000000001E-3</v>
      </c>
      <c r="AH527">
        <v>2</v>
      </c>
      <c r="AI527">
        <v>16744553</v>
      </c>
      <c r="AJ527">
        <v>564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ROW(Source!A346)</f>
        <v>346</v>
      </c>
      <c r="B528">
        <v>16744570</v>
      </c>
      <c r="C528">
        <v>16744543</v>
      </c>
      <c r="D528">
        <v>15203834</v>
      </c>
      <c r="E528">
        <v>1</v>
      </c>
      <c r="F528">
        <v>1</v>
      </c>
      <c r="G528">
        <v>1</v>
      </c>
      <c r="H528">
        <v>3</v>
      </c>
      <c r="I528" t="s">
        <v>1667</v>
      </c>
      <c r="J528" t="s">
        <v>1668</v>
      </c>
      <c r="K528" t="s">
        <v>403</v>
      </c>
      <c r="L528">
        <v>1346</v>
      </c>
      <c r="N528">
        <v>1009</v>
      </c>
      <c r="O528" t="s">
        <v>341</v>
      </c>
      <c r="P528" t="s">
        <v>341</v>
      </c>
      <c r="Q528">
        <v>1</v>
      </c>
      <c r="X528">
        <v>4.7E-2</v>
      </c>
      <c r="Y528">
        <v>28.6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4.7E-2</v>
      </c>
      <c r="AH528">
        <v>2</v>
      </c>
      <c r="AI528">
        <v>16744554</v>
      </c>
      <c r="AJ528">
        <v>565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ROW(Source!A346)</f>
        <v>346</v>
      </c>
      <c r="B529">
        <v>16744571</v>
      </c>
      <c r="C529">
        <v>16744543</v>
      </c>
      <c r="D529">
        <v>15203987</v>
      </c>
      <c r="E529">
        <v>1</v>
      </c>
      <c r="F529">
        <v>1</v>
      </c>
      <c r="G529">
        <v>1</v>
      </c>
      <c r="H529">
        <v>3</v>
      </c>
      <c r="I529" t="s">
        <v>1708</v>
      </c>
      <c r="J529" t="s">
        <v>1709</v>
      </c>
      <c r="K529" t="s">
        <v>1710</v>
      </c>
      <c r="L529">
        <v>1346</v>
      </c>
      <c r="N529">
        <v>1009</v>
      </c>
      <c r="O529" t="s">
        <v>341</v>
      </c>
      <c r="P529" t="s">
        <v>341</v>
      </c>
      <c r="Q529">
        <v>1</v>
      </c>
      <c r="X529">
        <v>6.0000000000000001E-3</v>
      </c>
      <c r="Y529">
        <v>35.630000000000003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6</v>
      </c>
      <c r="AG529">
        <v>6.0000000000000001E-3</v>
      </c>
      <c r="AH529">
        <v>2</v>
      </c>
      <c r="AI529">
        <v>16744555</v>
      </c>
      <c r="AJ529">
        <v>566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ROW(Source!A346)</f>
        <v>346</v>
      </c>
      <c r="B530">
        <v>16744572</v>
      </c>
      <c r="C530">
        <v>16744543</v>
      </c>
      <c r="D530">
        <v>15217463</v>
      </c>
      <c r="E530">
        <v>1</v>
      </c>
      <c r="F530">
        <v>1</v>
      </c>
      <c r="G530">
        <v>1</v>
      </c>
      <c r="H530">
        <v>3</v>
      </c>
      <c r="I530" t="s">
        <v>1711</v>
      </c>
      <c r="J530" t="s">
        <v>1712</v>
      </c>
      <c r="K530" t="s">
        <v>1713</v>
      </c>
      <c r="L530">
        <v>1358</v>
      </c>
      <c r="N530">
        <v>1010</v>
      </c>
      <c r="O530" t="s">
        <v>723</v>
      </c>
      <c r="P530" t="s">
        <v>723</v>
      </c>
      <c r="Q530">
        <v>10</v>
      </c>
      <c r="X530">
        <v>0.1</v>
      </c>
      <c r="Y530">
        <v>39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6</v>
      </c>
      <c r="AG530">
        <v>0.1</v>
      </c>
      <c r="AH530">
        <v>2</v>
      </c>
      <c r="AI530">
        <v>16744556</v>
      </c>
      <c r="AJ530">
        <v>567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ROW(Source!A346)</f>
        <v>346</v>
      </c>
      <c r="B531">
        <v>16744573</v>
      </c>
      <c r="C531">
        <v>16744543</v>
      </c>
      <c r="D531">
        <v>15164559</v>
      </c>
      <c r="E531">
        <v>17</v>
      </c>
      <c r="F531">
        <v>1</v>
      </c>
      <c r="G531">
        <v>1</v>
      </c>
      <c r="H531">
        <v>3</v>
      </c>
      <c r="I531" t="s">
        <v>1334</v>
      </c>
      <c r="J531" t="s">
        <v>6</v>
      </c>
      <c r="K531" t="s">
        <v>1335</v>
      </c>
      <c r="L531">
        <v>1374</v>
      </c>
      <c r="N531">
        <v>1013</v>
      </c>
      <c r="O531" t="s">
        <v>1336</v>
      </c>
      <c r="P531" t="s">
        <v>1336</v>
      </c>
      <c r="Q531">
        <v>1</v>
      </c>
      <c r="X531">
        <v>0.31</v>
      </c>
      <c r="Y531">
        <v>1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6</v>
      </c>
      <c r="AG531">
        <v>0.31</v>
      </c>
      <c r="AH531">
        <v>2</v>
      </c>
      <c r="AI531">
        <v>16744557</v>
      </c>
      <c r="AJ531">
        <v>569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ROW(Source!A348)</f>
        <v>348</v>
      </c>
      <c r="B532">
        <v>16744583</v>
      </c>
      <c r="C532">
        <v>16744575</v>
      </c>
      <c r="D532">
        <v>15446300</v>
      </c>
      <c r="E532">
        <v>1</v>
      </c>
      <c r="F532">
        <v>1</v>
      </c>
      <c r="G532">
        <v>1</v>
      </c>
      <c r="H532">
        <v>1</v>
      </c>
      <c r="I532" t="s">
        <v>1437</v>
      </c>
      <c r="J532" t="s">
        <v>6</v>
      </c>
      <c r="K532" t="s">
        <v>1438</v>
      </c>
      <c r="L532">
        <v>1191</v>
      </c>
      <c r="N532">
        <v>1013</v>
      </c>
      <c r="O532" t="s">
        <v>1287</v>
      </c>
      <c r="P532" t="s">
        <v>1287</v>
      </c>
      <c r="Q532">
        <v>1</v>
      </c>
      <c r="X532">
        <v>1.1200000000000001</v>
      </c>
      <c r="Y532">
        <v>0</v>
      </c>
      <c r="Z532">
        <v>0</v>
      </c>
      <c r="AA532">
        <v>0</v>
      </c>
      <c r="AB532">
        <v>9.92</v>
      </c>
      <c r="AC532">
        <v>0</v>
      </c>
      <c r="AD532">
        <v>1</v>
      </c>
      <c r="AE532">
        <v>1</v>
      </c>
      <c r="AF532" t="s">
        <v>6</v>
      </c>
      <c r="AG532">
        <v>1.1200000000000001</v>
      </c>
      <c r="AH532">
        <v>2</v>
      </c>
      <c r="AI532">
        <v>16744580</v>
      </c>
      <c r="AJ532">
        <v>570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ROW(Source!A348)</f>
        <v>348</v>
      </c>
      <c r="B533">
        <v>16744584</v>
      </c>
      <c r="C533">
        <v>16744575</v>
      </c>
      <c r="D533">
        <v>15169942</v>
      </c>
      <c r="E533">
        <v>1</v>
      </c>
      <c r="F533">
        <v>1</v>
      </c>
      <c r="G533">
        <v>1</v>
      </c>
      <c r="H533">
        <v>3</v>
      </c>
      <c r="I533" t="s">
        <v>1644</v>
      </c>
      <c r="J533" t="s">
        <v>1645</v>
      </c>
      <c r="K533" t="s">
        <v>1310</v>
      </c>
      <c r="L533">
        <v>1346</v>
      </c>
      <c r="N533">
        <v>1009</v>
      </c>
      <c r="O533" t="s">
        <v>341</v>
      </c>
      <c r="P533" t="s">
        <v>341</v>
      </c>
      <c r="Q533">
        <v>1</v>
      </c>
      <c r="X533">
        <v>0.02</v>
      </c>
      <c r="Y533">
        <v>9.0399999999999991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0.02</v>
      </c>
      <c r="AH533">
        <v>2</v>
      </c>
      <c r="AI533">
        <v>16744581</v>
      </c>
      <c r="AJ533">
        <v>571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ROW(Source!A348)</f>
        <v>348</v>
      </c>
      <c r="B534">
        <v>16744585</v>
      </c>
      <c r="C534">
        <v>16744575</v>
      </c>
      <c r="D534">
        <v>15164559</v>
      </c>
      <c r="E534">
        <v>17</v>
      </c>
      <c r="F534">
        <v>1</v>
      </c>
      <c r="G534">
        <v>1</v>
      </c>
      <c r="H534">
        <v>3</v>
      </c>
      <c r="I534" t="s">
        <v>1334</v>
      </c>
      <c r="J534" t="s">
        <v>6</v>
      </c>
      <c r="K534" t="s">
        <v>1335</v>
      </c>
      <c r="L534">
        <v>1374</v>
      </c>
      <c r="N534">
        <v>1013</v>
      </c>
      <c r="O534" t="s">
        <v>1336</v>
      </c>
      <c r="P534" t="s">
        <v>1336</v>
      </c>
      <c r="Q534">
        <v>1</v>
      </c>
      <c r="X534">
        <v>0.22</v>
      </c>
      <c r="Y534">
        <v>1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6</v>
      </c>
      <c r="AG534">
        <v>0.22</v>
      </c>
      <c r="AH534">
        <v>2</v>
      </c>
      <c r="AI534">
        <v>16744582</v>
      </c>
      <c r="AJ534">
        <v>574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ROW(Source!A351)</f>
        <v>351</v>
      </c>
      <c r="B535">
        <v>16744602</v>
      </c>
      <c r="C535">
        <v>16744588</v>
      </c>
      <c r="D535">
        <v>15430397</v>
      </c>
      <c r="E535">
        <v>1</v>
      </c>
      <c r="F535">
        <v>1</v>
      </c>
      <c r="G535">
        <v>1</v>
      </c>
      <c r="H535">
        <v>1</v>
      </c>
      <c r="I535" t="s">
        <v>1323</v>
      </c>
      <c r="J535" t="s">
        <v>6</v>
      </c>
      <c r="K535" t="s">
        <v>1324</v>
      </c>
      <c r="L535">
        <v>1191</v>
      </c>
      <c r="N535">
        <v>1013</v>
      </c>
      <c r="O535" t="s">
        <v>1287</v>
      </c>
      <c r="P535" t="s">
        <v>1287</v>
      </c>
      <c r="Q535">
        <v>1</v>
      </c>
      <c r="X535">
        <v>8.56</v>
      </c>
      <c r="Y535">
        <v>0</v>
      </c>
      <c r="Z535">
        <v>0</v>
      </c>
      <c r="AA535">
        <v>0</v>
      </c>
      <c r="AB535">
        <v>9.4</v>
      </c>
      <c r="AC535">
        <v>0</v>
      </c>
      <c r="AD535">
        <v>1</v>
      </c>
      <c r="AE535">
        <v>1</v>
      </c>
      <c r="AF535" t="s">
        <v>6</v>
      </c>
      <c r="AG535">
        <v>8.56</v>
      </c>
      <c r="AH535">
        <v>2</v>
      </c>
      <c r="AI535">
        <v>16744589</v>
      </c>
      <c r="AJ535">
        <v>575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ROW(Source!A351)</f>
        <v>351</v>
      </c>
      <c r="B536">
        <v>16744603</v>
      </c>
      <c r="C536">
        <v>16744588</v>
      </c>
      <c r="D536">
        <v>15430395</v>
      </c>
      <c r="E536">
        <v>1</v>
      </c>
      <c r="F536">
        <v>1</v>
      </c>
      <c r="G536">
        <v>1</v>
      </c>
      <c r="H536">
        <v>1</v>
      </c>
      <c r="I536" t="s">
        <v>1293</v>
      </c>
      <c r="J536" t="s">
        <v>6</v>
      </c>
      <c r="K536" t="s">
        <v>1294</v>
      </c>
      <c r="L536">
        <v>1191</v>
      </c>
      <c r="N536">
        <v>1013</v>
      </c>
      <c r="O536" t="s">
        <v>1287</v>
      </c>
      <c r="P536" t="s">
        <v>1287</v>
      </c>
      <c r="Q536">
        <v>1</v>
      </c>
      <c r="X536">
        <v>2.27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2</v>
      </c>
      <c r="AF536" t="s">
        <v>6</v>
      </c>
      <c r="AG536">
        <v>2.27</v>
      </c>
      <c r="AH536">
        <v>2</v>
      </c>
      <c r="AI536">
        <v>16744590</v>
      </c>
      <c r="AJ536">
        <v>576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ROW(Source!A351)</f>
        <v>351</v>
      </c>
      <c r="B537">
        <v>16744604</v>
      </c>
      <c r="C537">
        <v>16744588</v>
      </c>
      <c r="D537">
        <v>15247680</v>
      </c>
      <c r="E537">
        <v>1</v>
      </c>
      <c r="F537">
        <v>1</v>
      </c>
      <c r="G537">
        <v>1</v>
      </c>
      <c r="H537">
        <v>2</v>
      </c>
      <c r="I537" t="s">
        <v>1295</v>
      </c>
      <c r="J537" t="s">
        <v>1296</v>
      </c>
      <c r="K537" t="s">
        <v>1297</v>
      </c>
      <c r="L537">
        <v>1368</v>
      </c>
      <c r="N537">
        <v>1011</v>
      </c>
      <c r="O537" t="s">
        <v>1298</v>
      </c>
      <c r="P537" t="s">
        <v>1298</v>
      </c>
      <c r="Q537">
        <v>1</v>
      </c>
      <c r="X537">
        <v>0.1</v>
      </c>
      <c r="Y537">
        <v>0</v>
      </c>
      <c r="Z537">
        <v>111.99</v>
      </c>
      <c r="AA537">
        <v>13.5</v>
      </c>
      <c r="AB537">
        <v>0</v>
      </c>
      <c r="AC537">
        <v>0</v>
      </c>
      <c r="AD537">
        <v>1</v>
      </c>
      <c r="AE537">
        <v>0</v>
      </c>
      <c r="AF537" t="s">
        <v>6</v>
      </c>
      <c r="AG537">
        <v>0.1</v>
      </c>
      <c r="AH537">
        <v>2</v>
      </c>
      <c r="AI537">
        <v>16744591</v>
      </c>
      <c r="AJ537">
        <v>577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ROW(Source!A351)</f>
        <v>351</v>
      </c>
      <c r="B538">
        <v>16744605</v>
      </c>
      <c r="C538">
        <v>16744588</v>
      </c>
      <c r="D538">
        <v>15247962</v>
      </c>
      <c r="E538">
        <v>1</v>
      </c>
      <c r="F538">
        <v>1</v>
      </c>
      <c r="G538">
        <v>1</v>
      </c>
      <c r="H538">
        <v>2</v>
      </c>
      <c r="I538" t="s">
        <v>1714</v>
      </c>
      <c r="J538" t="s">
        <v>1715</v>
      </c>
      <c r="K538" t="s">
        <v>1716</v>
      </c>
      <c r="L538">
        <v>1368</v>
      </c>
      <c r="N538">
        <v>1011</v>
      </c>
      <c r="O538" t="s">
        <v>1298</v>
      </c>
      <c r="P538" t="s">
        <v>1298</v>
      </c>
      <c r="Q538">
        <v>1</v>
      </c>
      <c r="X538">
        <v>2.0699999999999998</v>
      </c>
      <c r="Y538">
        <v>0</v>
      </c>
      <c r="Z538">
        <v>29.6</v>
      </c>
      <c r="AA538">
        <v>10.06</v>
      </c>
      <c r="AB538">
        <v>0</v>
      </c>
      <c r="AC538">
        <v>0</v>
      </c>
      <c r="AD538">
        <v>1</v>
      </c>
      <c r="AE538">
        <v>0</v>
      </c>
      <c r="AF538" t="s">
        <v>6</v>
      </c>
      <c r="AG538">
        <v>2.0699999999999998</v>
      </c>
      <c r="AH538">
        <v>2</v>
      </c>
      <c r="AI538">
        <v>16744592</v>
      </c>
      <c r="AJ538">
        <v>578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ROW(Source!A351)</f>
        <v>351</v>
      </c>
      <c r="B539">
        <v>16744606</v>
      </c>
      <c r="C539">
        <v>16744588</v>
      </c>
      <c r="D539">
        <v>15249073</v>
      </c>
      <c r="E539">
        <v>1</v>
      </c>
      <c r="F539">
        <v>1</v>
      </c>
      <c r="G539">
        <v>1</v>
      </c>
      <c r="H539">
        <v>2</v>
      </c>
      <c r="I539" t="s">
        <v>1299</v>
      </c>
      <c r="J539" t="s">
        <v>1300</v>
      </c>
      <c r="K539" t="s">
        <v>1301</v>
      </c>
      <c r="L539">
        <v>1368</v>
      </c>
      <c r="N539">
        <v>1011</v>
      </c>
      <c r="O539" t="s">
        <v>1298</v>
      </c>
      <c r="P539" t="s">
        <v>1298</v>
      </c>
      <c r="Q539">
        <v>1</v>
      </c>
      <c r="X539">
        <v>0.1</v>
      </c>
      <c r="Y539">
        <v>0</v>
      </c>
      <c r="Z539">
        <v>65.709999999999994</v>
      </c>
      <c r="AA539">
        <v>11.6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0.1</v>
      </c>
      <c r="AH539">
        <v>2</v>
      </c>
      <c r="AI539">
        <v>16744593</v>
      </c>
      <c r="AJ539">
        <v>579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ROW(Source!A351)</f>
        <v>351</v>
      </c>
      <c r="B540">
        <v>16744607</v>
      </c>
      <c r="C540">
        <v>16744588</v>
      </c>
      <c r="D540">
        <v>15249377</v>
      </c>
      <c r="E540">
        <v>1</v>
      </c>
      <c r="F540">
        <v>1</v>
      </c>
      <c r="G540">
        <v>1</v>
      </c>
      <c r="H540">
        <v>2</v>
      </c>
      <c r="I540" t="s">
        <v>1302</v>
      </c>
      <c r="J540" t="s">
        <v>1303</v>
      </c>
      <c r="K540" t="s">
        <v>1304</v>
      </c>
      <c r="L540">
        <v>1368</v>
      </c>
      <c r="N540">
        <v>1011</v>
      </c>
      <c r="O540" t="s">
        <v>1298</v>
      </c>
      <c r="P540" t="s">
        <v>1298</v>
      </c>
      <c r="Q540">
        <v>1</v>
      </c>
      <c r="X540">
        <v>1.93</v>
      </c>
      <c r="Y540">
        <v>0</v>
      </c>
      <c r="Z540">
        <v>8.1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1.93</v>
      </c>
      <c r="AH540">
        <v>2</v>
      </c>
      <c r="AI540">
        <v>16744594</v>
      </c>
      <c r="AJ540">
        <v>580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ROW(Source!A351)</f>
        <v>351</v>
      </c>
      <c r="B541">
        <v>16744608</v>
      </c>
      <c r="C541">
        <v>16744588</v>
      </c>
      <c r="D541">
        <v>15168752</v>
      </c>
      <c r="E541">
        <v>1</v>
      </c>
      <c r="F541">
        <v>1</v>
      </c>
      <c r="G541">
        <v>1</v>
      </c>
      <c r="H541">
        <v>3</v>
      </c>
      <c r="I541" t="s">
        <v>1325</v>
      </c>
      <c r="J541" t="s">
        <v>1326</v>
      </c>
      <c r="K541" t="s">
        <v>1327</v>
      </c>
      <c r="L541">
        <v>1346</v>
      </c>
      <c r="N541">
        <v>1009</v>
      </c>
      <c r="O541" t="s">
        <v>341</v>
      </c>
      <c r="P541" t="s">
        <v>341</v>
      </c>
      <c r="Q541">
        <v>1</v>
      </c>
      <c r="X541">
        <v>2.14</v>
      </c>
      <c r="Y541">
        <v>10.57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2.14</v>
      </c>
      <c r="AH541">
        <v>2</v>
      </c>
      <c r="AI541">
        <v>16744595</v>
      </c>
      <c r="AJ541">
        <v>581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ROW(Source!A351)</f>
        <v>351</v>
      </c>
      <c r="B542">
        <v>16744609</v>
      </c>
      <c r="C542">
        <v>16744588</v>
      </c>
      <c r="D542">
        <v>15169942</v>
      </c>
      <c r="E542">
        <v>1</v>
      </c>
      <c r="F542">
        <v>1</v>
      </c>
      <c r="G542">
        <v>1</v>
      </c>
      <c r="H542">
        <v>3</v>
      </c>
      <c r="I542" t="s">
        <v>1644</v>
      </c>
      <c r="J542" t="s">
        <v>1645</v>
      </c>
      <c r="K542" t="s">
        <v>1310</v>
      </c>
      <c r="L542">
        <v>1346</v>
      </c>
      <c r="N542">
        <v>1009</v>
      </c>
      <c r="O542" t="s">
        <v>341</v>
      </c>
      <c r="P542" t="s">
        <v>341</v>
      </c>
      <c r="Q542">
        <v>1</v>
      </c>
      <c r="X542">
        <v>1.25</v>
      </c>
      <c r="Y542">
        <v>9.0399999999999991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1.25</v>
      </c>
      <c r="AH542">
        <v>2</v>
      </c>
      <c r="AI542">
        <v>16744596</v>
      </c>
      <c r="AJ542">
        <v>582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ROW(Source!A351)</f>
        <v>351</v>
      </c>
      <c r="B543">
        <v>16744610</v>
      </c>
      <c r="C543">
        <v>16744588</v>
      </c>
      <c r="D543">
        <v>15170074</v>
      </c>
      <c r="E543">
        <v>1</v>
      </c>
      <c r="F543">
        <v>1</v>
      </c>
      <c r="G543">
        <v>1</v>
      </c>
      <c r="H543">
        <v>3</v>
      </c>
      <c r="I543" t="s">
        <v>1655</v>
      </c>
      <c r="J543" t="s">
        <v>1656</v>
      </c>
      <c r="K543" t="s">
        <v>1657</v>
      </c>
      <c r="L543">
        <v>1355</v>
      </c>
      <c r="N543">
        <v>1010</v>
      </c>
      <c r="O543" t="s">
        <v>843</v>
      </c>
      <c r="P543" t="s">
        <v>843</v>
      </c>
      <c r="Q543">
        <v>100</v>
      </c>
      <c r="X543">
        <v>0.3</v>
      </c>
      <c r="Y543">
        <v>86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6</v>
      </c>
      <c r="AG543">
        <v>0.3</v>
      </c>
      <c r="AH543">
        <v>2</v>
      </c>
      <c r="AI543">
        <v>16744597</v>
      </c>
      <c r="AJ543">
        <v>583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ROW(Source!A351)</f>
        <v>351</v>
      </c>
      <c r="B544">
        <v>16744611</v>
      </c>
      <c r="C544">
        <v>16744588</v>
      </c>
      <c r="D544">
        <v>15217313</v>
      </c>
      <c r="E544">
        <v>1</v>
      </c>
      <c r="F544">
        <v>1</v>
      </c>
      <c r="G544">
        <v>1</v>
      </c>
      <c r="H544">
        <v>3</v>
      </c>
      <c r="I544" t="s">
        <v>1717</v>
      </c>
      <c r="J544" t="s">
        <v>1718</v>
      </c>
      <c r="K544" t="s">
        <v>1719</v>
      </c>
      <c r="L544">
        <v>1354</v>
      </c>
      <c r="N544">
        <v>1010</v>
      </c>
      <c r="O544" t="s">
        <v>73</v>
      </c>
      <c r="P544" t="s">
        <v>73</v>
      </c>
      <c r="Q544">
        <v>1</v>
      </c>
      <c r="X544">
        <v>30</v>
      </c>
      <c r="Y544">
        <v>10.54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6</v>
      </c>
      <c r="AG544">
        <v>30</v>
      </c>
      <c r="AH544">
        <v>2</v>
      </c>
      <c r="AI544">
        <v>16744598</v>
      </c>
      <c r="AJ544">
        <v>584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ROW(Source!A351)</f>
        <v>351</v>
      </c>
      <c r="B545">
        <v>16744612</v>
      </c>
      <c r="C545">
        <v>16744588</v>
      </c>
      <c r="D545">
        <v>15219265</v>
      </c>
      <c r="E545">
        <v>1</v>
      </c>
      <c r="F545">
        <v>1</v>
      </c>
      <c r="G545">
        <v>1</v>
      </c>
      <c r="H545">
        <v>3</v>
      </c>
      <c r="I545" t="s">
        <v>1720</v>
      </c>
      <c r="J545" t="s">
        <v>1721</v>
      </c>
      <c r="K545" t="s">
        <v>1722</v>
      </c>
      <c r="L545">
        <v>1354</v>
      </c>
      <c r="N545">
        <v>1010</v>
      </c>
      <c r="O545" t="s">
        <v>73</v>
      </c>
      <c r="P545" t="s">
        <v>73</v>
      </c>
      <c r="Q545">
        <v>1</v>
      </c>
      <c r="X545">
        <v>6</v>
      </c>
      <c r="Y545">
        <v>5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6</v>
      </c>
      <c r="AG545">
        <v>6</v>
      </c>
      <c r="AH545">
        <v>2</v>
      </c>
      <c r="AI545">
        <v>16744599</v>
      </c>
      <c r="AJ545">
        <v>586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ROW(Source!A351)</f>
        <v>351</v>
      </c>
      <c r="B546">
        <v>16744613</v>
      </c>
      <c r="C546">
        <v>16744588</v>
      </c>
      <c r="D546">
        <v>15164559</v>
      </c>
      <c r="E546">
        <v>17</v>
      </c>
      <c r="F546">
        <v>1</v>
      </c>
      <c r="G546">
        <v>1</v>
      </c>
      <c r="H546">
        <v>3</v>
      </c>
      <c r="I546" t="s">
        <v>1334</v>
      </c>
      <c r="J546" t="s">
        <v>6</v>
      </c>
      <c r="K546" t="s">
        <v>1335</v>
      </c>
      <c r="L546">
        <v>1374</v>
      </c>
      <c r="N546">
        <v>1013</v>
      </c>
      <c r="O546" t="s">
        <v>1336</v>
      </c>
      <c r="P546" t="s">
        <v>1336</v>
      </c>
      <c r="Q546">
        <v>1</v>
      </c>
      <c r="X546">
        <v>1.61</v>
      </c>
      <c r="Y546">
        <v>1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6</v>
      </c>
      <c r="AG546">
        <v>1.61</v>
      </c>
      <c r="AH546">
        <v>2</v>
      </c>
      <c r="AI546">
        <v>16744600</v>
      </c>
      <c r="AJ546">
        <v>587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ROW(Source!A353)</f>
        <v>353</v>
      </c>
      <c r="B547">
        <v>16744629</v>
      </c>
      <c r="C547">
        <v>16744615</v>
      </c>
      <c r="D547">
        <v>15436556</v>
      </c>
      <c r="E547">
        <v>1</v>
      </c>
      <c r="F547">
        <v>1</v>
      </c>
      <c r="G547">
        <v>1</v>
      </c>
      <c r="H547">
        <v>1</v>
      </c>
      <c r="I547" t="s">
        <v>1490</v>
      </c>
      <c r="J547" t="s">
        <v>6</v>
      </c>
      <c r="K547" t="s">
        <v>1491</v>
      </c>
      <c r="L547">
        <v>1191</v>
      </c>
      <c r="N547">
        <v>1013</v>
      </c>
      <c r="O547" t="s">
        <v>1287</v>
      </c>
      <c r="P547" t="s">
        <v>1287</v>
      </c>
      <c r="Q547">
        <v>1</v>
      </c>
      <c r="X547">
        <v>13.41</v>
      </c>
      <c r="Y547">
        <v>0</v>
      </c>
      <c r="Z547">
        <v>0</v>
      </c>
      <c r="AA547">
        <v>0</v>
      </c>
      <c r="AB547">
        <v>9.6199999999999992</v>
      </c>
      <c r="AC547">
        <v>0</v>
      </c>
      <c r="AD547">
        <v>1</v>
      </c>
      <c r="AE547">
        <v>1</v>
      </c>
      <c r="AF547" t="s">
        <v>6</v>
      </c>
      <c r="AG547">
        <v>13.41</v>
      </c>
      <c r="AH547">
        <v>2</v>
      </c>
      <c r="AI547">
        <v>16744618</v>
      </c>
      <c r="AJ547">
        <v>588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ROW(Source!A353)</f>
        <v>353</v>
      </c>
      <c r="B548">
        <v>16744630</v>
      </c>
      <c r="C548">
        <v>16744615</v>
      </c>
      <c r="D548">
        <v>15430395</v>
      </c>
      <c r="E548">
        <v>1</v>
      </c>
      <c r="F548">
        <v>1</v>
      </c>
      <c r="G548">
        <v>1</v>
      </c>
      <c r="H548">
        <v>1</v>
      </c>
      <c r="I548" t="s">
        <v>1293</v>
      </c>
      <c r="J548" t="s">
        <v>6</v>
      </c>
      <c r="K548" t="s">
        <v>1294</v>
      </c>
      <c r="L548">
        <v>1191</v>
      </c>
      <c r="N548">
        <v>1013</v>
      </c>
      <c r="O548" t="s">
        <v>1287</v>
      </c>
      <c r="P548" t="s">
        <v>1287</v>
      </c>
      <c r="Q548">
        <v>1</v>
      </c>
      <c r="X548">
        <v>4.58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6</v>
      </c>
      <c r="AG548">
        <v>4.58</v>
      </c>
      <c r="AH548">
        <v>2</v>
      </c>
      <c r="AI548">
        <v>16744619</v>
      </c>
      <c r="AJ548">
        <v>589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ROW(Source!A353)</f>
        <v>353</v>
      </c>
      <c r="B549">
        <v>16744631</v>
      </c>
      <c r="C549">
        <v>16744615</v>
      </c>
      <c r="D549">
        <v>15247680</v>
      </c>
      <c r="E549">
        <v>1</v>
      </c>
      <c r="F549">
        <v>1</v>
      </c>
      <c r="G549">
        <v>1</v>
      </c>
      <c r="H549">
        <v>2</v>
      </c>
      <c r="I549" t="s">
        <v>1295</v>
      </c>
      <c r="J549" t="s">
        <v>1296</v>
      </c>
      <c r="K549" t="s">
        <v>1297</v>
      </c>
      <c r="L549">
        <v>1368</v>
      </c>
      <c r="N549">
        <v>1011</v>
      </c>
      <c r="O549" t="s">
        <v>1298</v>
      </c>
      <c r="P549" t="s">
        <v>1298</v>
      </c>
      <c r="Q549">
        <v>1</v>
      </c>
      <c r="X549">
        <v>0.2</v>
      </c>
      <c r="Y549">
        <v>0</v>
      </c>
      <c r="Z549">
        <v>111.99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6</v>
      </c>
      <c r="AG549">
        <v>0.2</v>
      </c>
      <c r="AH549">
        <v>2</v>
      </c>
      <c r="AI549">
        <v>16744620</v>
      </c>
      <c r="AJ549">
        <v>590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ROW(Source!A353)</f>
        <v>353</v>
      </c>
      <c r="B550">
        <v>16744632</v>
      </c>
      <c r="C550">
        <v>16744615</v>
      </c>
      <c r="D550">
        <v>15247814</v>
      </c>
      <c r="E550">
        <v>1</v>
      </c>
      <c r="F550">
        <v>1</v>
      </c>
      <c r="G550">
        <v>1</v>
      </c>
      <c r="H550">
        <v>2</v>
      </c>
      <c r="I550" t="s">
        <v>1723</v>
      </c>
      <c r="J550" t="s">
        <v>1724</v>
      </c>
      <c r="K550" t="s">
        <v>1725</v>
      </c>
      <c r="L550">
        <v>1368</v>
      </c>
      <c r="N550">
        <v>1011</v>
      </c>
      <c r="O550" t="s">
        <v>1298</v>
      </c>
      <c r="P550" t="s">
        <v>1298</v>
      </c>
      <c r="Q550">
        <v>1</v>
      </c>
      <c r="X550">
        <v>3.13</v>
      </c>
      <c r="Y550">
        <v>0</v>
      </c>
      <c r="Z550">
        <v>0.9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3.13</v>
      </c>
      <c r="AH550">
        <v>2</v>
      </c>
      <c r="AI550">
        <v>16744621</v>
      </c>
      <c r="AJ550">
        <v>591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ROW(Source!A353)</f>
        <v>353</v>
      </c>
      <c r="B551">
        <v>16744633</v>
      </c>
      <c r="C551">
        <v>16744615</v>
      </c>
      <c r="D551">
        <v>15247879</v>
      </c>
      <c r="E551">
        <v>1</v>
      </c>
      <c r="F551">
        <v>1</v>
      </c>
      <c r="G551">
        <v>1</v>
      </c>
      <c r="H551">
        <v>2</v>
      </c>
      <c r="I551" t="s">
        <v>1726</v>
      </c>
      <c r="J551" t="s">
        <v>1727</v>
      </c>
      <c r="K551" t="s">
        <v>1728</v>
      </c>
      <c r="L551">
        <v>1368</v>
      </c>
      <c r="N551">
        <v>1011</v>
      </c>
      <c r="O551" t="s">
        <v>1298</v>
      </c>
      <c r="P551" t="s">
        <v>1298</v>
      </c>
      <c r="Q551">
        <v>1</v>
      </c>
      <c r="X551">
        <v>3.13</v>
      </c>
      <c r="Y551">
        <v>0</v>
      </c>
      <c r="Z551">
        <v>3.28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3.13</v>
      </c>
      <c r="AH551">
        <v>2</v>
      </c>
      <c r="AI551">
        <v>16744622</v>
      </c>
      <c r="AJ551">
        <v>592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ROW(Source!A353)</f>
        <v>353</v>
      </c>
      <c r="B552">
        <v>16744634</v>
      </c>
      <c r="C552">
        <v>16744615</v>
      </c>
      <c r="D552">
        <v>15248014</v>
      </c>
      <c r="E552">
        <v>1</v>
      </c>
      <c r="F552">
        <v>1</v>
      </c>
      <c r="G552">
        <v>1</v>
      </c>
      <c r="H552">
        <v>2</v>
      </c>
      <c r="I552" t="s">
        <v>1729</v>
      </c>
      <c r="J552" t="s">
        <v>1730</v>
      </c>
      <c r="K552" t="s">
        <v>1731</v>
      </c>
      <c r="L552">
        <v>1368</v>
      </c>
      <c r="N552">
        <v>1011</v>
      </c>
      <c r="O552" t="s">
        <v>1298</v>
      </c>
      <c r="P552" t="s">
        <v>1298</v>
      </c>
      <c r="Q552">
        <v>1</v>
      </c>
      <c r="X552">
        <v>4.18</v>
      </c>
      <c r="Y552">
        <v>0</v>
      </c>
      <c r="Z552">
        <v>142.69999999999999</v>
      </c>
      <c r="AA552">
        <v>13.5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4.18</v>
      </c>
      <c r="AH552">
        <v>2</v>
      </c>
      <c r="AI552">
        <v>16744623</v>
      </c>
      <c r="AJ552">
        <v>593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ROW(Source!A353)</f>
        <v>353</v>
      </c>
      <c r="B553">
        <v>16744635</v>
      </c>
      <c r="C553">
        <v>16744615</v>
      </c>
      <c r="D553">
        <v>15249073</v>
      </c>
      <c r="E553">
        <v>1</v>
      </c>
      <c r="F553">
        <v>1</v>
      </c>
      <c r="G553">
        <v>1</v>
      </c>
      <c r="H553">
        <v>2</v>
      </c>
      <c r="I553" t="s">
        <v>1299</v>
      </c>
      <c r="J553" t="s">
        <v>1300</v>
      </c>
      <c r="K553" t="s">
        <v>1301</v>
      </c>
      <c r="L553">
        <v>1368</v>
      </c>
      <c r="N553">
        <v>1011</v>
      </c>
      <c r="O553" t="s">
        <v>1298</v>
      </c>
      <c r="P553" t="s">
        <v>1298</v>
      </c>
      <c r="Q553">
        <v>1</v>
      </c>
      <c r="X553">
        <v>0.2</v>
      </c>
      <c r="Y553">
        <v>0</v>
      </c>
      <c r="Z553">
        <v>65.709999999999994</v>
      </c>
      <c r="AA553">
        <v>11.6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0.2</v>
      </c>
      <c r="AH553">
        <v>2</v>
      </c>
      <c r="AI553">
        <v>16744624</v>
      </c>
      <c r="AJ553">
        <v>594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ROW(Source!A353)</f>
        <v>353</v>
      </c>
      <c r="B554">
        <v>16744636</v>
      </c>
      <c r="C554">
        <v>16744615</v>
      </c>
      <c r="D554">
        <v>15167600</v>
      </c>
      <c r="E554">
        <v>1</v>
      </c>
      <c r="F554">
        <v>1</v>
      </c>
      <c r="G554">
        <v>1</v>
      </c>
      <c r="H554">
        <v>3</v>
      </c>
      <c r="I554" t="s">
        <v>1675</v>
      </c>
      <c r="J554" t="s">
        <v>1676</v>
      </c>
      <c r="K554" t="s">
        <v>1677</v>
      </c>
      <c r="L554">
        <v>1308</v>
      </c>
      <c r="N554">
        <v>1003</v>
      </c>
      <c r="O554" t="s">
        <v>34</v>
      </c>
      <c r="P554" t="s">
        <v>34</v>
      </c>
      <c r="Q554">
        <v>100</v>
      </c>
      <c r="X554">
        <v>2.4500000000000001E-2</v>
      </c>
      <c r="Y554">
        <v>120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2.4500000000000001E-2</v>
      </c>
      <c r="AH554">
        <v>2</v>
      </c>
      <c r="AI554">
        <v>16744625</v>
      </c>
      <c r="AJ554">
        <v>595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ROW(Source!A353)</f>
        <v>353</v>
      </c>
      <c r="B555">
        <v>16744637</v>
      </c>
      <c r="C555">
        <v>16744615</v>
      </c>
      <c r="D555">
        <v>15195042</v>
      </c>
      <c r="E555">
        <v>1</v>
      </c>
      <c r="F555">
        <v>1</v>
      </c>
      <c r="G555">
        <v>1</v>
      </c>
      <c r="H555">
        <v>3</v>
      </c>
      <c r="I555" t="s">
        <v>1732</v>
      </c>
      <c r="J555" t="s">
        <v>1733</v>
      </c>
      <c r="K555" t="s">
        <v>1734</v>
      </c>
      <c r="L555">
        <v>1346</v>
      </c>
      <c r="N555">
        <v>1009</v>
      </c>
      <c r="O555" t="s">
        <v>341</v>
      </c>
      <c r="P555" t="s">
        <v>341</v>
      </c>
      <c r="Q555">
        <v>1</v>
      </c>
      <c r="X555">
        <v>0.5</v>
      </c>
      <c r="Y555">
        <v>68.05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0.5</v>
      </c>
      <c r="AH555">
        <v>2</v>
      </c>
      <c r="AI555">
        <v>16744626</v>
      </c>
      <c r="AJ555">
        <v>596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ROW(Source!A353)</f>
        <v>353</v>
      </c>
      <c r="B556">
        <v>16744638</v>
      </c>
      <c r="C556">
        <v>16744615</v>
      </c>
      <c r="D556">
        <v>15203871</v>
      </c>
      <c r="E556">
        <v>1</v>
      </c>
      <c r="F556">
        <v>1</v>
      </c>
      <c r="G556">
        <v>1</v>
      </c>
      <c r="H556">
        <v>3</v>
      </c>
      <c r="I556" t="s">
        <v>1735</v>
      </c>
      <c r="J556" t="s">
        <v>1736</v>
      </c>
      <c r="K556" t="s">
        <v>1737</v>
      </c>
      <c r="L556">
        <v>1348</v>
      </c>
      <c r="N556">
        <v>1009</v>
      </c>
      <c r="O556" t="s">
        <v>100</v>
      </c>
      <c r="P556" t="s">
        <v>100</v>
      </c>
      <c r="Q556">
        <v>1000</v>
      </c>
      <c r="X556">
        <v>2.8800000000000002E-3</v>
      </c>
      <c r="Y556">
        <v>7826.9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6</v>
      </c>
      <c r="AG556">
        <v>2.8800000000000002E-3</v>
      </c>
      <c r="AH556">
        <v>2</v>
      </c>
      <c r="AI556">
        <v>16744627</v>
      </c>
      <c r="AJ556">
        <v>597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ROW(Source!A353)</f>
        <v>353</v>
      </c>
      <c r="B557">
        <v>16744639</v>
      </c>
      <c r="C557">
        <v>16744615</v>
      </c>
      <c r="D557">
        <v>15164559</v>
      </c>
      <c r="E557">
        <v>17</v>
      </c>
      <c r="F557">
        <v>1</v>
      </c>
      <c r="G557">
        <v>1</v>
      </c>
      <c r="H557">
        <v>3</v>
      </c>
      <c r="I557" t="s">
        <v>1334</v>
      </c>
      <c r="J557" t="s">
        <v>6</v>
      </c>
      <c r="K557" t="s">
        <v>1335</v>
      </c>
      <c r="L557">
        <v>1374</v>
      </c>
      <c r="N557">
        <v>1013</v>
      </c>
      <c r="O557" t="s">
        <v>1336</v>
      </c>
      <c r="P557" t="s">
        <v>1336</v>
      </c>
      <c r="Q557">
        <v>1</v>
      </c>
      <c r="X557">
        <v>2.58</v>
      </c>
      <c r="Y557">
        <v>1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2.58</v>
      </c>
      <c r="AH557">
        <v>2</v>
      </c>
      <c r="AI557">
        <v>16744628</v>
      </c>
      <c r="AJ557">
        <v>599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ROW(Source!A389)</f>
        <v>389</v>
      </c>
      <c r="B558">
        <v>16744650</v>
      </c>
      <c r="C558">
        <v>16744641</v>
      </c>
      <c r="D558">
        <v>15435721</v>
      </c>
      <c r="E558">
        <v>1</v>
      </c>
      <c r="F558">
        <v>1</v>
      </c>
      <c r="G558">
        <v>1</v>
      </c>
      <c r="H558">
        <v>1</v>
      </c>
      <c r="I558" t="s">
        <v>1609</v>
      </c>
      <c r="J558" t="s">
        <v>6</v>
      </c>
      <c r="K558" t="s">
        <v>1610</v>
      </c>
      <c r="L558">
        <v>1191</v>
      </c>
      <c r="N558">
        <v>1013</v>
      </c>
      <c r="O558" t="s">
        <v>1287</v>
      </c>
      <c r="P558" t="s">
        <v>1287</v>
      </c>
      <c r="Q558">
        <v>1</v>
      </c>
      <c r="X558">
        <v>20.329999999999998</v>
      </c>
      <c r="Y558">
        <v>0</v>
      </c>
      <c r="Z558">
        <v>0</v>
      </c>
      <c r="AA558">
        <v>0</v>
      </c>
      <c r="AB558">
        <v>9.51</v>
      </c>
      <c r="AC558">
        <v>0</v>
      </c>
      <c r="AD558">
        <v>1</v>
      </c>
      <c r="AE558">
        <v>1</v>
      </c>
      <c r="AF558" t="s">
        <v>6</v>
      </c>
      <c r="AG558">
        <v>20.329999999999998</v>
      </c>
      <c r="AH558">
        <v>2</v>
      </c>
      <c r="AI558">
        <v>16744642</v>
      </c>
      <c r="AJ558">
        <v>600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ROW(Source!A389)</f>
        <v>389</v>
      </c>
      <c r="B559">
        <v>16744651</v>
      </c>
      <c r="C559">
        <v>16744641</v>
      </c>
      <c r="D559">
        <v>15430395</v>
      </c>
      <c r="E559">
        <v>1</v>
      </c>
      <c r="F559">
        <v>1</v>
      </c>
      <c r="G559">
        <v>1</v>
      </c>
      <c r="H559">
        <v>1</v>
      </c>
      <c r="I559" t="s">
        <v>1293</v>
      </c>
      <c r="J559" t="s">
        <v>6</v>
      </c>
      <c r="K559" t="s">
        <v>1294</v>
      </c>
      <c r="L559">
        <v>1191</v>
      </c>
      <c r="N559">
        <v>1013</v>
      </c>
      <c r="O559" t="s">
        <v>1287</v>
      </c>
      <c r="P559" t="s">
        <v>1287</v>
      </c>
      <c r="Q559">
        <v>1</v>
      </c>
      <c r="X559">
        <v>0.01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2</v>
      </c>
      <c r="AF559" t="s">
        <v>6</v>
      </c>
      <c r="AG559">
        <v>0.01</v>
      </c>
      <c r="AH559">
        <v>2</v>
      </c>
      <c r="AI559">
        <v>16744643</v>
      </c>
      <c r="AJ559">
        <v>601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ROW(Source!A389)</f>
        <v>389</v>
      </c>
      <c r="B560">
        <v>16744652</v>
      </c>
      <c r="C560">
        <v>16744641</v>
      </c>
      <c r="D560">
        <v>15247974</v>
      </c>
      <c r="E560">
        <v>1</v>
      </c>
      <c r="F560">
        <v>1</v>
      </c>
      <c r="G560">
        <v>1</v>
      </c>
      <c r="H560">
        <v>2</v>
      </c>
      <c r="I560" t="s">
        <v>1314</v>
      </c>
      <c r="J560" t="s">
        <v>1315</v>
      </c>
      <c r="K560" t="s">
        <v>1316</v>
      </c>
      <c r="L560">
        <v>1368</v>
      </c>
      <c r="N560">
        <v>1011</v>
      </c>
      <c r="O560" t="s">
        <v>1298</v>
      </c>
      <c r="P560" t="s">
        <v>1298</v>
      </c>
      <c r="Q560">
        <v>1</v>
      </c>
      <c r="X560">
        <v>0.01</v>
      </c>
      <c r="Y560">
        <v>0</v>
      </c>
      <c r="Z560">
        <v>31.26</v>
      </c>
      <c r="AA560">
        <v>13.5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0.01</v>
      </c>
      <c r="AH560">
        <v>2</v>
      </c>
      <c r="AI560">
        <v>16744644</v>
      </c>
      <c r="AJ560">
        <v>602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ROW(Source!A389)</f>
        <v>389</v>
      </c>
      <c r="B561">
        <v>16744653</v>
      </c>
      <c r="C561">
        <v>16744641</v>
      </c>
      <c r="D561">
        <v>15170076</v>
      </c>
      <c r="E561">
        <v>1</v>
      </c>
      <c r="F561">
        <v>1</v>
      </c>
      <c r="G561">
        <v>1</v>
      </c>
      <c r="H561">
        <v>3</v>
      </c>
      <c r="I561" t="s">
        <v>1633</v>
      </c>
      <c r="J561" t="s">
        <v>1634</v>
      </c>
      <c r="K561" t="s">
        <v>1635</v>
      </c>
      <c r="L561">
        <v>1356</v>
      </c>
      <c r="N561">
        <v>1010</v>
      </c>
      <c r="O561" t="s">
        <v>306</v>
      </c>
      <c r="P561" t="s">
        <v>306</v>
      </c>
      <c r="Q561">
        <v>1000</v>
      </c>
      <c r="X561">
        <v>0.4</v>
      </c>
      <c r="Y561">
        <v>180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0.4</v>
      </c>
      <c r="AH561">
        <v>2</v>
      </c>
      <c r="AI561">
        <v>16744645</v>
      </c>
      <c r="AJ561">
        <v>603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ROW(Source!A389)</f>
        <v>389</v>
      </c>
      <c r="B562">
        <v>16744654</v>
      </c>
      <c r="C562">
        <v>16744641</v>
      </c>
      <c r="D562">
        <v>15170438</v>
      </c>
      <c r="E562">
        <v>1</v>
      </c>
      <c r="F562">
        <v>1</v>
      </c>
      <c r="G562">
        <v>1</v>
      </c>
      <c r="H562">
        <v>3</v>
      </c>
      <c r="I562" t="s">
        <v>1636</v>
      </c>
      <c r="J562" t="s">
        <v>1637</v>
      </c>
      <c r="K562" t="s">
        <v>1638</v>
      </c>
      <c r="L562">
        <v>1348</v>
      </c>
      <c r="N562">
        <v>1009</v>
      </c>
      <c r="O562" t="s">
        <v>100</v>
      </c>
      <c r="P562" t="s">
        <v>100</v>
      </c>
      <c r="Q562">
        <v>1000</v>
      </c>
      <c r="X562">
        <v>1.4E-3</v>
      </c>
      <c r="Y562">
        <v>12430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6</v>
      </c>
      <c r="AG562">
        <v>1.4E-3</v>
      </c>
      <c r="AH562">
        <v>2</v>
      </c>
      <c r="AI562">
        <v>16744646</v>
      </c>
      <c r="AJ562">
        <v>604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ROW(Source!A389)</f>
        <v>389</v>
      </c>
      <c r="B563">
        <v>16744655</v>
      </c>
      <c r="C563">
        <v>16744641</v>
      </c>
      <c r="D563">
        <v>15164559</v>
      </c>
      <c r="E563">
        <v>17</v>
      </c>
      <c r="F563">
        <v>1</v>
      </c>
      <c r="G563">
        <v>1</v>
      </c>
      <c r="H563">
        <v>3</v>
      </c>
      <c r="I563" t="s">
        <v>1334</v>
      </c>
      <c r="J563" t="s">
        <v>6</v>
      </c>
      <c r="K563" t="s">
        <v>1335</v>
      </c>
      <c r="L563">
        <v>1374</v>
      </c>
      <c r="N563">
        <v>1013</v>
      </c>
      <c r="O563" t="s">
        <v>1336</v>
      </c>
      <c r="P563" t="s">
        <v>1336</v>
      </c>
      <c r="Q563">
        <v>1</v>
      </c>
      <c r="X563">
        <v>3.87</v>
      </c>
      <c r="Y563">
        <v>1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6</v>
      </c>
      <c r="AG563">
        <v>3.87</v>
      </c>
      <c r="AH563">
        <v>2</v>
      </c>
      <c r="AI563">
        <v>16744647</v>
      </c>
      <c r="AJ563">
        <v>606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ROW(Source!A391)</f>
        <v>391</v>
      </c>
      <c r="B564">
        <v>16744673</v>
      </c>
      <c r="C564">
        <v>16744657</v>
      </c>
      <c r="D564">
        <v>15446300</v>
      </c>
      <c r="E564">
        <v>1</v>
      </c>
      <c r="F564">
        <v>1</v>
      </c>
      <c r="G564">
        <v>1</v>
      </c>
      <c r="H564">
        <v>1</v>
      </c>
      <c r="I564" t="s">
        <v>1437</v>
      </c>
      <c r="J564" t="s">
        <v>6</v>
      </c>
      <c r="K564" t="s">
        <v>1438</v>
      </c>
      <c r="L564">
        <v>1191</v>
      </c>
      <c r="N564">
        <v>1013</v>
      </c>
      <c r="O564" t="s">
        <v>1287</v>
      </c>
      <c r="P564" t="s">
        <v>1287</v>
      </c>
      <c r="Q564">
        <v>1</v>
      </c>
      <c r="X564">
        <v>34.56</v>
      </c>
      <c r="Y564">
        <v>0</v>
      </c>
      <c r="Z564">
        <v>0</v>
      </c>
      <c r="AA564">
        <v>0</v>
      </c>
      <c r="AB564">
        <v>9.92</v>
      </c>
      <c r="AC564">
        <v>0</v>
      </c>
      <c r="AD564">
        <v>1</v>
      </c>
      <c r="AE564">
        <v>1</v>
      </c>
      <c r="AF564" t="s">
        <v>6</v>
      </c>
      <c r="AG564">
        <v>34.56</v>
      </c>
      <c r="AH564">
        <v>2</v>
      </c>
      <c r="AI564">
        <v>16744658</v>
      </c>
      <c r="AJ564">
        <v>607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ROW(Source!A391)</f>
        <v>391</v>
      </c>
      <c r="B565">
        <v>16744674</v>
      </c>
      <c r="C565">
        <v>16744657</v>
      </c>
      <c r="D565">
        <v>15430395</v>
      </c>
      <c r="E565">
        <v>1</v>
      </c>
      <c r="F565">
        <v>1</v>
      </c>
      <c r="G565">
        <v>1</v>
      </c>
      <c r="H565">
        <v>1</v>
      </c>
      <c r="I565" t="s">
        <v>1293</v>
      </c>
      <c r="J565" t="s">
        <v>6</v>
      </c>
      <c r="K565" t="s">
        <v>1294</v>
      </c>
      <c r="L565">
        <v>1191</v>
      </c>
      <c r="N565">
        <v>1013</v>
      </c>
      <c r="O565" t="s">
        <v>1287</v>
      </c>
      <c r="P565" t="s">
        <v>1287</v>
      </c>
      <c r="Q565">
        <v>1</v>
      </c>
      <c r="X565">
        <v>0.05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2</v>
      </c>
      <c r="AF565" t="s">
        <v>6</v>
      </c>
      <c r="AG565">
        <v>0.05</v>
      </c>
      <c r="AH565">
        <v>2</v>
      </c>
      <c r="AI565">
        <v>16744659</v>
      </c>
      <c r="AJ565">
        <v>608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ROW(Source!A391)</f>
        <v>391</v>
      </c>
      <c r="B566">
        <v>16744675</v>
      </c>
      <c r="C566">
        <v>16744657</v>
      </c>
      <c r="D566">
        <v>15247680</v>
      </c>
      <c r="E566">
        <v>1</v>
      </c>
      <c r="F566">
        <v>1</v>
      </c>
      <c r="G566">
        <v>1</v>
      </c>
      <c r="H566">
        <v>2</v>
      </c>
      <c r="I566" t="s">
        <v>1295</v>
      </c>
      <c r="J566" t="s">
        <v>1296</v>
      </c>
      <c r="K566" t="s">
        <v>1297</v>
      </c>
      <c r="L566">
        <v>1368</v>
      </c>
      <c r="N566">
        <v>1011</v>
      </c>
      <c r="O566" t="s">
        <v>1298</v>
      </c>
      <c r="P566" t="s">
        <v>1298</v>
      </c>
      <c r="Q566">
        <v>1</v>
      </c>
      <c r="X566">
        <v>0.03</v>
      </c>
      <c r="Y566">
        <v>0</v>
      </c>
      <c r="Z566">
        <v>111.99</v>
      </c>
      <c r="AA566">
        <v>13.5</v>
      </c>
      <c r="AB566">
        <v>0</v>
      </c>
      <c r="AC566">
        <v>0</v>
      </c>
      <c r="AD566">
        <v>1</v>
      </c>
      <c r="AE566">
        <v>0</v>
      </c>
      <c r="AF566" t="s">
        <v>6</v>
      </c>
      <c r="AG566">
        <v>0.03</v>
      </c>
      <c r="AH566">
        <v>2</v>
      </c>
      <c r="AI566">
        <v>16744660</v>
      </c>
      <c r="AJ566">
        <v>609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ROW(Source!A391)</f>
        <v>391</v>
      </c>
      <c r="B567">
        <v>16744676</v>
      </c>
      <c r="C567">
        <v>16744657</v>
      </c>
      <c r="D567">
        <v>15249073</v>
      </c>
      <c r="E567">
        <v>1</v>
      </c>
      <c r="F567">
        <v>1</v>
      </c>
      <c r="G567">
        <v>1</v>
      </c>
      <c r="H567">
        <v>2</v>
      </c>
      <c r="I567" t="s">
        <v>1299</v>
      </c>
      <c r="J567" t="s">
        <v>1300</v>
      </c>
      <c r="K567" t="s">
        <v>1301</v>
      </c>
      <c r="L567">
        <v>1368</v>
      </c>
      <c r="N567">
        <v>1011</v>
      </c>
      <c r="O567" t="s">
        <v>1298</v>
      </c>
      <c r="P567" t="s">
        <v>1298</v>
      </c>
      <c r="Q567">
        <v>1</v>
      </c>
      <c r="X567">
        <v>0.02</v>
      </c>
      <c r="Y567">
        <v>0</v>
      </c>
      <c r="Z567">
        <v>65.709999999999994</v>
      </c>
      <c r="AA567">
        <v>11.6</v>
      </c>
      <c r="AB567">
        <v>0</v>
      </c>
      <c r="AC567">
        <v>0</v>
      </c>
      <c r="AD567">
        <v>1</v>
      </c>
      <c r="AE567">
        <v>0</v>
      </c>
      <c r="AF567" t="s">
        <v>6</v>
      </c>
      <c r="AG567">
        <v>0.02</v>
      </c>
      <c r="AH567">
        <v>2</v>
      </c>
      <c r="AI567">
        <v>16744661</v>
      </c>
      <c r="AJ567">
        <v>610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ROW(Source!A391)</f>
        <v>391</v>
      </c>
      <c r="B568">
        <v>16744677</v>
      </c>
      <c r="C568">
        <v>16744657</v>
      </c>
      <c r="D568">
        <v>15167588</v>
      </c>
      <c r="E568">
        <v>1</v>
      </c>
      <c r="F568">
        <v>1</v>
      </c>
      <c r="G568">
        <v>1</v>
      </c>
      <c r="H568">
        <v>3</v>
      </c>
      <c r="I568" t="s">
        <v>1641</v>
      </c>
      <c r="J568" t="s">
        <v>1642</v>
      </c>
      <c r="K568" t="s">
        <v>1643</v>
      </c>
      <c r="L568">
        <v>1346</v>
      </c>
      <c r="N568">
        <v>1009</v>
      </c>
      <c r="O568" t="s">
        <v>341</v>
      </c>
      <c r="P568" t="s">
        <v>341</v>
      </c>
      <c r="Q568">
        <v>1</v>
      </c>
      <c r="X568">
        <v>0.11</v>
      </c>
      <c r="Y568">
        <v>30.4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6</v>
      </c>
      <c r="AG568">
        <v>0.11</v>
      </c>
      <c r="AH568">
        <v>2</v>
      </c>
      <c r="AI568">
        <v>16744662</v>
      </c>
      <c r="AJ568">
        <v>611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ROW(Source!A391)</f>
        <v>391</v>
      </c>
      <c r="B569">
        <v>16744678</v>
      </c>
      <c r="C569">
        <v>16744657</v>
      </c>
      <c r="D569">
        <v>15170074</v>
      </c>
      <c r="E569">
        <v>1</v>
      </c>
      <c r="F569">
        <v>1</v>
      </c>
      <c r="G569">
        <v>1</v>
      </c>
      <c r="H569">
        <v>3</v>
      </c>
      <c r="I569" t="s">
        <v>1655</v>
      </c>
      <c r="J569" t="s">
        <v>1656</v>
      </c>
      <c r="K569" t="s">
        <v>1657</v>
      </c>
      <c r="L569">
        <v>1355</v>
      </c>
      <c r="N569">
        <v>1010</v>
      </c>
      <c r="O569" t="s">
        <v>843</v>
      </c>
      <c r="P569" t="s">
        <v>843</v>
      </c>
      <c r="Q569">
        <v>100</v>
      </c>
      <c r="X569">
        <v>1.02</v>
      </c>
      <c r="Y569">
        <v>86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1.02</v>
      </c>
      <c r="AH569">
        <v>2</v>
      </c>
      <c r="AI569">
        <v>16744663</v>
      </c>
      <c r="AJ569">
        <v>612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ROW(Source!A391)</f>
        <v>391</v>
      </c>
      <c r="B570">
        <v>16744679</v>
      </c>
      <c r="C570">
        <v>16744657</v>
      </c>
      <c r="D570">
        <v>15170434</v>
      </c>
      <c r="E570">
        <v>1</v>
      </c>
      <c r="F570">
        <v>1</v>
      </c>
      <c r="G570">
        <v>1</v>
      </c>
      <c r="H570">
        <v>3</v>
      </c>
      <c r="I570" t="s">
        <v>1658</v>
      </c>
      <c r="J570" t="s">
        <v>1659</v>
      </c>
      <c r="K570" t="s">
        <v>1660</v>
      </c>
      <c r="L570">
        <v>1348</v>
      </c>
      <c r="N570">
        <v>1009</v>
      </c>
      <c r="O570" t="s">
        <v>100</v>
      </c>
      <c r="P570" t="s">
        <v>100</v>
      </c>
      <c r="Q570">
        <v>1000</v>
      </c>
      <c r="X570">
        <v>1.6000000000000001E-4</v>
      </c>
      <c r="Y570">
        <v>29800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1.6000000000000001E-4</v>
      </c>
      <c r="AH570">
        <v>2</v>
      </c>
      <c r="AI570">
        <v>16744664</v>
      </c>
      <c r="AJ570">
        <v>613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ROW(Source!A391)</f>
        <v>391</v>
      </c>
      <c r="B571">
        <v>16744680</v>
      </c>
      <c r="C571">
        <v>16744657</v>
      </c>
      <c r="D571">
        <v>15170438</v>
      </c>
      <c r="E571">
        <v>1</v>
      </c>
      <c r="F571">
        <v>1</v>
      </c>
      <c r="G571">
        <v>1</v>
      </c>
      <c r="H571">
        <v>3</v>
      </c>
      <c r="I571" t="s">
        <v>1636</v>
      </c>
      <c r="J571" t="s">
        <v>1637</v>
      </c>
      <c r="K571" t="s">
        <v>1638</v>
      </c>
      <c r="L571">
        <v>1348</v>
      </c>
      <c r="N571">
        <v>1009</v>
      </c>
      <c r="O571" t="s">
        <v>100</v>
      </c>
      <c r="P571" t="s">
        <v>100</v>
      </c>
      <c r="Q571">
        <v>1000</v>
      </c>
      <c r="X571">
        <v>2.9999999999999997E-4</v>
      </c>
      <c r="Y571">
        <v>12430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2.9999999999999997E-4</v>
      </c>
      <c r="AH571">
        <v>2</v>
      </c>
      <c r="AI571">
        <v>16744665</v>
      </c>
      <c r="AJ571">
        <v>614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ROW(Source!A391)</f>
        <v>391</v>
      </c>
      <c r="B572">
        <v>16744681</v>
      </c>
      <c r="C572">
        <v>16744657</v>
      </c>
      <c r="D572">
        <v>15164559</v>
      </c>
      <c r="E572">
        <v>17</v>
      </c>
      <c r="F572">
        <v>1</v>
      </c>
      <c r="G572">
        <v>1</v>
      </c>
      <c r="H572">
        <v>3</v>
      </c>
      <c r="I572" t="s">
        <v>1334</v>
      </c>
      <c r="J572" t="s">
        <v>6</v>
      </c>
      <c r="K572" t="s">
        <v>1335</v>
      </c>
      <c r="L572">
        <v>1374</v>
      </c>
      <c r="N572">
        <v>1013</v>
      </c>
      <c r="O572" t="s">
        <v>1336</v>
      </c>
      <c r="P572" t="s">
        <v>1336</v>
      </c>
      <c r="Q572">
        <v>1</v>
      </c>
      <c r="X572">
        <v>6.86</v>
      </c>
      <c r="Y572">
        <v>1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6.86</v>
      </c>
      <c r="AH572">
        <v>2</v>
      </c>
      <c r="AI572">
        <v>16744666</v>
      </c>
      <c r="AJ572">
        <v>617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ROW(Source!A394)</f>
        <v>394</v>
      </c>
      <c r="B573">
        <v>16744698</v>
      </c>
      <c r="C573">
        <v>16744685</v>
      </c>
      <c r="D573">
        <v>15446300</v>
      </c>
      <c r="E573">
        <v>1</v>
      </c>
      <c r="F573">
        <v>1</v>
      </c>
      <c r="G573">
        <v>1</v>
      </c>
      <c r="H573">
        <v>1</v>
      </c>
      <c r="I573" t="s">
        <v>1437</v>
      </c>
      <c r="J573" t="s">
        <v>6</v>
      </c>
      <c r="K573" t="s">
        <v>1438</v>
      </c>
      <c r="L573">
        <v>1191</v>
      </c>
      <c r="N573">
        <v>1013</v>
      </c>
      <c r="O573" t="s">
        <v>1287</v>
      </c>
      <c r="P573" t="s">
        <v>1287</v>
      </c>
      <c r="Q573">
        <v>1</v>
      </c>
      <c r="X573">
        <v>60.88</v>
      </c>
      <c r="Y573">
        <v>0</v>
      </c>
      <c r="Z573">
        <v>0</v>
      </c>
      <c r="AA573">
        <v>0</v>
      </c>
      <c r="AB573">
        <v>9.92</v>
      </c>
      <c r="AC573">
        <v>0</v>
      </c>
      <c r="AD573">
        <v>1</v>
      </c>
      <c r="AE573">
        <v>1</v>
      </c>
      <c r="AF573" t="s">
        <v>6</v>
      </c>
      <c r="AG573">
        <v>60.88</v>
      </c>
      <c r="AH573">
        <v>2</v>
      </c>
      <c r="AI573">
        <v>16744686</v>
      </c>
      <c r="AJ573">
        <v>618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ROW(Source!A394)</f>
        <v>394</v>
      </c>
      <c r="B574">
        <v>16744699</v>
      </c>
      <c r="C574">
        <v>16744685</v>
      </c>
      <c r="D574">
        <v>15430395</v>
      </c>
      <c r="E574">
        <v>1</v>
      </c>
      <c r="F574">
        <v>1</v>
      </c>
      <c r="G574">
        <v>1</v>
      </c>
      <c r="H574">
        <v>1</v>
      </c>
      <c r="I574" t="s">
        <v>1293</v>
      </c>
      <c r="J574" t="s">
        <v>6</v>
      </c>
      <c r="K574" t="s">
        <v>1294</v>
      </c>
      <c r="L574">
        <v>1191</v>
      </c>
      <c r="N574">
        <v>1013</v>
      </c>
      <c r="O574" t="s">
        <v>1287</v>
      </c>
      <c r="P574" t="s">
        <v>1287</v>
      </c>
      <c r="Q574">
        <v>1</v>
      </c>
      <c r="X574">
        <v>0.16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2</v>
      </c>
      <c r="AF574" t="s">
        <v>6</v>
      </c>
      <c r="AG574">
        <v>0.16</v>
      </c>
      <c r="AH574">
        <v>2</v>
      </c>
      <c r="AI574">
        <v>16744687</v>
      </c>
      <c r="AJ574">
        <v>619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ROW(Source!A394)</f>
        <v>394</v>
      </c>
      <c r="B575">
        <v>16744700</v>
      </c>
      <c r="C575">
        <v>16744685</v>
      </c>
      <c r="D575">
        <v>15247680</v>
      </c>
      <c r="E575">
        <v>1</v>
      </c>
      <c r="F575">
        <v>1</v>
      </c>
      <c r="G575">
        <v>1</v>
      </c>
      <c r="H575">
        <v>2</v>
      </c>
      <c r="I575" t="s">
        <v>1295</v>
      </c>
      <c r="J575" t="s">
        <v>1296</v>
      </c>
      <c r="K575" t="s">
        <v>1297</v>
      </c>
      <c r="L575">
        <v>1368</v>
      </c>
      <c r="N575">
        <v>1011</v>
      </c>
      <c r="O575" t="s">
        <v>1298</v>
      </c>
      <c r="P575" t="s">
        <v>1298</v>
      </c>
      <c r="Q575">
        <v>1</v>
      </c>
      <c r="X575">
        <v>0.08</v>
      </c>
      <c r="Y575">
        <v>0</v>
      </c>
      <c r="Z575">
        <v>111.99</v>
      </c>
      <c r="AA575">
        <v>13.5</v>
      </c>
      <c r="AB575">
        <v>0</v>
      </c>
      <c r="AC575">
        <v>0</v>
      </c>
      <c r="AD575">
        <v>1</v>
      </c>
      <c r="AE575">
        <v>0</v>
      </c>
      <c r="AF575" t="s">
        <v>6</v>
      </c>
      <c r="AG575">
        <v>0.08</v>
      </c>
      <c r="AH575">
        <v>2</v>
      </c>
      <c r="AI575">
        <v>16744688</v>
      </c>
      <c r="AJ575">
        <v>620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ROW(Source!A394)</f>
        <v>394</v>
      </c>
      <c r="B576">
        <v>16744701</v>
      </c>
      <c r="C576">
        <v>16744685</v>
      </c>
      <c r="D576">
        <v>15249073</v>
      </c>
      <c r="E576">
        <v>1</v>
      </c>
      <c r="F576">
        <v>1</v>
      </c>
      <c r="G576">
        <v>1</v>
      </c>
      <c r="H576">
        <v>2</v>
      </c>
      <c r="I576" t="s">
        <v>1299</v>
      </c>
      <c r="J576" t="s">
        <v>1300</v>
      </c>
      <c r="K576" t="s">
        <v>1301</v>
      </c>
      <c r="L576">
        <v>1368</v>
      </c>
      <c r="N576">
        <v>1011</v>
      </c>
      <c r="O576" t="s">
        <v>1298</v>
      </c>
      <c r="P576" t="s">
        <v>1298</v>
      </c>
      <c r="Q576">
        <v>1</v>
      </c>
      <c r="X576">
        <v>0.08</v>
      </c>
      <c r="Y576">
        <v>0</v>
      </c>
      <c r="Z576">
        <v>65.709999999999994</v>
      </c>
      <c r="AA576">
        <v>11.6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0.08</v>
      </c>
      <c r="AH576">
        <v>2</v>
      </c>
      <c r="AI576">
        <v>16744689</v>
      </c>
      <c r="AJ576">
        <v>621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ROW(Source!A394)</f>
        <v>394</v>
      </c>
      <c r="B577">
        <v>16744702</v>
      </c>
      <c r="C577">
        <v>16744685</v>
      </c>
      <c r="D577">
        <v>15249377</v>
      </c>
      <c r="E577">
        <v>1</v>
      </c>
      <c r="F577">
        <v>1</v>
      </c>
      <c r="G577">
        <v>1</v>
      </c>
      <c r="H577">
        <v>2</v>
      </c>
      <c r="I577" t="s">
        <v>1302</v>
      </c>
      <c r="J577" t="s">
        <v>1303</v>
      </c>
      <c r="K577" t="s">
        <v>1304</v>
      </c>
      <c r="L577">
        <v>1368</v>
      </c>
      <c r="N577">
        <v>1011</v>
      </c>
      <c r="O577" t="s">
        <v>1298</v>
      </c>
      <c r="P577" t="s">
        <v>1298</v>
      </c>
      <c r="Q577">
        <v>1</v>
      </c>
      <c r="X577">
        <v>2.97</v>
      </c>
      <c r="Y577">
        <v>0</v>
      </c>
      <c r="Z577">
        <v>8.1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2.97</v>
      </c>
      <c r="AH577">
        <v>2</v>
      </c>
      <c r="AI577">
        <v>16744690</v>
      </c>
      <c r="AJ577">
        <v>622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ROW(Source!A394)</f>
        <v>394</v>
      </c>
      <c r="B578">
        <v>16744703</v>
      </c>
      <c r="C578">
        <v>16744685</v>
      </c>
      <c r="D578">
        <v>15168752</v>
      </c>
      <c r="E578">
        <v>1</v>
      </c>
      <c r="F578">
        <v>1</v>
      </c>
      <c r="G578">
        <v>1</v>
      </c>
      <c r="H578">
        <v>3</v>
      </c>
      <c r="I578" t="s">
        <v>1325</v>
      </c>
      <c r="J578" t="s">
        <v>1326</v>
      </c>
      <c r="K578" t="s">
        <v>1327</v>
      </c>
      <c r="L578">
        <v>1346</v>
      </c>
      <c r="N578">
        <v>1009</v>
      </c>
      <c r="O578" t="s">
        <v>341</v>
      </c>
      <c r="P578" t="s">
        <v>341</v>
      </c>
      <c r="Q578">
        <v>1</v>
      </c>
      <c r="X578">
        <v>2.4E-2</v>
      </c>
      <c r="Y578">
        <v>10.57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2.4E-2</v>
      </c>
      <c r="AH578">
        <v>2</v>
      </c>
      <c r="AI578">
        <v>16744691</v>
      </c>
      <c r="AJ578">
        <v>623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ROW(Source!A394)</f>
        <v>394</v>
      </c>
      <c r="B579">
        <v>16744704</v>
      </c>
      <c r="C579">
        <v>16744685</v>
      </c>
      <c r="D579">
        <v>15169942</v>
      </c>
      <c r="E579">
        <v>1</v>
      </c>
      <c r="F579">
        <v>1</v>
      </c>
      <c r="G579">
        <v>1</v>
      </c>
      <c r="H579">
        <v>3</v>
      </c>
      <c r="I579" t="s">
        <v>1644</v>
      </c>
      <c r="J579" t="s">
        <v>1645</v>
      </c>
      <c r="K579" t="s">
        <v>1310</v>
      </c>
      <c r="L579">
        <v>1346</v>
      </c>
      <c r="N579">
        <v>1009</v>
      </c>
      <c r="O579" t="s">
        <v>341</v>
      </c>
      <c r="P579" t="s">
        <v>341</v>
      </c>
      <c r="Q579">
        <v>1</v>
      </c>
      <c r="X579">
        <v>2.73</v>
      </c>
      <c r="Y579">
        <v>9.0399999999999991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2.73</v>
      </c>
      <c r="AH579">
        <v>2</v>
      </c>
      <c r="AI579">
        <v>16744692</v>
      </c>
      <c r="AJ579">
        <v>624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ROW(Source!A394)</f>
        <v>394</v>
      </c>
      <c r="B580">
        <v>16744705</v>
      </c>
      <c r="C580">
        <v>16744685</v>
      </c>
      <c r="D580">
        <v>15191488</v>
      </c>
      <c r="E580">
        <v>1</v>
      </c>
      <c r="F580">
        <v>1</v>
      </c>
      <c r="G580">
        <v>1</v>
      </c>
      <c r="H580">
        <v>3</v>
      </c>
      <c r="I580" t="s">
        <v>1646</v>
      </c>
      <c r="J580" t="s">
        <v>1647</v>
      </c>
      <c r="K580" t="s">
        <v>1648</v>
      </c>
      <c r="L580">
        <v>1348</v>
      </c>
      <c r="N580">
        <v>1009</v>
      </c>
      <c r="O580" t="s">
        <v>100</v>
      </c>
      <c r="P580" t="s">
        <v>100</v>
      </c>
      <c r="Q580">
        <v>1000</v>
      </c>
      <c r="X580">
        <v>1.4E-2</v>
      </c>
      <c r="Y580">
        <v>5000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1.4E-2</v>
      </c>
      <c r="AH580">
        <v>2</v>
      </c>
      <c r="AI580">
        <v>16744693</v>
      </c>
      <c r="AJ580">
        <v>625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ROW(Source!A394)</f>
        <v>394</v>
      </c>
      <c r="B581">
        <v>16744706</v>
      </c>
      <c r="C581">
        <v>16744685</v>
      </c>
      <c r="D581">
        <v>15203871</v>
      </c>
      <c r="E581">
        <v>1</v>
      </c>
      <c r="F581">
        <v>1</v>
      </c>
      <c r="G581">
        <v>1</v>
      </c>
      <c r="H581">
        <v>3</v>
      </c>
      <c r="I581" t="s">
        <v>1735</v>
      </c>
      <c r="J581" t="s">
        <v>1736</v>
      </c>
      <c r="K581" t="s">
        <v>1737</v>
      </c>
      <c r="L581">
        <v>1348</v>
      </c>
      <c r="N581">
        <v>1009</v>
      </c>
      <c r="O581" t="s">
        <v>100</v>
      </c>
      <c r="P581" t="s">
        <v>100</v>
      </c>
      <c r="Q581">
        <v>1000</v>
      </c>
      <c r="X581">
        <v>2.7000000000000001E-3</v>
      </c>
      <c r="Y581">
        <v>7826.9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6</v>
      </c>
      <c r="AG581">
        <v>2.7000000000000001E-3</v>
      </c>
      <c r="AH581">
        <v>2</v>
      </c>
      <c r="AI581">
        <v>16744694</v>
      </c>
      <c r="AJ581">
        <v>626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ROW(Source!A394)</f>
        <v>394</v>
      </c>
      <c r="B582">
        <v>16744707</v>
      </c>
      <c r="C582">
        <v>16744685</v>
      </c>
      <c r="D582">
        <v>15164559</v>
      </c>
      <c r="E582">
        <v>17</v>
      </c>
      <c r="F582">
        <v>1</v>
      </c>
      <c r="G582">
        <v>1</v>
      </c>
      <c r="H582">
        <v>3</v>
      </c>
      <c r="I582" t="s">
        <v>1334</v>
      </c>
      <c r="J582" t="s">
        <v>6</v>
      </c>
      <c r="K582" t="s">
        <v>1335</v>
      </c>
      <c r="L582">
        <v>1374</v>
      </c>
      <c r="N582">
        <v>1013</v>
      </c>
      <c r="O582" t="s">
        <v>1336</v>
      </c>
      <c r="P582" t="s">
        <v>1336</v>
      </c>
      <c r="Q582">
        <v>1</v>
      </c>
      <c r="X582">
        <v>12.08</v>
      </c>
      <c r="Y582">
        <v>1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6</v>
      </c>
      <c r="AG582">
        <v>12.08</v>
      </c>
      <c r="AH582">
        <v>2</v>
      </c>
      <c r="AI582">
        <v>16744695</v>
      </c>
      <c r="AJ582">
        <v>628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ROW(Source!A396)</f>
        <v>396</v>
      </c>
      <c r="B583">
        <v>16744719</v>
      </c>
      <c r="C583">
        <v>16744709</v>
      </c>
      <c r="D583">
        <v>15430397</v>
      </c>
      <c r="E583">
        <v>1</v>
      </c>
      <c r="F583">
        <v>1</v>
      </c>
      <c r="G583">
        <v>1</v>
      </c>
      <c r="H583">
        <v>1</v>
      </c>
      <c r="I583" t="s">
        <v>1323</v>
      </c>
      <c r="J583" t="s">
        <v>6</v>
      </c>
      <c r="K583" t="s">
        <v>1324</v>
      </c>
      <c r="L583">
        <v>1191</v>
      </c>
      <c r="N583">
        <v>1013</v>
      </c>
      <c r="O583" t="s">
        <v>1287</v>
      </c>
      <c r="P583" t="s">
        <v>1287</v>
      </c>
      <c r="Q583">
        <v>1</v>
      </c>
      <c r="X583">
        <v>3.76</v>
      </c>
      <c r="Y583">
        <v>0</v>
      </c>
      <c r="Z583">
        <v>0</v>
      </c>
      <c r="AA583">
        <v>0</v>
      </c>
      <c r="AB583">
        <v>9.4</v>
      </c>
      <c r="AC583">
        <v>0</v>
      </c>
      <c r="AD583">
        <v>1</v>
      </c>
      <c r="AE583">
        <v>1</v>
      </c>
      <c r="AF583" t="s">
        <v>6</v>
      </c>
      <c r="AG583">
        <v>3.76</v>
      </c>
      <c r="AH583">
        <v>2</v>
      </c>
      <c r="AI583">
        <v>16744710</v>
      </c>
      <c r="AJ583">
        <v>629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ROW(Source!A396)</f>
        <v>396</v>
      </c>
      <c r="B584">
        <v>16744720</v>
      </c>
      <c r="C584">
        <v>16744709</v>
      </c>
      <c r="D584">
        <v>15430395</v>
      </c>
      <c r="E584">
        <v>1</v>
      </c>
      <c r="F584">
        <v>1</v>
      </c>
      <c r="G584">
        <v>1</v>
      </c>
      <c r="H584">
        <v>1</v>
      </c>
      <c r="I584" t="s">
        <v>1293</v>
      </c>
      <c r="J584" t="s">
        <v>6</v>
      </c>
      <c r="K584" t="s">
        <v>1294</v>
      </c>
      <c r="L584">
        <v>1191</v>
      </c>
      <c r="N584">
        <v>1013</v>
      </c>
      <c r="O584" t="s">
        <v>1287</v>
      </c>
      <c r="P584" t="s">
        <v>1287</v>
      </c>
      <c r="Q584">
        <v>1</v>
      </c>
      <c r="X584">
        <v>0.02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2</v>
      </c>
      <c r="AF584" t="s">
        <v>6</v>
      </c>
      <c r="AG584">
        <v>0.02</v>
      </c>
      <c r="AH584">
        <v>2</v>
      </c>
      <c r="AI584">
        <v>16744711</v>
      </c>
      <c r="AJ584">
        <v>630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ROW(Source!A396)</f>
        <v>396</v>
      </c>
      <c r="B585">
        <v>16744721</v>
      </c>
      <c r="C585">
        <v>16744709</v>
      </c>
      <c r="D585">
        <v>15247680</v>
      </c>
      <c r="E585">
        <v>1</v>
      </c>
      <c r="F585">
        <v>1</v>
      </c>
      <c r="G585">
        <v>1</v>
      </c>
      <c r="H585">
        <v>2</v>
      </c>
      <c r="I585" t="s">
        <v>1295</v>
      </c>
      <c r="J585" t="s">
        <v>1296</v>
      </c>
      <c r="K585" t="s">
        <v>1297</v>
      </c>
      <c r="L585">
        <v>1368</v>
      </c>
      <c r="N585">
        <v>1011</v>
      </c>
      <c r="O585" t="s">
        <v>1298</v>
      </c>
      <c r="P585" t="s">
        <v>1298</v>
      </c>
      <c r="Q585">
        <v>1</v>
      </c>
      <c r="X585">
        <v>0.01</v>
      </c>
      <c r="Y585">
        <v>0</v>
      </c>
      <c r="Z585">
        <v>111.99</v>
      </c>
      <c r="AA585">
        <v>13.5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0.01</v>
      </c>
      <c r="AH585">
        <v>2</v>
      </c>
      <c r="AI585">
        <v>16744712</v>
      </c>
      <c r="AJ585">
        <v>631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ROW(Source!A396)</f>
        <v>396</v>
      </c>
      <c r="B586">
        <v>16744722</v>
      </c>
      <c r="C586">
        <v>16744709</v>
      </c>
      <c r="D586">
        <v>15249073</v>
      </c>
      <c r="E586">
        <v>1</v>
      </c>
      <c r="F586">
        <v>1</v>
      </c>
      <c r="G586">
        <v>1</v>
      </c>
      <c r="H586">
        <v>2</v>
      </c>
      <c r="I586" t="s">
        <v>1299</v>
      </c>
      <c r="J586" t="s">
        <v>1300</v>
      </c>
      <c r="K586" t="s">
        <v>1301</v>
      </c>
      <c r="L586">
        <v>1368</v>
      </c>
      <c r="N586">
        <v>1011</v>
      </c>
      <c r="O586" t="s">
        <v>1298</v>
      </c>
      <c r="P586" t="s">
        <v>1298</v>
      </c>
      <c r="Q586">
        <v>1</v>
      </c>
      <c r="X586">
        <v>0.01</v>
      </c>
      <c r="Y586">
        <v>0</v>
      </c>
      <c r="Z586">
        <v>65.709999999999994</v>
      </c>
      <c r="AA586">
        <v>11.6</v>
      </c>
      <c r="AB586">
        <v>0</v>
      </c>
      <c r="AC586">
        <v>0</v>
      </c>
      <c r="AD586">
        <v>1</v>
      </c>
      <c r="AE586">
        <v>0</v>
      </c>
      <c r="AF586" t="s">
        <v>6</v>
      </c>
      <c r="AG586">
        <v>0.01</v>
      </c>
      <c r="AH586">
        <v>2</v>
      </c>
      <c r="AI586">
        <v>16744713</v>
      </c>
      <c r="AJ586">
        <v>632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ROW(Source!A396)</f>
        <v>396</v>
      </c>
      <c r="B587">
        <v>16744723</v>
      </c>
      <c r="C587">
        <v>16744709</v>
      </c>
      <c r="D587">
        <v>15167588</v>
      </c>
      <c r="E587">
        <v>1</v>
      </c>
      <c r="F587">
        <v>1</v>
      </c>
      <c r="G587">
        <v>1</v>
      </c>
      <c r="H587">
        <v>3</v>
      </c>
      <c r="I587" t="s">
        <v>1641</v>
      </c>
      <c r="J587" t="s">
        <v>1642</v>
      </c>
      <c r="K587" t="s">
        <v>1643</v>
      </c>
      <c r="L587">
        <v>1346</v>
      </c>
      <c r="N587">
        <v>1009</v>
      </c>
      <c r="O587" t="s">
        <v>341</v>
      </c>
      <c r="P587" t="s">
        <v>341</v>
      </c>
      <c r="Q587">
        <v>1</v>
      </c>
      <c r="X587">
        <v>0.16</v>
      </c>
      <c r="Y587">
        <v>30.4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6</v>
      </c>
      <c r="AG587">
        <v>0.16</v>
      </c>
      <c r="AH587">
        <v>2</v>
      </c>
      <c r="AI587">
        <v>16744714</v>
      </c>
      <c r="AJ587">
        <v>633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ROW(Source!A396)</f>
        <v>396</v>
      </c>
      <c r="B588">
        <v>16744724</v>
      </c>
      <c r="C588">
        <v>16744709</v>
      </c>
      <c r="D588">
        <v>15167600</v>
      </c>
      <c r="E588">
        <v>1</v>
      </c>
      <c r="F588">
        <v>1</v>
      </c>
      <c r="G588">
        <v>1</v>
      </c>
      <c r="H588">
        <v>3</v>
      </c>
      <c r="I588" t="s">
        <v>1675</v>
      </c>
      <c r="J588" t="s">
        <v>1676</v>
      </c>
      <c r="K588" t="s">
        <v>1677</v>
      </c>
      <c r="L588">
        <v>1308</v>
      </c>
      <c r="N588">
        <v>1003</v>
      </c>
      <c r="O588" t="s">
        <v>34</v>
      </c>
      <c r="P588" t="s">
        <v>34</v>
      </c>
      <c r="Q588">
        <v>100</v>
      </c>
      <c r="X588">
        <v>5.5E-2</v>
      </c>
      <c r="Y588">
        <v>120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6</v>
      </c>
      <c r="AG588">
        <v>5.5E-2</v>
      </c>
      <c r="AH588">
        <v>2</v>
      </c>
      <c r="AI588">
        <v>16744715</v>
      </c>
      <c r="AJ588">
        <v>634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ROW(Source!A396)</f>
        <v>396</v>
      </c>
      <c r="B589">
        <v>16744725</v>
      </c>
      <c r="C589">
        <v>16744709</v>
      </c>
      <c r="D589">
        <v>15203834</v>
      </c>
      <c r="E589">
        <v>1</v>
      </c>
      <c r="F589">
        <v>1</v>
      </c>
      <c r="G589">
        <v>1</v>
      </c>
      <c r="H589">
        <v>3</v>
      </c>
      <c r="I589" t="s">
        <v>1667</v>
      </c>
      <c r="J589" t="s">
        <v>1668</v>
      </c>
      <c r="K589" t="s">
        <v>403</v>
      </c>
      <c r="L589">
        <v>1346</v>
      </c>
      <c r="N589">
        <v>1009</v>
      </c>
      <c r="O589" t="s">
        <v>341</v>
      </c>
      <c r="P589" t="s">
        <v>341</v>
      </c>
      <c r="Q589">
        <v>1</v>
      </c>
      <c r="X589">
        <v>0.05</v>
      </c>
      <c r="Y589">
        <v>28.6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0.05</v>
      </c>
      <c r="AH589">
        <v>2</v>
      </c>
      <c r="AI589">
        <v>16744716</v>
      </c>
      <c r="AJ589">
        <v>635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ROW(Source!A396)</f>
        <v>396</v>
      </c>
      <c r="B590">
        <v>16744726</v>
      </c>
      <c r="C590">
        <v>16744709</v>
      </c>
      <c r="D590">
        <v>15164559</v>
      </c>
      <c r="E590">
        <v>17</v>
      </c>
      <c r="F590">
        <v>1</v>
      </c>
      <c r="G590">
        <v>1</v>
      </c>
      <c r="H590">
        <v>3</v>
      </c>
      <c r="I590" t="s">
        <v>1334</v>
      </c>
      <c r="J590" t="s">
        <v>6</v>
      </c>
      <c r="K590" t="s">
        <v>1335</v>
      </c>
      <c r="L590">
        <v>1374</v>
      </c>
      <c r="N590">
        <v>1013</v>
      </c>
      <c r="O590" t="s">
        <v>1336</v>
      </c>
      <c r="P590" t="s">
        <v>1336</v>
      </c>
      <c r="Q590">
        <v>1</v>
      </c>
      <c r="X590">
        <v>0.71</v>
      </c>
      <c r="Y590">
        <v>1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0.71</v>
      </c>
      <c r="AH590">
        <v>2</v>
      </c>
      <c r="AI590">
        <v>16744717</v>
      </c>
      <c r="AJ590">
        <v>637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ROW(Source!A398)</f>
        <v>398</v>
      </c>
      <c r="B591">
        <v>16744733</v>
      </c>
      <c r="C591">
        <v>16744728</v>
      </c>
      <c r="D591">
        <v>15438286</v>
      </c>
      <c r="E591">
        <v>1</v>
      </c>
      <c r="F591">
        <v>1</v>
      </c>
      <c r="G591">
        <v>1</v>
      </c>
      <c r="H591">
        <v>1</v>
      </c>
      <c r="I591" t="s">
        <v>1451</v>
      </c>
      <c r="J591" t="s">
        <v>6</v>
      </c>
      <c r="K591" t="s">
        <v>1452</v>
      </c>
      <c r="L591">
        <v>1191</v>
      </c>
      <c r="N591">
        <v>1013</v>
      </c>
      <c r="O591" t="s">
        <v>1287</v>
      </c>
      <c r="P591" t="s">
        <v>1287</v>
      </c>
      <c r="Q591">
        <v>1</v>
      </c>
      <c r="X591">
        <v>15.2</v>
      </c>
      <c r="Y591">
        <v>0</v>
      </c>
      <c r="Z591">
        <v>0</v>
      </c>
      <c r="AA591">
        <v>0</v>
      </c>
      <c r="AB591">
        <v>9.18</v>
      </c>
      <c r="AC591">
        <v>0</v>
      </c>
      <c r="AD591">
        <v>1</v>
      </c>
      <c r="AE591">
        <v>1</v>
      </c>
      <c r="AF591" t="s">
        <v>6</v>
      </c>
      <c r="AG591">
        <v>15.2</v>
      </c>
      <c r="AH591">
        <v>2</v>
      </c>
      <c r="AI591">
        <v>16744729</v>
      </c>
      <c r="AJ591">
        <v>638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ROW(Source!A398)</f>
        <v>398</v>
      </c>
      <c r="B592">
        <v>16744734</v>
      </c>
      <c r="C592">
        <v>16744728</v>
      </c>
      <c r="D592">
        <v>15170155</v>
      </c>
      <c r="E592">
        <v>1</v>
      </c>
      <c r="F592">
        <v>1</v>
      </c>
      <c r="G592">
        <v>1</v>
      </c>
      <c r="H592">
        <v>3</v>
      </c>
      <c r="I592" t="s">
        <v>1661</v>
      </c>
      <c r="J592" t="s">
        <v>1662</v>
      </c>
      <c r="K592" t="s">
        <v>1663</v>
      </c>
      <c r="L592">
        <v>1355</v>
      </c>
      <c r="N592">
        <v>1010</v>
      </c>
      <c r="O592" t="s">
        <v>843</v>
      </c>
      <c r="P592" t="s">
        <v>843</v>
      </c>
      <c r="Q592">
        <v>100</v>
      </c>
      <c r="X592">
        <v>1.75</v>
      </c>
      <c r="Y592">
        <v>8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6</v>
      </c>
      <c r="AG592">
        <v>1.75</v>
      </c>
      <c r="AH592">
        <v>2</v>
      </c>
      <c r="AI592">
        <v>16744730</v>
      </c>
      <c r="AJ592">
        <v>639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ROW(Source!A398)</f>
        <v>398</v>
      </c>
      <c r="B593">
        <v>16744735</v>
      </c>
      <c r="C593">
        <v>16744728</v>
      </c>
      <c r="D593">
        <v>15164559</v>
      </c>
      <c r="E593">
        <v>17</v>
      </c>
      <c r="F593">
        <v>1</v>
      </c>
      <c r="G593">
        <v>1</v>
      </c>
      <c r="H593">
        <v>3</v>
      </c>
      <c r="I593" t="s">
        <v>1334</v>
      </c>
      <c r="J593" t="s">
        <v>6</v>
      </c>
      <c r="K593" t="s">
        <v>1335</v>
      </c>
      <c r="L593">
        <v>1374</v>
      </c>
      <c r="N593">
        <v>1013</v>
      </c>
      <c r="O593" t="s">
        <v>1336</v>
      </c>
      <c r="P593" t="s">
        <v>1336</v>
      </c>
      <c r="Q593">
        <v>1</v>
      </c>
      <c r="X593">
        <v>2.79</v>
      </c>
      <c r="Y593">
        <v>1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6</v>
      </c>
      <c r="AG593">
        <v>2.79</v>
      </c>
      <c r="AH593">
        <v>2</v>
      </c>
      <c r="AI593">
        <v>16744732</v>
      </c>
      <c r="AJ593">
        <v>641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ROW(Source!A400)</f>
        <v>400</v>
      </c>
      <c r="B594">
        <v>16744749</v>
      </c>
      <c r="C594">
        <v>16744737</v>
      </c>
      <c r="D594">
        <v>15430397</v>
      </c>
      <c r="E594">
        <v>1</v>
      </c>
      <c r="F594">
        <v>1</v>
      </c>
      <c r="G594">
        <v>1</v>
      </c>
      <c r="H594">
        <v>1</v>
      </c>
      <c r="I594" t="s">
        <v>1323</v>
      </c>
      <c r="J594" t="s">
        <v>6</v>
      </c>
      <c r="K594" t="s">
        <v>1324</v>
      </c>
      <c r="L594">
        <v>1191</v>
      </c>
      <c r="N594">
        <v>1013</v>
      </c>
      <c r="O594" t="s">
        <v>1287</v>
      </c>
      <c r="P594" t="s">
        <v>1287</v>
      </c>
      <c r="Q594">
        <v>1</v>
      </c>
      <c r="X594">
        <v>6.29</v>
      </c>
      <c r="Y594">
        <v>0</v>
      </c>
      <c r="Z594">
        <v>0</v>
      </c>
      <c r="AA594">
        <v>0</v>
      </c>
      <c r="AB594">
        <v>9.4</v>
      </c>
      <c r="AC594">
        <v>0</v>
      </c>
      <c r="AD594">
        <v>1</v>
      </c>
      <c r="AE594">
        <v>1</v>
      </c>
      <c r="AF594" t="s">
        <v>6</v>
      </c>
      <c r="AG594">
        <v>6.29</v>
      </c>
      <c r="AH594">
        <v>2</v>
      </c>
      <c r="AI594">
        <v>16744738</v>
      </c>
      <c r="AJ594">
        <v>642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ROW(Source!A400)</f>
        <v>400</v>
      </c>
      <c r="B595">
        <v>16744750</v>
      </c>
      <c r="C595">
        <v>16744737</v>
      </c>
      <c r="D595">
        <v>15430395</v>
      </c>
      <c r="E595">
        <v>1</v>
      </c>
      <c r="F595">
        <v>1</v>
      </c>
      <c r="G595">
        <v>1</v>
      </c>
      <c r="H595">
        <v>1</v>
      </c>
      <c r="I595" t="s">
        <v>1293</v>
      </c>
      <c r="J595" t="s">
        <v>6</v>
      </c>
      <c r="K595" t="s">
        <v>1294</v>
      </c>
      <c r="L595">
        <v>1191</v>
      </c>
      <c r="N595">
        <v>1013</v>
      </c>
      <c r="O595" t="s">
        <v>1287</v>
      </c>
      <c r="P595" t="s">
        <v>1287</v>
      </c>
      <c r="Q595">
        <v>1</v>
      </c>
      <c r="X595">
        <v>0.06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2</v>
      </c>
      <c r="AF595" t="s">
        <v>6</v>
      </c>
      <c r="AG595">
        <v>0.06</v>
      </c>
      <c r="AH595">
        <v>2</v>
      </c>
      <c r="AI595">
        <v>16744739</v>
      </c>
      <c r="AJ595">
        <v>643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ROW(Source!A400)</f>
        <v>400</v>
      </c>
      <c r="B596">
        <v>16744751</v>
      </c>
      <c r="C596">
        <v>16744737</v>
      </c>
      <c r="D596">
        <v>15247680</v>
      </c>
      <c r="E596">
        <v>1</v>
      </c>
      <c r="F596">
        <v>1</v>
      </c>
      <c r="G596">
        <v>1</v>
      </c>
      <c r="H596">
        <v>2</v>
      </c>
      <c r="I596" t="s">
        <v>1295</v>
      </c>
      <c r="J596" t="s">
        <v>1296</v>
      </c>
      <c r="K596" t="s">
        <v>1297</v>
      </c>
      <c r="L596">
        <v>1368</v>
      </c>
      <c r="N596">
        <v>1011</v>
      </c>
      <c r="O596" t="s">
        <v>1298</v>
      </c>
      <c r="P596" t="s">
        <v>1298</v>
      </c>
      <c r="Q596">
        <v>1</v>
      </c>
      <c r="X596">
        <v>0.03</v>
      </c>
      <c r="Y596">
        <v>0</v>
      </c>
      <c r="Z596">
        <v>111.99</v>
      </c>
      <c r="AA596">
        <v>13.5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0.03</v>
      </c>
      <c r="AH596">
        <v>2</v>
      </c>
      <c r="AI596">
        <v>16744740</v>
      </c>
      <c r="AJ596">
        <v>644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ROW(Source!A400)</f>
        <v>400</v>
      </c>
      <c r="B597">
        <v>16744752</v>
      </c>
      <c r="C597">
        <v>16744737</v>
      </c>
      <c r="D597">
        <v>15249073</v>
      </c>
      <c r="E597">
        <v>1</v>
      </c>
      <c r="F597">
        <v>1</v>
      </c>
      <c r="G597">
        <v>1</v>
      </c>
      <c r="H597">
        <v>2</v>
      </c>
      <c r="I597" t="s">
        <v>1299</v>
      </c>
      <c r="J597" t="s">
        <v>1300</v>
      </c>
      <c r="K597" t="s">
        <v>1301</v>
      </c>
      <c r="L597">
        <v>1368</v>
      </c>
      <c r="N597">
        <v>1011</v>
      </c>
      <c r="O597" t="s">
        <v>1298</v>
      </c>
      <c r="P597" t="s">
        <v>1298</v>
      </c>
      <c r="Q597">
        <v>1</v>
      </c>
      <c r="X597">
        <v>0.03</v>
      </c>
      <c r="Y597">
        <v>0</v>
      </c>
      <c r="Z597">
        <v>65.709999999999994</v>
      </c>
      <c r="AA597">
        <v>11.6</v>
      </c>
      <c r="AB597">
        <v>0</v>
      </c>
      <c r="AC597">
        <v>0</v>
      </c>
      <c r="AD597">
        <v>1</v>
      </c>
      <c r="AE597">
        <v>0</v>
      </c>
      <c r="AF597" t="s">
        <v>6</v>
      </c>
      <c r="AG597">
        <v>0.03</v>
      </c>
      <c r="AH597">
        <v>2</v>
      </c>
      <c r="AI597">
        <v>16744741</v>
      </c>
      <c r="AJ597">
        <v>645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ROW(Source!A400)</f>
        <v>400</v>
      </c>
      <c r="B598">
        <v>16744753</v>
      </c>
      <c r="C598">
        <v>16744737</v>
      </c>
      <c r="D598">
        <v>15167588</v>
      </c>
      <c r="E598">
        <v>1</v>
      </c>
      <c r="F598">
        <v>1</v>
      </c>
      <c r="G598">
        <v>1</v>
      </c>
      <c r="H598">
        <v>3</v>
      </c>
      <c r="I598" t="s">
        <v>1641</v>
      </c>
      <c r="J598" t="s">
        <v>1642</v>
      </c>
      <c r="K598" t="s">
        <v>1643</v>
      </c>
      <c r="L598">
        <v>1346</v>
      </c>
      <c r="N598">
        <v>1009</v>
      </c>
      <c r="O598" t="s">
        <v>341</v>
      </c>
      <c r="P598" t="s">
        <v>341</v>
      </c>
      <c r="Q598">
        <v>1</v>
      </c>
      <c r="X598">
        <v>0.32</v>
      </c>
      <c r="Y598">
        <v>30.4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6</v>
      </c>
      <c r="AG598">
        <v>0.32</v>
      </c>
      <c r="AH598">
        <v>2</v>
      </c>
      <c r="AI598">
        <v>16744742</v>
      </c>
      <c r="AJ598">
        <v>646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ROW(Source!A400)</f>
        <v>400</v>
      </c>
      <c r="B599">
        <v>16744754</v>
      </c>
      <c r="C599">
        <v>16744737</v>
      </c>
      <c r="D599">
        <v>15167867</v>
      </c>
      <c r="E599">
        <v>1</v>
      </c>
      <c r="F599">
        <v>1</v>
      </c>
      <c r="G599">
        <v>1</v>
      </c>
      <c r="H599">
        <v>3</v>
      </c>
      <c r="I599" t="s">
        <v>1664</v>
      </c>
      <c r="J599" t="s">
        <v>1665</v>
      </c>
      <c r="K599" t="s">
        <v>1666</v>
      </c>
      <c r="L599">
        <v>1348</v>
      </c>
      <c r="N599">
        <v>1009</v>
      </c>
      <c r="O599" t="s">
        <v>100</v>
      </c>
      <c r="P599" t="s">
        <v>100</v>
      </c>
      <c r="Q599">
        <v>1000</v>
      </c>
      <c r="X599">
        <v>1.0499999999999999E-3</v>
      </c>
      <c r="Y599">
        <v>1820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6</v>
      </c>
      <c r="AG599">
        <v>1.0499999999999999E-3</v>
      </c>
      <c r="AH599">
        <v>2</v>
      </c>
      <c r="AI599">
        <v>16744743</v>
      </c>
      <c r="AJ599">
        <v>647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ROW(Source!A400)</f>
        <v>400</v>
      </c>
      <c r="B600">
        <v>16744755</v>
      </c>
      <c r="C600">
        <v>16744737</v>
      </c>
      <c r="D600">
        <v>15203834</v>
      </c>
      <c r="E600">
        <v>1</v>
      </c>
      <c r="F600">
        <v>1</v>
      </c>
      <c r="G600">
        <v>1</v>
      </c>
      <c r="H600">
        <v>3</v>
      </c>
      <c r="I600" t="s">
        <v>1667</v>
      </c>
      <c r="J600" t="s">
        <v>1668</v>
      </c>
      <c r="K600" t="s">
        <v>403</v>
      </c>
      <c r="L600">
        <v>1346</v>
      </c>
      <c r="N600">
        <v>1009</v>
      </c>
      <c r="O600" t="s">
        <v>341</v>
      </c>
      <c r="P600" t="s">
        <v>341</v>
      </c>
      <c r="Q600">
        <v>1</v>
      </c>
      <c r="X600">
        <v>0.02</v>
      </c>
      <c r="Y600">
        <v>28.6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6</v>
      </c>
      <c r="AG600">
        <v>0.02</v>
      </c>
      <c r="AH600">
        <v>2</v>
      </c>
      <c r="AI600">
        <v>16744744</v>
      </c>
      <c r="AJ600">
        <v>648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ROW(Source!A400)</f>
        <v>400</v>
      </c>
      <c r="B601">
        <v>16744756</v>
      </c>
      <c r="C601">
        <v>16744737</v>
      </c>
      <c r="D601">
        <v>15217529</v>
      </c>
      <c r="E601">
        <v>1</v>
      </c>
      <c r="F601">
        <v>1</v>
      </c>
      <c r="G601">
        <v>1</v>
      </c>
      <c r="H601">
        <v>3</v>
      </c>
      <c r="I601" t="s">
        <v>1738</v>
      </c>
      <c r="J601" t="s">
        <v>1739</v>
      </c>
      <c r="K601" t="s">
        <v>1740</v>
      </c>
      <c r="L601">
        <v>1355</v>
      </c>
      <c r="N601">
        <v>1010</v>
      </c>
      <c r="O601" t="s">
        <v>843</v>
      </c>
      <c r="P601" t="s">
        <v>843</v>
      </c>
      <c r="Q601">
        <v>100</v>
      </c>
      <c r="X601">
        <v>0.05</v>
      </c>
      <c r="Y601">
        <v>143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6</v>
      </c>
      <c r="AG601">
        <v>0.05</v>
      </c>
      <c r="AH601">
        <v>2</v>
      </c>
      <c r="AI601">
        <v>16744745</v>
      </c>
      <c r="AJ601">
        <v>649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ROW(Source!A400)</f>
        <v>400</v>
      </c>
      <c r="B602">
        <v>16744757</v>
      </c>
      <c r="C602">
        <v>16744737</v>
      </c>
      <c r="D602">
        <v>15217579</v>
      </c>
      <c r="E602">
        <v>1</v>
      </c>
      <c r="F602">
        <v>1</v>
      </c>
      <c r="G602">
        <v>1</v>
      </c>
      <c r="H602">
        <v>3</v>
      </c>
      <c r="I602" t="s">
        <v>1741</v>
      </c>
      <c r="J602" t="s">
        <v>1742</v>
      </c>
      <c r="K602" t="s">
        <v>1743</v>
      </c>
      <c r="L602">
        <v>1356</v>
      </c>
      <c r="N602">
        <v>1010</v>
      </c>
      <c r="O602" t="s">
        <v>306</v>
      </c>
      <c r="P602" t="s">
        <v>306</v>
      </c>
      <c r="Q602">
        <v>1000</v>
      </c>
      <c r="X602">
        <v>1.2200000000000001E-2</v>
      </c>
      <c r="Y602">
        <v>176.21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6</v>
      </c>
      <c r="AG602">
        <v>1.2200000000000001E-2</v>
      </c>
      <c r="AH602">
        <v>2</v>
      </c>
      <c r="AI602">
        <v>16744746</v>
      </c>
      <c r="AJ602">
        <v>650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ROW(Source!A400)</f>
        <v>400</v>
      </c>
      <c r="B603">
        <v>16744758</v>
      </c>
      <c r="C603">
        <v>16744737</v>
      </c>
      <c r="D603">
        <v>15164559</v>
      </c>
      <c r="E603">
        <v>17</v>
      </c>
      <c r="F603">
        <v>1</v>
      </c>
      <c r="G603">
        <v>1</v>
      </c>
      <c r="H603">
        <v>3</v>
      </c>
      <c r="I603" t="s">
        <v>1334</v>
      </c>
      <c r="J603" t="s">
        <v>6</v>
      </c>
      <c r="K603" t="s">
        <v>1335</v>
      </c>
      <c r="L603">
        <v>1374</v>
      </c>
      <c r="N603">
        <v>1013</v>
      </c>
      <c r="O603" t="s">
        <v>1336</v>
      </c>
      <c r="P603" t="s">
        <v>1336</v>
      </c>
      <c r="Q603">
        <v>1</v>
      </c>
      <c r="X603">
        <v>1.18</v>
      </c>
      <c r="Y603">
        <v>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6</v>
      </c>
      <c r="AG603">
        <v>1.18</v>
      </c>
      <c r="AH603">
        <v>2</v>
      </c>
      <c r="AI603">
        <v>16744748</v>
      </c>
      <c r="AJ603">
        <v>652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ROW(Source!A402)</f>
        <v>402</v>
      </c>
      <c r="B604">
        <v>16744774</v>
      </c>
      <c r="C604">
        <v>16744760</v>
      </c>
      <c r="D604">
        <v>15430397</v>
      </c>
      <c r="E604">
        <v>1</v>
      </c>
      <c r="F604">
        <v>1</v>
      </c>
      <c r="G604">
        <v>1</v>
      </c>
      <c r="H604">
        <v>1</v>
      </c>
      <c r="I604" t="s">
        <v>1323</v>
      </c>
      <c r="J604" t="s">
        <v>6</v>
      </c>
      <c r="K604" t="s">
        <v>1324</v>
      </c>
      <c r="L604">
        <v>1191</v>
      </c>
      <c r="N604">
        <v>1013</v>
      </c>
      <c r="O604" t="s">
        <v>1287</v>
      </c>
      <c r="P604" t="s">
        <v>1287</v>
      </c>
      <c r="Q604">
        <v>1</v>
      </c>
      <c r="X604">
        <v>8.56</v>
      </c>
      <c r="Y604">
        <v>0</v>
      </c>
      <c r="Z604">
        <v>0</v>
      </c>
      <c r="AA604">
        <v>0</v>
      </c>
      <c r="AB604">
        <v>9.4</v>
      </c>
      <c r="AC604">
        <v>0</v>
      </c>
      <c r="AD604">
        <v>1</v>
      </c>
      <c r="AE604">
        <v>1</v>
      </c>
      <c r="AF604" t="s">
        <v>6</v>
      </c>
      <c r="AG604">
        <v>8.56</v>
      </c>
      <c r="AH604">
        <v>2</v>
      </c>
      <c r="AI604">
        <v>16744761</v>
      </c>
      <c r="AJ604">
        <v>653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ROW(Source!A402)</f>
        <v>402</v>
      </c>
      <c r="B605">
        <v>16744775</v>
      </c>
      <c r="C605">
        <v>16744760</v>
      </c>
      <c r="D605">
        <v>15430395</v>
      </c>
      <c r="E605">
        <v>1</v>
      </c>
      <c r="F605">
        <v>1</v>
      </c>
      <c r="G605">
        <v>1</v>
      </c>
      <c r="H605">
        <v>1</v>
      </c>
      <c r="I605" t="s">
        <v>1293</v>
      </c>
      <c r="J605" t="s">
        <v>6</v>
      </c>
      <c r="K605" t="s">
        <v>1294</v>
      </c>
      <c r="L605">
        <v>1191</v>
      </c>
      <c r="N605">
        <v>1013</v>
      </c>
      <c r="O605" t="s">
        <v>1287</v>
      </c>
      <c r="P605" t="s">
        <v>1287</v>
      </c>
      <c r="Q605">
        <v>1</v>
      </c>
      <c r="X605">
        <v>2.27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2</v>
      </c>
      <c r="AF605" t="s">
        <v>6</v>
      </c>
      <c r="AG605">
        <v>2.27</v>
      </c>
      <c r="AH605">
        <v>2</v>
      </c>
      <c r="AI605">
        <v>16744762</v>
      </c>
      <c r="AJ605">
        <v>654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ROW(Source!A402)</f>
        <v>402</v>
      </c>
      <c r="B606">
        <v>16744776</v>
      </c>
      <c r="C606">
        <v>16744760</v>
      </c>
      <c r="D606">
        <v>15247680</v>
      </c>
      <c r="E606">
        <v>1</v>
      </c>
      <c r="F606">
        <v>1</v>
      </c>
      <c r="G606">
        <v>1</v>
      </c>
      <c r="H606">
        <v>2</v>
      </c>
      <c r="I606" t="s">
        <v>1295</v>
      </c>
      <c r="J606" t="s">
        <v>1296</v>
      </c>
      <c r="K606" t="s">
        <v>1297</v>
      </c>
      <c r="L606">
        <v>1368</v>
      </c>
      <c r="N606">
        <v>1011</v>
      </c>
      <c r="O606" t="s">
        <v>1298</v>
      </c>
      <c r="P606" t="s">
        <v>1298</v>
      </c>
      <c r="Q606">
        <v>1</v>
      </c>
      <c r="X606">
        <v>0.1</v>
      </c>
      <c r="Y606">
        <v>0</v>
      </c>
      <c r="Z606">
        <v>111.99</v>
      </c>
      <c r="AA606">
        <v>13.5</v>
      </c>
      <c r="AB606">
        <v>0</v>
      </c>
      <c r="AC606">
        <v>0</v>
      </c>
      <c r="AD606">
        <v>1</v>
      </c>
      <c r="AE606">
        <v>0</v>
      </c>
      <c r="AF606" t="s">
        <v>6</v>
      </c>
      <c r="AG606">
        <v>0.1</v>
      </c>
      <c r="AH606">
        <v>2</v>
      </c>
      <c r="AI606">
        <v>16744763</v>
      </c>
      <c r="AJ606">
        <v>655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ROW(Source!A402)</f>
        <v>402</v>
      </c>
      <c r="B607">
        <v>16744777</v>
      </c>
      <c r="C607">
        <v>16744760</v>
      </c>
      <c r="D607">
        <v>15247962</v>
      </c>
      <c r="E607">
        <v>1</v>
      </c>
      <c r="F607">
        <v>1</v>
      </c>
      <c r="G607">
        <v>1</v>
      </c>
      <c r="H607">
        <v>2</v>
      </c>
      <c r="I607" t="s">
        <v>1714</v>
      </c>
      <c r="J607" t="s">
        <v>1715</v>
      </c>
      <c r="K607" t="s">
        <v>1716</v>
      </c>
      <c r="L607">
        <v>1368</v>
      </c>
      <c r="N607">
        <v>1011</v>
      </c>
      <c r="O607" t="s">
        <v>1298</v>
      </c>
      <c r="P607" t="s">
        <v>1298</v>
      </c>
      <c r="Q607">
        <v>1</v>
      </c>
      <c r="X607">
        <v>2.0699999999999998</v>
      </c>
      <c r="Y607">
        <v>0</v>
      </c>
      <c r="Z607">
        <v>29.6</v>
      </c>
      <c r="AA607">
        <v>10.06</v>
      </c>
      <c r="AB607">
        <v>0</v>
      </c>
      <c r="AC607">
        <v>0</v>
      </c>
      <c r="AD607">
        <v>1</v>
      </c>
      <c r="AE607">
        <v>0</v>
      </c>
      <c r="AF607" t="s">
        <v>6</v>
      </c>
      <c r="AG607">
        <v>2.0699999999999998</v>
      </c>
      <c r="AH607">
        <v>2</v>
      </c>
      <c r="AI607">
        <v>16744764</v>
      </c>
      <c r="AJ607">
        <v>656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ROW(Source!A402)</f>
        <v>402</v>
      </c>
      <c r="B608">
        <v>16744778</v>
      </c>
      <c r="C608">
        <v>16744760</v>
      </c>
      <c r="D608">
        <v>15249073</v>
      </c>
      <c r="E608">
        <v>1</v>
      </c>
      <c r="F608">
        <v>1</v>
      </c>
      <c r="G608">
        <v>1</v>
      </c>
      <c r="H608">
        <v>2</v>
      </c>
      <c r="I608" t="s">
        <v>1299</v>
      </c>
      <c r="J608" t="s">
        <v>1300</v>
      </c>
      <c r="K608" t="s">
        <v>1301</v>
      </c>
      <c r="L608">
        <v>1368</v>
      </c>
      <c r="N608">
        <v>1011</v>
      </c>
      <c r="O608" t="s">
        <v>1298</v>
      </c>
      <c r="P608" t="s">
        <v>1298</v>
      </c>
      <c r="Q608">
        <v>1</v>
      </c>
      <c r="X608">
        <v>0.1</v>
      </c>
      <c r="Y608">
        <v>0</v>
      </c>
      <c r="Z608">
        <v>65.709999999999994</v>
      </c>
      <c r="AA608">
        <v>11.6</v>
      </c>
      <c r="AB608">
        <v>0</v>
      </c>
      <c r="AC608">
        <v>0</v>
      </c>
      <c r="AD608">
        <v>1</v>
      </c>
      <c r="AE608">
        <v>0</v>
      </c>
      <c r="AF608" t="s">
        <v>6</v>
      </c>
      <c r="AG608">
        <v>0.1</v>
      </c>
      <c r="AH608">
        <v>2</v>
      </c>
      <c r="AI608">
        <v>16744765</v>
      </c>
      <c r="AJ608">
        <v>657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ROW(Source!A402)</f>
        <v>402</v>
      </c>
      <c r="B609">
        <v>16744779</v>
      </c>
      <c r="C609">
        <v>16744760</v>
      </c>
      <c r="D609">
        <v>15249377</v>
      </c>
      <c r="E609">
        <v>1</v>
      </c>
      <c r="F609">
        <v>1</v>
      </c>
      <c r="G609">
        <v>1</v>
      </c>
      <c r="H609">
        <v>2</v>
      </c>
      <c r="I609" t="s">
        <v>1302</v>
      </c>
      <c r="J609" t="s">
        <v>1303</v>
      </c>
      <c r="K609" t="s">
        <v>1304</v>
      </c>
      <c r="L609">
        <v>1368</v>
      </c>
      <c r="N609">
        <v>1011</v>
      </c>
      <c r="O609" t="s">
        <v>1298</v>
      </c>
      <c r="P609" t="s">
        <v>1298</v>
      </c>
      <c r="Q609">
        <v>1</v>
      </c>
      <c r="X609">
        <v>1.93</v>
      </c>
      <c r="Y609">
        <v>0</v>
      </c>
      <c r="Z609">
        <v>8.1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6</v>
      </c>
      <c r="AG609">
        <v>1.93</v>
      </c>
      <c r="AH609">
        <v>2</v>
      </c>
      <c r="AI609">
        <v>16744766</v>
      </c>
      <c r="AJ609">
        <v>658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ROW(Source!A402)</f>
        <v>402</v>
      </c>
      <c r="B610">
        <v>16744780</v>
      </c>
      <c r="C610">
        <v>16744760</v>
      </c>
      <c r="D610">
        <v>15168752</v>
      </c>
      <c r="E610">
        <v>1</v>
      </c>
      <c r="F610">
        <v>1</v>
      </c>
      <c r="G610">
        <v>1</v>
      </c>
      <c r="H610">
        <v>3</v>
      </c>
      <c r="I610" t="s">
        <v>1325</v>
      </c>
      <c r="J610" t="s">
        <v>1326</v>
      </c>
      <c r="K610" t="s">
        <v>1327</v>
      </c>
      <c r="L610">
        <v>1346</v>
      </c>
      <c r="N610">
        <v>1009</v>
      </c>
      <c r="O610" t="s">
        <v>341</v>
      </c>
      <c r="P610" t="s">
        <v>341</v>
      </c>
      <c r="Q610">
        <v>1</v>
      </c>
      <c r="X610">
        <v>2.14</v>
      </c>
      <c r="Y610">
        <v>10.57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6</v>
      </c>
      <c r="AG610">
        <v>2.14</v>
      </c>
      <c r="AH610">
        <v>2</v>
      </c>
      <c r="AI610">
        <v>16744767</v>
      </c>
      <c r="AJ610">
        <v>659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ROW(Source!A402)</f>
        <v>402</v>
      </c>
      <c r="B611">
        <v>16744781</v>
      </c>
      <c r="C611">
        <v>16744760</v>
      </c>
      <c r="D611">
        <v>15169942</v>
      </c>
      <c r="E611">
        <v>1</v>
      </c>
      <c r="F611">
        <v>1</v>
      </c>
      <c r="G611">
        <v>1</v>
      </c>
      <c r="H611">
        <v>3</v>
      </c>
      <c r="I611" t="s">
        <v>1644</v>
      </c>
      <c r="J611" t="s">
        <v>1645</v>
      </c>
      <c r="K611" t="s">
        <v>1310</v>
      </c>
      <c r="L611">
        <v>1346</v>
      </c>
      <c r="N611">
        <v>1009</v>
      </c>
      <c r="O611" t="s">
        <v>341</v>
      </c>
      <c r="P611" t="s">
        <v>341</v>
      </c>
      <c r="Q611">
        <v>1</v>
      </c>
      <c r="X611">
        <v>1.25</v>
      </c>
      <c r="Y611">
        <v>9.0399999999999991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6</v>
      </c>
      <c r="AG611">
        <v>1.25</v>
      </c>
      <c r="AH611">
        <v>2</v>
      </c>
      <c r="AI611">
        <v>16744768</v>
      </c>
      <c r="AJ611">
        <v>660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ROW(Source!A402)</f>
        <v>402</v>
      </c>
      <c r="B612">
        <v>16744782</v>
      </c>
      <c r="C612">
        <v>16744760</v>
      </c>
      <c r="D612">
        <v>15170074</v>
      </c>
      <c r="E612">
        <v>1</v>
      </c>
      <c r="F612">
        <v>1</v>
      </c>
      <c r="G612">
        <v>1</v>
      </c>
      <c r="H612">
        <v>3</v>
      </c>
      <c r="I612" t="s">
        <v>1655</v>
      </c>
      <c r="J612" t="s">
        <v>1656</v>
      </c>
      <c r="K612" t="s">
        <v>1657</v>
      </c>
      <c r="L612">
        <v>1355</v>
      </c>
      <c r="N612">
        <v>1010</v>
      </c>
      <c r="O612" t="s">
        <v>843</v>
      </c>
      <c r="P612" t="s">
        <v>843</v>
      </c>
      <c r="Q612">
        <v>100</v>
      </c>
      <c r="X612">
        <v>0.3</v>
      </c>
      <c r="Y612">
        <v>86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0.3</v>
      </c>
      <c r="AH612">
        <v>2</v>
      </c>
      <c r="AI612">
        <v>16744769</v>
      </c>
      <c r="AJ612">
        <v>661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ROW(Source!A402)</f>
        <v>402</v>
      </c>
      <c r="B613">
        <v>16744783</v>
      </c>
      <c r="C613">
        <v>16744760</v>
      </c>
      <c r="D613">
        <v>15217313</v>
      </c>
      <c r="E613">
        <v>1</v>
      </c>
      <c r="F613">
        <v>1</v>
      </c>
      <c r="G613">
        <v>1</v>
      </c>
      <c r="H613">
        <v>3</v>
      </c>
      <c r="I613" t="s">
        <v>1717</v>
      </c>
      <c r="J613" t="s">
        <v>1718</v>
      </c>
      <c r="K613" t="s">
        <v>1719</v>
      </c>
      <c r="L613">
        <v>1354</v>
      </c>
      <c r="N613">
        <v>1010</v>
      </c>
      <c r="O613" t="s">
        <v>73</v>
      </c>
      <c r="P613" t="s">
        <v>73</v>
      </c>
      <c r="Q613">
        <v>1</v>
      </c>
      <c r="X613">
        <v>30</v>
      </c>
      <c r="Y613">
        <v>10.54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30</v>
      </c>
      <c r="AH613">
        <v>2</v>
      </c>
      <c r="AI613">
        <v>16744770</v>
      </c>
      <c r="AJ613">
        <v>662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ROW(Source!A402)</f>
        <v>402</v>
      </c>
      <c r="B614">
        <v>16744784</v>
      </c>
      <c r="C614">
        <v>16744760</v>
      </c>
      <c r="D614">
        <v>15219265</v>
      </c>
      <c r="E614">
        <v>1</v>
      </c>
      <c r="F614">
        <v>1</v>
      </c>
      <c r="G614">
        <v>1</v>
      </c>
      <c r="H614">
        <v>3</v>
      </c>
      <c r="I614" t="s">
        <v>1720</v>
      </c>
      <c r="J614" t="s">
        <v>1721</v>
      </c>
      <c r="K614" t="s">
        <v>1722</v>
      </c>
      <c r="L614">
        <v>1354</v>
      </c>
      <c r="N614">
        <v>1010</v>
      </c>
      <c r="O614" t="s">
        <v>73</v>
      </c>
      <c r="P614" t="s">
        <v>73</v>
      </c>
      <c r="Q614">
        <v>1</v>
      </c>
      <c r="X614">
        <v>6</v>
      </c>
      <c r="Y614">
        <v>5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6</v>
      </c>
      <c r="AH614">
        <v>2</v>
      </c>
      <c r="AI614">
        <v>16744772</v>
      </c>
      <c r="AJ614">
        <v>664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ROW(Source!A402)</f>
        <v>402</v>
      </c>
      <c r="B615">
        <v>16744785</v>
      </c>
      <c r="C615">
        <v>16744760</v>
      </c>
      <c r="D615">
        <v>15164559</v>
      </c>
      <c r="E615">
        <v>17</v>
      </c>
      <c r="F615">
        <v>1</v>
      </c>
      <c r="G615">
        <v>1</v>
      </c>
      <c r="H615">
        <v>3</v>
      </c>
      <c r="I615" t="s">
        <v>1334</v>
      </c>
      <c r="J615" t="s">
        <v>6</v>
      </c>
      <c r="K615" t="s">
        <v>1335</v>
      </c>
      <c r="L615">
        <v>1374</v>
      </c>
      <c r="N615">
        <v>1013</v>
      </c>
      <c r="O615" t="s">
        <v>1336</v>
      </c>
      <c r="P615" t="s">
        <v>1336</v>
      </c>
      <c r="Q615">
        <v>1</v>
      </c>
      <c r="X615">
        <v>1.61</v>
      </c>
      <c r="Y615">
        <v>1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6</v>
      </c>
      <c r="AG615">
        <v>1.61</v>
      </c>
      <c r="AH615">
        <v>2</v>
      </c>
      <c r="AI615">
        <v>16744773</v>
      </c>
      <c r="AJ615">
        <v>665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ROW(Source!A404)</f>
        <v>404</v>
      </c>
      <c r="B616">
        <v>16744798</v>
      </c>
      <c r="C616">
        <v>16744787</v>
      </c>
      <c r="D616">
        <v>15430397</v>
      </c>
      <c r="E616">
        <v>1</v>
      </c>
      <c r="F616">
        <v>1</v>
      </c>
      <c r="G616">
        <v>1</v>
      </c>
      <c r="H616">
        <v>1</v>
      </c>
      <c r="I616" t="s">
        <v>1323</v>
      </c>
      <c r="J616" t="s">
        <v>6</v>
      </c>
      <c r="K616" t="s">
        <v>1324</v>
      </c>
      <c r="L616">
        <v>1191</v>
      </c>
      <c r="N616">
        <v>1013</v>
      </c>
      <c r="O616" t="s">
        <v>1287</v>
      </c>
      <c r="P616" t="s">
        <v>1287</v>
      </c>
      <c r="Q616">
        <v>1</v>
      </c>
      <c r="X616">
        <v>2.06</v>
      </c>
      <c r="Y616">
        <v>0</v>
      </c>
      <c r="Z616">
        <v>0</v>
      </c>
      <c r="AA616">
        <v>0</v>
      </c>
      <c r="AB616">
        <v>9.4</v>
      </c>
      <c r="AC616">
        <v>0</v>
      </c>
      <c r="AD616">
        <v>1</v>
      </c>
      <c r="AE616">
        <v>1</v>
      </c>
      <c r="AF616" t="s">
        <v>6</v>
      </c>
      <c r="AG616">
        <v>2.06</v>
      </c>
      <c r="AH616">
        <v>2</v>
      </c>
      <c r="AI616">
        <v>16744788</v>
      </c>
      <c r="AJ616">
        <v>666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ROW(Source!A404)</f>
        <v>404</v>
      </c>
      <c r="B617">
        <v>16744799</v>
      </c>
      <c r="C617">
        <v>16744787</v>
      </c>
      <c r="D617">
        <v>15430395</v>
      </c>
      <c r="E617">
        <v>1</v>
      </c>
      <c r="F617">
        <v>1</v>
      </c>
      <c r="G617">
        <v>1</v>
      </c>
      <c r="H617">
        <v>1</v>
      </c>
      <c r="I617" t="s">
        <v>1293</v>
      </c>
      <c r="J617" t="s">
        <v>6</v>
      </c>
      <c r="K617" t="s">
        <v>1294</v>
      </c>
      <c r="L617">
        <v>1191</v>
      </c>
      <c r="N617">
        <v>1013</v>
      </c>
      <c r="O617" t="s">
        <v>1287</v>
      </c>
      <c r="P617" t="s">
        <v>1287</v>
      </c>
      <c r="Q617">
        <v>1</v>
      </c>
      <c r="X617">
        <v>0.04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2</v>
      </c>
      <c r="AF617" t="s">
        <v>6</v>
      </c>
      <c r="AG617">
        <v>0.04</v>
      </c>
      <c r="AH617">
        <v>2</v>
      </c>
      <c r="AI617">
        <v>16744789</v>
      </c>
      <c r="AJ617">
        <v>667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ROW(Source!A404)</f>
        <v>404</v>
      </c>
      <c r="B618">
        <v>16744800</v>
      </c>
      <c r="C618">
        <v>16744787</v>
      </c>
      <c r="D618">
        <v>15247680</v>
      </c>
      <c r="E618">
        <v>1</v>
      </c>
      <c r="F618">
        <v>1</v>
      </c>
      <c r="G618">
        <v>1</v>
      </c>
      <c r="H618">
        <v>2</v>
      </c>
      <c r="I618" t="s">
        <v>1295</v>
      </c>
      <c r="J618" t="s">
        <v>1296</v>
      </c>
      <c r="K618" t="s">
        <v>1297</v>
      </c>
      <c r="L618">
        <v>1368</v>
      </c>
      <c r="N618">
        <v>1011</v>
      </c>
      <c r="O618" t="s">
        <v>1298</v>
      </c>
      <c r="P618" t="s">
        <v>1298</v>
      </c>
      <c r="Q618">
        <v>1</v>
      </c>
      <c r="X618">
        <v>0.02</v>
      </c>
      <c r="Y618">
        <v>0</v>
      </c>
      <c r="Z618">
        <v>111.99</v>
      </c>
      <c r="AA618">
        <v>13.5</v>
      </c>
      <c r="AB618">
        <v>0</v>
      </c>
      <c r="AC618">
        <v>0</v>
      </c>
      <c r="AD618">
        <v>1</v>
      </c>
      <c r="AE618">
        <v>0</v>
      </c>
      <c r="AF618" t="s">
        <v>6</v>
      </c>
      <c r="AG618">
        <v>0.02</v>
      </c>
      <c r="AH618">
        <v>2</v>
      </c>
      <c r="AI618">
        <v>16744790</v>
      </c>
      <c r="AJ618">
        <v>668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ROW(Source!A404)</f>
        <v>404</v>
      </c>
      <c r="B619">
        <v>16744801</v>
      </c>
      <c r="C619">
        <v>16744787</v>
      </c>
      <c r="D619">
        <v>15249073</v>
      </c>
      <c r="E619">
        <v>1</v>
      </c>
      <c r="F619">
        <v>1</v>
      </c>
      <c r="G619">
        <v>1</v>
      </c>
      <c r="H619">
        <v>2</v>
      </c>
      <c r="I619" t="s">
        <v>1299</v>
      </c>
      <c r="J619" t="s">
        <v>1300</v>
      </c>
      <c r="K619" t="s">
        <v>1301</v>
      </c>
      <c r="L619">
        <v>1368</v>
      </c>
      <c r="N619">
        <v>1011</v>
      </c>
      <c r="O619" t="s">
        <v>1298</v>
      </c>
      <c r="P619" t="s">
        <v>1298</v>
      </c>
      <c r="Q619">
        <v>1</v>
      </c>
      <c r="X619">
        <v>0.02</v>
      </c>
      <c r="Y619">
        <v>0</v>
      </c>
      <c r="Z619">
        <v>65.709999999999994</v>
      </c>
      <c r="AA619">
        <v>11.6</v>
      </c>
      <c r="AB619">
        <v>0</v>
      </c>
      <c r="AC619">
        <v>0</v>
      </c>
      <c r="AD619">
        <v>1</v>
      </c>
      <c r="AE619">
        <v>0</v>
      </c>
      <c r="AF619" t="s">
        <v>6</v>
      </c>
      <c r="AG619">
        <v>0.02</v>
      </c>
      <c r="AH619">
        <v>2</v>
      </c>
      <c r="AI619">
        <v>16744791</v>
      </c>
      <c r="AJ619">
        <v>669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ROW(Source!A404)</f>
        <v>404</v>
      </c>
      <c r="B620">
        <v>16744802</v>
      </c>
      <c r="C620">
        <v>16744787</v>
      </c>
      <c r="D620">
        <v>15167588</v>
      </c>
      <c r="E620">
        <v>1</v>
      </c>
      <c r="F620">
        <v>1</v>
      </c>
      <c r="G620">
        <v>1</v>
      </c>
      <c r="H620">
        <v>3</v>
      </c>
      <c r="I620" t="s">
        <v>1641</v>
      </c>
      <c r="J620" t="s">
        <v>1642</v>
      </c>
      <c r="K620" t="s">
        <v>1643</v>
      </c>
      <c r="L620">
        <v>1346</v>
      </c>
      <c r="N620">
        <v>1009</v>
      </c>
      <c r="O620" t="s">
        <v>341</v>
      </c>
      <c r="P620" t="s">
        <v>341</v>
      </c>
      <c r="Q620">
        <v>1</v>
      </c>
      <c r="X620">
        <v>0.16</v>
      </c>
      <c r="Y620">
        <v>30.4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0.16</v>
      </c>
      <c r="AH620">
        <v>2</v>
      </c>
      <c r="AI620">
        <v>16744792</v>
      </c>
      <c r="AJ620">
        <v>670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ROW(Source!A404)</f>
        <v>404</v>
      </c>
      <c r="B621">
        <v>16744803</v>
      </c>
      <c r="C621">
        <v>16744787</v>
      </c>
      <c r="D621">
        <v>15167600</v>
      </c>
      <c r="E621">
        <v>1</v>
      </c>
      <c r="F621">
        <v>1</v>
      </c>
      <c r="G621">
        <v>1</v>
      </c>
      <c r="H621">
        <v>3</v>
      </c>
      <c r="I621" t="s">
        <v>1675</v>
      </c>
      <c r="J621" t="s">
        <v>1676</v>
      </c>
      <c r="K621" t="s">
        <v>1677</v>
      </c>
      <c r="L621">
        <v>1308</v>
      </c>
      <c r="N621">
        <v>1003</v>
      </c>
      <c r="O621" t="s">
        <v>34</v>
      </c>
      <c r="P621" t="s">
        <v>34</v>
      </c>
      <c r="Q621">
        <v>100</v>
      </c>
      <c r="X621">
        <v>5.5E-2</v>
      </c>
      <c r="Y621">
        <v>120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5.5E-2</v>
      </c>
      <c r="AH621">
        <v>2</v>
      </c>
      <c r="AI621">
        <v>16744793</v>
      </c>
      <c r="AJ621">
        <v>671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ROW(Source!A404)</f>
        <v>404</v>
      </c>
      <c r="B622">
        <v>16744804</v>
      </c>
      <c r="C622">
        <v>16744787</v>
      </c>
      <c r="D622">
        <v>15203834</v>
      </c>
      <c r="E622">
        <v>1</v>
      </c>
      <c r="F622">
        <v>1</v>
      </c>
      <c r="G622">
        <v>1</v>
      </c>
      <c r="H622">
        <v>3</v>
      </c>
      <c r="I622" t="s">
        <v>1667</v>
      </c>
      <c r="J622" t="s">
        <v>1668</v>
      </c>
      <c r="K622" t="s">
        <v>403</v>
      </c>
      <c r="L622">
        <v>1346</v>
      </c>
      <c r="N622">
        <v>1009</v>
      </c>
      <c r="O622" t="s">
        <v>341</v>
      </c>
      <c r="P622" t="s">
        <v>341</v>
      </c>
      <c r="Q622">
        <v>1</v>
      </c>
      <c r="X622">
        <v>0.05</v>
      </c>
      <c r="Y622">
        <v>28.6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0.05</v>
      </c>
      <c r="AH622">
        <v>2</v>
      </c>
      <c r="AI622">
        <v>16744794</v>
      </c>
      <c r="AJ622">
        <v>672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ROW(Source!A404)</f>
        <v>404</v>
      </c>
      <c r="B623">
        <v>16744805</v>
      </c>
      <c r="C623">
        <v>16744787</v>
      </c>
      <c r="D623">
        <v>15164559</v>
      </c>
      <c r="E623">
        <v>17</v>
      </c>
      <c r="F623">
        <v>1</v>
      </c>
      <c r="G623">
        <v>1</v>
      </c>
      <c r="H623">
        <v>3</v>
      </c>
      <c r="I623" t="s">
        <v>1334</v>
      </c>
      <c r="J623" t="s">
        <v>6</v>
      </c>
      <c r="K623" t="s">
        <v>1335</v>
      </c>
      <c r="L623">
        <v>1374</v>
      </c>
      <c r="N623">
        <v>1013</v>
      </c>
      <c r="O623" t="s">
        <v>1336</v>
      </c>
      <c r="P623" t="s">
        <v>1336</v>
      </c>
      <c r="Q623">
        <v>1</v>
      </c>
      <c r="X623">
        <v>0.39</v>
      </c>
      <c r="Y623">
        <v>1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6</v>
      </c>
      <c r="AG623">
        <v>0.39</v>
      </c>
      <c r="AH623">
        <v>2</v>
      </c>
      <c r="AI623">
        <v>16744795</v>
      </c>
      <c r="AJ623">
        <v>675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ROW(Source!A407)</f>
        <v>407</v>
      </c>
      <c r="B624">
        <v>16744818</v>
      </c>
      <c r="C624">
        <v>16744808</v>
      </c>
      <c r="D624">
        <v>15430397</v>
      </c>
      <c r="E624">
        <v>1</v>
      </c>
      <c r="F624">
        <v>1</v>
      </c>
      <c r="G624">
        <v>1</v>
      </c>
      <c r="H624">
        <v>1</v>
      </c>
      <c r="I624" t="s">
        <v>1323</v>
      </c>
      <c r="J624" t="s">
        <v>6</v>
      </c>
      <c r="K624" t="s">
        <v>1324</v>
      </c>
      <c r="L624">
        <v>1191</v>
      </c>
      <c r="N624">
        <v>1013</v>
      </c>
      <c r="O624" t="s">
        <v>1287</v>
      </c>
      <c r="P624" t="s">
        <v>1287</v>
      </c>
      <c r="Q624">
        <v>1</v>
      </c>
      <c r="X624">
        <v>4.09</v>
      </c>
      <c r="Y624">
        <v>0</v>
      </c>
      <c r="Z624">
        <v>0</v>
      </c>
      <c r="AA624">
        <v>0</v>
      </c>
      <c r="AB624">
        <v>9.4</v>
      </c>
      <c r="AC624">
        <v>0</v>
      </c>
      <c r="AD624">
        <v>1</v>
      </c>
      <c r="AE624">
        <v>1</v>
      </c>
      <c r="AF624" t="s">
        <v>6</v>
      </c>
      <c r="AG624">
        <v>4.09</v>
      </c>
      <c r="AH624">
        <v>2</v>
      </c>
      <c r="AI624">
        <v>16744809</v>
      </c>
      <c r="AJ624">
        <v>676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ROW(Source!A407)</f>
        <v>407</v>
      </c>
      <c r="B625">
        <v>16744819</v>
      </c>
      <c r="C625">
        <v>16744808</v>
      </c>
      <c r="D625">
        <v>15430395</v>
      </c>
      <c r="E625">
        <v>1</v>
      </c>
      <c r="F625">
        <v>1</v>
      </c>
      <c r="G625">
        <v>1</v>
      </c>
      <c r="H625">
        <v>1</v>
      </c>
      <c r="I625" t="s">
        <v>1293</v>
      </c>
      <c r="J625" t="s">
        <v>6</v>
      </c>
      <c r="K625" t="s">
        <v>1294</v>
      </c>
      <c r="L625">
        <v>1191</v>
      </c>
      <c r="N625">
        <v>1013</v>
      </c>
      <c r="O625" t="s">
        <v>1287</v>
      </c>
      <c r="P625" t="s">
        <v>1287</v>
      </c>
      <c r="Q625">
        <v>1</v>
      </c>
      <c r="X625">
        <v>0.36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2</v>
      </c>
      <c r="AF625" t="s">
        <v>6</v>
      </c>
      <c r="AG625">
        <v>0.36</v>
      </c>
      <c r="AH625">
        <v>2</v>
      </c>
      <c r="AI625">
        <v>16744810</v>
      </c>
      <c r="AJ625">
        <v>677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ROW(Source!A407)</f>
        <v>407</v>
      </c>
      <c r="B626">
        <v>16744820</v>
      </c>
      <c r="C626">
        <v>16744808</v>
      </c>
      <c r="D626">
        <v>15247680</v>
      </c>
      <c r="E626">
        <v>1</v>
      </c>
      <c r="F626">
        <v>1</v>
      </c>
      <c r="G626">
        <v>1</v>
      </c>
      <c r="H626">
        <v>2</v>
      </c>
      <c r="I626" t="s">
        <v>1295</v>
      </c>
      <c r="J626" t="s">
        <v>1296</v>
      </c>
      <c r="K626" t="s">
        <v>1297</v>
      </c>
      <c r="L626">
        <v>1368</v>
      </c>
      <c r="N626">
        <v>1011</v>
      </c>
      <c r="O626" t="s">
        <v>1298</v>
      </c>
      <c r="P626" t="s">
        <v>1298</v>
      </c>
      <c r="Q626">
        <v>1</v>
      </c>
      <c r="X626">
        <v>0.18</v>
      </c>
      <c r="Y626">
        <v>0</v>
      </c>
      <c r="Z626">
        <v>111.99</v>
      </c>
      <c r="AA626">
        <v>13.5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0.18</v>
      </c>
      <c r="AH626">
        <v>2</v>
      </c>
      <c r="AI626">
        <v>16744811</v>
      </c>
      <c r="AJ626">
        <v>678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ROW(Source!A407)</f>
        <v>407</v>
      </c>
      <c r="B627">
        <v>16744821</v>
      </c>
      <c r="C627">
        <v>16744808</v>
      </c>
      <c r="D627">
        <v>15249073</v>
      </c>
      <c r="E627">
        <v>1</v>
      </c>
      <c r="F627">
        <v>1</v>
      </c>
      <c r="G627">
        <v>1</v>
      </c>
      <c r="H627">
        <v>2</v>
      </c>
      <c r="I627" t="s">
        <v>1299</v>
      </c>
      <c r="J627" t="s">
        <v>1300</v>
      </c>
      <c r="K627" t="s">
        <v>1301</v>
      </c>
      <c r="L627">
        <v>1368</v>
      </c>
      <c r="N627">
        <v>1011</v>
      </c>
      <c r="O627" t="s">
        <v>1298</v>
      </c>
      <c r="P627" t="s">
        <v>1298</v>
      </c>
      <c r="Q627">
        <v>1</v>
      </c>
      <c r="X627">
        <v>0.18</v>
      </c>
      <c r="Y627">
        <v>0</v>
      </c>
      <c r="Z627">
        <v>65.709999999999994</v>
      </c>
      <c r="AA627">
        <v>11.6</v>
      </c>
      <c r="AB627">
        <v>0</v>
      </c>
      <c r="AC627">
        <v>0</v>
      </c>
      <c r="AD627">
        <v>1</v>
      </c>
      <c r="AE627">
        <v>0</v>
      </c>
      <c r="AF627" t="s">
        <v>6</v>
      </c>
      <c r="AG627">
        <v>0.18</v>
      </c>
      <c r="AH627">
        <v>2</v>
      </c>
      <c r="AI627">
        <v>16744812</v>
      </c>
      <c r="AJ627">
        <v>679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ROW(Source!A407)</f>
        <v>407</v>
      </c>
      <c r="B628">
        <v>16744822</v>
      </c>
      <c r="C628">
        <v>16744808</v>
      </c>
      <c r="D628">
        <v>15167588</v>
      </c>
      <c r="E628">
        <v>1</v>
      </c>
      <c r="F628">
        <v>1</v>
      </c>
      <c r="G628">
        <v>1</v>
      </c>
      <c r="H628">
        <v>3</v>
      </c>
      <c r="I628" t="s">
        <v>1641</v>
      </c>
      <c r="J628" t="s">
        <v>1642</v>
      </c>
      <c r="K628" t="s">
        <v>1643</v>
      </c>
      <c r="L628">
        <v>1346</v>
      </c>
      <c r="N628">
        <v>1009</v>
      </c>
      <c r="O628" t="s">
        <v>341</v>
      </c>
      <c r="P628" t="s">
        <v>341</v>
      </c>
      <c r="Q628">
        <v>1</v>
      </c>
      <c r="X628">
        <v>0.16</v>
      </c>
      <c r="Y628">
        <v>30.4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6</v>
      </c>
      <c r="AG628">
        <v>0.16</v>
      </c>
      <c r="AH628">
        <v>2</v>
      </c>
      <c r="AI628">
        <v>16744813</v>
      </c>
      <c r="AJ628">
        <v>680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ROW(Source!A407)</f>
        <v>407</v>
      </c>
      <c r="B629">
        <v>16744823</v>
      </c>
      <c r="C629">
        <v>16744808</v>
      </c>
      <c r="D629">
        <v>15167600</v>
      </c>
      <c r="E629">
        <v>1</v>
      </c>
      <c r="F629">
        <v>1</v>
      </c>
      <c r="G629">
        <v>1</v>
      </c>
      <c r="H629">
        <v>3</v>
      </c>
      <c r="I629" t="s">
        <v>1675</v>
      </c>
      <c r="J629" t="s">
        <v>1676</v>
      </c>
      <c r="K629" t="s">
        <v>1677</v>
      </c>
      <c r="L629">
        <v>1308</v>
      </c>
      <c r="N629">
        <v>1003</v>
      </c>
      <c r="O629" t="s">
        <v>34</v>
      </c>
      <c r="P629" t="s">
        <v>34</v>
      </c>
      <c r="Q629">
        <v>100</v>
      </c>
      <c r="X629">
        <v>7.0000000000000007E-2</v>
      </c>
      <c r="Y629">
        <v>120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6</v>
      </c>
      <c r="AG629">
        <v>7.0000000000000007E-2</v>
      </c>
      <c r="AH629">
        <v>2</v>
      </c>
      <c r="AI629">
        <v>16744814</v>
      </c>
      <c r="AJ629">
        <v>681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ROW(Source!A407)</f>
        <v>407</v>
      </c>
      <c r="B630">
        <v>16744824</v>
      </c>
      <c r="C630">
        <v>16744808</v>
      </c>
      <c r="D630">
        <v>15203834</v>
      </c>
      <c r="E630">
        <v>1</v>
      </c>
      <c r="F630">
        <v>1</v>
      </c>
      <c r="G630">
        <v>1</v>
      </c>
      <c r="H630">
        <v>3</v>
      </c>
      <c r="I630" t="s">
        <v>1667</v>
      </c>
      <c r="J630" t="s">
        <v>1668</v>
      </c>
      <c r="K630" t="s">
        <v>403</v>
      </c>
      <c r="L630">
        <v>1346</v>
      </c>
      <c r="N630">
        <v>1009</v>
      </c>
      <c r="O630" t="s">
        <v>341</v>
      </c>
      <c r="P630" t="s">
        <v>341</v>
      </c>
      <c r="Q630">
        <v>1</v>
      </c>
      <c r="X630">
        <v>0.05</v>
      </c>
      <c r="Y630">
        <v>28.6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6</v>
      </c>
      <c r="AG630">
        <v>0.05</v>
      </c>
      <c r="AH630">
        <v>2</v>
      </c>
      <c r="AI630">
        <v>16744815</v>
      </c>
      <c r="AJ630">
        <v>682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ROW(Source!A407)</f>
        <v>407</v>
      </c>
      <c r="B631">
        <v>16744825</v>
      </c>
      <c r="C631">
        <v>16744808</v>
      </c>
      <c r="D631">
        <v>15164559</v>
      </c>
      <c r="E631">
        <v>17</v>
      </c>
      <c r="F631">
        <v>1</v>
      </c>
      <c r="G631">
        <v>1</v>
      </c>
      <c r="H631">
        <v>3</v>
      </c>
      <c r="I631" t="s">
        <v>1334</v>
      </c>
      <c r="J631" t="s">
        <v>6</v>
      </c>
      <c r="K631" t="s">
        <v>1335</v>
      </c>
      <c r="L631">
        <v>1374</v>
      </c>
      <c r="N631">
        <v>1013</v>
      </c>
      <c r="O631" t="s">
        <v>1336</v>
      </c>
      <c r="P631" t="s">
        <v>1336</v>
      </c>
      <c r="Q631">
        <v>1</v>
      </c>
      <c r="X631">
        <v>0.77</v>
      </c>
      <c r="Y631">
        <v>1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6</v>
      </c>
      <c r="AG631">
        <v>0.77</v>
      </c>
      <c r="AH631">
        <v>2</v>
      </c>
      <c r="AI631">
        <v>16744816</v>
      </c>
      <c r="AJ631">
        <v>684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ROW(Source!A409)</f>
        <v>409</v>
      </c>
      <c r="B632">
        <v>16744838</v>
      </c>
      <c r="C632">
        <v>16744827</v>
      </c>
      <c r="D632">
        <v>15430397</v>
      </c>
      <c r="E632">
        <v>1</v>
      </c>
      <c r="F632">
        <v>1</v>
      </c>
      <c r="G632">
        <v>1</v>
      </c>
      <c r="H632">
        <v>1</v>
      </c>
      <c r="I632" t="s">
        <v>1323</v>
      </c>
      <c r="J632" t="s">
        <v>6</v>
      </c>
      <c r="K632" t="s">
        <v>1324</v>
      </c>
      <c r="L632">
        <v>1191</v>
      </c>
      <c r="N632">
        <v>1013</v>
      </c>
      <c r="O632" t="s">
        <v>1287</v>
      </c>
      <c r="P632" t="s">
        <v>1287</v>
      </c>
      <c r="Q632">
        <v>1</v>
      </c>
      <c r="X632">
        <v>5.64</v>
      </c>
      <c r="Y632">
        <v>0</v>
      </c>
      <c r="Z632">
        <v>0</v>
      </c>
      <c r="AA632">
        <v>0</v>
      </c>
      <c r="AB632">
        <v>9.4</v>
      </c>
      <c r="AC632">
        <v>0</v>
      </c>
      <c r="AD632">
        <v>1</v>
      </c>
      <c r="AE632">
        <v>1</v>
      </c>
      <c r="AF632" t="s">
        <v>6</v>
      </c>
      <c r="AG632">
        <v>5.64</v>
      </c>
      <c r="AH632">
        <v>2</v>
      </c>
      <c r="AI632">
        <v>16744829</v>
      </c>
      <c r="AJ632">
        <v>685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ROW(Source!A409)</f>
        <v>409</v>
      </c>
      <c r="B633">
        <v>16744839</v>
      </c>
      <c r="C633">
        <v>16744827</v>
      </c>
      <c r="D633">
        <v>15430395</v>
      </c>
      <c r="E633">
        <v>1</v>
      </c>
      <c r="F633">
        <v>1</v>
      </c>
      <c r="G633">
        <v>1</v>
      </c>
      <c r="H633">
        <v>1</v>
      </c>
      <c r="I633" t="s">
        <v>1293</v>
      </c>
      <c r="J633" t="s">
        <v>6</v>
      </c>
      <c r="K633" t="s">
        <v>1294</v>
      </c>
      <c r="L633">
        <v>1191</v>
      </c>
      <c r="N633">
        <v>1013</v>
      </c>
      <c r="O633" t="s">
        <v>1287</v>
      </c>
      <c r="P633" t="s">
        <v>1287</v>
      </c>
      <c r="Q633">
        <v>1</v>
      </c>
      <c r="X633">
        <v>0.52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2</v>
      </c>
      <c r="AF633" t="s">
        <v>6</v>
      </c>
      <c r="AG633">
        <v>0.52</v>
      </c>
      <c r="AH633">
        <v>2</v>
      </c>
      <c r="AI633">
        <v>16744830</v>
      </c>
      <c r="AJ633">
        <v>686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ROW(Source!A409)</f>
        <v>409</v>
      </c>
      <c r="B634">
        <v>16744840</v>
      </c>
      <c r="C634">
        <v>16744827</v>
      </c>
      <c r="D634">
        <v>15247680</v>
      </c>
      <c r="E634">
        <v>1</v>
      </c>
      <c r="F634">
        <v>1</v>
      </c>
      <c r="G634">
        <v>1</v>
      </c>
      <c r="H634">
        <v>2</v>
      </c>
      <c r="I634" t="s">
        <v>1295</v>
      </c>
      <c r="J634" t="s">
        <v>1296</v>
      </c>
      <c r="K634" t="s">
        <v>1297</v>
      </c>
      <c r="L634">
        <v>1368</v>
      </c>
      <c r="N634">
        <v>1011</v>
      </c>
      <c r="O634" t="s">
        <v>1298</v>
      </c>
      <c r="P634" t="s">
        <v>1298</v>
      </c>
      <c r="Q634">
        <v>1</v>
      </c>
      <c r="X634">
        <v>0.26</v>
      </c>
      <c r="Y634">
        <v>0</v>
      </c>
      <c r="Z634">
        <v>111.99</v>
      </c>
      <c r="AA634">
        <v>13.5</v>
      </c>
      <c r="AB634">
        <v>0</v>
      </c>
      <c r="AC634">
        <v>0</v>
      </c>
      <c r="AD634">
        <v>1</v>
      </c>
      <c r="AE634">
        <v>0</v>
      </c>
      <c r="AF634" t="s">
        <v>6</v>
      </c>
      <c r="AG634">
        <v>0.26</v>
      </c>
      <c r="AH634">
        <v>2</v>
      </c>
      <c r="AI634">
        <v>16744831</v>
      </c>
      <c r="AJ634">
        <v>687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ROW(Source!A409)</f>
        <v>409</v>
      </c>
      <c r="B635">
        <v>16744841</v>
      </c>
      <c r="C635">
        <v>16744827</v>
      </c>
      <c r="D635">
        <v>15249073</v>
      </c>
      <c r="E635">
        <v>1</v>
      </c>
      <c r="F635">
        <v>1</v>
      </c>
      <c r="G635">
        <v>1</v>
      </c>
      <c r="H635">
        <v>2</v>
      </c>
      <c r="I635" t="s">
        <v>1299</v>
      </c>
      <c r="J635" t="s">
        <v>1300</v>
      </c>
      <c r="K635" t="s">
        <v>1301</v>
      </c>
      <c r="L635">
        <v>1368</v>
      </c>
      <c r="N635">
        <v>1011</v>
      </c>
      <c r="O635" t="s">
        <v>1298</v>
      </c>
      <c r="P635" t="s">
        <v>1298</v>
      </c>
      <c r="Q635">
        <v>1</v>
      </c>
      <c r="X635">
        <v>0.26</v>
      </c>
      <c r="Y635">
        <v>0</v>
      </c>
      <c r="Z635">
        <v>65.709999999999994</v>
      </c>
      <c r="AA635">
        <v>11.6</v>
      </c>
      <c r="AB635">
        <v>0</v>
      </c>
      <c r="AC635">
        <v>0</v>
      </c>
      <c r="AD635">
        <v>1</v>
      </c>
      <c r="AE635">
        <v>0</v>
      </c>
      <c r="AF635" t="s">
        <v>6</v>
      </c>
      <c r="AG635">
        <v>0.26</v>
      </c>
      <c r="AH635">
        <v>2</v>
      </c>
      <c r="AI635">
        <v>16744832</v>
      </c>
      <c r="AJ635">
        <v>688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ROW(Source!A409)</f>
        <v>409</v>
      </c>
      <c r="B636">
        <v>16744842</v>
      </c>
      <c r="C636">
        <v>16744827</v>
      </c>
      <c r="D636">
        <v>15167588</v>
      </c>
      <c r="E636">
        <v>1</v>
      </c>
      <c r="F636">
        <v>1</v>
      </c>
      <c r="G636">
        <v>1</v>
      </c>
      <c r="H636">
        <v>3</v>
      </c>
      <c r="I636" t="s">
        <v>1641</v>
      </c>
      <c r="J636" t="s">
        <v>1642</v>
      </c>
      <c r="K636" t="s">
        <v>1643</v>
      </c>
      <c r="L636">
        <v>1346</v>
      </c>
      <c r="N636">
        <v>1009</v>
      </c>
      <c r="O636" t="s">
        <v>341</v>
      </c>
      <c r="P636" t="s">
        <v>341</v>
      </c>
      <c r="Q636">
        <v>1</v>
      </c>
      <c r="X636">
        <v>0.16</v>
      </c>
      <c r="Y636">
        <v>30.4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6</v>
      </c>
      <c r="AG636">
        <v>0.16</v>
      </c>
      <c r="AH636">
        <v>2</v>
      </c>
      <c r="AI636">
        <v>16744833</v>
      </c>
      <c r="AJ636">
        <v>689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ROW(Source!A409)</f>
        <v>409</v>
      </c>
      <c r="B637">
        <v>16744843</v>
      </c>
      <c r="C637">
        <v>16744827</v>
      </c>
      <c r="D637">
        <v>15167600</v>
      </c>
      <c r="E637">
        <v>1</v>
      </c>
      <c r="F637">
        <v>1</v>
      </c>
      <c r="G637">
        <v>1</v>
      </c>
      <c r="H637">
        <v>3</v>
      </c>
      <c r="I637" t="s">
        <v>1675</v>
      </c>
      <c r="J637" t="s">
        <v>1676</v>
      </c>
      <c r="K637" t="s">
        <v>1677</v>
      </c>
      <c r="L637">
        <v>1308</v>
      </c>
      <c r="N637">
        <v>1003</v>
      </c>
      <c r="O637" t="s">
        <v>34</v>
      </c>
      <c r="P637" t="s">
        <v>34</v>
      </c>
      <c r="Q637">
        <v>100</v>
      </c>
      <c r="X637">
        <v>0.13</v>
      </c>
      <c r="Y637">
        <v>120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6</v>
      </c>
      <c r="AG637">
        <v>0.13</v>
      </c>
      <c r="AH637">
        <v>2</v>
      </c>
      <c r="AI637">
        <v>16744834</v>
      </c>
      <c r="AJ637">
        <v>690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ROW(Source!A409)</f>
        <v>409</v>
      </c>
      <c r="B638">
        <v>16744844</v>
      </c>
      <c r="C638">
        <v>16744827</v>
      </c>
      <c r="D638">
        <v>15203834</v>
      </c>
      <c r="E638">
        <v>1</v>
      </c>
      <c r="F638">
        <v>1</v>
      </c>
      <c r="G638">
        <v>1</v>
      </c>
      <c r="H638">
        <v>3</v>
      </c>
      <c r="I638" t="s">
        <v>1667</v>
      </c>
      <c r="J638" t="s">
        <v>1668</v>
      </c>
      <c r="K638" t="s">
        <v>403</v>
      </c>
      <c r="L638">
        <v>1346</v>
      </c>
      <c r="N638">
        <v>1009</v>
      </c>
      <c r="O638" t="s">
        <v>341</v>
      </c>
      <c r="P638" t="s">
        <v>341</v>
      </c>
      <c r="Q638">
        <v>1</v>
      </c>
      <c r="X638">
        <v>0.05</v>
      </c>
      <c r="Y638">
        <v>28.6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6</v>
      </c>
      <c r="AG638">
        <v>0.05</v>
      </c>
      <c r="AH638">
        <v>2</v>
      </c>
      <c r="AI638">
        <v>16744835</v>
      </c>
      <c r="AJ638">
        <v>691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ROW(Source!A409)</f>
        <v>409</v>
      </c>
      <c r="B639">
        <v>16744845</v>
      </c>
      <c r="C639">
        <v>16744827</v>
      </c>
      <c r="D639">
        <v>15164559</v>
      </c>
      <c r="E639">
        <v>17</v>
      </c>
      <c r="F639">
        <v>1</v>
      </c>
      <c r="G639">
        <v>1</v>
      </c>
      <c r="H639">
        <v>3</v>
      </c>
      <c r="I639" t="s">
        <v>1334</v>
      </c>
      <c r="J639" t="s">
        <v>6</v>
      </c>
      <c r="K639" t="s">
        <v>1335</v>
      </c>
      <c r="L639">
        <v>1374</v>
      </c>
      <c r="N639">
        <v>1013</v>
      </c>
      <c r="O639" t="s">
        <v>1336</v>
      </c>
      <c r="P639" t="s">
        <v>1336</v>
      </c>
      <c r="Q639">
        <v>1</v>
      </c>
      <c r="X639">
        <v>1.06</v>
      </c>
      <c r="Y639">
        <v>1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6</v>
      </c>
      <c r="AG639">
        <v>1.06</v>
      </c>
      <c r="AH639">
        <v>2</v>
      </c>
      <c r="AI639">
        <v>16744836</v>
      </c>
      <c r="AJ639">
        <v>693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ROW(Source!A411)</f>
        <v>411</v>
      </c>
      <c r="B640">
        <v>16744864</v>
      </c>
      <c r="C640">
        <v>16744849</v>
      </c>
      <c r="D640">
        <v>15446300</v>
      </c>
      <c r="E640">
        <v>1</v>
      </c>
      <c r="F640">
        <v>1</v>
      </c>
      <c r="G640">
        <v>1</v>
      </c>
      <c r="H640">
        <v>1</v>
      </c>
      <c r="I640" t="s">
        <v>1437</v>
      </c>
      <c r="J640" t="s">
        <v>6</v>
      </c>
      <c r="K640" t="s">
        <v>1438</v>
      </c>
      <c r="L640">
        <v>1191</v>
      </c>
      <c r="N640">
        <v>1013</v>
      </c>
      <c r="O640" t="s">
        <v>1287</v>
      </c>
      <c r="P640" t="s">
        <v>1287</v>
      </c>
      <c r="Q640">
        <v>1</v>
      </c>
      <c r="X640">
        <v>2.56</v>
      </c>
      <c r="Y640">
        <v>0</v>
      </c>
      <c r="Z640">
        <v>0</v>
      </c>
      <c r="AA640">
        <v>0</v>
      </c>
      <c r="AB640">
        <v>9.92</v>
      </c>
      <c r="AC640">
        <v>0</v>
      </c>
      <c r="AD640">
        <v>1</v>
      </c>
      <c r="AE640">
        <v>1</v>
      </c>
      <c r="AF640" t="s">
        <v>6</v>
      </c>
      <c r="AG640">
        <v>2.56</v>
      </c>
      <c r="AH640">
        <v>2</v>
      </c>
      <c r="AI640">
        <v>16744850</v>
      </c>
      <c r="AJ640">
        <v>694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ROW(Source!A411)</f>
        <v>411</v>
      </c>
      <c r="B641">
        <v>16744865</v>
      </c>
      <c r="C641">
        <v>16744849</v>
      </c>
      <c r="D641">
        <v>15430395</v>
      </c>
      <c r="E641">
        <v>1</v>
      </c>
      <c r="F641">
        <v>1</v>
      </c>
      <c r="G641">
        <v>1</v>
      </c>
      <c r="H641">
        <v>1</v>
      </c>
      <c r="I641" t="s">
        <v>1293</v>
      </c>
      <c r="J641" t="s">
        <v>6</v>
      </c>
      <c r="K641" t="s">
        <v>1294</v>
      </c>
      <c r="L641">
        <v>1191</v>
      </c>
      <c r="N641">
        <v>1013</v>
      </c>
      <c r="O641" t="s">
        <v>1287</v>
      </c>
      <c r="P641" t="s">
        <v>1287</v>
      </c>
      <c r="Q641">
        <v>1</v>
      </c>
      <c r="X641">
        <v>0.02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2</v>
      </c>
      <c r="AF641" t="s">
        <v>6</v>
      </c>
      <c r="AG641">
        <v>0.02</v>
      </c>
      <c r="AH641">
        <v>2</v>
      </c>
      <c r="AI641">
        <v>16744851</v>
      </c>
      <c r="AJ641">
        <v>695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ROW(Source!A411)</f>
        <v>411</v>
      </c>
      <c r="B642">
        <v>16744866</v>
      </c>
      <c r="C642">
        <v>16744849</v>
      </c>
      <c r="D642">
        <v>15247680</v>
      </c>
      <c r="E642">
        <v>1</v>
      </c>
      <c r="F642">
        <v>1</v>
      </c>
      <c r="G642">
        <v>1</v>
      </c>
      <c r="H642">
        <v>2</v>
      </c>
      <c r="I642" t="s">
        <v>1295</v>
      </c>
      <c r="J642" t="s">
        <v>1296</v>
      </c>
      <c r="K642" t="s">
        <v>1297</v>
      </c>
      <c r="L642">
        <v>1368</v>
      </c>
      <c r="N642">
        <v>1011</v>
      </c>
      <c r="O642" t="s">
        <v>1298</v>
      </c>
      <c r="P642" t="s">
        <v>1298</v>
      </c>
      <c r="Q642">
        <v>1</v>
      </c>
      <c r="X642">
        <v>0.01</v>
      </c>
      <c r="Y642">
        <v>0</v>
      </c>
      <c r="Z642">
        <v>111.99</v>
      </c>
      <c r="AA642">
        <v>13.5</v>
      </c>
      <c r="AB642">
        <v>0</v>
      </c>
      <c r="AC642">
        <v>0</v>
      </c>
      <c r="AD642">
        <v>1</v>
      </c>
      <c r="AE642">
        <v>0</v>
      </c>
      <c r="AF642" t="s">
        <v>6</v>
      </c>
      <c r="AG642">
        <v>0.01</v>
      </c>
      <c r="AH642">
        <v>2</v>
      </c>
      <c r="AI642">
        <v>16744852</v>
      </c>
      <c r="AJ642">
        <v>696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ROW(Source!A411)</f>
        <v>411</v>
      </c>
      <c r="B643">
        <v>16744867</v>
      </c>
      <c r="C643">
        <v>16744849</v>
      </c>
      <c r="D643">
        <v>15249073</v>
      </c>
      <c r="E643">
        <v>1</v>
      </c>
      <c r="F643">
        <v>1</v>
      </c>
      <c r="G643">
        <v>1</v>
      </c>
      <c r="H643">
        <v>2</v>
      </c>
      <c r="I643" t="s">
        <v>1299</v>
      </c>
      <c r="J643" t="s">
        <v>1300</v>
      </c>
      <c r="K643" t="s">
        <v>1301</v>
      </c>
      <c r="L643">
        <v>1368</v>
      </c>
      <c r="N643">
        <v>1011</v>
      </c>
      <c r="O643" t="s">
        <v>1298</v>
      </c>
      <c r="P643" t="s">
        <v>1298</v>
      </c>
      <c r="Q643">
        <v>1</v>
      </c>
      <c r="X643">
        <v>0.01</v>
      </c>
      <c r="Y643">
        <v>0</v>
      </c>
      <c r="Z643">
        <v>65.709999999999994</v>
      </c>
      <c r="AA643">
        <v>11.6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0.01</v>
      </c>
      <c r="AH643">
        <v>2</v>
      </c>
      <c r="AI643">
        <v>16744853</v>
      </c>
      <c r="AJ643">
        <v>697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ROW(Source!A411)</f>
        <v>411</v>
      </c>
      <c r="B644">
        <v>16744868</v>
      </c>
      <c r="C644">
        <v>16744849</v>
      </c>
      <c r="D644">
        <v>15167588</v>
      </c>
      <c r="E644">
        <v>1</v>
      </c>
      <c r="F644">
        <v>1</v>
      </c>
      <c r="G644">
        <v>1</v>
      </c>
      <c r="H644">
        <v>3</v>
      </c>
      <c r="I644" t="s">
        <v>1641</v>
      </c>
      <c r="J644" t="s">
        <v>1642</v>
      </c>
      <c r="K644" t="s">
        <v>1643</v>
      </c>
      <c r="L644">
        <v>1346</v>
      </c>
      <c r="N644">
        <v>1009</v>
      </c>
      <c r="O644" t="s">
        <v>341</v>
      </c>
      <c r="P644" t="s">
        <v>341</v>
      </c>
      <c r="Q644">
        <v>1</v>
      </c>
      <c r="X644">
        <v>1.6E-2</v>
      </c>
      <c r="Y644">
        <v>30.4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1.6E-2</v>
      </c>
      <c r="AH644">
        <v>2</v>
      </c>
      <c r="AI644">
        <v>16744854</v>
      </c>
      <c r="AJ644">
        <v>698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ROW(Source!A411)</f>
        <v>411</v>
      </c>
      <c r="B645">
        <v>16744869</v>
      </c>
      <c r="C645">
        <v>16744849</v>
      </c>
      <c r="D645">
        <v>15170074</v>
      </c>
      <c r="E645">
        <v>1</v>
      </c>
      <c r="F645">
        <v>1</v>
      </c>
      <c r="G645">
        <v>1</v>
      </c>
      <c r="H645">
        <v>3</v>
      </c>
      <c r="I645" t="s">
        <v>1655</v>
      </c>
      <c r="J645" t="s">
        <v>1656</v>
      </c>
      <c r="K645" t="s">
        <v>1657</v>
      </c>
      <c r="L645">
        <v>1355</v>
      </c>
      <c r="N645">
        <v>1010</v>
      </c>
      <c r="O645" t="s">
        <v>843</v>
      </c>
      <c r="P645" t="s">
        <v>843</v>
      </c>
      <c r="Q645">
        <v>100</v>
      </c>
      <c r="X645">
        <v>4.1000000000000002E-2</v>
      </c>
      <c r="Y645">
        <v>86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6</v>
      </c>
      <c r="AG645">
        <v>4.1000000000000002E-2</v>
      </c>
      <c r="AH645">
        <v>2</v>
      </c>
      <c r="AI645">
        <v>16744855</v>
      </c>
      <c r="AJ645">
        <v>699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ROW(Source!A411)</f>
        <v>411</v>
      </c>
      <c r="B646">
        <v>16744870</v>
      </c>
      <c r="C646">
        <v>16744849</v>
      </c>
      <c r="D646">
        <v>15203834</v>
      </c>
      <c r="E646">
        <v>1</v>
      </c>
      <c r="F646">
        <v>1</v>
      </c>
      <c r="G646">
        <v>1</v>
      </c>
      <c r="H646">
        <v>3</v>
      </c>
      <c r="I646" t="s">
        <v>1667</v>
      </c>
      <c r="J646" t="s">
        <v>1668</v>
      </c>
      <c r="K646" t="s">
        <v>403</v>
      </c>
      <c r="L646">
        <v>1346</v>
      </c>
      <c r="N646">
        <v>1009</v>
      </c>
      <c r="O646" t="s">
        <v>341</v>
      </c>
      <c r="P646" t="s">
        <v>341</v>
      </c>
      <c r="Q646">
        <v>1</v>
      </c>
      <c r="X646">
        <v>0.1</v>
      </c>
      <c r="Y646">
        <v>28.6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6</v>
      </c>
      <c r="AG646">
        <v>0.1</v>
      </c>
      <c r="AH646">
        <v>2</v>
      </c>
      <c r="AI646">
        <v>16744856</v>
      </c>
      <c r="AJ646">
        <v>700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ROW(Source!A411)</f>
        <v>411</v>
      </c>
      <c r="B647">
        <v>16744871</v>
      </c>
      <c r="C647">
        <v>16744849</v>
      </c>
      <c r="D647">
        <v>15217463</v>
      </c>
      <c r="E647">
        <v>1</v>
      </c>
      <c r="F647">
        <v>1</v>
      </c>
      <c r="G647">
        <v>1</v>
      </c>
      <c r="H647">
        <v>3</v>
      </c>
      <c r="I647" t="s">
        <v>1711</v>
      </c>
      <c r="J647" t="s">
        <v>1712</v>
      </c>
      <c r="K647" t="s">
        <v>1713</v>
      </c>
      <c r="L647">
        <v>1358</v>
      </c>
      <c r="N647">
        <v>1010</v>
      </c>
      <c r="O647" t="s">
        <v>723</v>
      </c>
      <c r="P647" t="s">
        <v>723</v>
      </c>
      <c r="Q647">
        <v>10</v>
      </c>
      <c r="X647">
        <v>0.1</v>
      </c>
      <c r="Y647">
        <v>39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0.1</v>
      </c>
      <c r="AH647">
        <v>2</v>
      </c>
      <c r="AI647">
        <v>16744857</v>
      </c>
      <c r="AJ647">
        <v>701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ROW(Source!A411)</f>
        <v>411</v>
      </c>
      <c r="B648">
        <v>16744872</v>
      </c>
      <c r="C648">
        <v>16744849</v>
      </c>
      <c r="D648">
        <v>15217585</v>
      </c>
      <c r="E648">
        <v>1</v>
      </c>
      <c r="F648">
        <v>1</v>
      </c>
      <c r="G648">
        <v>1</v>
      </c>
      <c r="H648">
        <v>3</v>
      </c>
      <c r="I648" t="s">
        <v>1687</v>
      </c>
      <c r="J648" t="s">
        <v>1688</v>
      </c>
      <c r="K648" t="s">
        <v>1689</v>
      </c>
      <c r="L648">
        <v>1356</v>
      </c>
      <c r="N648">
        <v>1010</v>
      </c>
      <c r="O648" t="s">
        <v>306</v>
      </c>
      <c r="P648" t="s">
        <v>306</v>
      </c>
      <c r="Q648">
        <v>1000</v>
      </c>
      <c r="X648">
        <v>2.1000000000000001E-2</v>
      </c>
      <c r="Y648">
        <v>270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6</v>
      </c>
      <c r="AG648">
        <v>2.1000000000000001E-2</v>
      </c>
      <c r="AH648">
        <v>2</v>
      </c>
      <c r="AI648">
        <v>16744858</v>
      </c>
      <c r="AJ648">
        <v>702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ROW(Source!A411)</f>
        <v>411</v>
      </c>
      <c r="B649">
        <v>16744873</v>
      </c>
      <c r="C649">
        <v>16744849</v>
      </c>
      <c r="D649">
        <v>15221284</v>
      </c>
      <c r="E649">
        <v>1</v>
      </c>
      <c r="F649">
        <v>1</v>
      </c>
      <c r="G649">
        <v>1</v>
      </c>
      <c r="H649">
        <v>3</v>
      </c>
      <c r="I649" t="s">
        <v>1744</v>
      </c>
      <c r="J649" t="s">
        <v>1745</v>
      </c>
      <c r="K649" t="s">
        <v>1746</v>
      </c>
      <c r="L649">
        <v>1355</v>
      </c>
      <c r="N649">
        <v>1010</v>
      </c>
      <c r="O649" t="s">
        <v>843</v>
      </c>
      <c r="P649" t="s">
        <v>843</v>
      </c>
      <c r="Q649">
        <v>100</v>
      </c>
      <c r="X649">
        <v>4.1000000000000002E-2</v>
      </c>
      <c r="Y649">
        <v>528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6</v>
      </c>
      <c r="AG649">
        <v>4.1000000000000002E-2</v>
      </c>
      <c r="AH649">
        <v>2</v>
      </c>
      <c r="AI649">
        <v>16744859</v>
      </c>
      <c r="AJ649">
        <v>703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ROW(Source!A411)</f>
        <v>411</v>
      </c>
      <c r="B650">
        <v>16744874</v>
      </c>
      <c r="C650">
        <v>16744849</v>
      </c>
      <c r="D650">
        <v>15233312</v>
      </c>
      <c r="E650">
        <v>1</v>
      </c>
      <c r="F650">
        <v>1</v>
      </c>
      <c r="G650">
        <v>1</v>
      </c>
      <c r="H650">
        <v>3</v>
      </c>
      <c r="I650" t="s">
        <v>1652</v>
      </c>
      <c r="J650" t="s">
        <v>1653</v>
      </c>
      <c r="K650" t="s">
        <v>1654</v>
      </c>
      <c r="L650">
        <v>1346</v>
      </c>
      <c r="N650">
        <v>1009</v>
      </c>
      <c r="O650" t="s">
        <v>341</v>
      </c>
      <c r="P650" t="s">
        <v>341</v>
      </c>
      <c r="Q650">
        <v>1</v>
      </c>
      <c r="X650">
        <v>0.124</v>
      </c>
      <c r="Y650">
        <v>35.700000000000003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6</v>
      </c>
      <c r="AG650">
        <v>0.124</v>
      </c>
      <c r="AH650">
        <v>2</v>
      </c>
      <c r="AI650">
        <v>16744860</v>
      </c>
      <c r="AJ650">
        <v>705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ROW(Source!A411)</f>
        <v>411</v>
      </c>
      <c r="B651">
        <v>16744875</v>
      </c>
      <c r="C651">
        <v>16744849</v>
      </c>
      <c r="D651">
        <v>15164559</v>
      </c>
      <c r="E651">
        <v>17</v>
      </c>
      <c r="F651">
        <v>1</v>
      </c>
      <c r="G651">
        <v>1</v>
      </c>
      <c r="H651">
        <v>3</v>
      </c>
      <c r="I651" t="s">
        <v>1334</v>
      </c>
      <c r="J651" t="s">
        <v>6</v>
      </c>
      <c r="K651" t="s">
        <v>1335</v>
      </c>
      <c r="L651">
        <v>1374</v>
      </c>
      <c r="N651">
        <v>1013</v>
      </c>
      <c r="O651" t="s">
        <v>1336</v>
      </c>
      <c r="P651" t="s">
        <v>1336</v>
      </c>
      <c r="Q651">
        <v>1</v>
      </c>
      <c r="X651">
        <v>0.51</v>
      </c>
      <c r="Y651">
        <v>1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6</v>
      </c>
      <c r="AG651">
        <v>0.51</v>
      </c>
      <c r="AH651">
        <v>2</v>
      </c>
      <c r="AI651">
        <v>16744861</v>
      </c>
      <c r="AJ651">
        <v>706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ROW(Source!A413)</f>
        <v>413</v>
      </c>
      <c r="B652">
        <v>16744887</v>
      </c>
      <c r="C652">
        <v>16744877</v>
      </c>
      <c r="D652">
        <v>15442878</v>
      </c>
      <c r="E652">
        <v>1</v>
      </c>
      <c r="F652">
        <v>1</v>
      </c>
      <c r="G652">
        <v>1</v>
      </c>
      <c r="H652">
        <v>1</v>
      </c>
      <c r="I652" t="s">
        <v>1639</v>
      </c>
      <c r="J652" t="s">
        <v>6</v>
      </c>
      <c r="K652" t="s">
        <v>1640</v>
      </c>
      <c r="L652">
        <v>1191</v>
      </c>
      <c r="N652">
        <v>1013</v>
      </c>
      <c r="O652" t="s">
        <v>1287</v>
      </c>
      <c r="P652" t="s">
        <v>1287</v>
      </c>
      <c r="Q652">
        <v>1</v>
      </c>
      <c r="X652">
        <v>0.9</v>
      </c>
      <c r="Y652">
        <v>0</v>
      </c>
      <c r="Z652">
        <v>0</v>
      </c>
      <c r="AA652">
        <v>0</v>
      </c>
      <c r="AB652">
        <v>10.5</v>
      </c>
      <c r="AC652">
        <v>0</v>
      </c>
      <c r="AD652">
        <v>1</v>
      </c>
      <c r="AE652">
        <v>1</v>
      </c>
      <c r="AF652" t="s">
        <v>6</v>
      </c>
      <c r="AG652">
        <v>0.9</v>
      </c>
      <c r="AH652">
        <v>2</v>
      </c>
      <c r="AI652">
        <v>16744878</v>
      </c>
      <c r="AJ652">
        <v>707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ROW(Source!A413)</f>
        <v>413</v>
      </c>
      <c r="B653">
        <v>16744888</v>
      </c>
      <c r="C653">
        <v>16744877</v>
      </c>
      <c r="D653">
        <v>15430395</v>
      </c>
      <c r="E653">
        <v>1</v>
      </c>
      <c r="F653">
        <v>1</v>
      </c>
      <c r="G653">
        <v>1</v>
      </c>
      <c r="H653">
        <v>1</v>
      </c>
      <c r="I653" t="s">
        <v>1293</v>
      </c>
      <c r="J653" t="s">
        <v>6</v>
      </c>
      <c r="K653" t="s">
        <v>1294</v>
      </c>
      <c r="L653">
        <v>1191</v>
      </c>
      <c r="N653">
        <v>1013</v>
      </c>
      <c r="O653" t="s">
        <v>1287</v>
      </c>
      <c r="P653" t="s">
        <v>1287</v>
      </c>
      <c r="Q653">
        <v>1</v>
      </c>
      <c r="X653">
        <v>0.2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2</v>
      </c>
      <c r="AF653" t="s">
        <v>6</v>
      </c>
      <c r="AG653">
        <v>0.2</v>
      </c>
      <c r="AH653">
        <v>2</v>
      </c>
      <c r="AI653">
        <v>16744879</v>
      </c>
      <c r="AJ653">
        <v>708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ROW(Source!A413)</f>
        <v>413</v>
      </c>
      <c r="B654">
        <v>16744889</v>
      </c>
      <c r="C654">
        <v>16744877</v>
      </c>
      <c r="D654">
        <v>15247680</v>
      </c>
      <c r="E654">
        <v>1</v>
      </c>
      <c r="F654">
        <v>1</v>
      </c>
      <c r="G654">
        <v>1</v>
      </c>
      <c r="H654">
        <v>2</v>
      </c>
      <c r="I654" t="s">
        <v>1295</v>
      </c>
      <c r="J654" t="s">
        <v>1296</v>
      </c>
      <c r="K654" t="s">
        <v>1297</v>
      </c>
      <c r="L654">
        <v>1368</v>
      </c>
      <c r="N654">
        <v>1011</v>
      </c>
      <c r="O654" t="s">
        <v>1298</v>
      </c>
      <c r="P654" t="s">
        <v>1298</v>
      </c>
      <c r="Q654">
        <v>1</v>
      </c>
      <c r="X654">
        <v>0.1</v>
      </c>
      <c r="Y654">
        <v>0</v>
      </c>
      <c r="Z654">
        <v>111.99</v>
      </c>
      <c r="AA654">
        <v>13.5</v>
      </c>
      <c r="AB654">
        <v>0</v>
      </c>
      <c r="AC654">
        <v>0</v>
      </c>
      <c r="AD654">
        <v>1</v>
      </c>
      <c r="AE654">
        <v>0</v>
      </c>
      <c r="AF654" t="s">
        <v>6</v>
      </c>
      <c r="AG654">
        <v>0.1</v>
      </c>
      <c r="AH654">
        <v>2</v>
      </c>
      <c r="AI654">
        <v>16744880</v>
      </c>
      <c r="AJ654">
        <v>709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ROW(Source!A413)</f>
        <v>413</v>
      </c>
      <c r="B655">
        <v>16744890</v>
      </c>
      <c r="C655">
        <v>16744877</v>
      </c>
      <c r="D655">
        <v>15249073</v>
      </c>
      <c r="E655">
        <v>1</v>
      </c>
      <c r="F655">
        <v>1</v>
      </c>
      <c r="G655">
        <v>1</v>
      </c>
      <c r="H655">
        <v>2</v>
      </c>
      <c r="I655" t="s">
        <v>1299</v>
      </c>
      <c r="J655" t="s">
        <v>1300</v>
      </c>
      <c r="K655" t="s">
        <v>1301</v>
      </c>
      <c r="L655">
        <v>1368</v>
      </c>
      <c r="N655">
        <v>1011</v>
      </c>
      <c r="O655" t="s">
        <v>1298</v>
      </c>
      <c r="P655" t="s">
        <v>1298</v>
      </c>
      <c r="Q655">
        <v>1</v>
      </c>
      <c r="X655">
        <v>0.1</v>
      </c>
      <c r="Y655">
        <v>0</v>
      </c>
      <c r="Z655">
        <v>65.709999999999994</v>
      </c>
      <c r="AA655">
        <v>11.6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0.1</v>
      </c>
      <c r="AH655">
        <v>2</v>
      </c>
      <c r="AI655">
        <v>16744881</v>
      </c>
      <c r="AJ655">
        <v>710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ROW(Source!A413)</f>
        <v>413</v>
      </c>
      <c r="B656">
        <v>16744891</v>
      </c>
      <c r="C656">
        <v>16744877</v>
      </c>
      <c r="D656">
        <v>15167588</v>
      </c>
      <c r="E656">
        <v>1</v>
      </c>
      <c r="F656">
        <v>1</v>
      </c>
      <c r="G656">
        <v>1</v>
      </c>
      <c r="H656">
        <v>3</v>
      </c>
      <c r="I656" t="s">
        <v>1641</v>
      </c>
      <c r="J656" t="s">
        <v>1642</v>
      </c>
      <c r="K656" t="s">
        <v>1643</v>
      </c>
      <c r="L656">
        <v>1346</v>
      </c>
      <c r="N656">
        <v>1009</v>
      </c>
      <c r="O656" t="s">
        <v>341</v>
      </c>
      <c r="P656" t="s">
        <v>341</v>
      </c>
      <c r="Q656">
        <v>1</v>
      </c>
      <c r="X656">
        <v>0.01</v>
      </c>
      <c r="Y656">
        <v>30.4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0.01</v>
      </c>
      <c r="AH656">
        <v>2</v>
      </c>
      <c r="AI656">
        <v>16744882</v>
      </c>
      <c r="AJ656">
        <v>711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ROW(Source!A413)</f>
        <v>413</v>
      </c>
      <c r="B657">
        <v>16744892</v>
      </c>
      <c r="C657">
        <v>16744877</v>
      </c>
      <c r="D657">
        <v>15169942</v>
      </c>
      <c r="E657">
        <v>1</v>
      </c>
      <c r="F657">
        <v>1</v>
      </c>
      <c r="G657">
        <v>1</v>
      </c>
      <c r="H657">
        <v>3</v>
      </c>
      <c r="I657" t="s">
        <v>1644</v>
      </c>
      <c r="J657" t="s">
        <v>1645</v>
      </c>
      <c r="K657" t="s">
        <v>1310</v>
      </c>
      <c r="L657">
        <v>1346</v>
      </c>
      <c r="N657">
        <v>1009</v>
      </c>
      <c r="O657" t="s">
        <v>341</v>
      </c>
      <c r="P657" t="s">
        <v>341</v>
      </c>
      <c r="Q657">
        <v>1</v>
      </c>
      <c r="X657">
        <v>0.3</v>
      </c>
      <c r="Y657">
        <v>9.0399999999999991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0.3</v>
      </c>
      <c r="AH657">
        <v>2</v>
      </c>
      <c r="AI657">
        <v>16744883</v>
      </c>
      <c r="AJ657">
        <v>712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ROW(Source!A413)</f>
        <v>413</v>
      </c>
      <c r="B658">
        <v>16744893</v>
      </c>
      <c r="C658">
        <v>16744877</v>
      </c>
      <c r="D658">
        <v>15191488</v>
      </c>
      <c r="E658">
        <v>1</v>
      </c>
      <c r="F658">
        <v>1</v>
      </c>
      <c r="G658">
        <v>1</v>
      </c>
      <c r="H658">
        <v>3</v>
      </c>
      <c r="I658" t="s">
        <v>1646</v>
      </c>
      <c r="J658" t="s">
        <v>1647</v>
      </c>
      <c r="K658" t="s">
        <v>1648</v>
      </c>
      <c r="L658">
        <v>1348</v>
      </c>
      <c r="N658">
        <v>1009</v>
      </c>
      <c r="O658" t="s">
        <v>100</v>
      </c>
      <c r="P658" t="s">
        <v>100</v>
      </c>
      <c r="Q658">
        <v>1000</v>
      </c>
      <c r="X658">
        <v>5.9999999999999995E-4</v>
      </c>
      <c r="Y658">
        <v>5000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6</v>
      </c>
      <c r="AG658">
        <v>5.9999999999999995E-4</v>
      </c>
      <c r="AH658">
        <v>2</v>
      </c>
      <c r="AI658">
        <v>16744884</v>
      </c>
      <c r="AJ658">
        <v>713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ROW(Source!A413)</f>
        <v>413</v>
      </c>
      <c r="B659">
        <v>16744894</v>
      </c>
      <c r="C659">
        <v>16744877</v>
      </c>
      <c r="D659">
        <v>15164559</v>
      </c>
      <c r="E659">
        <v>17</v>
      </c>
      <c r="F659">
        <v>1</v>
      </c>
      <c r="G659">
        <v>1</v>
      </c>
      <c r="H659">
        <v>3</v>
      </c>
      <c r="I659" t="s">
        <v>1334</v>
      </c>
      <c r="J659" t="s">
        <v>6</v>
      </c>
      <c r="K659" t="s">
        <v>1335</v>
      </c>
      <c r="L659">
        <v>1374</v>
      </c>
      <c r="N659">
        <v>1013</v>
      </c>
      <c r="O659" t="s">
        <v>1336</v>
      </c>
      <c r="P659" t="s">
        <v>1336</v>
      </c>
      <c r="Q659">
        <v>1</v>
      </c>
      <c r="X659">
        <v>0.19</v>
      </c>
      <c r="Y659">
        <v>1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0.19</v>
      </c>
      <c r="AH659">
        <v>2</v>
      </c>
      <c r="AI659">
        <v>16744886</v>
      </c>
      <c r="AJ659">
        <v>715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ROW(Source!A415)</f>
        <v>415</v>
      </c>
      <c r="B660">
        <v>16744922</v>
      </c>
      <c r="C660">
        <v>16744896</v>
      </c>
      <c r="D660">
        <v>15435721</v>
      </c>
      <c r="E660">
        <v>1</v>
      </c>
      <c r="F660">
        <v>1</v>
      </c>
      <c r="G660">
        <v>1</v>
      </c>
      <c r="H660">
        <v>1</v>
      </c>
      <c r="I660" t="s">
        <v>1609</v>
      </c>
      <c r="J660" t="s">
        <v>6</v>
      </c>
      <c r="K660" t="s">
        <v>1610</v>
      </c>
      <c r="L660">
        <v>1191</v>
      </c>
      <c r="N660">
        <v>1013</v>
      </c>
      <c r="O660" t="s">
        <v>1287</v>
      </c>
      <c r="P660" t="s">
        <v>1287</v>
      </c>
      <c r="Q660">
        <v>1</v>
      </c>
      <c r="X660">
        <v>1.56</v>
      </c>
      <c r="Y660">
        <v>0</v>
      </c>
      <c r="Z660">
        <v>0</v>
      </c>
      <c r="AA660">
        <v>0</v>
      </c>
      <c r="AB660">
        <v>9.51</v>
      </c>
      <c r="AC660">
        <v>0</v>
      </c>
      <c r="AD660">
        <v>1</v>
      </c>
      <c r="AE660">
        <v>1</v>
      </c>
      <c r="AF660" t="s">
        <v>6</v>
      </c>
      <c r="AG660">
        <v>1.56</v>
      </c>
      <c r="AH660">
        <v>2</v>
      </c>
      <c r="AI660">
        <v>16744897</v>
      </c>
      <c r="AJ660">
        <v>716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ROW(Source!A415)</f>
        <v>415</v>
      </c>
      <c r="B661">
        <v>16744923</v>
      </c>
      <c r="C661">
        <v>16744896</v>
      </c>
      <c r="D661">
        <v>15249377</v>
      </c>
      <c r="E661">
        <v>1</v>
      </c>
      <c r="F661">
        <v>1</v>
      </c>
      <c r="G661">
        <v>1</v>
      </c>
      <c r="H661">
        <v>2</v>
      </c>
      <c r="I661" t="s">
        <v>1302</v>
      </c>
      <c r="J661" t="s">
        <v>1303</v>
      </c>
      <c r="K661" t="s">
        <v>1304</v>
      </c>
      <c r="L661">
        <v>1368</v>
      </c>
      <c r="N661">
        <v>1011</v>
      </c>
      <c r="O661" t="s">
        <v>1298</v>
      </c>
      <c r="P661" t="s">
        <v>1298</v>
      </c>
      <c r="Q661">
        <v>1</v>
      </c>
      <c r="X661">
        <v>0.13</v>
      </c>
      <c r="Y661">
        <v>0</v>
      </c>
      <c r="Z661">
        <v>8.1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6</v>
      </c>
      <c r="AG661">
        <v>0.13</v>
      </c>
      <c r="AH661">
        <v>2</v>
      </c>
      <c r="AI661">
        <v>16744898</v>
      </c>
      <c r="AJ661">
        <v>717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ROW(Source!A415)</f>
        <v>415</v>
      </c>
      <c r="B662">
        <v>16744924</v>
      </c>
      <c r="C662">
        <v>16744896</v>
      </c>
      <c r="D662">
        <v>15165537</v>
      </c>
      <c r="E662">
        <v>1</v>
      </c>
      <c r="F662">
        <v>1</v>
      </c>
      <c r="G662">
        <v>1</v>
      </c>
      <c r="H662">
        <v>3</v>
      </c>
      <c r="I662" t="s">
        <v>1696</v>
      </c>
      <c r="J662" t="s">
        <v>1697</v>
      </c>
      <c r="K662" t="s">
        <v>1698</v>
      </c>
      <c r="L662">
        <v>1346</v>
      </c>
      <c r="N662">
        <v>1009</v>
      </c>
      <c r="O662" t="s">
        <v>341</v>
      </c>
      <c r="P662" t="s">
        <v>341</v>
      </c>
      <c r="Q662">
        <v>1</v>
      </c>
      <c r="X662">
        <v>6.0000000000000001E-3</v>
      </c>
      <c r="Y662">
        <v>44.97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6</v>
      </c>
      <c r="AG662">
        <v>6.0000000000000001E-3</v>
      </c>
      <c r="AH662">
        <v>2</v>
      </c>
      <c r="AI662">
        <v>16744899</v>
      </c>
      <c r="AJ662">
        <v>718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ROW(Source!A415)</f>
        <v>415</v>
      </c>
      <c r="B663">
        <v>16744925</v>
      </c>
      <c r="C663">
        <v>16744896</v>
      </c>
      <c r="D663">
        <v>15167269</v>
      </c>
      <c r="E663">
        <v>1</v>
      </c>
      <c r="F663">
        <v>1</v>
      </c>
      <c r="G663">
        <v>1</v>
      </c>
      <c r="H663">
        <v>3</v>
      </c>
      <c r="I663" t="s">
        <v>1699</v>
      </c>
      <c r="J663" t="s">
        <v>1700</v>
      </c>
      <c r="K663" t="s">
        <v>1701</v>
      </c>
      <c r="L663">
        <v>1346</v>
      </c>
      <c r="N663">
        <v>1009</v>
      </c>
      <c r="O663" t="s">
        <v>341</v>
      </c>
      <c r="P663" t="s">
        <v>341</v>
      </c>
      <c r="Q663">
        <v>1</v>
      </c>
      <c r="X663">
        <v>1E-3</v>
      </c>
      <c r="Y663">
        <v>11.5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6</v>
      </c>
      <c r="AG663">
        <v>1E-3</v>
      </c>
      <c r="AH663">
        <v>2</v>
      </c>
      <c r="AI663">
        <v>16744900</v>
      </c>
      <c r="AJ663">
        <v>719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ROW(Source!A415)</f>
        <v>415</v>
      </c>
      <c r="B664">
        <v>16744926</v>
      </c>
      <c r="C664">
        <v>16744896</v>
      </c>
      <c r="D664">
        <v>15167588</v>
      </c>
      <c r="E664">
        <v>1</v>
      </c>
      <c r="F664">
        <v>1</v>
      </c>
      <c r="G664">
        <v>1</v>
      </c>
      <c r="H664">
        <v>3</v>
      </c>
      <c r="I664" t="s">
        <v>1641</v>
      </c>
      <c r="J664" t="s">
        <v>1642</v>
      </c>
      <c r="K664" t="s">
        <v>1643</v>
      </c>
      <c r="L664">
        <v>1346</v>
      </c>
      <c r="N664">
        <v>1009</v>
      </c>
      <c r="O664" t="s">
        <v>341</v>
      </c>
      <c r="P664" t="s">
        <v>341</v>
      </c>
      <c r="Q664">
        <v>1</v>
      </c>
      <c r="X664">
        <v>1.2E-2</v>
      </c>
      <c r="Y664">
        <v>30.4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6</v>
      </c>
      <c r="AG664">
        <v>1.2E-2</v>
      </c>
      <c r="AH664">
        <v>2</v>
      </c>
      <c r="AI664">
        <v>16744901</v>
      </c>
      <c r="AJ664">
        <v>720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ROW(Source!A415)</f>
        <v>415</v>
      </c>
      <c r="B665">
        <v>16744927</v>
      </c>
      <c r="C665">
        <v>16744896</v>
      </c>
      <c r="D665">
        <v>15168752</v>
      </c>
      <c r="E665">
        <v>1</v>
      </c>
      <c r="F665">
        <v>1</v>
      </c>
      <c r="G665">
        <v>1</v>
      </c>
      <c r="H665">
        <v>3</v>
      </c>
      <c r="I665" t="s">
        <v>1325</v>
      </c>
      <c r="J665" t="s">
        <v>1326</v>
      </c>
      <c r="K665" t="s">
        <v>1327</v>
      </c>
      <c r="L665">
        <v>1346</v>
      </c>
      <c r="N665">
        <v>1009</v>
      </c>
      <c r="O665" t="s">
        <v>341</v>
      </c>
      <c r="P665" t="s">
        <v>341</v>
      </c>
      <c r="Q665">
        <v>1</v>
      </c>
      <c r="X665">
        <v>7.0000000000000007E-2</v>
      </c>
      <c r="Y665">
        <v>10.57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6</v>
      </c>
      <c r="AG665">
        <v>7.0000000000000007E-2</v>
      </c>
      <c r="AH665">
        <v>2</v>
      </c>
      <c r="AI665">
        <v>16744902</v>
      </c>
      <c r="AJ665">
        <v>721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ROW(Source!A415)</f>
        <v>415</v>
      </c>
      <c r="B666">
        <v>16744928</v>
      </c>
      <c r="C666">
        <v>16744896</v>
      </c>
      <c r="D666">
        <v>15169942</v>
      </c>
      <c r="E666">
        <v>1</v>
      </c>
      <c r="F666">
        <v>1</v>
      </c>
      <c r="G666">
        <v>1</v>
      </c>
      <c r="H666">
        <v>3</v>
      </c>
      <c r="I666" t="s">
        <v>1644</v>
      </c>
      <c r="J666" t="s">
        <v>1645</v>
      </c>
      <c r="K666" t="s">
        <v>1310</v>
      </c>
      <c r="L666">
        <v>1346</v>
      </c>
      <c r="N666">
        <v>1009</v>
      </c>
      <c r="O666" t="s">
        <v>341</v>
      </c>
      <c r="P666" t="s">
        <v>341</v>
      </c>
      <c r="Q666">
        <v>1</v>
      </c>
      <c r="X666">
        <v>4.9000000000000002E-2</v>
      </c>
      <c r="Y666">
        <v>9.0399999999999991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6</v>
      </c>
      <c r="AG666">
        <v>4.9000000000000002E-2</v>
      </c>
      <c r="AH666">
        <v>2</v>
      </c>
      <c r="AI666">
        <v>16744903</v>
      </c>
      <c r="AJ666">
        <v>722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ROW(Source!A415)</f>
        <v>415</v>
      </c>
      <c r="B667">
        <v>16744929</v>
      </c>
      <c r="C667">
        <v>16744896</v>
      </c>
      <c r="D667">
        <v>15170074</v>
      </c>
      <c r="E667">
        <v>1</v>
      </c>
      <c r="F667">
        <v>1</v>
      </c>
      <c r="G667">
        <v>1</v>
      </c>
      <c r="H667">
        <v>3</v>
      </c>
      <c r="I667" t="s">
        <v>1655</v>
      </c>
      <c r="J667" t="s">
        <v>1656</v>
      </c>
      <c r="K667" t="s">
        <v>1657</v>
      </c>
      <c r="L667">
        <v>1355</v>
      </c>
      <c r="N667">
        <v>1010</v>
      </c>
      <c r="O667" t="s">
        <v>843</v>
      </c>
      <c r="P667" t="s">
        <v>843</v>
      </c>
      <c r="Q667">
        <v>100</v>
      </c>
      <c r="X667">
        <v>1.4E-2</v>
      </c>
      <c r="Y667">
        <v>86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6</v>
      </c>
      <c r="AG667">
        <v>1.4E-2</v>
      </c>
      <c r="AH667">
        <v>2</v>
      </c>
      <c r="AI667">
        <v>16744904</v>
      </c>
      <c r="AJ667">
        <v>723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ROW(Source!A415)</f>
        <v>415</v>
      </c>
      <c r="B668">
        <v>16744930</v>
      </c>
      <c r="C668">
        <v>16744896</v>
      </c>
      <c r="D668">
        <v>15170994</v>
      </c>
      <c r="E668">
        <v>1</v>
      </c>
      <c r="F668">
        <v>1</v>
      </c>
      <c r="G668">
        <v>1</v>
      </c>
      <c r="H668">
        <v>3</v>
      </c>
      <c r="I668" t="s">
        <v>1702</v>
      </c>
      <c r="J668" t="s">
        <v>1703</v>
      </c>
      <c r="K668" t="s">
        <v>1704</v>
      </c>
      <c r="L668">
        <v>1346</v>
      </c>
      <c r="N668">
        <v>1009</v>
      </c>
      <c r="O668" t="s">
        <v>341</v>
      </c>
      <c r="P668" t="s">
        <v>341</v>
      </c>
      <c r="Q668">
        <v>1</v>
      </c>
      <c r="X668">
        <v>1E-3</v>
      </c>
      <c r="Y668">
        <v>133.05000000000001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6</v>
      </c>
      <c r="AG668">
        <v>1E-3</v>
      </c>
      <c r="AH668">
        <v>2</v>
      </c>
      <c r="AI668">
        <v>16744905</v>
      </c>
      <c r="AJ668">
        <v>724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ROW(Source!A415)</f>
        <v>415</v>
      </c>
      <c r="B669">
        <v>16744931</v>
      </c>
      <c r="C669">
        <v>16744896</v>
      </c>
      <c r="D669">
        <v>15188647</v>
      </c>
      <c r="E669">
        <v>1</v>
      </c>
      <c r="F669">
        <v>1</v>
      </c>
      <c r="G669">
        <v>1</v>
      </c>
      <c r="H669">
        <v>3</v>
      </c>
      <c r="I669" t="s">
        <v>1705</v>
      </c>
      <c r="J669" t="s">
        <v>1706</v>
      </c>
      <c r="K669" t="s">
        <v>1707</v>
      </c>
      <c r="L669">
        <v>1348</v>
      </c>
      <c r="N669">
        <v>1009</v>
      </c>
      <c r="O669" t="s">
        <v>100</v>
      </c>
      <c r="P669" t="s">
        <v>100</v>
      </c>
      <c r="Q669">
        <v>1000</v>
      </c>
      <c r="X669">
        <v>1E-3</v>
      </c>
      <c r="Y669">
        <v>11500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6</v>
      </c>
      <c r="AG669">
        <v>1E-3</v>
      </c>
      <c r="AH669">
        <v>2</v>
      </c>
      <c r="AI669">
        <v>16744906</v>
      </c>
      <c r="AJ669">
        <v>725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ROW(Source!A415)</f>
        <v>415</v>
      </c>
      <c r="B670">
        <v>16744932</v>
      </c>
      <c r="C670">
        <v>16744896</v>
      </c>
      <c r="D670">
        <v>15203834</v>
      </c>
      <c r="E670">
        <v>1</v>
      </c>
      <c r="F670">
        <v>1</v>
      </c>
      <c r="G670">
        <v>1</v>
      </c>
      <c r="H670">
        <v>3</v>
      </c>
      <c r="I670" t="s">
        <v>1667</v>
      </c>
      <c r="J670" t="s">
        <v>1668</v>
      </c>
      <c r="K670" t="s">
        <v>403</v>
      </c>
      <c r="L670">
        <v>1346</v>
      </c>
      <c r="N670">
        <v>1009</v>
      </c>
      <c r="O670" t="s">
        <v>341</v>
      </c>
      <c r="P670" t="s">
        <v>341</v>
      </c>
      <c r="Q670">
        <v>1</v>
      </c>
      <c r="X670">
        <v>3.5999999999999997E-2</v>
      </c>
      <c r="Y670">
        <v>28.6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6</v>
      </c>
      <c r="AG670">
        <v>3.5999999999999997E-2</v>
      </c>
      <c r="AH670">
        <v>2</v>
      </c>
      <c r="AI670">
        <v>16744907</v>
      </c>
      <c r="AJ670">
        <v>726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ROW(Source!A415)</f>
        <v>415</v>
      </c>
      <c r="B671">
        <v>16744933</v>
      </c>
      <c r="C671">
        <v>16744896</v>
      </c>
      <c r="D671">
        <v>15203987</v>
      </c>
      <c r="E671">
        <v>1</v>
      </c>
      <c r="F671">
        <v>1</v>
      </c>
      <c r="G671">
        <v>1</v>
      </c>
      <c r="H671">
        <v>3</v>
      </c>
      <c r="I671" t="s">
        <v>1708</v>
      </c>
      <c r="J671" t="s">
        <v>1709</v>
      </c>
      <c r="K671" t="s">
        <v>1710</v>
      </c>
      <c r="L671">
        <v>1346</v>
      </c>
      <c r="N671">
        <v>1009</v>
      </c>
      <c r="O671" t="s">
        <v>341</v>
      </c>
      <c r="P671" t="s">
        <v>341</v>
      </c>
      <c r="Q671">
        <v>1</v>
      </c>
      <c r="X671">
        <v>6.0000000000000001E-3</v>
      </c>
      <c r="Y671">
        <v>35.630000000000003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6</v>
      </c>
      <c r="AG671">
        <v>6.0000000000000001E-3</v>
      </c>
      <c r="AH671">
        <v>2</v>
      </c>
      <c r="AI671">
        <v>16744908</v>
      </c>
      <c r="AJ671">
        <v>727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ROW(Source!A415)</f>
        <v>415</v>
      </c>
      <c r="B672">
        <v>16744934</v>
      </c>
      <c r="C672">
        <v>16744896</v>
      </c>
      <c r="D672">
        <v>15217463</v>
      </c>
      <c r="E672">
        <v>1</v>
      </c>
      <c r="F672">
        <v>1</v>
      </c>
      <c r="G672">
        <v>1</v>
      </c>
      <c r="H672">
        <v>3</v>
      </c>
      <c r="I672" t="s">
        <v>1711</v>
      </c>
      <c r="J672" t="s">
        <v>1712</v>
      </c>
      <c r="K672" t="s">
        <v>1713</v>
      </c>
      <c r="L672">
        <v>1358</v>
      </c>
      <c r="N672">
        <v>1010</v>
      </c>
      <c r="O672" t="s">
        <v>723</v>
      </c>
      <c r="P672" t="s">
        <v>723</v>
      </c>
      <c r="Q672">
        <v>10</v>
      </c>
      <c r="X672">
        <v>0.1</v>
      </c>
      <c r="Y672">
        <v>39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6</v>
      </c>
      <c r="AG672">
        <v>0.1</v>
      </c>
      <c r="AH672">
        <v>2</v>
      </c>
      <c r="AI672">
        <v>16744909</v>
      </c>
      <c r="AJ672">
        <v>728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ROW(Source!A415)</f>
        <v>415</v>
      </c>
      <c r="B673">
        <v>16744935</v>
      </c>
      <c r="C673">
        <v>16744896</v>
      </c>
      <c r="D673">
        <v>15164559</v>
      </c>
      <c r="E673">
        <v>17</v>
      </c>
      <c r="F673">
        <v>1</v>
      </c>
      <c r="G673">
        <v>1</v>
      </c>
      <c r="H673">
        <v>3</v>
      </c>
      <c r="I673" t="s">
        <v>1334</v>
      </c>
      <c r="J673" t="s">
        <v>6</v>
      </c>
      <c r="K673" t="s">
        <v>1335</v>
      </c>
      <c r="L673">
        <v>1374</v>
      </c>
      <c r="N673">
        <v>1013</v>
      </c>
      <c r="O673" t="s">
        <v>1336</v>
      </c>
      <c r="P673" t="s">
        <v>1336</v>
      </c>
      <c r="Q673">
        <v>1</v>
      </c>
      <c r="X673">
        <v>0.3</v>
      </c>
      <c r="Y673">
        <v>1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6</v>
      </c>
      <c r="AG673">
        <v>0.3</v>
      </c>
      <c r="AH673">
        <v>2</v>
      </c>
      <c r="AI673">
        <v>16744910</v>
      </c>
      <c r="AJ673">
        <v>734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ROW(Source!A421)</f>
        <v>421</v>
      </c>
      <c r="B674">
        <v>16744953</v>
      </c>
      <c r="C674">
        <v>16744942</v>
      </c>
      <c r="D674">
        <v>15446300</v>
      </c>
      <c r="E674">
        <v>1</v>
      </c>
      <c r="F674">
        <v>1</v>
      </c>
      <c r="G674">
        <v>1</v>
      </c>
      <c r="H674">
        <v>1</v>
      </c>
      <c r="I674" t="s">
        <v>1437</v>
      </c>
      <c r="J674" t="s">
        <v>6</v>
      </c>
      <c r="K674" t="s">
        <v>1438</v>
      </c>
      <c r="L674">
        <v>1191</v>
      </c>
      <c r="N674">
        <v>1013</v>
      </c>
      <c r="O674" t="s">
        <v>1287</v>
      </c>
      <c r="P674" t="s">
        <v>1287</v>
      </c>
      <c r="Q674">
        <v>1</v>
      </c>
      <c r="X674">
        <v>1.1200000000000001</v>
      </c>
      <c r="Y674">
        <v>0</v>
      </c>
      <c r="Z674">
        <v>0</v>
      </c>
      <c r="AA674">
        <v>0</v>
      </c>
      <c r="AB674">
        <v>9.92</v>
      </c>
      <c r="AC674">
        <v>0</v>
      </c>
      <c r="AD674">
        <v>1</v>
      </c>
      <c r="AE674">
        <v>1</v>
      </c>
      <c r="AF674" t="s">
        <v>6</v>
      </c>
      <c r="AG674">
        <v>1.1200000000000001</v>
      </c>
      <c r="AH674">
        <v>2</v>
      </c>
      <c r="AI674">
        <v>16744947</v>
      </c>
      <c r="AJ674">
        <v>735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ROW(Source!A421)</f>
        <v>421</v>
      </c>
      <c r="B675">
        <v>16744954</v>
      </c>
      <c r="C675">
        <v>16744942</v>
      </c>
      <c r="D675">
        <v>15169942</v>
      </c>
      <c r="E675">
        <v>1</v>
      </c>
      <c r="F675">
        <v>1</v>
      </c>
      <c r="G675">
        <v>1</v>
      </c>
      <c r="H675">
        <v>3</v>
      </c>
      <c r="I675" t="s">
        <v>1644</v>
      </c>
      <c r="J675" t="s">
        <v>1645</v>
      </c>
      <c r="K675" t="s">
        <v>1310</v>
      </c>
      <c r="L675">
        <v>1346</v>
      </c>
      <c r="N675">
        <v>1009</v>
      </c>
      <c r="O675" t="s">
        <v>341</v>
      </c>
      <c r="P675" t="s">
        <v>341</v>
      </c>
      <c r="Q675">
        <v>1</v>
      </c>
      <c r="X675">
        <v>0.02</v>
      </c>
      <c r="Y675">
        <v>9.0399999999999991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6</v>
      </c>
      <c r="AG675">
        <v>0.02</v>
      </c>
      <c r="AH675">
        <v>2</v>
      </c>
      <c r="AI675">
        <v>16744948</v>
      </c>
      <c r="AJ675">
        <v>736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ROW(Source!A421)</f>
        <v>421</v>
      </c>
      <c r="B676">
        <v>16744955</v>
      </c>
      <c r="C676">
        <v>16744942</v>
      </c>
      <c r="D676">
        <v>15164559</v>
      </c>
      <c r="E676">
        <v>17</v>
      </c>
      <c r="F676">
        <v>1</v>
      </c>
      <c r="G676">
        <v>1</v>
      </c>
      <c r="H676">
        <v>3</v>
      </c>
      <c r="I676" t="s">
        <v>1334</v>
      </c>
      <c r="J676" t="s">
        <v>6</v>
      </c>
      <c r="K676" t="s">
        <v>1335</v>
      </c>
      <c r="L676">
        <v>1374</v>
      </c>
      <c r="N676">
        <v>1013</v>
      </c>
      <c r="O676" t="s">
        <v>1336</v>
      </c>
      <c r="P676" t="s">
        <v>1336</v>
      </c>
      <c r="Q676">
        <v>1</v>
      </c>
      <c r="X676">
        <v>0.22</v>
      </c>
      <c r="Y676">
        <v>1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0.22</v>
      </c>
      <c r="AH676">
        <v>2</v>
      </c>
      <c r="AI676">
        <v>16744949</v>
      </c>
      <c r="AJ676">
        <v>740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ROW(Source!A425)</f>
        <v>425</v>
      </c>
      <c r="B677">
        <v>16744962</v>
      </c>
      <c r="C677">
        <v>16744960</v>
      </c>
      <c r="D677">
        <v>15430767</v>
      </c>
      <c r="E677">
        <v>1</v>
      </c>
      <c r="F677">
        <v>1</v>
      </c>
      <c r="G677">
        <v>1</v>
      </c>
      <c r="H677">
        <v>1</v>
      </c>
      <c r="I677" t="s">
        <v>1285</v>
      </c>
      <c r="J677" t="s">
        <v>6</v>
      </c>
      <c r="K677" t="s">
        <v>1286</v>
      </c>
      <c r="L677">
        <v>1191</v>
      </c>
      <c r="N677">
        <v>1013</v>
      </c>
      <c r="O677" t="s">
        <v>1287</v>
      </c>
      <c r="P677" t="s">
        <v>1287</v>
      </c>
      <c r="Q677">
        <v>1</v>
      </c>
      <c r="X677">
        <v>5.49</v>
      </c>
      <c r="Y677">
        <v>0</v>
      </c>
      <c r="Z677">
        <v>0</v>
      </c>
      <c r="AA677">
        <v>0</v>
      </c>
      <c r="AB677">
        <v>8.5299999999999994</v>
      </c>
      <c r="AC677">
        <v>0</v>
      </c>
      <c r="AD677">
        <v>1</v>
      </c>
      <c r="AE677">
        <v>1</v>
      </c>
      <c r="AF677" t="s">
        <v>6</v>
      </c>
      <c r="AG677">
        <v>5.49</v>
      </c>
      <c r="AH677">
        <v>2</v>
      </c>
      <c r="AI677">
        <v>16744961</v>
      </c>
      <c r="AJ677">
        <v>741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ROW(Source!A425)</f>
        <v>425</v>
      </c>
      <c r="B678">
        <v>16744963</v>
      </c>
      <c r="C678">
        <v>16744960</v>
      </c>
      <c r="D678">
        <v>15164566</v>
      </c>
      <c r="E678">
        <v>17</v>
      </c>
      <c r="F678">
        <v>1</v>
      </c>
      <c r="G678">
        <v>1</v>
      </c>
      <c r="H678">
        <v>3</v>
      </c>
      <c r="I678" t="s">
        <v>98</v>
      </c>
      <c r="J678" t="s">
        <v>6</v>
      </c>
      <c r="K678" t="s">
        <v>99</v>
      </c>
      <c r="L678">
        <v>1348</v>
      </c>
      <c r="N678">
        <v>1009</v>
      </c>
      <c r="O678" t="s">
        <v>100</v>
      </c>
      <c r="P678" t="s">
        <v>100</v>
      </c>
      <c r="Q678">
        <v>1000</v>
      </c>
      <c r="X678">
        <v>6.0000000000000001E-3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 t="s">
        <v>6</v>
      </c>
      <c r="AG678">
        <v>6.0000000000000001E-3</v>
      </c>
      <c r="AH678">
        <v>3</v>
      </c>
      <c r="AI678">
        <v>-1</v>
      </c>
      <c r="AJ678" t="s">
        <v>6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ROW(Source!A426)</f>
        <v>426</v>
      </c>
      <c r="B679">
        <v>16744976</v>
      </c>
      <c r="C679">
        <v>16744964</v>
      </c>
      <c r="D679">
        <v>15430397</v>
      </c>
      <c r="E679">
        <v>1</v>
      </c>
      <c r="F679">
        <v>1</v>
      </c>
      <c r="G679">
        <v>1</v>
      </c>
      <c r="H679">
        <v>1</v>
      </c>
      <c r="I679" t="s">
        <v>1323</v>
      </c>
      <c r="J679" t="s">
        <v>6</v>
      </c>
      <c r="K679" t="s">
        <v>1324</v>
      </c>
      <c r="L679">
        <v>1191</v>
      </c>
      <c r="N679">
        <v>1013</v>
      </c>
      <c r="O679" t="s">
        <v>1287</v>
      </c>
      <c r="P679" t="s">
        <v>1287</v>
      </c>
      <c r="Q679">
        <v>1</v>
      </c>
      <c r="X679">
        <v>15.28</v>
      </c>
      <c r="Y679">
        <v>0</v>
      </c>
      <c r="Z679">
        <v>0</v>
      </c>
      <c r="AA679">
        <v>0</v>
      </c>
      <c r="AB679">
        <v>9.4</v>
      </c>
      <c r="AC679">
        <v>0</v>
      </c>
      <c r="AD679">
        <v>1</v>
      </c>
      <c r="AE679">
        <v>1</v>
      </c>
      <c r="AF679" t="s">
        <v>6</v>
      </c>
      <c r="AG679">
        <v>15.28</v>
      </c>
      <c r="AH679">
        <v>2</v>
      </c>
      <c r="AI679">
        <v>16744965</v>
      </c>
      <c r="AJ679">
        <v>742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ROW(Source!A426)</f>
        <v>426</v>
      </c>
      <c r="B680">
        <v>16744977</v>
      </c>
      <c r="C680">
        <v>16744964</v>
      </c>
      <c r="D680">
        <v>15430395</v>
      </c>
      <c r="E680">
        <v>1</v>
      </c>
      <c r="F680">
        <v>1</v>
      </c>
      <c r="G680">
        <v>1</v>
      </c>
      <c r="H680">
        <v>1</v>
      </c>
      <c r="I680" t="s">
        <v>1293</v>
      </c>
      <c r="J680" t="s">
        <v>6</v>
      </c>
      <c r="K680" t="s">
        <v>1294</v>
      </c>
      <c r="L680">
        <v>1191</v>
      </c>
      <c r="N680">
        <v>1013</v>
      </c>
      <c r="O680" t="s">
        <v>1287</v>
      </c>
      <c r="P680" t="s">
        <v>1287</v>
      </c>
      <c r="Q680">
        <v>1</v>
      </c>
      <c r="X680">
        <v>0.22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2</v>
      </c>
      <c r="AF680" t="s">
        <v>6</v>
      </c>
      <c r="AG680">
        <v>0.22</v>
      </c>
      <c r="AH680">
        <v>2</v>
      </c>
      <c r="AI680">
        <v>16744966</v>
      </c>
      <c r="AJ680">
        <v>743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ROW(Source!A426)</f>
        <v>426</v>
      </c>
      <c r="B681">
        <v>16744978</v>
      </c>
      <c r="C681">
        <v>16744964</v>
      </c>
      <c r="D681">
        <v>15247680</v>
      </c>
      <c r="E681">
        <v>1</v>
      </c>
      <c r="F681">
        <v>1</v>
      </c>
      <c r="G681">
        <v>1</v>
      </c>
      <c r="H681">
        <v>2</v>
      </c>
      <c r="I681" t="s">
        <v>1295</v>
      </c>
      <c r="J681" t="s">
        <v>1296</v>
      </c>
      <c r="K681" t="s">
        <v>1297</v>
      </c>
      <c r="L681">
        <v>1368</v>
      </c>
      <c r="N681">
        <v>1011</v>
      </c>
      <c r="O681" t="s">
        <v>1298</v>
      </c>
      <c r="P681" t="s">
        <v>1298</v>
      </c>
      <c r="Q681">
        <v>1</v>
      </c>
      <c r="X681">
        <v>0.11</v>
      </c>
      <c r="Y681">
        <v>0</v>
      </c>
      <c r="Z681">
        <v>111.99</v>
      </c>
      <c r="AA681">
        <v>13.5</v>
      </c>
      <c r="AB681">
        <v>0</v>
      </c>
      <c r="AC681">
        <v>0</v>
      </c>
      <c r="AD681">
        <v>1</v>
      </c>
      <c r="AE681">
        <v>0</v>
      </c>
      <c r="AF681" t="s">
        <v>6</v>
      </c>
      <c r="AG681">
        <v>0.11</v>
      </c>
      <c r="AH681">
        <v>2</v>
      </c>
      <c r="AI681">
        <v>16744967</v>
      </c>
      <c r="AJ681">
        <v>744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ROW(Source!A426)</f>
        <v>426</v>
      </c>
      <c r="B682">
        <v>16744979</v>
      </c>
      <c r="C682">
        <v>16744964</v>
      </c>
      <c r="D682">
        <v>15249073</v>
      </c>
      <c r="E682">
        <v>1</v>
      </c>
      <c r="F682">
        <v>1</v>
      </c>
      <c r="G682">
        <v>1</v>
      </c>
      <c r="H682">
        <v>2</v>
      </c>
      <c r="I682" t="s">
        <v>1299</v>
      </c>
      <c r="J682" t="s">
        <v>1300</v>
      </c>
      <c r="K682" t="s">
        <v>1301</v>
      </c>
      <c r="L682">
        <v>1368</v>
      </c>
      <c r="N682">
        <v>1011</v>
      </c>
      <c r="O682" t="s">
        <v>1298</v>
      </c>
      <c r="P682" t="s">
        <v>1298</v>
      </c>
      <c r="Q682">
        <v>1</v>
      </c>
      <c r="X682">
        <v>0.11</v>
      </c>
      <c r="Y682">
        <v>0</v>
      </c>
      <c r="Z682">
        <v>65.709999999999994</v>
      </c>
      <c r="AA682">
        <v>11.6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0.11</v>
      </c>
      <c r="AH682">
        <v>2</v>
      </c>
      <c r="AI682">
        <v>16744968</v>
      </c>
      <c r="AJ682">
        <v>745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ROW(Source!A426)</f>
        <v>426</v>
      </c>
      <c r="B683">
        <v>16744980</v>
      </c>
      <c r="C683">
        <v>16744964</v>
      </c>
      <c r="D683">
        <v>15172838</v>
      </c>
      <c r="E683">
        <v>1</v>
      </c>
      <c r="F683">
        <v>1</v>
      </c>
      <c r="G683">
        <v>1</v>
      </c>
      <c r="H683">
        <v>3</v>
      </c>
      <c r="I683" t="s">
        <v>1681</v>
      </c>
      <c r="J683" t="s">
        <v>1682</v>
      </c>
      <c r="K683" t="s">
        <v>1683</v>
      </c>
      <c r="L683">
        <v>1339</v>
      </c>
      <c r="N683">
        <v>1007</v>
      </c>
      <c r="O683" t="s">
        <v>301</v>
      </c>
      <c r="P683" t="s">
        <v>301</v>
      </c>
      <c r="Q683">
        <v>1</v>
      </c>
      <c r="X683">
        <v>2.1000000000000001E-2</v>
      </c>
      <c r="Y683">
        <v>600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6</v>
      </c>
      <c r="AG683">
        <v>2.1000000000000001E-2</v>
      </c>
      <c r="AH683">
        <v>2</v>
      </c>
      <c r="AI683">
        <v>16744969</v>
      </c>
      <c r="AJ683">
        <v>746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ROW(Source!A426)</f>
        <v>426</v>
      </c>
      <c r="B684">
        <v>16744981</v>
      </c>
      <c r="C684">
        <v>16744964</v>
      </c>
      <c r="D684">
        <v>15202442</v>
      </c>
      <c r="E684">
        <v>1</v>
      </c>
      <c r="F684">
        <v>1</v>
      </c>
      <c r="G684">
        <v>1</v>
      </c>
      <c r="H684">
        <v>3</v>
      </c>
      <c r="I684" t="s">
        <v>1684</v>
      </c>
      <c r="J684" t="s">
        <v>1685</v>
      </c>
      <c r="K684" t="s">
        <v>1686</v>
      </c>
      <c r="L684">
        <v>1346</v>
      </c>
      <c r="N684">
        <v>1009</v>
      </c>
      <c r="O684" t="s">
        <v>341</v>
      </c>
      <c r="P684" t="s">
        <v>341</v>
      </c>
      <c r="Q684">
        <v>1</v>
      </c>
      <c r="X684">
        <v>0.4</v>
      </c>
      <c r="Y684">
        <v>25.8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0.4</v>
      </c>
      <c r="AH684">
        <v>2</v>
      </c>
      <c r="AI684">
        <v>16744970</v>
      </c>
      <c r="AJ684">
        <v>747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ROW(Source!A426)</f>
        <v>426</v>
      </c>
      <c r="B685">
        <v>16744982</v>
      </c>
      <c r="C685">
        <v>16744964</v>
      </c>
      <c r="D685">
        <v>15217585</v>
      </c>
      <c r="E685">
        <v>1</v>
      </c>
      <c r="F685">
        <v>1</v>
      </c>
      <c r="G685">
        <v>1</v>
      </c>
      <c r="H685">
        <v>3</v>
      </c>
      <c r="I685" t="s">
        <v>1687</v>
      </c>
      <c r="J685" t="s">
        <v>1688</v>
      </c>
      <c r="K685" t="s">
        <v>1689</v>
      </c>
      <c r="L685">
        <v>1356</v>
      </c>
      <c r="N685">
        <v>1010</v>
      </c>
      <c r="O685" t="s">
        <v>306</v>
      </c>
      <c r="P685" t="s">
        <v>306</v>
      </c>
      <c r="Q685">
        <v>1000</v>
      </c>
      <c r="X685">
        <v>3.2000000000000001E-2</v>
      </c>
      <c r="Y685">
        <v>270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6</v>
      </c>
      <c r="AG685">
        <v>3.2000000000000001E-2</v>
      </c>
      <c r="AH685">
        <v>2</v>
      </c>
      <c r="AI685">
        <v>16744971</v>
      </c>
      <c r="AJ685">
        <v>748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ROW(Source!A426)</f>
        <v>426</v>
      </c>
      <c r="B686">
        <v>16744983</v>
      </c>
      <c r="C686">
        <v>16744964</v>
      </c>
      <c r="D686">
        <v>15217593</v>
      </c>
      <c r="E686">
        <v>1</v>
      </c>
      <c r="F686">
        <v>1</v>
      </c>
      <c r="G686">
        <v>1</v>
      </c>
      <c r="H686">
        <v>3</v>
      </c>
      <c r="I686" t="s">
        <v>1690</v>
      </c>
      <c r="J686" t="s">
        <v>1691</v>
      </c>
      <c r="K686" t="s">
        <v>1692</v>
      </c>
      <c r="L686">
        <v>1358</v>
      </c>
      <c r="N686">
        <v>1010</v>
      </c>
      <c r="O686" t="s">
        <v>723</v>
      </c>
      <c r="P686" t="s">
        <v>723</v>
      </c>
      <c r="Q686">
        <v>10</v>
      </c>
      <c r="X686">
        <v>1</v>
      </c>
      <c r="Y686">
        <v>19.899999999999999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6</v>
      </c>
      <c r="AG686">
        <v>1</v>
      </c>
      <c r="AH686">
        <v>2</v>
      </c>
      <c r="AI686">
        <v>16744972</v>
      </c>
      <c r="AJ686">
        <v>749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ROW(Source!A426)</f>
        <v>426</v>
      </c>
      <c r="B687">
        <v>16744984</v>
      </c>
      <c r="C687">
        <v>16744964</v>
      </c>
      <c r="D687">
        <v>15218939</v>
      </c>
      <c r="E687">
        <v>1</v>
      </c>
      <c r="F687">
        <v>1</v>
      </c>
      <c r="G687">
        <v>1</v>
      </c>
      <c r="H687">
        <v>3</v>
      </c>
      <c r="I687" t="s">
        <v>1693</v>
      </c>
      <c r="J687" t="s">
        <v>1694</v>
      </c>
      <c r="K687" t="s">
        <v>1695</v>
      </c>
      <c r="L687">
        <v>1354</v>
      </c>
      <c r="N687">
        <v>1010</v>
      </c>
      <c r="O687" t="s">
        <v>73</v>
      </c>
      <c r="P687" t="s">
        <v>73</v>
      </c>
      <c r="Q687">
        <v>1</v>
      </c>
      <c r="X687">
        <v>0.5</v>
      </c>
      <c r="Y687">
        <v>66.819999999999993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6</v>
      </c>
      <c r="AG687">
        <v>0.5</v>
      </c>
      <c r="AH687">
        <v>2</v>
      </c>
      <c r="AI687">
        <v>16744973</v>
      </c>
      <c r="AJ687">
        <v>750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ROW(Source!A426)</f>
        <v>426</v>
      </c>
      <c r="B688">
        <v>16744985</v>
      </c>
      <c r="C688">
        <v>16744964</v>
      </c>
      <c r="D688">
        <v>15164559</v>
      </c>
      <c r="E688">
        <v>17</v>
      </c>
      <c r="F688">
        <v>1</v>
      </c>
      <c r="G688">
        <v>1</v>
      </c>
      <c r="H688">
        <v>3</v>
      </c>
      <c r="I688" t="s">
        <v>1334</v>
      </c>
      <c r="J688" t="s">
        <v>6</v>
      </c>
      <c r="K688" t="s">
        <v>1335</v>
      </c>
      <c r="L688">
        <v>1374</v>
      </c>
      <c r="N688">
        <v>1013</v>
      </c>
      <c r="O688" t="s">
        <v>1336</v>
      </c>
      <c r="P688" t="s">
        <v>1336</v>
      </c>
      <c r="Q688">
        <v>1</v>
      </c>
      <c r="X688">
        <v>2.87</v>
      </c>
      <c r="Y688">
        <v>1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6</v>
      </c>
      <c r="AG688">
        <v>2.87</v>
      </c>
      <c r="AH688">
        <v>2</v>
      </c>
      <c r="AI688">
        <v>16744975</v>
      </c>
      <c r="AJ688">
        <v>752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ROW(Source!A428)</f>
        <v>428</v>
      </c>
      <c r="B689">
        <v>16744995</v>
      </c>
      <c r="C689">
        <v>16744987</v>
      </c>
      <c r="D689">
        <v>15436556</v>
      </c>
      <c r="E689">
        <v>1</v>
      </c>
      <c r="F689">
        <v>1</v>
      </c>
      <c r="G689">
        <v>1</v>
      </c>
      <c r="H689">
        <v>1</v>
      </c>
      <c r="I689" t="s">
        <v>1490</v>
      </c>
      <c r="J689" t="s">
        <v>6</v>
      </c>
      <c r="K689" t="s">
        <v>1491</v>
      </c>
      <c r="L689">
        <v>1191</v>
      </c>
      <c r="N689">
        <v>1013</v>
      </c>
      <c r="O689" t="s">
        <v>1287</v>
      </c>
      <c r="P689" t="s">
        <v>1287</v>
      </c>
      <c r="Q689">
        <v>1</v>
      </c>
      <c r="X689">
        <v>1.68</v>
      </c>
      <c r="Y689">
        <v>0</v>
      </c>
      <c r="Z689">
        <v>0</v>
      </c>
      <c r="AA689">
        <v>0</v>
      </c>
      <c r="AB689">
        <v>9.6199999999999992</v>
      </c>
      <c r="AC689">
        <v>0</v>
      </c>
      <c r="AD689">
        <v>1</v>
      </c>
      <c r="AE689">
        <v>1</v>
      </c>
      <c r="AF689" t="s">
        <v>6</v>
      </c>
      <c r="AG689">
        <v>1.68</v>
      </c>
      <c r="AH689">
        <v>2</v>
      </c>
      <c r="AI689">
        <v>16744988</v>
      </c>
      <c r="AJ689">
        <v>753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ROW(Source!A428)</f>
        <v>428</v>
      </c>
      <c r="B690">
        <v>16744996</v>
      </c>
      <c r="C690">
        <v>16744987</v>
      </c>
      <c r="D690">
        <v>15165524</v>
      </c>
      <c r="E690">
        <v>1</v>
      </c>
      <c r="F690">
        <v>1</v>
      </c>
      <c r="G690">
        <v>1</v>
      </c>
      <c r="H690">
        <v>3</v>
      </c>
      <c r="I690" t="s">
        <v>1747</v>
      </c>
      <c r="J690" t="s">
        <v>1748</v>
      </c>
      <c r="K690" t="s">
        <v>1749</v>
      </c>
      <c r="L690">
        <v>1348</v>
      </c>
      <c r="N690">
        <v>1009</v>
      </c>
      <c r="O690" t="s">
        <v>100</v>
      </c>
      <c r="P690" t="s">
        <v>100</v>
      </c>
      <c r="Q690">
        <v>1000</v>
      </c>
      <c r="X690">
        <v>8.0000000000000004E-4</v>
      </c>
      <c r="Y690">
        <v>4488.3999999999996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8.0000000000000004E-4</v>
      </c>
      <c r="AH690">
        <v>2</v>
      </c>
      <c r="AI690">
        <v>16744989</v>
      </c>
      <c r="AJ690">
        <v>754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ROW(Source!A428)</f>
        <v>428</v>
      </c>
      <c r="B691">
        <v>16744997</v>
      </c>
      <c r="C691">
        <v>16744987</v>
      </c>
      <c r="D691">
        <v>15165560</v>
      </c>
      <c r="E691">
        <v>1</v>
      </c>
      <c r="F691">
        <v>1</v>
      </c>
      <c r="G691">
        <v>1</v>
      </c>
      <c r="H691">
        <v>3</v>
      </c>
      <c r="I691" t="s">
        <v>1750</v>
      </c>
      <c r="J691" t="s">
        <v>1751</v>
      </c>
      <c r="K691" t="s">
        <v>1752</v>
      </c>
      <c r="L691">
        <v>1348</v>
      </c>
      <c r="N691">
        <v>1009</v>
      </c>
      <c r="O691" t="s">
        <v>100</v>
      </c>
      <c r="P691" t="s">
        <v>100</v>
      </c>
      <c r="Q691">
        <v>1000</v>
      </c>
      <c r="X691">
        <v>1.0000000000000001E-5</v>
      </c>
      <c r="Y691">
        <v>8105.71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6</v>
      </c>
      <c r="AG691">
        <v>1.0000000000000001E-5</v>
      </c>
      <c r="AH691">
        <v>2</v>
      </c>
      <c r="AI691">
        <v>16744990</v>
      </c>
      <c r="AJ691">
        <v>755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ROW(Source!A428)</f>
        <v>428</v>
      </c>
      <c r="B692">
        <v>16744998</v>
      </c>
      <c r="C692">
        <v>16744987</v>
      </c>
      <c r="D692">
        <v>15165660</v>
      </c>
      <c r="E692">
        <v>1</v>
      </c>
      <c r="F692">
        <v>1</v>
      </c>
      <c r="G692">
        <v>1</v>
      </c>
      <c r="H692">
        <v>3</v>
      </c>
      <c r="I692" t="s">
        <v>1359</v>
      </c>
      <c r="J692" t="s">
        <v>1360</v>
      </c>
      <c r="K692" t="s">
        <v>1361</v>
      </c>
      <c r="L692">
        <v>1346</v>
      </c>
      <c r="N692">
        <v>1009</v>
      </c>
      <c r="O692" t="s">
        <v>341</v>
      </c>
      <c r="P692" t="s">
        <v>341</v>
      </c>
      <c r="Q692">
        <v>1</v>
      </c>
      <c r="X692">
        <v>0.15</v>
      </c>
      <c r="Y692">
        <v>6.09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6</v>
      </c>
      <c r="AG692">
        <v>0.15</v>
      </c>
      <c r="AH692">
        <v>2</v>
      </c>
      <c r="AI692">
        <v>16744991</v>
      </c>
      <c r="AJ692">
        <v>756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ROW(Source!A428)</f>
        <v>428</v>
      </c>
      <c r="B693">
        <v>16744999</v>
      </c>
      <c r="C693">
        <v>16744987</v>
      </c>
      <c r="D693">
        <v>15167600</v>
      </c>
      <c r="E693">
        <v>1</v>
      </c>
      <c r="F693">
        <v>1</v>
      </c>
      <c r="G693">
        <v>1</v>
      </c>
      <c r="H693">
        <v>3</v>
      </c>
      <c r="I693" t="s">
        <v>1675</v>
      </c>
      <c r="J693" t="s">
        <v>1676</v>
      </c>
      <c r="K693" t="s">
        <v>1677</v>
      </c>
      <c r="L693">
        <v>1308</v>
      </c>
      <c r="N693">
        <v>1003</v>
      </c>
      <c r="O693" t="s">
        <v>34</v>
      </c>
      <c r="P693" t="s">
        <v>34</v>
      </c>
      <c r="Q693">
        <v>100</v>
      </c>
      <c r="X693">
        <v>2.3999999999999998E-3</v>
      </c>
      <c r="Y693">
        <v>120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6</v>
      </c>
      <c r="AG693">
        <v>2.3999999999999998E-3</v>
      </c>
      <c r="AH693">
        <v>2</v>
      </c>
      <c r="AI693">
        <v>16744992</v>
      </c>
      <c r="AJ693">
        <v>757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ROW(Source!A428)</f>
        <v>428</v>
      </c>
      <c r="B694">
        <v>16745000</v>
      </c>
      <c r="C694">
        <v>16744987</v>
      </c>
      <c r="D694">
        <v>15164559</v>
      </c>
      <c r="E694">
        <v>17</v>
      </c>
      <c r="F694">
        <v>1</v>
      </c>
      <c r="G694">
        <v>1</v>
      </c>
      <c r="H694">
        <v>3</v>
      </c>
      <c r="I694" t="s">
        <v>1334</v>
      </c>
      <c r="J694" t="s">
        <v>6</v>
      </c>
      <c r="K694" t="s">
        <v>1335</v>
      </c>
      <c r="L694">
        <v>1374</v>
      </c>
      <c r="N694">
        <v>1013</v>
      </c>
      <c r="O694" t="s">
        <v>1336</v>
      </c>
      <c r="P694" t="s">
        <v>1336</v>
      </c>
      <c r="Q694">
        <v>1</v>
      </c>
      <c r="X694">
        <v>0.32</v>
      </c>
      <c r="Y694">
        <v>1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6</v>
      </c>
      <c r="AG694">
        <v>0.32</v>
      </c>
      <c r="AH694">
        <v>2</v>
      </c>
      <c r="AI694">
        <v>16744993</v>
      </c>
      <c r="AJ694">
        <v>759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ROW(Source!A493)</f>
        <v>493</v>
      </c>
      <c r="B695">
        <v>16743694</v>
      </c>
      <c r="C695">
        <v>16743691</v>
      </c>
      <c r="D695">
        <v>15885198</v>
      </c>
      <c r="E695">
        <v>1</v>
      </c>
      <c r="F695">
        <v>1</v>
      </c>
      <c r="G695">
        <v>1</v>
      </c>
      <c r="H695">
        <v>1</v>
      </c>
      <c r="I695" t="s">
        <v>1753</v>
      </c>
      <c r="J695" t="s">
        <v>6</v>
      </c>
      <c r="K695" t="s">
        <v>1754</v>
      </c>
      <c r="L695">
        <v>1191</v>
      </c>
      <c r="N695">
        <v>1013</v>
      </c>
      <c r="O695" t="s">
        <v>1287</v>
      </c>
      <c r="P695" t="s">
        <v>1287</v>
      </c>
      <c r="Q695">
        <v>1</v>
      </c>
      <c r="X695">
        <v>0.16</v>
      </c>
      <c r="Y695">
        <v>0</v>
      </c>
      <c r="Z695">
        <v>0</v>
      </c>
      <c r="AA695">
        <v>0</v>
      </c>
      <c r="AB695">
        <v>12.92</v>
      </c>
      <c r="AC695">
        <v>0</v>
      </c>
      <c r="AD695">
        <v>1</v>
      </c>
      <c r="AE695">
        <v>1</v>
      </c>
      <c r="AF695" t="s">
        <v>49</v>
      </c>
      <c r="AG695">
        <v>0.128</v>
      </c>
      <c r="AH695">
        <v>2</v>
      </c>
      <c r="AI695">
        <v>16743692</v>
      </c>
      <c r="AJ695">
        <v>760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ROW(Source!A493)</f>
        <v>493</v>
      </c>
      <c r="B696">
        <v>16743695</v>
      </c>
      <c r="C696">
        <v>16743691</v>
      </c>
      <c r="D696">
        <v>15884235</v>
      </c>
      <c r="E696">
        <v>1</v>
      </c>
      <c r="F696">
        <v>1</v>
      </c>
      <c r="G696">
        <v>1</v>
      </c>
      <c r="H696">
        <v>1</v>
      </c>
      <c r="I696" t="s">
        <v>1755</v>
      </c>
      <c r="J696" t="s">
        <v>6</v>
      </c>
      <c r="K696" t="s">
        <v>1756</v>
      </c>
      <c r="L696">
        <v>1191</v>
      </c>
      <c r="N696">
        <v>1013</v>
      </c>
      <c r="O696" t="s">
        <v>1287</v>
      </c>
      <c r="P696" t="s">
        <v>1287</v>
      </c>
      <c r="Q696">
        <v>1</v>
      </c>
      <c r="X696">
        <v>0.16</v>
      </c>
      <c r="Y696">
        <v>0</v>
      </c>
      <c r="Z696">
        <v>0</v>
      </c>
      <c r="AA696">
        <v>0</v>
      </c>
      <c r="AB696">
        <v>12.69</v>
      </c>
      <c r="AC696">
        <v>0</v>
      </c>
      <c r="AD696">
        <v>1</v>
      </c>
      <c r="AE696">
        <v>1</v>
      </c>
      <c r="AF696" t="s">
        <v>49</v>
      </c>
      <c r="AG696">
        <v>0.128</v>
      </c>
      <c r="AH696">
        <v>2</v>
      </c>
      <c r="AI696">
        <v>16743693</v>
      </c>
      <c r="AJ696">
        <v>761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ROW(Source!A494)</f>
        <v>494</v>
      </c>
      <c r="B697">
        <v>16743699</v>
      </c>
      <c r="C697">
        <v>16743696</v>
      </c>
      <c r="D697">
        <v>15885198</v>
      </c>
      <c r="E697">
        <v>1</v>
      </c>
      <c r="F697">
        <v>1</v>
      </c>
      <c r="G697">
        <v>1</v>
      </c>
      <c r="H697">
        <v>1</v>
      </c>
      <c r="I697" t="s">
        <v>1753</v>
      </c>
      <c r="J697" t="s">
        <v>6</v>
      </c>
      <c r="K697" t="s">
        <v>1754</v>
      </c>
      <c r="L697">
        <v>1191</v>
      </c>
      <c r="N697">
        <v>1013</v>
      </c>
      <c r="O697" t="s">
        <v>1287</v>
      </c>
      <c r="P697" t="s">
        <v>1287</v>
      </c>
      <c r="Q697">
        <v>1</v>
      </c>
      <c r="X697">
        <v>0.61</v>
      </c>
      <c r="Y697">
        <v>0</v>
      </c>
      <c r="Z697">
        <v>0</v>
      </c>
      <c r="AA697">
        <v>0</v>
      </c>
      <c r="AB697">
        <v>12.92</v>
      </c>
      <c r="AC697">
        <v>0</v>
      </c>
      <c r="AD697">
        <v>1</v>
      </c>
      <c r="AE697">
        <v>1</v>
      </c>
      <c r="AF697" t="s">
        <v>49</v>
      </c>
      <c r="AG697">
        <v>0.48799999999999999</v>
      </c>
      <c r="AH697">
        <v>2</v>
      </c>
      <c r="AI697">
        <v>16743697</v>
      </c>
      <c r="AJ697">
        <v>762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ROW(Source!A494)</f>
        <v>494</v>
      </c>
      <c r="B698">
        <v>16743700</v>
      </c>
      <c r="C698">
        <v>16743696</v>
      </c>
      <c r="D698">
        <v>15884235</v>
      </c>
      <c r="E698">
        <v>1</v>
      </c>
      <c r="F698">
        <v>1</v>
      </c>
      <c r="G698">
        <v>1</v>
      </c>
      <c r="H698">
        <v>1</v>
      </c>
      <c r="I698" t="s">
        <v>1755</v>
      </c>
      <c r="J698" t="s">
        <v>6</v>
      </c>
      <c r="K698" t="s">
        <v>1756</v>
      </c>
      <c r="L698">
        <v>1191</v>
      </c>
      <c r="N698">
        <v>1013</v>
      </c>
      <c r="O698" t="s">
        <v>1287</v>
      </c>
      <c r="P698" t="s">
        <v>1287</v>
      </c>
      <c r="Q698">
        <v>1</v>
      </c>
      <c r="X698">
        <v>0.61</v>
      </c>
      <c r="Y698">
        <v>0</v>
      </c>
      <c r="Z698">
        <v>0</v>
      </c>
      <c r="AA698">
        <v>0</v>
      </c>
      <c r="AB698">
        <v>12.69</v>
      </c>
      <c r="AC698">
        <v>0</v>
      </c>
      <c r="AD698">
        <v>1</v>
      </c>
      <c r="AE698">
        <v>1</v>
      </c>
      <c r="AF698" t="s">
        <v>49</v>
      </c>
      <c r="AG698">
        <v>0.48799999999999999</v>
      </c>
      <c r="AH698">
        <v>2</v>
      </c>
      <c r="AI698">
        <v>16743698</v>
      </c>
      <c r="AJ698">
        <v>763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ROW(Source!A495)</f>
        <v>495</v>
      </c>
      <c r="B699">
        <v>16743704</v>
      </c>
      <c r="C699">
        <v>16743701</v>
      </c>
      <c r="D699">
        <v>15885198</v>
      </c>
      <c r="E699">
        <v>1</v>
      </c>
      <c r="F699">
        <v>1</v>
      </c>
      <c r="G699">
        <v>1</v>
      </c>
      <c r="H699">
        <v>1</v>
      </c>
      <c r="I699" t="s">
        <v>1753</v>
      </c>
      <c r="J699" t="s">
        <v>6</v>
      </c>
      <c r="K699" t="s">
        <v>1754</v>
      </c>
      <c r="L699">
        <v>1191</v>
      </c>
      <c r="N699">
        <v>1013</v>
      </c>
      <c r="O699" t="s">
        <v>1287</v>
      </c>
      <c r="P699" t="s">
        <v>1287</v>
      </c>
      <c r="Q699">
        <v>1</v>
      </c>
      <c r="X699">
        <v>6.48</v>
      </c>
      <c r="Y699">
        <v>0</v>
      </c>
      <c r="Z699">
        <v>0</v>
      </c>
      <c r="AA699">
        <v>0</v>
      </c>
      <c r="AB699">
        <v>12.92</v>
      </c>
      <c r="AC699">
        <v>0</v>
      </c>
      <c r="AD699">
        <v>1</v>
      </c>
      <c r="AE699">
        <v>1</v>
      </c>
      <c r="AF699" t="s">
        <v>49</v>
      </c>
      <c r="AG699">
        <v>5.1840000000000011</v>
      </c>
      <c r="AH699">
        <v>2</v>
      </c>
      <c r="AI699">
        <v>16743702</v>
      </c>
      <c r="AJ699">
        <v>764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ROW(Source!A495)</f>
        <v>495</v>
      </c>
      <c r="B700">
        <v>16743705</v>
      </c>
      <c r="C700">
        <v>16743701</v>
      </c>
      <c r="D700">
        <v>15884235</v>
      </c>
      <c r="E700">
        <v>1</v>
      </c>
      <c r="F700">
        <v>1</v>
      </c>
      <c r="G700">
        <v>1</v>
      </c>
      <c r="H700">
        <v>1</v>
      </c>
      <c r="I700" t="s">
        <v>1755</v>
      </c>
      <c r="J700" t="s">
        <v>6</v>
      </c>
      <c r="K700" t="s">
        <v>1756</v>
      </c>
      <c r="L700">
        <v>1191</v>
      </c>
      <c r="N700">
        <v>1013</v>
      </c>
      <c r="O700" t="s">
        <v>1287</v>
      </c>
      <c r="P700" t="s">
        <v>1287</v>
      </c>
      <c r="Q700">
        <v>1</v>
      </c>
      <c r="X700">
        <v>6.48</v>
      </c>
      <c r="Y700">
        <v>0</v>
      </c>
      <c r="Z700">
        <v>0</v>
      </c>
      <c r="AA700">
        <v>0</v>
      </c>
      <c r="AB700">
        <v>12.69</v>
      </c>
      <c r="AC700">
        <v>0</v>
      </c>
      <c r="AD700">
        <v>1</v>
      </c>
      <c r="AE700">
        <v>1</v>
      </c>
      <c r="AF700" t="s">
        <v>49</v>
      </c>
      <c r="AG700">
        <v>5.1840000000000011</v>
      </c>
      <c r="AH700">
        <v>2</v>
      </c>
      <c r="AI700">
        <v>16743703</v>
      </c>
      <c r="AJ700">
        <v>765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ROW(Source!A496)</f>
        <v>496</v>
      </c>
      <c r="B701">
        <v>16743710</v>
      </c>
      <c r="C701">
        <v>16743707</v>
      </c>
      <c r="D701">
        <v>15884231</v>
      </c>
      <c r="E701">
        <v>1</v>
      </c>
      <c r="F701">
        <v>1</v>
      </c>
      <c r="G701">
        <v>1</v>
      </c>
      <c r="H701">
        <v>1</v>
      </c>
      <c r="I701" t="s">
        <v>1757</v>
      </c>
      <c r="J701" t="s">
        <v>6</v>
      </c>
      <c r="K701" t="s">
        <v>1758</v>
      </c>
      <c r="L701">
        <v>1191</v>
      </c>
      <c r="N701">
        <v>1013</v>
      </c>
      <c r="O701" t="s">
        <v>1287</v>
      </c>
      <c r="P701" t="s">
        <v>1287</v>
      </c>
      <c r="Q701">
        <v>1</v>
      </c>
      <c r="X701">
        <v>0.65</v>
      </c>
      <c r="Y701">
        <v>0</v>
      </c>
      <c r="Z701">
        <v>0</v>
      </c>
      <c r="AA701">
        <v>0</v>
      </c>
      <c r="AB701">
        <v>9.17</v>
      </c>
      <c r="AC701">
        <v>0</v>
      </c>
      <c r="AD701">
        <v>1</v>
      </c>
      <c r="AE701">
        <v>1</v>
      </c>
      <c r="AF701" t="s">
        <v>49</v>
      </c>
      <c r="AG701">
        <v>0.52</v>
      </c>
      <c r="AH701">
        <v>2</v>
      </c>
      <c r="AI701">
        <v>16743708</v>
      </c>
      <c r="AJ701">
        <v>766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ROW(Source!A496)</f>
        <v>496</v>
      </c>
      <c r="B702">
        <v>16743711</v>
      </c>
      <c r="C702">
        <v>16743707</v>
      </c>
      <c r="D702">
        <v>15884285</v>
      </c>
      <c r="E702">
        <v>1</v>
      </c>
      <c r="F702">
        <v>1</v>
      </c>
      <c r="G702">
        <v>1</v>
      </c>
      <c r="H702">
        <v>1</v>
      </c>
      <c r="I702" t="s">
        <v>1759</v>
      </c>
      <c r="J702" t="s">
        <v>6</v>
      </c>
      <c r="K702" t="s">
        <v>1760</v>
      </c>
      <c r="L702">
        <v>1191</v>
      </c>
      <c r="N702">
        <v>1013</v>
      </c>
      <c r="O702" t="s">
        <v>1287</v>
      </c>
      <c r="P702" t="s">
        <v>1287</v>
      </c>
      <c r="Q702">
        <v>1</v>
      </c>
      <c r="X702">
        <v>0.97</v>
      </c>
      <c r="Y702">
        <v>0</v>
      </c>
      <c r="Z702">
        <v>0</v>
      </c>
      <c r="AA702">
        <v>0</v>
      </c>
      <c r="AB702">
        <v>14.09</v>
      </c>
      <c r="AC702">
        <v>0</v>
      </c>
      <c r="AD702">
        <v>1</v>
      </c>
      <c r="AE702">
        <v>1</v>
      </c>
      <c r="AF702" t="s">
        <v>49</v>
      </c>
      <c r="AG702">
        <v>0.77600000000000002</v>
      </c>
      <c r="AH702">
        <v>2</v>
      </c>
      <c r="AI702">
        <v>16743709</v>
      </c>
      <c r="AJ702">
        <v>767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ROW(Source!A531)</f>
        <v>531</v>
      </c>
      <c r="B703">
        <v>16743720</v>
      </c>
      <c r="C703">
        <v>16743712</v>
      </c>
      <c r="D703">
        <v>15436556</v>
      </c>
      <c r="E703">
        <v>1</v>
      </c>
      <c r="F703">
        <v>1</v>
      </c>
      <c r="G703">
        <v>1</v>
      </c>
      <c r="H703">
        <v>1</v>
      </c>
      <c r="I703" t="s">
        <v>1490</v>
      </c>
      <c r="J703" t="s">
        <v>6</v>
      </c>
      <c r="K703" t="s">
        <v>1491</v>
      </c>
      <c r="L703">
        <v>1191</v>
      </c>
      <c r="N703">
        <v>1013</v>
      </c>
      <c r="O703" t="s">
        <v>1287</v>
      </c>
      <c r="P703" t="s">
        <v>1287</v>
      </c>
      <c r="Q703">
        <v>1</v>
      </c>
      <c r="X703">
        <v>1.68</v>
      </c>
      <c r="Y703">
        <v>0</v>
      </c>
      <c r="Z703">
        <v>0</v>
      </c>
      <c r="AA703">
        <v>0</v>
      </c>
      <c r="AB703">
        <v>9.6199999999999992</v>
      </c>
      <c r="AC703">
        <v>0</v>
      </c>
      <c r="AD703">
        <v>1</v>
      </c>
      <c r="AE703">
        <v>1</v>
      </c>
      <c r="AF703" t="s">
        <v>6</v>
      </c>
      <c r="AG703">
        <v>1.68</v>
      </c>
      <c r="AH703">
        <v>2</v>
      </c>
      <c r="AI703">
        <v>16743713</v>
      </c>
      <c r="AJ703">
        <v>768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ROW(Source!A531)</f>
        <v>531</v>
      </c>
      <c r="B704">
        <v>16743721</v>
      </c>
      <c r="C704">
        <v>16743712</v>
      </c>
      <c r="D704">
        <v>15165918</v>
      </c>
      <c r="E704">
        <v>1</v>
      </c>
      <c r="F704">
        <v>1</v>
      </c>
      <c r="G704">
        <v>1</v>
      </c>
      <c r="H704">
        <v>3</v>
      </c>
      <c r="I704" t="s">
        <v>1761</v>
      </c>
      <c r="J704" t="s">
        <v>1762</v>
      </c>
      <c r="K704" t="s">
        <v>1763</v>
      </c>
      <c r="L704">
        <v>1346</v>
      </c>
      <c r="N704">
        <v>1009</v>
      </c>
      <c r="O704" t="s">
        <v>341</v>
      </c>
      <c r="P704" t="s">
        <v>341</v>
      </c>
      <c r="Q704">
        <v>1</v>
      </c>
      <c r="X704">
        <v>5.0000000000000001E-4</v>
      </c>
      <c r="Y704">
        <v>27.74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6</v>
      </c>
      <c r="AG704">
        <v>5.0000000000000001E-4</v>
      </c>
      <c r="AH704">
        <v>2</v>
      </c>
      <c r="AI704">
        <v>16743714</v>
      </c>
      <c r="AJ704">
        <v>769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ROW(Source!A531)</f>
        <v>531</v>
      </c>
      <c r="B705">
        <v>16743722</v>
      </c>
      <c r="C705">
        <v>16743712</v>
      </c>
      <c r="D705">
        <v>15170072</v>
      </c>
      <c r="E705">
        <v>1</v>
      </c>
      <c r="F705">
        <v>1</v>
      </c>
      <c r="G705">
        <v>1</v>
      </c>
      <c r="H705">
        <v>3</v>
      </c>
      <c r="I705" t="s">
        <v>1764</v>
      </c>
      <c r="J705" t="s">
        <v>1765</v>
      </c>
      <c r="K705" t="s">
        <v>1766</v>
      </c>
      <c r="L705">
        <v>1355</v>
      </c>
      <c r="N705">
        <v>1010</v>
      </c>
      <c r="O705" t="s">
        <v>843</v>
      </c>
      <c r="P705" t="s">
        <v>843</v>
      </c>
      <c r="Q705">
        <v>100</v>
      </c>
      <c r="X705">
        <v>2.5000000000000001E-2</v>
      </c>
      <c r="Y705">
        <v>83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2.5000000000000001E-2</v>
      </c>
      <c r="AH705">
        <v>2</v>
      </c>
      <c r="AI705">
        <v>16743715</v>
      </c>
      <c r="AJ705">
        <v>770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ROW(Source!A531)</f>
        <v>531</v>
      </c>
      <c r="B706">
        <v>16743723</v>
      </c>
      <c r="C706">
        <v>16743712</v>
      </c>
      <c r="D706">
        <v>15171982</v>
      </c>
      <c r="E706">
        <v>1</v>
      </c>
      <c r="F706">
        <v>1</v>
      </c>
      <c r="G706">
        <v>1</v>
      </c>
      <c r="H706">
        <v>3</v>
      </c>
      <c r="I706" t="s">
        <v>1320</v>
      </c>
      <c r="J706" t="s">
        <v>1321</v>
      </c>
      <c r="K706" t="s">
        <v>1322</v>
      </c>
      <c r="L706">
        <v>1348</v>
      </c>
      <c r="N706">
        <v>1009</v>
      </c>
      <c r="O706" t="s">
        <v>100</v>
      </c>
      <c r="P706" t="s">
        <v>100</v>
      </c>
      <c r="Q706">
        <v>1000</v>
      </c>
      <c r="X706">
        <v>1.0000000000000001E-5</v>
      </c>
      <c r="Y706">
        <v>729.98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1.0000000000000001E-5</v>
      </c>
      <c r="AH706">
        <v>2</v>
      </c>
      <c r="AI706">
        <v>16743716</v>
      </c>
      <c r="AJ706">
        <v>771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ROW(Source!A531)</f>
        <v>531</v>
      </c>
      <c r="B707">
        <v>16743724</v>
      </c>
      <c r="C707">
        <v>16743712</v>
      </c>
      <c r="D707">
        <v>15195043</v>
      </c>
      <c r="E707">
        <v>1</v>
      </c>
      <c r="F707">
        <v>1</v>
      </c>
      <c r="G707">
        <v>1</v>
      </c>
      <c r="H707">
        <v>3</v>
      </c>
      <c r="I707" t="s">
        <v>1767</v>
      </c>
      <c r="J707" t="s">
        <v>1768</v>
      </c>
      <c r="K707" t="s">
        <v>1769</v>
      </c>
      <c r="L707">
        <v>1346</v>
      </c>
      <c r="N707">
        <v>1009</v>
      </c>
      <c r="O707" t="s">
        <v>341</v>
      </c>
      <c r="P707" t="s">
        <v>341</v>
      </c>
      <c r="Q707">
        <v>1</v>
      </c>
      <c r="X707">
        <v>5.0000000000000001E-3</v>
      </c>
      <c r="Y707">
        <v>65.75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6</v>
      </c>
      <c r="AG707">
        <v>5.0000000000000001E-3</v>
      </c>
      <c r="AH707">
        <v>2</v>
      </c>
      <c r="AI707">
        <v>16743717</v>
      </c>
      <c r="AJ707">
        <v>772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ROW(Source!A531)</f>
        <v>531</v>
      </c>
      <c r="B708">
        <v>16743725</v>
      </c>
      <c r="C708">
        <v>16743712</v>
      </c>
      <c r="D708">
        <v>15164559</v>
      </c>
      <c r="E708">
        <v>17</v>
      </c>
      <c r="F708">
        <v>1</v>
      </c>
      <c r="G708">
        <v>1</v>
      </c>
      <c r="H708">
        <v>3</v>
      </c>
      <c r="I708" t="s">
        <v>1334</v>
      </c>
      <c r="J708" t="s">
        <v>6</v>
      </c>
      <c r="K708" t="s">
        <v>1335</v>
      </c>
      <c r="L708">
        <v>1374</v>
      </c>
      <c r="N708">
        <v>1013</v>
      </c>
      <c r="O708" t="s">
        <v>1336</v>
      </c>
      <c r="P708" t="s">
        <v>1336</v>
      </c>
      <c r="Q708">
        <v>1</v>
      </c>
      <c r="X708">
        <v>0.32</v>
      </c>
      <c r="Y708">
        <v>1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6</v>
      </c>
      <c r="AG708">
        <v>0.32</v>
      </c>
      <c r="AH708">
        <v>2</v>
      </c>
      <c r="AI708">
        <v>16743718</v>
      </c>
      <c r="AJ708">
        <v>774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ROW(Source!A533)</f>
        <v>533</v>
      </c>
      <c r="B709">
        <v>16743732</v>
      </c>
      <c r="C709">
        <v>16743727</v>
      </c>
      <c r="D709">
        <v>15438286</v>
      </c>
      <c r="E709">
        <v>1</v>
      </c>
      <c r="F709">
        <v>1</v>
      </c>
      <c r="G709">
        <v>1</v>
      </c>
      <c r="H709">
        <v>1</v>
      </c>
      <c r="I709" t="s">
        <v>1451</v>
      </c>
      <c r="J709" t="s">
        <v>6</v>
      </c>
      <c r="K709" t="s">
        <v>1452</v>
      </c>
      <c r="L709">
        <v>1191</v>
      </c>
      <c r="N709">
        <v>1013</v>
      </c>
      <c r="O709" t="s">
        <v>1287</v>
      </c>
      <c r="P709" t="s">
        <v>1287</v>
      </c>
      <c r="Q709">
        <v>1</v>
      </c>
      <c r="X709">
        <v>15.2</v>
      </c>
      <c r="Y709">
        <v>0</v>
      </c>
      <c r="Z709">
        <v>0</v>
      </c>
      <c r="AA709">
        <v>0</v>
      </c>
      <c r="AB709">
        <v>9.18</v>
      </c>
      <c r="AC709">
        <v>0</v>
      </c>
      <c r="AD709">
        <v>1</v>
      </c>
      <c r="AE709">
        <v>1</v>
      </c>
      <c r="AF709" t="s">
        <v>6</v>
      </c>
      <c r="AG709">
        <v>15.2</v>
      </c>
      <c r="AH709">
        <v>2</v>
      </c>
      <c r="AI709">
        <v>16743728</v>
      </c>
      <c r="AJ709">
        <v>775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ROW(Source!A533)</f>
        <v>533</v>
      </c>
      <c r="B710">
        <v>16743733</v>
      </c>
      <c r="C710">
        <v>16743727</v>
      </c>
      <c r="D710">
        <v>15170155</v>
      </c>
      <c r="E710">
        <v>1</v>
      </c>
      <c r="F710">
        <v>1</v>
      </c>
      <c r="G710">
        <v>1</v>
      </c>
      <c r="H710">
        <v>3</v>
      </c>
      <c r="I710" t="s">
        <v>1661</v>
      </c>
      <c r="J710" t="s">
        <v>1662</v>
      </c>
      <c r="K710" t="s">
        <v>1663</v>
      </c>
      <c r="L710">
        <v>1355</v>
      </c>
      <c r="N710">
        <v>1010</v>
      </c>
      <c r="O710" t="s">
        <v>843</v>
      </c>
      <c r="P710" t="s">
        <v>843</v>
      </c>
      <c r="Q710">
        <v>100</v>
      </c>
      <c r="X710">
        <v>1.75</v>
      </c>
      <c r="Y710">
        <v>8</v>
      </c>
      <c r="Z710">
        <v>0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6</v>
      </c>
      <c r="AG710">
        <v>1.75</v>
      </c>
      <c r="AH710">
        <v>2</v>
      </c>
      <c r="AI710">
        <v>16743729</v>
      </c>
      <c r="AJ710">
        <v>776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ROW(Source!A533)</f>
        <v>533</v>
      </c>
      <c r="B711">
        <v>16743734</v>
      </c>
      <c r="C711">
        <v>16743727</v>
      </c>
      <c r="D711">
        <v>15164559</v>
      </c>
      <c r="E711">
        <v>17</v>
      </c>
      <c r="F711">
        <v>1</v>
      </c>
      <c r="G711">
        <v>1</v>
      </c>
      <c r="H711">
        <v>3</v>
      </c>
      <c r="I711" t="s">
        <v>1334</v>
      </c>
      <c r="J711" t="s">
        <v>6</v>
      </c>
      <c r="K711" t="s">
        <v>1335</v>
      </c>
      <c r="L711">
        <v>1374</v>
      </c>
      <c r="N711">
        <v>1013</v>
      </c>
      <c r="O711" t="s">
        <v>1336</v>
      </c>
      <c r="P711" t="s">
        <v>1336</v>
      </c>
      <c r="Q711">
        <v>1</v>
      </c>
      <c r="X711">
        <v>2.79</v>
      </c>
      <c r="Y711">
        <v>1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6</v>
      </c>
      <c r="AG711">
        <v>2.79</v>
      </c>
      <c r="AH711">
        <v>2</v>
      </c>
      <c r="AI711">
        <v>16743731</v>
      </c>
      <c r="AJ711">
        <v>778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ROW(Source!A535)</f>
        <v>535</v>
      </c>
      <c r="B712">
        <v>16743748</v>
      </c>
      <c r="C712">
        <v>16743736</v>
      </c>
      <c r="D712">
        <v>15430397</v>
      </c>
      <c r="E712">
        <v>1</v>
      </c>
      <c r="F712">
        <v>1</v>
      </c>
      <c r="G712">
        <v>1</v>
      </c>
      <c r="H712">
        <v>1</v>
      </c>
      <c r="I712" t="s">
        <v>1323</v>
      </c>
      <c r="J712" t="s">
        <v>6</v>
      </c>
      <c r="K712" t="s">
        <v>1324</v>
      </c>
      <c r="L712">
        <v>1191</v>
      </c>
      <c r="N712">
        <v>1013</v>
      </c>
      <c r="O712" t="s">
        <v>1287</v>
      </c>
      <c r="P712" t="s">
        <v>1287</v>
      </c>
      <c r="Q712">
        <v>1</v>
      </c>
      <c r="X712">
        <v>5.39</v>
      </c>
      <c r="Y712">
        <v>0</v>
      </c>
      <c r="Z712">
        <v>0</v>
      </c>
      <c r="AA712">
        <v>0</v>
      </c>
      <c r="AB712">
        <v>9.4</v>
      </c>
      <c r="AC712">
        <v>0</v>
      </c>
      <c r="AD712">
        <v>1</v>
      </c>
      <c r="AE712">
        <v>1</v>
      </c>
      <c r="AF712" t="s">
        <v>6</v>
      </c>
      <c r="AG712">
        <v>5.39</v>
      </c>
      <c r="AH712">
        <v>2</v>
      </c>
      <c r="AI712">
        <v>16743737</v>
      </c>
      <c r="AJ712">
        <v>779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ROW(Source!A535)</f>
        <v>535</v>
      </c>
      <c r="B713">
        <v>16743749</v>
      </c>
      <c r="C713">
        <v>16743736</v>
      </c>
      <c r="D713">
        <v>15430395</v>
      </c>
      <c r="E713">
        <v>1</v>
      </c>
      <c r="F713">
        <v>1</v>
      </c>
      <c r="G713">
        <v>1</v>
      </c>
      <c r="H713">
        <v>1</v>
      </c>
      <c r="I713" t="s">
        <v>1293</v>
      </c>
      <c r="J713" t="s">
        <v>6</v>
      </c>
      <c r="K713" t="s">
        <v>1294</v>
      </c>
      <c r="L713">
        <v>1191</v>
      </c>
      <c r="N713">
        <v>1013</v>
      </c>
      <c r="O713" t="s">
        <v>1287</v>
      </c>
      <c r="P713" t="s">
        <v>1287</v>
      </c>
      <c r="Q713">
        <v>1</v>
      </c>
      <c r="X713">
        <v>0.04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2</v>
      </c>
      <c r="AF713" t="s">
        <v>6</v>
      </c>
      <c r="AG713">
        <v>0.04</v>
      </c>
      <c r="AH713">
        <v>2</v>
      </c>
      <c r="AI713">
        <v>16743738</v>
      </c>
      <c r="AJ713">
        <v>780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ROW(Source!A535)</f>
        <v>535</v>
      </c>
      <c r="B714">
        <v>16743750</v>
      </c>
      <c r="C714">
        <v>16743736</v>
      </c>
      <c r="D714">
        <v>15247680</v>
      </c>
      <c r="E714">
        <v>1</v>
      </c>
      <c r="F714">
        <v>1</v>
      </c>
      <c r="G714">
        <v>1</v>
      </c>
      <c r="H714">
        <v>2</v>
      </c>
      <c r="I714" t="s">
        <v>1295</v>
      </c>
      <c r="J714" t="s">
        <v>1296</v>
      </c>
      <c r="K714" t="s">
        <v>1297</v>
      </c>
      <c r="L714">
        <v>1368</v>
      </c>
      <c r="N714">
        <v>1011</v>
      </c>
      <c r="O714" t="s">
        <v>1298</v>
      </c>
      <c r="P714" t="s">
        <v>1298</v>
      </c>
      <c r="Q714">
        <v>1</v>
      </c>
      <c r="X714">
        <v>0.02</v>
      </c>
      <c r="Y714">
        <v>0</v>
      </c>
      <c r="Z714">
        <v>111.99</v>
      </c>
      <c r="AA714">
        <v>13.5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0.02</v>
      </c>
      <c r="AH714">
        <v>2</v>
      </c>
      <c r="AI714">
        <v>16743739</v>
      </c>
      <c r="AJ714">
        <v>781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ROW(Source!A535)</f>
        <v>535</v>
      </c>
      <c r="B715">
        <v>16743751</v>
      </c>
      <c r="C715">
        <v>16743736</v>
      </c>
      <c r="D715">
        <v>15249073</v>
      </c>
      <c r="E715">
        <v>1</v>
      </c>
      <c r="F715">
        <v>1</v>
      </c>
      <c r="G715">
        <v>1</v>
      </c>
      <c r="H715">
        <v>2</v>
      </c>
      <c r="I715" t="s">
        <v>1299</v>
      </c>
      <c r="J715" t="s">
        <v>1300</v>
      </c>
      <c r="K715" t="s">
        <v>1301</v>
      </c>
      <c r="L715">
        <v>1368</v>
      </c>
      <c r="N715">
        <v>1011</v>
      </c>
      <c r="O715" t="s">
        <v>1298</v>
      </c>
      <c r="P715" t="s">
        <v>1298</v>
      </c>
      <c r="Q715">
        <v>1</v>
      </c>
      <c r="X715">
        <v>0.02</v>
      </c>
      <c r="Y715">
        <v>0</v>
      </c>
      <c r="Z715">
        <v>65.709999999999994</v>
      </c>
      <c r="AA715">
        <v>11.6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0.02</v>
      </c>
      <c r="AH715">
        <v>2</v>
      </c>
      <c r="AI715">
        <v>16743740</v>
      </c>
      <c r="AJ715">
        <v>782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ROW(Source!A535)</f>
        <v>535</v>
      </c>
      <c r="B716">
        <v>16743752</v>
      </c>
      <c r="C716">
        <v>16743736</v>
      </c>
      <c r="D716">
        <v>15167588</v>
      </c>
      <c r="E716">
        <v>1</v>
      </c>
      <c r="F716">
        <v>1</v>
      </c>
      <c r="G716">
        <v>1</v>
      </c>
      <c r="H716">
        <v>3</v>
      </c>
      <c r="I716" t="s">
        <v>1641</v>
      </c>
      <c r="J716" t="s">
        <v>1642</v>
      </c>
      <c r="K716" t="s">
        <v>1643</v>
      </c>
      <c r="L716">
        <v>1346</v>
      </c>
      <c r="N716">
        <v>1009</v>
      </c>
      <c r="O716" t="s">
        <v>341</v>
      </c>
      <c r="P716" t="s">
        <v>341</v>
      </c>
      <c r="Q716">
        <v>1</v>
      </c>
      <c r="X716">
        <v>0.16</v>
      </c>
      <c r="Y716">
        <v>30.4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6</v>
      </c>
      <c r="AG716">
        <v>0.16</v>
      </c>
      <c r="AH716">
        <v>2</v>
      </c>
      <c r="AI716">
        <v>16743741</v>
      </c>
      <c r="AJ716">
        <v>783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ROW(Source!A535)</f>
        <v>535</v>
      </c>
      <c r="B717">
        <v>16743753</v>
      </c>
      <c r="C717">
        <v>16743736</v>
      </c>
      <c r="D717">
        <v>15167867</v>
      </c>
      <c r="E717">
        <v>1</v>
      </c>
      <c r="F717">
        <v>1</v>
      </c>
      <c r="G717">
        <v>1</v>
      </c>
      <c r="H717">
        <v>3</v>
      </c>
      <c r="I717" t="s">
        <v>1664</v>
      </c>
      <c r="J717" t="s">
        <v>1665</v>
      </c>
      <c r="K717" t="s">
        <v>1666</v>
      </c>
      <c r="L717">
        <v>1348</v>
      </c>
      <c r="N717">
        <v>1009</v>
      </c>
      <c r="O717" t="s">
        <v>100</v>
      </c>
      <c r="P717" t="s">
        <v>100</v>
      </c>
      <c r="Q717">
        <v>1000</v>
      </c>
      <c r="X717">
        <v>5.9999999999999995E-4</v>
      </c>
      <c r="Y717">
        <v>1820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6</v>
      </c>
      <c r="AG717">
        <v>5.9999999999999995E-4</v>
      </c>
      <c r="AH717">
        <v>2</v>
      </c>
      <c r="AI717">
        <v>16743742</v>
      </c>
      <c r="AJ717">
        <v>784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ROW(Source!A535)</f>
        <v>535</v>
      </c>
      <c r="B718">
        <v>16743754</v>
      </c>
      <c r="C718">
        <v>16743736</v>
      </c>
      <c r="D718">
        <v>15203834</v>
      </c>
      <c r="E718">
        <v>1</v>
      </c>
      <c r="F718">
        <v>1</v>
      </c>
      <c r="G718">
        <v>1</v>
      </c>
      <c r="H718">
        <v>3</v>
      </c>
      <c r="I718" t="s">
        <v>1667</v>
      </c>
      <c r="J718" t="s">
        <v>1668</v>
      </c>
      <c r="K718" t="s">
        <v>403</v>
      </c>
      <c r="L718">
        <v>1346</v>
      </c>
      <c r="N718">
        <v>1009</v>
      </c>
      <c r="O718" t="s">
        <v>341</v>
      </c>
      <c r="P718" t="s">
        <v>341</v>
      </c>
      <c r="Q718">
        <v>1</v>
      </c>
      <c r="X718">
        <v>0.02</v>
      </c>
      <c r="Y718">
        <v>28.6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0.02</v>
      </c>
      <c r="AH718">
        <v>2</v>
      </c>
      <c r="AI718">
        <v>16743743</v>
      </c>
      <c r="AJ718">
        <v>785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ROW(Source!A535)</f>
        <v>535</v>
      </c>
      <c r="B719">
        <v>16743755</v>
      </c>
      <c r="C719">
        <v>16743736</v>
      </c>
      <c r="D719">
        <v>15217527</v>
      </c>
      <c r="E719">
        <v>1</v>
      </c>
      <c r="F719">
        <v>1</v>
      </c>
      <c r="G719">
        <v>1</v>
      </c>
      <c r="H719">
        <v>3</v>
      </c>
      <c r="I719" t="s">
        <v>1669</v>
      </c>
      <c r="J719" t="s">
        <v>1670</v>
      </c>
      <c r="K719" t="s">
        <v>1671</v>
      </c>
      <c r="L719">
        <v>1355</v>
      </c>
      <c r="N719">
        <v>1010</v>
      </c>
      <c r="O719" t="s">
        <v>843</v>
      </c>
      <c r="P719" t="s">
        <v>843</v>
      </c>
      <c r="Q719">
        <v>100</v>
      </c>
      <c r="X719">
        <v>0.05</v>
      </c>
      <c r="Y719">
        <v>110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6</v>
      </c>
      <c r="AG719">
        <v>0.05</v>
      </c>
      <c r="AH719">
        <v>2</v>
      </c>
      <c r="AI719">
        <v>16743744</v>
      </c>
      <c r="AJ719">
        <v>786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ROW(Source!A535)</f>
        <v>535</v>
      </c>
      <c r="B720">
        <v>16743756</v>
      </c>
      <c r="C720">
        <v>16743736</v>
      </c>
      <c r="D720">
        <v>15217578</v>
      </c>
      <c r="E720">
        <v>1</v>
      </c>
      <c r="F720">
        <v>1</v>
      </c>
      <c r="G720">
        <v>1</v>
      </c>
      <c r="H720">
        <v>3</v>
      </c>
      <c r="I720" t="s">
        <v>1672</v>
      </c>
      <c r="J720" t="s">
        <v>1673</v>
      </c>
      <c r="K720" t="s">
        <v>1674</v>
      </c>
      <c r="L720">
        <v>1356</v>
      </c>
      <c r="N720">
        <v>1010</v>
      </c>
      <c r="O720" t="s">
        <v>306</v>
      </c>
      <c r="P720" t="s">
        <v>306</v>
      </c>
      <c r="Q720">
        <v>1000</v>
      </c>
      <c r="X720">
        <v>1.2200000000000001E-2</v>
      </c>
      <c r="Y720">
        <v>119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6</v>
      </c>
      <c r="AG720">
        <v>1.2200000000000001E-2</v>
      </c>
      <c r="AH720">
        <v>2</v>
      </c>
      <c r="AI720">
        <v>16743745</v>
      </c>
      <c r="AJ720">
        <v>787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ROW(Source!A535)</f>
        <v>535</v>
      </c>
      <c r="B721">
        <v>16743757</v>
      </c>
      <c r="C721">
        <v>16743736</v>
      </c>
      <c r="D721">
        <v>15164559</v>
      </c>
      <c r="E721">
        <v>17</v>
      </c>
      <c r="F721">
        <v>1</v>
      </c>
      <c r="G721">
        <v>1</v>
      </c>
      <c r="H721">
        <v>3</v>
      </c>
      <c r="I721" t="s">
        <v>1334</v>
      </c>
      <c r="J721" t="s">
        <v>6</v>
      </c>
      <c r="K721" t="s">
        <v>1335</v>
      </c>
      <c r="L721">
        <v>1374</v>
      </c>
      <c r="N721">
        <v>1013</v>
      </c>
      <c r="O721" t="s">
        <v>1336</v>
      </c>
      <c r="P721" t="s">
        <v>1336</v>
      </c>
      <c r="Q721">
        <v>1</v>
      </c>
      <c r="X721">
        <v>1.01</v>
      </c>
      <c r="Y721">
        <v>1</v>
      </c>
      <c r="Z721">
        <v>0</v>
      </c>
      <c r="AA721">
        <v>0</v>
      </c>
      <c r="AB721">
        <v>0</v>
      </c>
      <c r="AC721">
        <v>0</v>
      </c>
      <c r="AD721">
        <v>1</v>
      </c>
      <c r="AE721">
        <v>0</v>
      </c>
      <c r="AF721" t="s">
        <v>6</v>
      </c>
      <c r="AG721">
        <v>1.01</v>
      </c>
      <c r="AH721">
        <v>2</v>
      </c>
      <c r="AI721">
        <v>16743746</v>
      </c>
      <c r="AJ721">
        <v>789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ROW(Source!A537)</f>
        <v>537</v>
      </c>
      <c r="B722">
        <v>16743762</v>
      </c>
      <c r="C722">
        <v>16743759</v>
      </c>
      <c r="D722">
        <v>15467906</v>
      </c>
      <c r="E722">
        <v>1</v>
      </c>
      <c r="F722">
        <v>1</v>
      </c>
      <c r="G722">
        <v>1</v>
      </c>
      <c r="H722">
        <v>1</v>
      </c>
      <c r="I722" t="s">
        <v>1770</v>
      </c>
      <c r="J722" t="s">
        <v>6</v>
      </c>
      <c r="K722" t="s">
        <v>1771</v>
      </c>
      <c r="L722">
        <v>1191</v>
      </c>
      <c r="N722">
        <v>1013</v>
      </c>
      <c r="O722" t="s">
        <v>1287</v>
      </c>
      <c r="P722" t="s">
        <v>1287</v>
      </c>
      <c r="Q722">
        <v>1</v>
      </c>
      <c r="X722">
        <v>243</v>
      </c>
      <c r="Y722">
        <v>0</v>
      </c>
      <c r="Z722">
        <v>0</v>
      </c>
      <c r="AA722">
        <v>0</v>
      </c>
      <c r="AB722">
        <v>12.92</v>
      </c>
      <c r="AC722">
        <v>0</v>
      </c>
      <c r="AD722">
        <v>1</v>
      </c>
      <c r="AE722">
        <v>1</v>
      </c>
      <c r="AF722" t="s">
        <v>6</v>
      </c>
      <c r="AG722">
        <v>243</v>
      </c>
      <c r="AH722">
        <v>2</v>
      </c>
      <c r="AI722">
        <v>16743760</v>
      </c>
      <c r="AJ722">
        <v>790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ROW(Source!A537)</f>
        <v>537</v>
      </c>
      <c r="B723">
        <v>16743763</v>
      </c>
      <c r="C723">
        <v>16743759</v>
      </c>
      <c r="D723">
        <v>15164559</v>
      </c>
      <c r="E723">
        <v>17</v>
      </c>
      <c r="F723">
        <v>1</v>
      </c>
      <c r="G723">
        <v>1</v>
      </c>
      <c r="H723">
        <v>3</v>
      </c>
      <c r="I723" t="s">
        <v>1334</v>
      </c>
      <c r="J723" t="s">
        <v>6</v>
      </c>
      <c r="K723" t="s">
        <v>1335</v>
      </c>
      <c r="L723">
        <v>1374</v>
      </c>
      <c r="N723">
        <v>1013</v>
      </c>
      <c r="O723" t="s">
        <v>1336</v>
      </c>
      <c r="P723" t="s">
        <v>1336</v>
      </c>
      <c r="Q723">
        <v>1</v>
      </c>
      <c r="X723">
        <v>62.79</v>
      </c>
      <c r="Y723">
        <v>1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62.79</v>
      </c>
      <c r="AH723">
        <v>2</v>
      </c>
      <c r="AI723">
        <v>16743761</v>
      </c>
      <c r="AJ723">
        <v>791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ROW(Source!A572)</f>
        <v>572</v>
      </c>
      <c r="B724">
        <v>16743776</v>
      </c>
      <c r="C724">
        <v>16743764</v>
      </c>
      <c r="D724">
        <v>15446300</v>
      </c>
      <c r="E724">
        <v>1</v>
      </c>
      <c r="F724">
        <v>1</v>
      </c>
      <c r="G724">
        <v>1</v>
      </c>
      <c r="H724">
        <v>1</v>
      </c>
      <c r="I724" t="s">
        <v>1437</v>
      </c>
      <c r="J724" t="s">
        <v>6</v>
      </c>
      <c r="K724" t="s">
        <v>1438</v>
      </c>
      <c r="L724">
        <v>1191</v>
      </c>
      <c r="N724">
        <v>1013</v>
      </c>
      <c r="O724" t="s">
        <v>1287</v>
      </c>
      <c r="P724" t="s">
        <v>1287</v>
      </c>
      <c r="Q724">
        <v>1</v>
      </c>
      <c r="X724">
        <v>34.56</v>
      </c>
      <c r="Y724">
        <v>0</v>
      </c>
      <c r="Z724">
        <v>0</v>
      </c>
      <c r="AA724">
        <v>0</v>
      </c>
      <c r="AB724">
        <v>9.92</v>
      </c>
      <c r="AC724">
        <v>0</v>
      </c>
      <c r="AD724">
        <v>1</v>
      </c>
      <c r="AE724">
        <v>1</v>
      </c>
      <c r="AF724" t="s">
        <v>6</v>
      </c>
      <c r="AG724">
        <v>34.56</v>
      </c>
      <c r="AH724">
        <v>2</v>
      </c>
      <c r="AI724">
        <v>16743765</v>
      </c>
      <c r="AJ724">
        <v>792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ROW(Source!A572)</f>
        <v>572</v>
      </c>
      <c r="B725">
        <v>16743777</v>
      </c>
      <c r="C725">
        <v>16743764</v>
      </c>
      <c r="D725">
        <v>15430395</v>
      </c>
      <c r="E725">
        <v>1</v>
      </c>
      <c r="F725">
        <v>1</v>
      </c>
      <c r="G725">
        <v>1</v>
      </c>
      <c r="H725">
        <v>1</v>
      </c>
      <c r="I725" t="s">
        <v>1293</v>
      </c>
      <c r="J725" t="s">
        <v>6</v>
      </c>
      <c r="K725" t="s">
        <v>1294</v>
      </c>
      <c r="L725">
        <v>1191</v>
      </c>
      <c r="N725">
        <v>1013</v>
      </c>
      <c r="O725" t="s">
        <v>1287</v>
      </c>
      <c r="P725" t="s">
        <v>1287</v>
      </c>
      <c r="Q725">
        <v>1</v>
      </c>
      <c r="X725">
        <v>0.05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1</v>
      </c>
      <c r="AE725">
        <v>2</v>
      </c>
      <c r="AF725" t="s">
        <v>6</v>
      </c>
      <c r="AG725">
        <v>0.05</v>
      </c>
      <c r="AH725">
        <v>2</v>
      </c>
      <c r="AI725">
        <v>16743766</v>
      </c>
      <c r="AJ725">
        <v>793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ROW(Source!A572)</f>
        <v>572</v>
      </c>
      <c r="B726">
        <v>16743778</v>
      </c>
      <c r="C726">
        <v>16743764</v>
      </c>
      <c r="D726">
        <v>15247680</v>
      </c>
      <c r="E726">
        <v>1</v>
      </c>
      <c r="F726">
        <v>1</v>
      </c>
      <c r="G726">
        <v>1</v>
      </c>
      <c r="H726">
        <v>2</v>
      </c>
      <c r="I726" t="s">
        <v>1295</v>
      </c>
      <c r="J726" t="s">
        <v>1296</v>
      </c>
      <c r="K726" t="s">
        <v>1297</v>
      </c>
      <c r="L726">
        <v>1368</v>
      </c>
      <c r="N726">
        <v>1011</v>
      </c>
      <c r="O726" t="s">
        <v>1298</v>
      </c>
      <c r="P726" t="s">
        <v>1298</v>
      </c>
      <c r="Q726">
        <v>1</v>
      </c>
      <c r="X726">
        <v>0.03</v>
      </c>
      <c r="Y726">
        <v>0</v>
      </c>
      <c r="Z726">
        <v>111.99</v>
      </c>
      <c r="AA726">
        <v>13.5</v>
      </c>
      <c r="AB726">
        <v>0</v>
      </c>
      <c r="AC726">
        <v>0</v>
      </c>
      <c r="AD726">
        <v>1</v>
      </c>
      <c r="AE726">
        <v>0</v>
      </c>
      <c r="AF726" t="s">
        <v>6</v>
      </c>
      <c r="AG726">
        <v>0.03</v>
      </c>
      <c r="AH726">
        <v>2</v>
      </c>
      <c r="AI726">
        <v>16743767</v>
      </c>
      <c r="AJ726">
        <v>794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ROW(Source!A572)</f>
        <v>572</v>
      </c>
      <c r="B727">
        <v>16743779</v>
      </c>
      <c r="C727">
        <v>16743764</v>
      </c>
      <c r="D727">
        <v>15249073</v>
      </c>
      <c r="E727">
        <v>1</v>
      </c>
      <c r="F727">
        <v>1</v>
      </c>
      <c r="G727">
        <v>1</v>
      </c>
      <c r="H727">
        <v>2</v>
      </c>
      <c r="I727" t="s">
        <v>1299</v>
      </c>
      <c r="J727" t="s">
        <v>1300</v>
      </c>
      <c r="K727" t="s">
        <v>1301</v>
      </c>
      <c r="L727">
        <v>1368</v>
      </c>
      <c r="N727">
        <v>1011</v>
      </c>
      <c r="O727" t="s">
        <v>1298</v>
      </c>
      <c r="P727" t="s">
        <v>1298</v>
      </c>
      <c r="Q727">
        <v>1</v>
      </c>
      <c r="X727">
        <v>0.02</v>
      </c>
      <c r="Y727">
        <v>0</v>
      </c>
      <c r="Z727">
        <v>65.709999999999994</v>
      </c>
      <c r="AA727">
        <v>11.6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0.02</v>
      </c>
      <c r="AH727">
        <v>2</v>
      </c>
      <c r="AI727">
        <v>16743768</v>
      </c>
      <c r="AJ727">
        <v>795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ROW(Source!A572)</f>
        <v>572</v>
      </c>
      <c r="B728">
        <v>16743780</v>
      </c>
      <c r="C728">
        <v>16743764</v>
      </c>
      <c r="D728">
        <v>15167588</v>
      </c>
      <c r="E728">
        <v>1</v>
      </c>
      <c r="F728">
        <v>1</v>
      </c>
      <c r="G728">
        <v>1</v>
      </c>
      <c r="H728">
        <v>3</v>
      </c>
      <c r="I728" t="s">
        <v>1641</v>
      </c>
      <c r="J728" t="s">
        <v>1642</v>
      </c>
      <c r="K728" t="s">
        <v>1643</v>
      </c>
      <c r="L728">
        <v>1346</v>
      </c>
      <c r="N728">
        <v>1009</v>
      </c>
      <c r="O728" t="s">
        <v>341</v>
      </c>
      <c r="P728" t="s">
        <v>341</v>
      </c>
      <c r="Q728">
        <v>1</v>
      </c>
      <c r="X728">
        <v>0.11</v>
      </c>
      <c r="Y728">
        <v>30.4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6</v>
      </c>
      <c r="AG728">
        <v>0.11</v>
      </c>
      <c r="AH728">
        <v>2</v>
      </c>
      <c r="AI728">
        <v>16743769</v>
      </c>
      <c r="AJ728">
        <v>796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ROW(Source!A572)</f>
        <v>572</v>
      </c>
      <c r="B729">
        <v>16743781</v>
      </c>
      <c r="C729">
        <v>16743764</v>
      </c>
      <c r="D729">
        <v>15170074</v>
      </c>
      <c r="E729">
        <v>1</v>
      </c>
      <c r="F729">
        <v>1</v>
      </c>
      <c r="G729">
        <v>1</v>
      </c>
      <c r="H729">
        <v>3</v>
      </c>
      <c r="I729" t="s">
        <v>1655</v>
      </c>
      <c r="J729" t="s">
        <v>1656</v>
      </c>
      <c r="K729" t="s">
        <v>1657</v>
      </c>
      <c r="L729">
        <v>1355</v>
      </c>
      <c r="N729">
        <v>1010</v>
      </c>
      <c r="O729" t="s">
        <v>843</v>
      </c>
      <c r="P729" t="s">
        <v>843</v>
      </c>
      <c r="Q729">
        <v>100</v>
      </c>
      <c r="X729">
        <v>1.02</v>
      </c>
      <c r="Y729">
        <v>86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6</v>
      </c>
      <c r="AG729">
        <v>1.02</v>
      </c>
      <c r="AH729">
        <v>2</v>
      </c>
      <c r="AI729">
        <v>16743770</v>
      </c>
      <c r="AJ729">
        <v>797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ROW(Source!A572)</f>
        <v>572</v>
      </c>
      <c r="B730">
        <v>16743782</v>
      </c>
      <c r="C730">
        <v>16743764</v>
      </c>
      <c r="D730">
        <v>15170434</v>
      </c>
      <c r="E730">
        <v>1</v>
      </c>
      <c r="F730">
        <v>1</v>
      </c>
      <c r="G730">
        <v>1</v>
      </c>
      <c r="H730">
        <v>3</v>
      </c>
      <c r="I730" t="s">
        <v>1658</v>
      </c>
      <c r="J730" t="s">
        <v>1659</v>
      </c>
      <c r="K730" t="s">
        <v>1660</v>
      </c>
      <c r="L730">
        <v>1348</v>
      </c>
      <c r="N730">
        <v>1009</v>
      </c>
      <c r="O730" t="s">
        <v>100</v>
      </c>
      <c r="P730" t="s">
        <v>100</v>
      </c>
      <c r="Q730">
        <v>1000</v>
      </c>
      <c r="X730">
        <v>1.6000000000000001E-4</v>
      </c>
      <c r="Y730">
        <v>29800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6</v>
      </c>
      <c r="AG730">
        <v>1.6000000000000001E-4</v>
      </c>
      <c r="AH730">
        <v>2</v>
      </c>
      <c r="AI730">
        <v>16743771</v>
      </c>
      <c r="AJ730">
        <v>798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ROW(Source!A572)</f>
        <v>572</v>
      </c>
      <c r="B731">
        <v>16743783</v>
      </c>
      <c r="C731">
        <v>16743764</v>
      </c>
      <c r="D731">
        <v>15170438</v>
      </c>
      <c r="E731">
        <v>1</v>
      </c>
      <c r="F731">
        <v>1</v>
      </c>
      <c r="G731">
        <v>1</v>
      </c>
      <c r="H731">
        <v>3</v>
      </c>
      <c r="I731" t="s">
        <v>1636</v>
      </c>
      <c r="J731" t="s">
        <v>1637</v>
      </c>
      <c r="K731" t="s">
        <v>1638</v>
      </c>
      <c r="L731">
        <v>1348</v>
      </c>
      <c r="N731">
        <v>1009</v>
      </c>
      <c r="O731" t="s">
        <v>100</v>
      </c>
      <c r="P731" t="s">
        <v>100</v>
      </c>
      <c r="Q731">
        <v>1000</v>
      </c>
      <c r="X731">
        <v>2.9999999999999997E-4</v>
      </c>
      <c r="Y731">
        <v>12430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6</v>
      </c>
      <c r="AG731">
        <v>2.9999999999999997E-4</v>
      </c>
      <c r="AH731">
        <v>2</v>
      </c>
      <c r="AI731">
        <v>16743772</v>
      </c>
      <c r="AJ731">
        <v>799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ROW(Source!A572)</f>
        <v>572</v>
      </c>
      <c r="B732">
        <v>16743784</v>
      </c>
      <c r="C732">
        <v>16743764</v>
      </c>
      <c r="D732">
        <v>15164559</v>
      </c>
      <c r="E732">
        <v>17</v>
      </c>
      <c r="F732">
        <v>1</v>
      </c>
      <c r="G732">
        <v>1</v>
      </c>
      <c r="H732">
        <v>3</v>
      </c>
      <c r="I732" t="s">
        <v>1334</v>
      </c>
      <c r="J732" t="s">
        <v>6</v>
      </c>
      <c r="K732" t="s">
        <v>1335</v>
      </c>
      <c r="L732">
        <v>1374</v>
      </c>
      <c r="N732">
        <v>1013</v>
      </c>
      <c r="O732" t="s">
        <v>1336</v>
      </c>
      <c r="P732" t="s">
        <v>1336</v>
      </c>
      <c r="Q732">
        <v>1</v>
      </c>
      <c r="X732">
        <v>6.86</v>
      </c>
      <c r="Y732">
        <v>1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6.86</v>
      </c>
      <c r="AH732">
        <v>2</v>
      </c>
      <c r="AI732">
        <v>16743773</v>
      </c>
      <c r="AJ732">
        <v>801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ROW(Source!A574)</f>
        <v>574</v>
      </c>
      <c r="B733">
        <v>16743794</v>
      </c>
      <c r="C733">
        <v>16743786</v>
      </c>
      <c r="D733">
        <v>15436556</v>
      </c>
      <c r="E733">
        <v>1</v>
      </c>
      <c r="F733">
        <v>1</v>
      </c>
      <c r="G733">
        <v>1</v>
      </c>
      <c r="H733">
        <v>1</v>
      </c>
      <c r="I733" t="s">
        <v>1490</v>
      </c>
      <c r="J733" t="s">
        <v>6</v>
      </c>
      <c r="K733" t="s">
        <v>1491</v>
      </c>
      <c r="L733">
        <v>1191</v>
      </c>
      <c r="N733">
        <v>1013</v>
      </c>
      <c r="O733" t="s">
        <v>1287</v>
      </c>
      <c r="P733" t="s">
        <v>1287</v>
      </c>
      <c r="Q733">
        <v>1</v>
      </c>
      <c r="X733">
        <v>12.3</v>
      </c>
      <c r="Y733">
        <v>0</v>
      </c>
      <c r="Z733">
        <v>0</v>
      </c>
      <c r="AA733">
        <v>0</v>
      </c>
      <c r="AB733">
        <v>9.6199999999999992</v>
      </c>
      <c r="AC733">
        <v>0</v>
      </c>
      <c r="AD733">
        <v>1</v>
      </c>
      <c r="AE733">
        <v>1</v>
      </c>
      <c r="AF733" t="s">
        <v>6</v>
      </c>
      <c r="AG733">
        <v>12.3</v>
      </c>
      <c r="AH733">
        <v>2</v>
      </c>
      <c r="AI733">
        <v>16743787</v>
      </c>
      <c r="AJ733">
        <v>802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ROW(Source!A574)</f>
        <v>574</v>
      </c>
      <c r="B734">
        <v>16743795</v>
      </c>
      <c r="C734">
        <v>16743786</v>
      </c>
      <c r="D734">
        <v>15430395</v>
      </c>
      <c r="E734">
        <v>1</v>
      </c>
      <c r="F734">
        <v>1</v>
      </c>
      <c r="G734">
        <v>1</v>
      </c>
      <c r="H734">
        <v>1</v>
      </c>
      <c r="I734" t="s">
        <v>1293</v>
      </c>
      <c r="J734" t="s">
        <v>6</v>
      </c>
      <c r="K734" t="s">
        <v>1294</v>
      </c>
      <c r="L734">
        <v>1191</v>
      </c>
      <c r="N734">
        <v>1013</v>
      </c>
      <c r="O734" t="s">
        <v>1287</v>
      </c>
      <c r="P734" t="s">
        <v>1287</v>
      </c>
      <c r="Q734">
        <v>1</v>
      </c>
      <c r="X734">
        <v>0.49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2</v>
      </c>
      <c r="AF734" t="s">
        <v>6</v>
      </c>
      <c r="AG734">
        <v>0.49</v>
      </c>
      <c r="AH734">
        <v>2</v>
      </c>
      <c r="AI734">
        <v>16743788</v>
      </c>
      <c r="AJ734">
        <v>803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ROW(Source!A574)</f>
        <v>574</v>
      </c>
      <c r="B735">
        <v>16743796</v>
      </c>
      <c r="C735">
        <v>16743786</v>
      </c>
      <c r="D735">
        <v>15247905</v>
      </c>
      <c r="E735">
        <v>1</v>
      </c>
      <c r="F735">
        <v>1</v>
      </c>
      <c r="G735">
        <v>1</v>
      </c>
      <c r="H735">
        <v>2</v>
      </c>
      <c r="I735" t="s">
        <v>1492</v>
      </c>
      <c r="J735" t="s">
        <v>1493</v>
      </c>
      <c r="K735" t="s">
        <v>1494</v>
      </c>
      <c r="L735">
        <v>1368</v>
      </c>
      <c r="N735">
        <v>1011</v>
      </c>
      <c r="O735" t="s">
        <v>1298</v>
      </c>
      <c r="P735" t="s">
        <v>1298</v>
      </c>
      <c r="Q735">
        <v>1</v>
      </c>
      <c r="X735">
        <v>0.49</v>
      </c>
      <c r="Y735">
        <v>0</v>
      </c>
      <c r="Z735">
        <v>89.99</v>
      </c>
      <c r="AA735">
        <v>10.06</v>
      </c>
      <c r="AB735">
        <v>0</v>
      </c>
      <c r="AC735">
        <v>0</v>
      </c>
      <c r="AD735">
        <v>1</v>
      </c>
      <c r="AE735">
        <v>0</v>
      </c>
      <c r="AF735" t="s">
        <v>6</v>
      </c>
      <c r="AG735">
        <v>0.49</v>
      </c>
      <c r="AH735">
        <v>2</v>
      </c>
      <c r="AI735">
        <v>16743789</v>
      </c>
      <c r="AJ735">
        <v>804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ROW(Source!A574)</f>
        <v>574</v>
      </c>
      <c r="B736">
        <v>16743797</v>
      </c>
      <c r="C736">
        <v>16743786</v>
      </c>
      <c r="D736">
        <v>15203777</v>
      </c>
      <c r="E736">
        <v>1</v>
      </c>
      <c r="F736">
        <v>1</v>
      </c>
      <c r="G736">
        <v>1</v>
      </c>
      <c r="H736">
        <v>3</v>
      </c>
      <c r="I736" t="s">
        <v>1772</v>
      </c>
      <c r="J736" t="s">
        <v>1773</v>
      </c>
      <c r="K736" t="s">
        <v>1774</v>
      </c>
      <c r="L736">
        <v>1348</v>
      </c>
      <c r="N736">
        <v>1009</v>
      </c>
      <c r="O736" t="s">
        <v>100</v>
      </c>
      <c r="P736" t="s">
        <v>100</v>
      </c>
      <c r="Q736">
        <v>1000</v>
      </c>
      <c r="X736">
        <v>3.0000000000000001E-5</v>
      </c>
      <c r="Y736">
        <v>26932.42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3.0000000000000001E-5</v>
      </c>
      <c r="AH736">
        <v>2</v>
      </c>
      <c r="AI736">
        <v>16743790</v>
      </c>
      <c r="AJ736">
        <v>805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ROW(Source!A574)</f>
        <v>574</v>
      </c>
      <c r="B737">
        <v>16743798</v>
      </c>
      <c r="C737">
        <v>16743786</v>
      </c>
      <c r="D737">
        <v>15204471</v>
      </c>
      <c r="E737">
        <v>1</v>
      </c>
      <c r="F737">
        <v>1</v>
      </c>
      <c r="G737">
        <v>1</v>
      </c>
      <c r="H737">
        <v>3</v>
      </c>
      <c r="I737" t="s">
        <v>1775</v>
      </c>
      <c r="J737" t="s">
        <v>1776</v>
      </c>
      <c r="K737" t="s">
        <v>1777</v>
      </c>
      <c r="L737">
        <v>1346</v>
      </c>
      <c r="N737">
        <v>1009</v>
      </c>
      <c r="O737" t="s">
        <v>341</v>
      </c>
      <c r="P737" t="s">
        <v>341</v>
      </c>
      <c r="Q737">
        <v>1</v>
      </c>
      <c r="X737">
        <v>1.0999999999999999E-2</v>
      </c>
      <c r="Y737">
        <v>32.6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6</v>
      </c>
      <c r="AG737">
        <v>1.0999999999999999E-2</v>
      </c>
      <c r="AH737">
        <v>2</v>
      </c>
      <c r="AI737">
        <v>16743791</v>
      </c>
      <c r="AJ737">
        <v>806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ROW(Source!A574)</f>
        <v>574</v>
      </c>
      <c r="B738">
        <v>16743799</v>
      </c>
      <c r="C738">
        <v>16743786</v>
      </c>
      <c r="D738">
        <v>15164559</v>
      </c>
      <c r="E738">
        <v>17</v>
      </c>
      <c r="F738">
        <v>1</v>
      </c>
      <c r="G738">
        <v>1</v>
      </c>
      <c r="H738">
        <v>3</v>
      </c>
      <c r="I738" t="s">
        <v>1334</v>
      </c>
      <c r="J738" t="s">
        <v>6</v>
      </c>
      <c r="K738" t="s">
        <v>1335</v>
      </c>
      <c r="L738">
        <v>1374</v>
      </c>
      <c r="N738">
        <v>1013</v>
      </c>
      <c r="O738" t="s">
        <v>1336</v>
      </c>
      <c r="P738" t="s">
        <v>1336</v>
      </c>
      <c r="Q738">
        <v>1</v>
      </c>
      <c r="X738">
        <v>2.37</v>
      </c>
      <c r="Y738">
        <v>1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6</v>
      </c>
      <c r="AG738">
        <v>2.37</v>
      </c>
      <c r="AH738">
        <v>2</v>
      </c>
      <c r="AI738">
        <v>16743792</v>
      </c>
      <c r="AJ738">
        <v>808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ROW(Source!A576)</f>
        <v>576</v>
      </c>
      <c r="B739">
        <v>16743803</v>
      </c>
      <c r="C739">
        <v>16743801</v>
      </c>
      <c r="D739">
        <v>15430767</v>
      </c>
      <c r="E739">
        <v>1</v>
      </c>
      <c r="F739">
        <v>1</v>
      </c>
      <c r="G739">
        <v>1</v>
      </c>
      <c r="H739">
        <v>1</v>
      </c>
      <c r="I739" t="s">
        <v>1285</v>
      </c>
      <c r="J739" t="s">
        <v>6</v>
      </c>
      <c r="K739" t="s">
        <v>1286</v>
      </c>
      <c r="L739">
        <v>1191</v>
      </c>
      <c r="N739">
        <v>1013</v>
      </c>
      <c r="O739" t="s">
        <v>1287</v>
      </c>
      <c r="P739" t="s">
        <v>1287</v>
      </c>
      <c r="Q739">
        <v>1</v>
      </c>
      <c r="X739">
        <v>5.49</v>
      </c>
      <c r="Y739">
        <v>0</v>
      </c>
      <c r="Z739">
        <v>0</v>
      </c>
      <c r="AA739">
        <v>0</v>
      </c>
      <c r="AB739">
        <v>8.5299999999999994</v>
      </c>
      <c r="AC739">
        <v>0</v>
      </c>
      <c r="AD739">
        <v>1</v>
      </c>
      <c r="AE739">
        <v>1</v>
      </c>
      <c r="AF739" t="s">
        <v>6</v>
      </c>
      <c r="AG739">
        <v>5.49</v>
      </c>
      <c r="AH739">
        <v>2</v>
      </c>
      <c r="AI739">
        <v>16743802</v>
      </c>
      <c r="AJ739">
        <v>809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ROW(Source!A576)</f>
        <v>576</v>
      </c>
      <c r="B740">
        <v>16743804</v>
      </c>
      <c r="C740">
        <v>16743801</v>
      </c>
      <c r="D740">
        <v>15164566</v>
      </c>
      <c r="E740">
        <v>17</v>
      </c>
      <c r="F740">
        <v>1</v>
      </c>
      <c r="G740">
        <v>1</v>
      </c>
      <c r="H740">
        <v>3</v>
      </c>
      <c r="I740" t="s">
        <v>98</v>
      </c>
      <c r="J740" t="s">
        <v>6</v>
      </c>
      <c r="K740" t="s">
        <v>99</v>
      </c>
      <c r="L740">
        <v>1348</v>
      </c>
      <c r="N740">
        <v>1009</v>
      </c>
      <c r="O740" t="s">
        <v>100</v>
      </c>
      <c r="P740" t="s">
        <v>100</v>
      </c>
      <c r="Q740">
        <v>1000</v>
      </c>
      <c r="X740">
        <v>6.0000000000000001E-3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 t="s">
        <v>6</v>
      </c>
      <c r="AG740">
        <v>6.0000000000000001E-3</v>
      </c>
      <c r="AH740">
        <v>3</v>
      </c>
      <c r="AI740">
        <v>-1</v>
      </c>
      <c r="AJ740" t="s">
        <v>6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ROW(Source!A577)</f>
        <v>577</v>
      </c>
      <c r="B741">
        <v>16743818</v>
      </c>
      <c r="C741">
        <v>16743806</v>
      </c>
      <c r="D741">
        <v>15430397</v>
      </c>
      <c r="E741">
        <v>1</v>
      </c>
      <c r="F741">
        <v>1</v>
      </c>
      <c r="G741">
        <v>1</v>
      </c>
      <c r="H741">
        <v>1</v>
      </c>
      <c r="I741" t="s">
        <v>1323</v>
      </c>
      <c r="J741" t="s">
        <v>6</v>
      </c>
      <c r="K741" t="s">
        <v>1324</v>
      </c>
      <c r="L741">
        <v>1191</v>
      </c>
      <c r="N741">
        <v>1013</v>
      </c>
      <c r="O741" t="s">
        <v>1287</v>
      </c>
      <c r="P741" t="s">
        <v>1287</v>
      </c>
      <c r="Q741">
        <v>1</v>
      </c>
      <c r="X741">
        <v>15.28</v>
      </c>
      <c r="Y741">
        <v>0</v>
      </c>
      <c r="Z741">
        <v>0</v>
      </c>
      <c r="AA741">
        <v>0</v>
      </c>
      <c r="AB741">
        <v>9.4</v>
      </c>
      <c r="AC741">
        <v>0</v>
      </c>
      <c r="AD741">
        <v>1</v>
      </c>
      <c r="AE741">
        <v>1</v>
      </c>
      <c r="AF741" t="s">
        <v>6</v>
      </c>
      <c r="AG741">
        <v>15.28</v>
      </c>
      <c r="AH741">
        <v>2</v>
      </c>
      <c r="AI741">
        <v>16743807</v>
      </c>
      <c r="AJ741">
        <v>810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ROW(Source!A577)</f>
        <v>577</v>
      </c>
      <c r="B742">
        <v>16743819</v>
      </c>
      <c r="C742">
        <v>16743806</v>
      </c>
      <c r="D742">
        <v>15430395</v>
      </c>
      <c r="E742">
        <v>1</v>
      </c>
      <c r="F742">
        <v>1</v>
      </c>
      <c r="G742">
        <v>1</v>
      </c>
      <c r="H742">
        <v>1</v>
      </c>
      <c r="I742" t="s">
        <v>1293</v>
      </c>
      <c r="J742" t="s">
        <v>6</v>
      </c>
      <c r="K742" t="s">
        <v>1294</v>
      </c>
      <c r="L742">
        <v>1191</v>
      </c>
      <c r="N742">
        <v>1013</v>
      </c>
      <c r="O742" t="s">
        <v>1287</v>
      </c>
      <c r="P742" t="s">
        <v>1287</v>
      </c>
      <c r="Q742">
        <v>1</v>
      </c>
      <c r="X742">
        <v>0.22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6</v>
      </c>
      <c r="AG742">
        <v>0.22</v>
      </c>
      <c r="AH742">
        <v>2</v>
      </c>
      <c r="AI742">
        <v>16743808</v>
      </c>
      <c r="AJ742">
        <v>811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ROW(Source!A577)</f>
        <v>577</v>
      </c>
      <c r="B743">
        <v>16743820</v>
      </c>
      <c r="C743">
        <v>16743806</v>
      </c>
      <c r="D743">
        <v>15247680</v>
      </c>
      <c r="E743">
        <v>1</v>
      </c>
      <c r="F743">
        <v>1</v>
      </c>
      <c r="G743">
        <v>1</v>
      </c>
      <c r="H743">
        <v>2</v>
      </c>
      <c r="I743" t="s">
        <v>1295</v>
      </c>
      <c r="J743" t="s">
        <v>1296</v>
      </c>
      <c r="K743" t="s">
        <v>1297</v>
      </c>
      <c r="L743">
        <v>1368</v>
      </c>
      <c r="N743">
        <v>1011</v>
      </c>
      <c r="O743" t="s">
        <v>1298</v>
      </c>
      <c r="P743" t="s">
        <v>1298</v>
      </c>
      <c r="Q743">
        <v>1</v>
      </c>
      <c r="X743">
        <v>0.11</v>
      </c>
      <c r="Y743">
        <v>0</v>
      </c>
      <c r="Z743">
        <v>111.99</v>
      </c>
      <c r="AA743">
        <v>13.5</v>
      </c>
      <c r="AB743">
        <v>0</v>
      </c>
      <c r="AC743">
        <v>0</v>
      </c>
      <c r="AD743">
        <v>1</v>
      </c>
      <c r="AE743">
        <v>0</v>
      </c>
      <c r="AF743" t="s">
        <v>6</v>
      </c>
      <c r="AG743">
        <v>0.11</v>
      </c>
      <c r="AH743">
        <v>2</v>
      </c>
      <c r="AI743">
        <v>16743809</v>
      </c>
      <c r="AJ743">
        <v>812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ROW(Source!A577)</f>
        <v>577</v>
      </c>
      <c r="B744">
        <v>16743821</v>
      </c>
      <c r="C744">
        <v>16743806</v>
      </c>
      <c r="D744">
        <v>15249073</v>
      </c>
      <c r="E744">
        <v>1</v>
      </c>
      <c r="F744">
        <v>1</v>
      </c>
      <c r="G744">
        <v>1</v>
      </c>
      <c r="H744">
        <v>2</v>
      </c>
      <c r="I744" t="s">
        <v>1299</v>
      </c>
      <c r="J744" t="s">
        <v>1300</v>
      </c>
      <c r="K744" t="s">
        <v>1301</v>
      </c>
      <c r="L744">
        <v>1368</v>
      </c>
      <c r="N744">
        <v>1011</v>
      </c>
      <c r="O744" t="s">
        <v>1298</v>
      </c>
      <c r="P744" t="s">
        <v>1298</v>
      </c>
      <c r="Q744">
        <v>1</v>
      </c>
      <c r="X744">
        <v>0.11</v>
      </c>
      <c r="Y744">
        <v>0</v>
      </c>
      <c r="Z744">
        <v>65.709999999999994</v>
      </c>
      <c r="AA744">
        <v>11.6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0.11</v>
      </c>
      <c r="AH744">
        <v>2</v>
      </c>
      <c r="AI744">
        <v>16743810</v>
      </c>
      <c r="AJ744">
        <v>813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ROW(Source!A577)</f>
        <v>577</v>
      </c>
      <c r="B745">
        <v>16743822</v>
      </c>
      <c r="C745">
        <v>16743806</v>
      </c>
      <c r="D745">
        <v>15172838</v>
      </c>
      <c r="E745">
        <v>1</v>
      </c>
      <c r="F745">
        <v>1</v>
      </c>
      <c r="G745">
        <v>1</v>
      </c>
      <c r="H745">
        <v>3</v>
      </c>
      <c r="I745" t="s">
        <v>1681</v>
      </c>
      <c r="J745" t="s">
        <v>1682</v>
      </c>
      <c r="K745" t="s">
        <v>1683</v>
      </c>
      <c r="L745">
        <v>1339</v>
      </c>
      <c r="N745">
        <v>1007</v>
      </c>
      <c r="O745" t="s">
        <v>301</v>
      </c>
      <c r="P745" t="s">
        <v>301</v>
      </c>
      <c r="Q745">
        <v>1</v>
      </c>
      <c r="X745">
        <v>2.1000000000000001E-2</v>
      </c>
      <c r="Y745">
        <v>600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6</v>
      </c>
      <c r="AG745">
        <v>2.1000000000000001E-2</v>
      </c>
      <c r="AH745">
        <v>2</v>
      </c>
      <c r="AI745">
        <v>16743811</v>
      </c>
      <c r="AJ745">
        <v>814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ROW(Source!A577)</f>
        <v>577</v>
      </c>
      <c r="B746">
        <v>16743823</v>
      </c>
      <c r="C746">
        <v>16743806</v>
      </c>
      <c r="D746">
        <v>15202442</v>
      </c>
      <c r="E746">
        <v>1</v>
      </c>
      <c r="F746">
        <v>1</v>
      </c>
      <c r="G746">
        <v>1</v>
      </c>
      <c r="H746">
        <v>3</v>
      </c>
      <c r="I746" t="s">
        <v>1684</v>
      </c>
      <c r="J746" t="s">
        <v>1685</v>
      </c>
      <c r="K746" t="s">
        <v>1686</v>
      </c>
      <c r="L746">
        <v>1346</v>
      </c>
      <c r="N746">
        <v>1009</v>
      </c>
      <c r="O746" t="s">
        <v>341</v>
      </c>
      <c r="P746" t="s">
        <v>341</v>
      </c>
      <c r="Q746">
        <v>1</v>
      </c>
      <c r="X746">
        <v>0.4</v>
      </c>
      <c r="Y746">
        <v>25.8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0.4</v>
      </c>
      <c r="AH746">
        <v>2</v>
      </c>
      <c r="AI746">
        <v>16743812</v>
      </c>
      <c r="AJ746">
        <v>815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ROW(Source!A577)</f>
        <v>577</v>
      </c>
      <c r="B747">
        <v>16743824</v>
      </c>
      <c r="C747">
        <v>16743806</v>
      </c>
      <c r="D747">
        <v>15217585</v>
      </c>
      <c r="E747">
        <v>1</v>
      </c>
      <c r="F747">
        <v>1</v>
      </c>
      <c r="G747">
        <v>1</v>
      </c>
      <c r="H747">
        <v>3</v>
      </c>
      <c r="I747" t="s">
        <v>1687</v>
      </c>
      <c r="J747" t="s">
        <v>1688</v>
      </c>
      <c r="K747" t="s">
        <v>1689</v>
      </c>
      <c r="L747">
        <v>1356</v>
      </c>
      <c r="N747">
        <v>1010</v>
      </c>
      <c r="O747" t="s">
        <v>306</v>
      </c>
      <c r="P747" t="s">
        <v>306</v>
      </c>
      <c r="Q747">
        <v>1000</v>
      </c>
      <c r="X747">
        <v>3.2000000000000001E-2</v>
      </c>
      <c r="Y747">
        <v>270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3.2000000000000001E-2</v>
      </c>
      <c r="AH747">
        <v>2</v>
      </c>
      <c r="AI747">
        <v>16743813</v>
      </c>
      <c r="AJ747">
        <v>816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ROW(Source!A577)</f>
        <v>577</v>
      </c>
      <c r="B748">
        <v>16743825</v>
      </c>
      <c r="C748">
        <v>16743806</v>
      </c>
      <c r="D748">
        <v>15217593</v>
      </c>
      <c r="E748">
        <v>1</v>
      </c>
      <c r="F748">
        <v>1</v>
      </c>
      <c r="G748">
        <v>1</v>
      </c>
      <c r="H748">
        <v>3</v>
      </c>
      <c r="I748" t="s">
        <v>1690</v>
      </c>
      <c r="J748" t="s">
        <v>1691</v>
      </c>
      <c r="K748" t="s">
        <v>1692</v>
      </c>
      <c r="L748">
        <v>1358</v>
      </c>
      <c r="N748">
        <v>1010</v>
      </c>
      <c r="O748" t="s">
        <v>723</v>
      </c>
      <c r="P748" t="s">
        <v>723</v>
      </c>
      <c r="Q748">
        <v>10</v>
      </c>
      <c r="X748">
        <v>1</v>
      </c>
      <c r="Y748">
        <v>19.899999999999999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6</v>
      </c>
      <c r="AG748">
        <v>1</v>
      </c>
      <c r="AH748">
        <v>2</v>
      </c>
      <c r="AI748">
        <v>16743814</v>
      </c>
      <c r="AJ748">
        <v>817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ROW(Source!A577)</f>
        <v>577</v>
      </c>
      <c r="B749">
        <v>16743826</v>
      </c>
      <c r="C749">
        <v>16743806</v>
      </c>
      <c r="D749">
        <v>15218939</v>
      </c>
      <c r="E749">
        <v>1</v>
      </c>
      <c r="F749">
        <v>1</v>
      </c>
      <c r="G749">
        <v>1</v>
      </c>
      <c r="H749">
        <v>3</v>
      </c>
      <c r="I749" t="s">
        <v>1693</v>
      </c>
      <c r="J749" t="s">
        <v>1694</v>
      </c>
      <c r="K749" t="s">
        <v>1695</v>
      </c>
      <c r="L749">
        <v>1354</v>
      </c>
      <c r="N749">
        <v>1010</v>
      </c>
      <c r="O749" t="s">
        <v>73</v>
      </c>
      <c r="P749" t="s">
        <v>73</v>
      </c>
      <c r="Q749">
        <v>1</v>
      </c>
      <c r="X749">
        <v>0.5</v>
      </c>
      <c r="Y749">
        <v>66.819999999999993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6</v>
      </c>
      <c r="AG749">
        <v>0.5</v>
      </c>
      <c r="AH749">
        <v>2</v>
      </c>
      <c r="AI749">
        <v>16743815</v>
      </c>
      <c r="AJ749">
        <v>818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ROW(Source!A577)</f>
        <v>577</v>
      </c>
      <c r="B750">
        <v>16743827</v>
      </c>
      <c r="C750">
        <v>16743806</v>
      </c>
      <c r="D750">
        <v>15164559</v>
      </c>
      <c r="E750">
        <v>17</v>
      </c>
      <c r="F750">
        <v>1</v>
      </c>
      <c r="G750">
        <v>1</v>
      </c>
      <c r="H750">
        <v>3</v>
      </c>
      <c r="I750" t="s">
        <v>1334</v>
      </c>
      <c r="J750" t="s">
        <v>6</v>
      </c>
      <c r="K750" t="s">
        <v>1335</v>
      </c>
      <c r="L750">
        <v>1374</v>
      </c>
      <c r="N750">
        <v>1013</v>
      </c>
      <c r="O750" t="s">
        <v>1336</v>
      </c>
      <c r="P750" t="s">
        <v>1336</v>
      </c>
      <c r="Q750">
        <v>1</v>
      </c>
      <c r="X750">
        <v>2.87</v>
      </c>
      <c r="Y750">
        <v>1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6</v>
      </c>
      <c r="AG750">
        <v>2.87</v>
      </c>
      <c r="AH750">
        <v>2</v>
      </c>
      <c r="AI750">
        <v>16743817</v>
      </c>
      <c r="AJ750">
        <v>820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ROW(Source!A579)</f>
        <v>579</v>
      </c>
      <c r="B751">
        <v>16743845</v>
      </c>
      <c r="C751">
        <v>16743830</v>
      </c>
      <c r="D751">
        <v>15430397</v>
      </c>
      <c r="E751">
        <v>1</v>
      </c>
      <c r="F751">
        <v>1</v>
      </c>
      <c r="G751">
        <v>1</v>
      </c>
      <c r="H751">
        <v>1</v>
      </c>
      <c r="I751" t="s">
        <v>1323</v>
      </c>
      <c r="J751" t="s">
        <v>6</v>
      </c>
      <c r="K751" t="s">
        <v>1324</v>
      </c>
      <c r="L751">
        <v>1191</v>
      </c>
      <c r="N751">
        <v>1013</v>
      </c>
      <c r="O751" t="s">
        <v>1287</v>
      </c>
      <c r="P751" t="s">
        <v>1287</v>
      </c>
      <c r="Q751">
        <v>1</v>
      </c>
      <c r="X751">
        <v>8.56</v>
      </c>
      <c r="Y751">
        <v>0</v>
      </c>
      <c r="Z751">
        <v>0</v>
      </c>
      <c r="AA751">
        <v>0</v>
      </c>
      <c r="AB751">
        <v>9.4</v>
      </c>
      <c r="AC751">
        <v>0</v>
      </c>
      <c r="AD751">
        <v>1</v>
      </c>
      <c r="AE751">
        <v>1</v>
      </c>
      <c r="AF751" t="s">
        <v>6</v>
      </c>
      <c r="AG751">
        <v>8.56</v>
      </c>
      <c r="AH751">
        <v>2</v>
      </c>
      <c r="AI751">
        <v>16743831</v>
      </c>
      <c r="AJ751">
        <v>821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ROW(Source!A579)</f>
        <v>579</v>
      </c>
      <c r="B752">
        <v>16743846</v>
      </c>
      <c r="C752">
        <v>16743830</v>
      </c>
      <c r="D752">
        <v>15430395</v>
      </c>
      <c r="E752">
        <v>1</v>
      </c>
      <c r="F752">
        <v>1</v>
      </c>
      <c r="G752">
        <v>1</v>
      </c>
      <c r="H752">
        <v>1</v>
      </c>
      <c r="I752" t="s">
        <v>1293</v>
      </c>
      <c r="J752" t="s">
        <v>6</v>
      </c>
      <c r="K752" t="s">
        <v>1294</v>
      </c>
      <c r="L752">
        <v>1191</v>
      </c>
      <c r="N752">
        <v>1013</v>
      </c>
      <c r="O752" t="s">
        <v>1287</v>
      </c>
      <c r="P752" t="s">
        <v>1287</v>
      </c>
      <c r="Q752">
        <v>1</v>
      </c>
      <c r="X752">
        <v>2.27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2</v>
      </c>
      <c r="AF752" t="s">
        <v>6</v>
      </c>
      <c r="AG752">
        <v>2.27</v>
      </c>
      <c r="AH752">
        <v>2</v>
      </c>
      <c r="AI752">
        <v>16743832</v>
      </c>
      <c r="AJ752">
        <v>822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ROW(Source!A579)</f>
        <v>579</v>
      </c>
      <c r="B753">
        <v>16743847</v>
      </c>
      <c r="C753">
        <v>16743830</v>
      </c>
      <c r="D753">
        <v>15247680</v>
      </c>
      <c r="E753">
        <v>1</v>
      </c>
      <c r="F753">
        <v>1</v>
      </c>
      <c r="G753">
        <v>1</v>
      </c>
      <c r="H753">
        <v>2</v>
      </c>
      <c r="I753" t="s">
        <v>1295</v>
      </c>
      <c r="J753" t="s">
        <v>1296</v>
      </c>
      <c r="K753" t="s">
        <v>1297</v>
      </c>
      <c r="L753">
        <v>1368</v>
      </c>
      <c r="N753">
        <v>1011</v>
      </c>
      <c r="O753" t="s">
        <v>1298</v>
      </c>
      <c r="P753" t="s">
        <v>1298</v>
      </c>
      <c r="Q753">
        <v>1</v>
      </c>
      <c r="X753">
        <v>0.1</v>
      </c>
      <c r="Y753">
        <v>0</v>
      </c>
      <c r="Z753">
        <v>111.99</v>
      </c>
      <c r="AA753">
        <v>13.5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0.1</v>
      </c>
      <c r="AH753">
        <v>2</v>
      </c>
      <c r="AI753">
        <v>16743833</v>
      </c>
      <c r="AJ753">
        <v>823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ROW(Source!A579)</f>
        <v>579</v>
      </c>
      <c r="B754">
        <v>16743848</v>
      </c>
      <c r="C754">
        <v>16743830</v>
      </c>
      <c r="D754">
        <v>15247962</v>
      </c>
      <c r="E754">
        <v>1</v>
      </c>
      <c r="F754">
        <v>1</v>
      </c>
      <c r="G754">
        <v>1</v>
      </c>
      <c r="H754">
        <v>2</v>
      </c>
      <c r="I754" t="s">
        <v>1714</v>
      </c>
      <c r="J754" t="s">
        <v>1715</v>
      </c>
      <c r="K754" t="s">
        <v>1716</v>
      </c>
      <c r="L754">
        <v>1368</v>
      </c>
      <c r="N754">
        <v>1011</v>
      </c>
      <c r="O754" t="s">
        <v>1298</v>
      </c>
      <c r="P754" t="s">
        <v>1298</v>
      </c>
      <c r="Q754">
        <v>1</v>
      </c>
      <c r="X754">
        <v>2.0699999999999998</v>
      </c>
      <c r="Y754">
        <v>0</v>
      </c>
      <c r="Z754">
        <v>29.6</v>
      </c>
      <c r="AA754">
        <v>10.06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2.0699999999999998</v>
      </c>
      <c r="AH754">
        <v>2</v>
      </c>
      <c r="AI754">
        <v>16743834</v>
      </c>
      <c r="AJ754">
        <v>824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ROW(Source!A579)</f>
        <v>579</v>
      </c>
      <c r="B755">
        <v>16743849</v>
      </c>
      <c r="C755">
        <v>16743830</v>
      </c>
      <c r="D755">
        <v>15249073</v>
      </c>
      <c r="E755">
        <v>1</v>
      </c>
      <c r="F755">
        <v>1</v>
      </c>
      <c r="G755">
        <v>1</v>
      </c>
      <c r="H755">
        <v>2</v>
      </c>
      <c r="I755" t="s">
        <v>1299</v>
      </c>
      <c r="J755" t="s">
        <v>1300</v>
      </c>
      <c r="K755" t="s">
        <v>1301</v>
      </c>
      <c r="L755">
        <v>1368</v>
      </c>
      <c r="N755">
        <v>1011</v>
      </c>
      <c r="O755" t="s">
        <v>1298</v>
      </c>
      <c r="P755" t="s">
        <v>1298</v>
      </c>
      <c r="Q755">
        <v>1</v>
      </c>
      <c r="X755">
        <v>0.1</v>
      </c>
      <c r="Y755">
        <v>0</v>
      </c>
      <c r="Z755">
        <v>65.709999999999994</v>
      </c>
      <c r="AA755">
        <v>11.6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0.1</v>
      </c>
      <c r="AH755">
        <v>2</v>
      </c>
      <c r="AI755">
        <v>16743835</v>
      </c>
      <c r="AJ755">
        <v>825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ROW(Source!A579)</f>
        <v>579</v>
      </c>
      <c r="B756">
        <v>16743850</v>
      </c>
      <c r="C756">
        <v>16743830</v>
      </c>
      <c r="D756">
        <v>15249377</v>
      </c>
      <c r="E756">
        <v>1</v>
      </c>
      <c r="F756">
        <v>1</v>
      </c>
      <c r="G756">
        <v>1</v>
      </c>
      <c r="H756">
        <v>2</v>
      </c>
      <c r="I756" t="s">
        <v>1302</v>
      </c>
      <c r="J756" t="s">
        <v>1303</v>
      </c>
      <c r="K756" t="s">
        <v>1304</v>
      </c>
      <c r="L756">
        <v>1368</v>
      </c>
      <c r="N756">
        <v>1011</v>
      </c>
      <c r="O756" t="s">
        <v>1298</v>
      </c>
      <c r="P756" t="s">
        <v>1298</v>
      </c>
      <c r="Q756">
        <v>1</v>
      </c>
      <c r="X756">
        <v>1.93</v>
      </c>
      <c r="Y756">
        <v>0</v>
      </c>
      <c r="Z756">
        <v>8.1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6</v>
      </c>
      <c r="AG756">
        <v>1.93</v>
      </c>
      <c r="AH756">
        <v>2</v>
      </c>
      <c r="AI756">
        <v>16743836</v>
      </c>
      <c r="AJ756">
        <v>826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ROW(Source!A579)</f>
        <v>579</v>
      </c>
      <c r="B757">
        <v>16743851</v>
      </c>
      <c r="C757">
        <v>16743830</v>
      </c>
      <c r="D757">
        <v>15168752</v>
      </c>
      <c r="E757">
        <v>1</v>
      </c>
      <c r="F757">
        <v>1</v>
      </c>
      <c r="G757">
        <v>1</v>
      </c>
      <c r="H757">
        <v>3</v>
      </c>
      <c r="I757" t="s">
        <v>1325</v>
      </c>
      <c r="J757" t="s">
        <v>1326</v>
      </c>
      <c r="K757" t="s">
        <v>1327</v>
      </c>
      <c r="L757">
        <v>1346</v>
      </c>
      <c r="N757">
        <v>1009</v>
      </c>
      <c r="O757" t="s">
        <v>341</v>
      </c>
      <c r="P757" t="s">
        <v>341</v>
      </c>
      <c r="Q757">
        <v>1</v>
      </c>
      <c r="X757">
        <v>2.14</v>
      </c>
      <c r="Y757">
        <v>10.57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</v>
      </c>
      <c r="AG757">
        <v>2.14</v>
      </c>
      <c r="AH757">
        <v>2</v>
      </c>
      <c r="AI757">
        <v>16743837</v>
      </c>
      <c r="AJ757">
        <v>827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ROW(Source!A579)</f>
        <v>579</v>
      </c>
      <c r="B758">
        <v>16743852</v>
      </c>
      <c r="C758">
        <v>16743830</v>
      </c>
      <c r="D758">
        <v>15169942</v>
      </c>
      <c r="E758">
        <v>1</v>
      </c>
      <c r="F758">
        <v>1</v>
      </c>
      <c r="G758">
        <v>1</v>
      </c>
      <c r="H758">
        <v>3</v>
      </c>
      <c r="I758" t="s">
        <v>1644</v>
      </c>
      <c r="J758" t="s">
        <v>1645</v>
      </c>
      <c r="K758" t="s">
        <v>1310</v>
      </c>
      <c r="L758">
        <v>1346</v>
      </c>
      <c r="N758">
        <v>1009</v>
      </c>
      <c r="O758" t="s">
        <v>341</v>
      </c>
      <c r="P758" t="s">
        <v>341</v>
      </c>
      <c r="Q758">
        <v>1</v>
      </c>
      <c r="X758">
        <v>1.25</v>
      </c>
      <c r="Y758">
        <v>9.0399999999999991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1.25</v>
      </c>
      <c r="AH758">
        <v>2</v>
      </c>
      <c r="AI758">
        <v>16743838</v>
      </c>
      <c r="AJ758">
        <v>828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ROW(Source!A579)</f>
        <v>579</v>
      </c>
      <c r="B759">
        <v>16743853</v>
      </c>
      <c r="C759">
        <v>16743830</v>
      </c>
      <c r="D759">
        <v>15170074</v>
      </c>
      <c r="E759">
        <v>1</v>
      </c>
      <c r="F759">
        <v>1</v>
      </c>
      <c r="G759">
        <v>1</v>
      </c>
      <c r="H759">
        <v>3</v>
      </c>
      <c r="I759" t="s">
        <v>1655</v>
      </c>
      <c r="J759" t="s">
        <v>1656</v>
      </c>
      <c r="K759" t="s">
        <v>1657</v>
      </c>
      <c r="L759">
        <v>1355</v>
      </c>
      <c r="N759">
        <v>1010</v>
      </c>
      <c r="O759" t="s">
        <v>843</v>
      </c>
      <c r="P759" t="s">
        <v>843</v>
      </c>
      <c r="Q759">
        <v>100</v>
      </c>
      <c r="X759">
        <v>0.3</v>
      </c>
      <c r="Y759">
        <v>86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6</v>
      </c>
      <c r="AG759">
        <v>0.3</v>
      </c>
      <c r="AH759">
        <v>2</v>
      </c>
      <c r="AI759">
        <v>16743839</v>
      </c>
      <c r="AJ759">
        <v>829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ROW(Source!A579)</f>
        <v>579</v>
      </c>
      <c r="B760">
        <v>16743854</v>
      </c>
      <c r="C760">
        <v>16743830</v>
      </c>
      <c r="D760">
        <v>15217313</v>
      </c>
      <c r="E760">
        <v>1</v>
      </c>
      <c r="F760">
        <v>1</v>
      </c>
      <c r="G760">
        <v>1</v>
      </c>
      <c r="H760">
        <v>3</v>
      </c>
      <c r="I760" t="s">
        <v>1717</v>
      </c>
      <c r="J760" t="s">
        <v>1718</v>
      </c>
      <c r="K760" t="s">
        <v>1719</v>
      </c>
      <c r="L760">
        <v>1354</v>
      </c>
      <c r="N760">
        <v>1010</v>
      </c>
      <c r="O760" t="s">
        <v>73</v>
      </c>
      <c r="P760" t="s">
        <v>73</v>
      </c>
      <c r="Q760">
        <v>1</v>
      </c>
      <c r="X760">
        <v>30</v>
      </c>
      <c r="Y760">
        <v>10.54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6</v>
      </c>
      <c r="AG760">
        <v>30</v>
      </c>
      <c r="AH760">
        <v>2</v>
      </c>
      <c r="AI760">
        <v>16743840</v>
      </c>
      <c r="AJ760">
        <v>830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ROW(Source!A579)</f>
        <v>579</v>
      </c>
      <c r="B761">
        <v>16743855</v>
      </c>
      <c r="C761">
        <v>16743830</v>
      </c>
      <c r="D761">
        <v>15219265</v>
      </c>
      <c r="E761">
        <v>1</v>
      </c>
      <c r="F761">
        <v>1</v>
      </c>
      <c r="G761">
        <v>1</v>
      </c>
      <c r="H761">
        <v>3</v>
      </c>
      <c r="I761" t="s">
        <v>1720</v>
      </c>
      <c r="J761" t="s">
        <v>1721</v>
      </c>
      <c r="K761" t="s">
        <v>1722</v>
      </c>
      <c r="L761">
        <v>1354</v>
      </c>
      <c r="N761">
        <v>1010</v>
      </c>
      <c r="O761" t="s">
        <v>73</v>
      </c>
      <c r="P761" t="s">
        <v>73</v>
      </c>
      <c r="Q761">
        <v>1</v>
      </c>
      <c r="X761">
        <v>6</v>
      </c>
      <c r="Y761">
        <v>5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6</v>
      </c>
      <c r="AG761">
        <v>6</v>
      </c>
      <c r="AH761">
        <v>2</v>
      </c>
      <c r="AI761">
        <v>16743841</v>
      </c>
      <c r="AJ761">
        <v>832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ROW(Source!A579)</f>
        <v>579</v>
      </c>
      <c r="B762">
        <v>16743856</v>
      </c>
      <c r="C762">
        <v>16743830</v>
      </c>
      <c r="D762">
        <v>15164559</v>
      </c>
      <c r="E762">
        <v>17</v>
      </c>
      <c r="F762">
        <v>1</v>
      </c>
      <c r="G762">
        <v>1</v>
      </c>
      <c r="H762">
        <v>3</v>
      </c>
      <c r="I762" t="s">
        <v>1334</v>
      </c>
      <c r="J762" t="s">
        <v>6</v>
      </c>
      <c r="K762" t="s">
        <v>1335</v>
      </c>
      <c r="L762">
        <v>1374</v>
      </c>
      <c r="N762">
        <v>1013</v>
      </c>
      <c r="O762" t="s">
        <v>1336</v>
      </c>
      <c r="P762" t="s">
        <v>1336</v>
      </c>
      <c r="Q762">
        <v>1</v>
      </c>
      <c r="X762">
        <v>1.61</v>
      </c>
      <c r="Y762">
        <v>1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1.61</v>
      </c>
      <c r="AH762">
        <v>2</v>
      </c>
      <c r="AI762">
        <v>16743842</v>
      </c>
      <c r="AJ762">
        <v>833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ROW(Source!A615)</f>
        <v>615</v>
      </c>
      <c r="B763">
        <v>16743862</v>
      </c>
      <c r="C763">
        <v>16743858</v>
      </c>
      <c r="D763">
        <v>15431465</v>
      </c>
      <c r="E763">
        <v>1</v>
      </c>
      <c r="F763">
        <v>1</v>
      </c>
      <c r="G763">
        <v>1</v>
      </c>
      <c r="H763">
        <v>1</v>
      </c>
      <c r="I763" t="s">
        <v>1339</v>
      </c>
      <c r="J763" t="s">
        <v>6</v>
      </c>
      <c r="K763" t="s">
        <v>1340</v>
      </c>
      <c r="L763">
        <v>1191</v>
      </c>
      <c r="N763">
        <v>1013</v>
      </c>
      <c r="O763" t="s">
        <v>1287</v>
      </c>
      <c r="P763" t="s">
        <v>1287</v>
      </c>
      <c r="Q763">
        <v>1</v>
      </c>
      <c r="X763">
        <v>110</v>
      </c>
      <c r="Y763">
        <v>0</v>
      </c>
      <c r="Z763">
        <v>0</v>
      </c>
      <c r="AA763">
        <v>0</v>
      </c>
      <c r="AB763">
        <v>7.87</v>
      </c>
      <c r="AC763">
        <v>0</v>
      </c>
      <c r="AD763">
        <v>1</v>
      </c>
      <c r="AE763">
        <v>1</v>
      </c>
      <c r="AF763" t="s">
        <v>6</v>
      </c>
      <c r="AG763">
        <v>110</v>
      </c>
      <c r="AH763">
        <v>2</v>
      </c>
      <c r="AI763">
        <v>16743859</v>
      </c>
      <c r="AJ763">
        <v>834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ROW(Source!A615)</f>
        <v>615</v>
      </c>
      <c r="B764">
        <v>16743863</v>
      </c>
      <c r="C764">
        <v>16743858</v>
      </c>
      <c r="D764">
        <v>15430395</v>
      </c>
      <c r="E764">
        <v>1</v>
      </c>
      <c r="F764">
        <v>1</v>
      </c>
      <c r="G764">
        <v>1</v>
      </c>
      <c r="H764">
        <v>1</v>
      </c>
      <c r="I764" t="s">
        <v>1293</v>
      </c>
      <c r="J764" t="s">
        <v>6</v>
      </c>
      <c r="K764" t="s">
        <v>1294</v>
      </c>
      <c r="L764">
        <v>1191</v>
      </c>
      <c r="N764">
        <v>1013</v>
      </c>
      <c r="O764" t="s">
        <v>1287</v>
      </c>
      <c r="P764" t="s">
        <v>1287</v>
      </c>
      <c r="Q764">
        <v>1</v>
      </c>
      <c r="X764">
        <v>2.2400000000000002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2</v>
      </c>
      <c r="AF764" t="s">
        <v>6</v>
      </c>
      <c r="AG764">
        <v>2.2400000000000002</v>
      </c>
      <c r="AH764">
        <v>2</v>
      </c>
      <c r="AI764">
        <v>16743860</v>
      </c>
      <c r="AJ764">
        <v>835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ROW(Source!A615)</f>
        <v>615</v>
      </c>
      <c r="B765">
        <v>16743864</v>
      </c>
      <c r="C765">
        <v>16743858</v>
      </c>
      <c r="D765">
        <v>15247974</v>
      </c>
      <c r="E765">
        <v>1</v>
      </c>
      <c r="F765">
        <v>1</v>
      </c>
      <c r="G765">
        <v>1</v>
      </c>
      <c r="H765">
        <v>2</v>
      </c>
      <c r="I765" t="s">
        <v>1314</v>
      </c>
      <c r="J765" t="s">
        <v>1315</v>
      </c>
      <c r="K765" t="s">
        <v>1316</v>
      </c>
      <c r="L765">
        <v>1368</v>
      </c>
      <c r="N765">
        <v>1011</v>
      </c>
      <c r="O765" t="s">
        <v>1298</v>
      </c>
      <c r="P765" t="s">
        <v>1298</v>
      </c>
      <c r="Q765">
        <v>1</v>
      </c>
      <c r="X765">
        <v>2.2400000000000002</v>
      </c>
      <c r="Y765">
        <v>0</v>
      </c>
      <c r="Z765">
        <v>31.26</v>
      </c>
      <c r="AA765">
        <v>13.5</v>
      </c>
      <c r="AB765">
        <v>0</v>
      </c>
      <c r="AC765">
        <v>0</v>
      </c>
      <c r="AD765">
        <v>1</v>
      </c>
      <c r="AE765">
        <v>0</v>
      </c>
      <c r="AF765" t="s">
        <v>6</v>
      </c>
      <c r="AG765">
        <v>2.2400000000000002</v>
      </c>
      <c r="AH765">
        <v>2</v>
      </c>
      <c r="AI765">
        <v>16743861</v>
      </c>
      <c r="AJ765">
        <v>836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ROW(Source!A616)</f>
        <v>616</v>
      </c>
      <c r="B766">
        <v>16743872</v>
      </c>
      <c r="C766">
        <v>16743865</v>
      </c>
      <c r="D766">
        <v>15432356</v>
      </c>
      <c r="E766">
        <v>1</v>
      </c>
      <c r="F766">
        <v>1</v>
      </c>
      <c r="G766">
        <v>1</v>
      </c>
      <c r="H766">
        <v>1</v>
      </c>
      <c r="I766" t="s">
        <v>1598</v>
      </c>
      <c r="J766" t="s">
        <v>6</v>
      </c>
      <c r="K766" t="s">
        <v>1599</v>
      </c>
      <c r="L766">
        <v>1191</v>
      </c>
      <c r="N766">
        <v>1013</v>
      </c>
      <c r="O766" t="s">
        <v>1287</v>
      </c>
      <c r="P766" t="s">
        <v>1287</v>
      </c>
      <c r="Q766">
        <v>1</v>
      </c>
      <c r="X766">
        <v>34.659999999999997</v>
      </c>
      <c r="Y766">
        <v>0</v>
      </c>
      <c r="Z766">
        <v>0</v>
      </c>
      <c r="AA766">
        <v>0</v>
      </c>
      <c r="AB766">
        <v>8.31</v>
      </c>
      <c r="AC766">
        <v>0</v>
      </c>
      <c r="AD766">
        <v>1</v>
      </c>
      <c r="AE766">
        <v>1</v>
      </c>
      <c r="AF766" t="s">
        <v>6</v>
      </c>
      <c r="AG766">
        <v>34.659999999999997</v>
      </c>
      <c r="AH766">
        <v>2</v>
      </c>
      <c r="AI766">
        <v>16743866</v>
      </c>
      <c r="AJ766">
        <v>837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ROW(Source!A616)</f>
        <v>616</v>
      </c>
      <c r="B767">
        <v>16743873</v>
      </c>
      <c r="C767">
        <v>16743865</v>
      </c>
      <c r="D767">
        <v>15430395</v>
      </c>
      <c r="E767">
        <v>1</v>
      </c>
      <c r="F767">
        <v>1</v>
      </c>
      <c r="G767">
        <v>1</v>
      </c>
      <c r="H767">
        <v>1</v>
      </c>
      <c r="I767" t="s">
        <v>1293</v>
      </c>
      <c r="J767" t="s">
        <v>6</v>
      </c>
      <c r="K767" t="s">
        <v>1294</v>
      </c>
      <c r="L767">
        <v>1191</v>
      </c>
      <c r="N767">
        <v>1013</v>
      </c>
      <c r="O767" t="s">
        <v>1287</v>
      </c>
      <c r="P767" t="s">
        <v>1287</v>
      </c>
      <c r="Q767">
        <v>1</v>
      </c>
      <c r="X767">
        <v>0.1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2</v>
      </c>
      <c r="AF767" t="s">
        <v>6</v>
      </c>
      <c r="AG767">
        <v>0.1</v>
      </c>
      <c r="AH767">
        <v>2</v>
      </c>
      <c r="AI767">
        <v>16743867</v>
      </c>
      <c r="AJ767">
        <v>838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ROW(Source!A616)</f>
        <v>616</v>
      </c>
      <c r="B768">
        <v>16743874</v>
      </c>
      <c r="C768">
        <v>16743865</v>
      </c>
      <c r="D768">
        <v>15247974</v>
      </c>
      <c r="E768">
        <v>1</v>
      </c>
      <c r="F768">
        <v>1</v>
      </c>
      <c r="G768">
        <v>1</v>
      </c>
      <c r="H768">
        <v>2</v>
      </c>
      <c r="I768" t="s">
        <v>1314</v>
      </c>
      <c r="J768" t="s">
        <v>1315</v>
      </c>
      <c r="K768" t="s">
        <v>1316</v>
      </c>
      <c r="L768">
        <v>1368</v>
      </c>
      <c r="N768">
        <v>1011</v>
      </c>
      <c r="O768" t="s">
        <v>1298</v>
      </c>
      <c r="P768" t="s">
        <v>1298</v>
      </c>
      <c r="Q768">
        <v>1</v>
      </c>
      <c r="X768">
        <v>0.1</v>
      </c>
      <c r="Y768">
        <v>0</v>
      </c>
      <c r="Z768">
        <v>31.26</v>
      </c>
      <c r="AA768">
        <v>13.5</v>
      </c>
      <c r="AB768">
        <v>0</v>
      </c>
      <c r="AC768">
        <v>0</v>
      </c>
      <c r="AD768">
        <v>1</v>
      </c>
      <c r="AE768">
        <v>0</v>
      </c>
      <c r="AF768" t="s">
        <v>6</v>
      </c>
      <c r="AG768">
        <v>0.1</v>
      </c>
      <c r="AH768">
        <v>2</v>
      </c>
      <c r="AI768">
        <v>16743868</v>
      </c>
      <c r="AJ768">
        <v>839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ROW(Source!A616)</f>
        <v>616</v>
      </c>
      <c r="B769">
        <v>16743875</v>
      </c>
      <c r="C769">
        <v>16743865</v>
      </c>
      <c r="D769">
        <v>15249308</v>
      </c>
      <c r="E769">
        <v>1</v>
      </c>
      <c r="F769">
        <v>1</v>
      </c>
      <c r="G769">
        <v>1</v>
      </c>
      <c r="H769">
        <v>2</v>
      </c>
      <c r="I769" t="s">
        <v>1350</v>
      </c>
      <c r="J769" t="s">
        <v>1351</v>
      </c>
      <c r="K769" t="s">
        <v>1352</v>
      </c>
      <c r="L769">
        <v>1368</v>
      </c>
      <c r="N769">
        <v>1011</v>
      </c>
      <c r="O769" t="s">
        <v>1298</v>
      </c>
      <c r="P769" t="s">
        <v>1298</v>
      </c>
      <c r="Q769">
        <v>1</v>
      </c>
      <c r="X769">
        <v>3.3</v>
      </c>
      <c r="Y769">
        <v>0</v>
      </c>
      <c r="Z769">
        <v>1.2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6</v>
      </c>
      <c r="AG769">
        <v>3.3</v>
      </c>
      <c r="AH769">
        <v>2</v>
      </c>
      <c r="AI769">
        <v>16743869</v>
      </c>
      <c r="AJ769">
        <v>840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ROW(Source!A616)</f>
        <v>616</v>
      </c>
      <c r="B770">
        <v>16743876</v>
      </c>
      <c r="C770">
        <v>16743865</v>
      </c>
      <c r="D770">
        <v>15165634</v>
      </c>
      <c r="E770">
        <v>1</v>
      </c>
      <c r="F770">
        <v>1</v>
      </c>
      <c r="G770">
        <v>1</v>
      </c>
      <c r="H770">
        <v>3</v>
      </c>
      <c r="I770" t="s">
        <v>1778</v>
      </c>
      <c r="J770" t="s">
        <v>1779</v>
      </c>
      <c r="K770" t="s">
        <v>1780</v>
      </c>
      <c r="L770">
        <v>1339</v>
      </c>
      <c r="N770">
        <v>1007</v>
      </c>
      <c r="O770" t="s">
        <v>301</v>
      </c>
      <c r="P770" t="s">
        <v>301</v>
      </c>
      <c r="Q770">
        <v>1</v>
      </c>
      <c r="X770">
        <v>0.43</v>
      </c>
      <c r="Y770">
        <v>38.51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48</v>
      </c>
      <c r="AG770">
        <v>0</v>
      </c>
      <c r="AH770">
        <v>2</v>
      </c>
      <c r="AI770">
        <v>16743870</v>
      </c>
      <c r="AJ770">
        <v>841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ROW(Source!A616)</f>
        <v>616</v>
      </c>
      <c r="B771">
        <v>16743877</v>
      </c>
      <c r="C771">
        <v>16743865</v>
      </c>
      <c r="D771">
        <v>15165653</v>
      </c>
      <c r="E771">
        <v>1</v>
      </c>
      <c r="F771">
        <v>1</v>
      </c>
      <c r="G771">
        <v>1</v>
      </c>
      <c r="H771">
        <v>3</v>
      </c>
      <c r="I771" t="s">
        <v>1356</v>
      </c>
      <c r="J771" t="s">
        <v>1357</v>
      </c>
      <c r="K771" t="s">
        <v>1358</v>
      </c>
      <c r="L771">
        <v>1339</v>
      </c>
      <c r="N771">
        <v>1007</v>
      </c>
      <c r="O771" t="s">
        <v>301</v>
      </c>
      <c r="P771" t="s">
        <v>301</v>
      </c>
      <c r="Q771">
        <v>1</v>
      </c>
      <c r="X771">
        <v>2.74</v>
      </c>
      <c r="Y771">
        <v>6.22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48</v>
      </c>
      <c r="AG771">
        <v>0</v>
      </c>
      <c r="AH771">
        <v>2</v>
      </c>
      <c r="AI771">
        <v>16743871</v>
      </c>
      <c r="AJ771">
        <v>842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ROW(Source!A616)</f>
        <v>616</v>
      </c>
      <c r="B772">
        <v>16743878</v>
      </c>
      <c r="C772">
        <v>16743865</v>
      </c>
      <c r="D772">
        <v>15164566</v>
      </c>
      <c r="E772">
        <v>17</v>
      </c>
      <c r="F772">
        <v>1</v>
      </c>
      <c r="G772">
        <v>1</v>
      </c>
      <c r="H772">
        <v>3</v>
      </c>
      <c r="I772" t="s">
        <v>98</v>
      </c>
      <c r="J772" t="s">
        <v>6</v>
      </c>
      <c r="K772" t="s">
        <v>1871</v>
      </c>
      <c r="L772">
        <v>1348</v>
      </c>
      <c r="N772">
        <v>1009</v>
      </c>
      <c r="O772" t="s">
        <v>100</v>
      </c>
      <c r="P772" t="s">
        <v>100</v>
      </c>
      <c r="Q772">
        <v>1000</v>
      </c>
      <c r="X772">
        <v>0.22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 t="s">
        <v>48</v>
      </c>
      <c r="AG772">
        <v>0</v>
      </c>
      <c r="AH772">
        <v>3</v>
      </c>
      <c r="AI772">
        <v>-1</v>
      </c>
      <c r="AJ772" t="s">
        <v>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ROW(Source!A617)</f>
        <v>617</v>
      </c>
      <c r="B773">
        <v>16743896</v>
      </c>
      <c r="C773">
        <v>16743879</v>
      </c>
      <c r="D773">
        <v>15435609</v>
      </c>
      <c r="E773">
        <v>1</v>
      </c>
      <c r="F773">
        <v>1</v>
      </c>
      <c r="G773">
        <v>1</v>
      </c>
      <c r="H773">
        <v>1</v>
      </c>
      <c r="I773" t="s">
        <v>1291</v>
      </c>
      <c r="J773" t="s">
        <v>6</v>
      </c>
      <c r="K773" t="s">
        <v>1292</v>
      </c>
      <c r="L773">
        <v>1191</v>
      </c>
      <c r="N773">
        <v>1013</v>
      </c>
      <c r="O773" t="s">
        <v>1287</v>
      </c>
      <c r="P773" t="s">
        <v>1287</v>
      </c>
      <c r="Q773">
        <v>1</v>
      </c>
      <c r="X773">
        <v>65.599999999999994</v>
      </c>
      <c r="Y773">
        <v>0</v>
      </c>
      <c r="Z773">
        <v>0</v>
      </c>
      <c r="AA773">
        <v>0</v>
      </c>
      <c r="AB773">
        <v>8.9700000000000006</v>
      </c>
      <c r="AC773">
        <v>0</v>
      </c>
      <c r="AD773">
        <v>1</v>
      </c>
      <c r="AE773">
        <v>1</v>
      </c>
      <c r="AF773" t="s">
        <v>188</v>
      </c>
      <c r="AG773">
        <v>75.439999999999984</v>
      </c>
      <c r="AH773">
        <v>2</v>
      </c>
      <c r="AI773">
        <v>16743880</v>
      </c>
      <c r="AJ773">
        <v>843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ROW(Source!A617)</f>
        <v>617</v>
      </c>
      <c r="B774">
        <v>16743897</v>
      </c>
      <c r="C774">
        <v>16743879</v>
      </c>
      <c r="D774">
        <v>15430395</v>
      </c>
      <c r="E774">
        <v>1</v>
      </c>
      <c r="F774">
        <v>1</v>
      </c>
      <c r="G774">
        <v>1</v>
      </c>
      <c r="H774">
        <v>1</v>
      </c>
      <c r="I774" t="s">
        <v>1293</v>
      </c>
      <c r="J774" t="s">
        <v>6</v>
      </c>
      <c r="K774" t="s">
        <v>1294</v>
      </c>
      <c r="L774">
        <v>1191</v>
      </c>
      <c r="N774">
        <v>1013</v>
      </c>
      <c r="O774" t="s">
        <v>1287</v>
      </c>
      <c r="P774" t="s">
        <v>1287</v>
      </c>
      <c r="Q774">
        <v>1</v>
      </c>
      <c r="X774">
        <v>3.13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2</v>
      </c>
      <c r="AF774" t="s">
        <v>187</v>
      </c>
      <c r="AG774">
        <v>3.9124999999999996</v>
      </c>
      <c r="AH774">
        <v>2</v>
      </c>
      <c r="AI774">
        <v>16743881</v>
      </c>
      <c r="AJ774">
        <v>844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ROW(Source!A617)</f>
        <v>617</v>
      </c>
      <c r="B775">
        <v>16743898</v>
      </c>
      <c r="C775">
        <v>16743879</v>
      </c>
      <c r="D775">
        <v>15247680</v>
      </c>
      <c r="E775">
        <v>1</v>
      </c>
      <c r="F775">
        <v>1</v>
      </c>
      <c r="G775">
        <v>1</v>
      </c>
      <c r="H775">
        <v>2</v>
      </c>
      <c r="I775" t="s">
        <v>1295</v>
      </c>
      <c r="J775" t="s">
        <v>1296</v>
      </c>
      <c r="K775" t="s">
        <v>1297</v>
      </c>
      <c r="L775">
        <v>1368</v>
      </c>
      <c r="N775">
        <v>1011</v>
      </c>
      <c r="O775" t="s">
        <v>1298</v>
      </c>
      <c r="P775" t="s">
        <v>1298</v>
      </c>
      <c r="Q775">
        <v>1</v>
      </c>
      <c r="X775">
        <v>0.09</v>
      </c>
      <c r="Y775">
        <v>0</v>
      </c>
      <c r="Z775">
        <v>111.99</v>
      </c>
      <c r="AA775">
        <v>13.5</v>
      </c>
      <c r="AB775">
        <v>0</v>
      </c>
      <c r="AC775">
        <v>0</v>
      </c>
      <c r="AD775">
        <v>1</v>
      </c>
      <c r="AE775">
        <v>0</v>
      </c>
      <c r="AF775" t="s">
        <v>187</v>
      </c>
      <c r="AG775">
        <v>0.11249999999999999</v>
      </c>
      <c r="AH775">
        <v>2</v>
      </c>
      <c r="AI775">
        <v>16743882</v>
      </c>
      <c r="AJ775">
        <v>845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ROW(Source!A617)</f>
        <v>617</v>
      </c>
      <c r="B776">
        <v>16743899</v>
      </c>
      <c r="C776">
        <v>16743879</v>
      </c>
      <c r="D776">
        <v>15247974</v>
      </c>
      <c r="E776">
        <v>1</v>
      </c>
      <c r="F776">
        <v>1</v>
      </c>
      <c r="G776">
        <v>1</v>
      </c>
      <c r="H776">
        <v>2</v>
      </c>
      <c r="I776" t="s">
        <v>1314</v>
      </c>
      <c r="J776" t="s">
        <v>1315</v>
      </c>
      <c r="K776" t="s">
        <v>1316</v>
      </c>
      <c r="L776">
        <v>1368</v>
      </c>
      <c r="N776">
        <v>1011</v>
      </c>
      <c r="O776" t="s">
        <v>1298</v>
      </c>
      <c r="P776" t="s">
        <v>1298</v>
      </c>
      <c r="Q776">
        <v>1</v>
      </c>
      <c r="X776">
        <v>1.19</v>
      </c>
      <c r="Y776">
        <v>0</v>
      </c>
      <c r="Z776">
        <v>31.26</v>
      </c>
      <c r="AA776">
        <v>13.5</v>
      </c>
      <c r="AB776">
        <v>0</v>
      </c>
      <c r="AC776">
        <v>0</v>
      </c>
      <c r="AD776">
        <v>1</v>
      </c>
      <c r="AE776">
        <v>0</v>
      </c>
      <c r="AF776" t="s">
        <v>187</v>
      </c>
      <c r="AG776">
        <v>1.4874999999999998</v>
      </c>
      <c r="AH776">
        <v>2</v>
      </c>
      <c r="AI776">
        <v>16743883</v>
      </c>
      <c r="AJ776">
        <v>846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ROW(Source!A617)</f>
        <v>617</v>
      </c>
      <c r="B777">
        <v>16743900</v>
      </c>
      <c r="C777">
        <v>16743879</v>
      </c>
      <c r="D777">
        <v>15248793</v>
      </c>
      <c r="E777">
        <v>1</v>
      </c>
      <c r="F777">
        <v>1</v>
      </c>
      <c r="G777">
        <v>1</v>
      </c>
      <c r="H777">
        <v>2</v>
      </c>
      <c r="I777" t="s">
        <v>1781</v>
      </c>
      <c r="J777" t="s">
        <v>1782</v>
      </c>
      <c r="K777" t="s">
        <v>1783</v>
      </c>
      <c r="L777">
        <v>1368</v>
      </c>
      <c r="N777">
        <v>1011</v>
      </c>
      <c r="O777" t="s">
        <v>1298</v>
      </c>
      <c r="P777" t="s">
        <v>1298</v>
      </c>
      <c r="Q777">
        <v>1</v>
      </c>
      <c r="X777">
        <v>0.8</v>
      </c>
      <c r="Y777">
        <v>0</v>
      </c>
      <c r="Z777">
        <v>29.67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187</v>
      </c>
      <c r="AG777">
        <v>1</v>
      </c>
      <c r="AH777">
        <v>2</v>
      </c>
      <c r="AI777">
        <v>16743884</v>
      </c>
      <c r="AJ777">
        <v>847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ROW(Source!A617)</f>
        <v>617</v>
      </c>
      <c r="B778">
        <v>16743901</v>
      </c>
      <c r="C778">
        <v>16743879</v>
      </c>
      <c r="D778">
        <v>15249073</v>
      </c>
      <c r="E778">
        <v>1</v>
      </c>
      <c r="F778">
        <v>1</v>
      </c>
      <c r="G778">
        <v>1</v>
      </c>
      <c r="H778">
        <v>2</v>
      </c>
      <c r="I778" t="s">
        <v>1299</v>
      </c>
      <c r="J778" t="s">
        <v>1300</v>
      </c>
      <c r="K778" t="s">
        <v>1301</v>
      </c>
      <c r="L778">
        <v>1368</v>
      </c>
      <c r="N778">
        <v>1011</v>
      </c>
      <c r="O778" t="s">
        <v>1298</v>
      </c>
      <c r="P778" t="s">
        <v>1298</v>
      </c>
      <c r="Q778">
        <v>1</v>
      </c>
      <c r="X778">
        <v>1.85</v>
      </c>
      <c r="Y778">
        <v>0</v>
      </c>
      <c r="Z778">
        <v>65.709999999999994</v>
      </c>
      <c r="AA778">
        <v>11.6</v>
      </c>
      <c r="AB778">
        <v>0</v>
      </c>
      <c r="AC778">
        <v>0</v>
      </c>
      <c r="AD778">
        <v>1</v>
      </c>
      <c r="AE778">
        <v>0</v>
      </c>
      <c r="AF778" t="s">
        <v>187</v>
      </c>
      <c r="AG778">
        <v>2.3125</v>
      </c>
      <c r="AH778">
        <v>2</v>
      </c>
      <c r="AI778">
        <v>16743885</v>
      </c>
      <c r="AJ778">
        <v>848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ROW(Source!A617)</f>
        <v>617</v>
      </c>
      <c r="B779">
        <v>16743902</v>
      </c>
      <c r="C779">
        <v>16743879</v>
      </c>
      <c r="D779">
        <v>15166084</v>
      </c>
      <c r="E779">
        <v>1</v>
      </c>
      <c r="F779">
        <v>1</v>
      </c>
      <c r="G779">
        <v>1</v>
      </c>
      <c r="H779">
        <v>3</v>
      </c>
      <c r="I779" t="s">
        <v>1784</v>
      </c>
      <c r="J779" t="s">
        <v>1785</v>
      </c>
      <c r="K779" t="s">
        <v>1786</v>
      </c>
      <c r="L779">
        <v>1339</v>
      </c>
      <c r="N779">
        <v>1007</v>
      </c>
      <c r="O779" t="s">
        <v>301</v>
      </c>
      <c r="P779" t="s">
        <v>301</v>
      </c>
      <c r="Q779">
        <v>1</v>
      </c>
      <c r="X779">
        <v>0.67</v>
      </c>
      <c r="Y779">
        <v>45.83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6</v>
      </c>
      <c r="AG779">
        <v>0.67</v>
      </c>
      <c r="AH779">
        <v>2</v>
      </c>
      <c r="AI779">
        <v>16743886</v>
      </c>
      <c r="AJ779">
        <v>849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ROW(Source!A617)</f>
        <v>617</v>
      </c>
      <c r="B780">
        <v>16743903</v>
      </c>
      <c r="C780">
        <v>16743879</v>
      </c>
      <c r="D780">
        <v>15167286</v>
      </c>
      <c r="E780">
        <v>1</v>
      </c>
      <c r="F780">
        <v>1</v>
      </c>
      <c r="G780">
        <v>1</v>
      </c>
      <c r="H780">
        <v>3</v>
      </c>
      <c r="I780" t="s">
        <v>1317</v>
      </c>
      <c r="J780" t="s">
        <v>1318</v>
      </c>
      <c r="K780" t="s">
        <v>1319</v>
      </c>
      <c r="L780">
        <v>1339</v>
      </c>
      <c r="N780">
        <v>1007</v>
      </c>
      <c r="O780" t="s">
        <v>301</v>
      </c>
      <c r="P780" t="s">
        <v>301</v>
      </c>
      <c r="Q780">
        <v>1</v>
      </c>
      <c r="X780">
        <v>15</v>
      </c>
      <c r="Y780">
        <v>2.44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6</v>
      </c>
      <c r="AG780">
        <v>15</v>
      </c>
      <c r="AH780">
        <v>2</v>
      </c>
      <c r="AI780">
        <v>16743887</v>
      </c>
      <c r="AJ780">
        <v>850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ROW(Source!A617)</f>
        <v>617</v>
      </c>
      <c r="B781">
        <v>16743904</v>
      </c>
      <c r="C781">
        <v>16743879</v>
      </c>
      <c r="D781">
        <v>15163011</v>
      </c>
      <c r="E781">
        <v>17</v>
      </c>
      <c r="F781">
        <v>1</v>
      </c>
      <c r="G781">
        <v>1</v>
      </c>
      <c r="H781">
        <v>3</v>
      </c>
      <c r="I781" t="s">
        <v>1872</v>
      </c>
      <c r="J781" t="s">
        <v>6</v>
      </c>
      <c r="K781" t="s">
        <v>1873</v>
      </c>
      <c r="L781">
        <v>1358</v>
      </c>
      <c r="N781">
        <v>1010</v>
      </c>
      <c r="O781" t="s">
        <v>723</v>
      </c>
      <c r="P781" t="s">
        <v>723</v>
      </c>
      <c r="Q781">
        <v>10</v>
      </c>
      <c r="X781">
        <v>8.9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 t="s">
        <v>6</v>
      </c>
      <c r="AG781">
        <v>8.9</v>
      </c>
      <c r="AH781">
        <v>3</v>
      </c>
      <c r="AI781">
        <v>-1</v>
      </c>
      <c r="AJ781" t="s">
        <v>6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ROW(Source!A617)</f>
        <v>617</v>
      </c>
      <c r="B782">
        <v>16743905</v>
      </c>
      <c r="C782">
        <v>16743879</v>
      </c>
      <c r="D782">
        <v>15162072</v>
      </c>
      <c r="E782">
        <v>17</v>
      </c>
      <c r="F782">
        <v>1</v>
      </c>
      <c r="G782">
        <v>1</v>
      </c>
      <c r="H782">
        <v>3</v>
      </c>
      <c r="I782" t="s">
        <v>1874</v>
      </c>
      <c r="J782" t="s">
        <v>6</v>
      </c>
      <c r="K782" t="s">
        <v>1875</v>
      </c>
      <c r="L782">
        <v>1348</v>
      </c>
      <c r="N782">
        <v>1009</v>
      </c>
      <c r="O782" t="s">
        <v>100</v>
      </c>
      <c r="P782" t="s">
        <v>100</v>
      </c>
      <c r="Q782">
        <v>1000</v>
      </c>
      <c r="X782">
        <v>4.4999999999999997E-3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 t="s">
        <v>6</v>
      </c>
      <c r="AG782">
        <v>4.4999999999999997E-3</v>
      </c>
      <c r="AH782">
        <v>3</v>
      </c>
      <c r="AI782">
        <v>-1</v>
      </c>
      <c r="AJ782" t="s">
        <v>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ROW(Source!A617)</f>
        <v>617</v>
      </c>
      <c r="B783">
        <v>16743906</v>
      </c>
      <c r="C783">
        <v>16743879</v>
      </c>
      <c r="D783">
        <v>15212828</v>
      </c>
      <c r="E783">
        <v>1</v>
      </c>
      <c r="F783">
        <v>1</v>
      </c>
      <c r="G783">
        <v>1</v>
      </c>
      <c r="H783">
        <v>3</v>
      </c>
      <c r="I783" t="s">
        <v>1787</v>
      </c>
      <c r="J783" t="s">
        <v>1788</v>
      </c>
      <c r="K783" t="s">
        <v>1789</v>
      </c>
      <c r="L783">
        <v>1035</v>
      </c>
      <c r="N783">
        <v>1013</v>
      </c>
      <c r="O783" t="s">
        <v>249</v>
      </c>
      <c r="P783" t="s">
        <v>249</v>
      </c>
      <c r="Q783">
        <v>1</v>
      </c>
      <c r="X783">
        <v>44.2</v>
      </c>
      <c r="Y783">
        <v>24.75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6</v>
      </c>
      <c r="AG783">
        <v>44.2</v>
      </c>
      <c r="AH783">
        <v>2</v>
      </c>
      <c r="AI783">
        <v>16743888</v>
      </c>
      <c r="AJ783">
        <v>851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ROW(Source!A617)</f>
        <v>617</v>
      </c>
      <c r="B784">
        <v>16743907</v>
      </c>
      <c r="C784">
        <v>16743879</v>
      </c>
      <c r="D784">
        <v>15163239</v>
      </c>
      <c r="E784">
        <v>17</v>
      </c>
      <c r="F784">
        <v>1</v>
      </c>
      <c r="G784">
        <v>1</v>
      </c>
      <c r="H784">
        <v>3</v>
      </c>
      <c r="I784" t="s">
        <v>1056</v>
      </c>
      <c r="J784" t="s">
        <v>6</v>
      </c>
      <c r="K784" t="s">
        <v>1057</v>
      </c>
      <c r="L784">
        <v>1033</v>
      </c>
      <c r="N784">
        <v>1013</v>
      </c>
      <c r="O784" t="s">
        <v>1058</v>
      </c>
      <c r="P784" t="s">
        <v>1058</v>
      </c>
      <c r="Q784">
        <v>1</v>
      </c>
      <c r="X784">
        <v>100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 t="s">
        <v>6</v>
      </c>
      <c r="AG784">
        <v>100</v>
      </c>
      <c r="AH784">
        <v>2</v>
      </c>
      <c r="AI784">
        <v>16743889</v>
      </c>
      <c r="AJ784">
        <v>855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ROW(Source!A622)</f>
        <v>622</v>
      </c>
      <c r="B785">
        <v>16743930</v>
      </c>
      <c r="C785">
        <v>16743912</v>
      </c>
      <c r="D785">
        <v>15436556</v>
      </c>
      <c r="E785">
        <v>1</v>
      </c>
      <c r="F785">
        <v>1</v>
      </c>
      <c r="G785">
        <v>1</v>
      </c>
      <c r="H785">
        <v>1</v>
      </c>
      <c r="I785" t="s">
        <v>1490</v>
      </c>
      <c r="J785" t="s">
        <v>6</v>
      </c>
      <c r="K785" t="s">
        <v>1491</v>
      </c>
      <c r="L785">
        <v>1191</v>
      </c>
      <c r="N785">
        <v>1013</v>
      </c>
      <c r="O785" t="s">
        <v>1287</v>
      </c>
      <c r="P785" t="s">
        <v>1287</v>
      </c>
      <c r="Q785">
        <v>1</v>
      </c>
      <c r="X785">
        <v>32.97</v>
      </c>
      <c r="Y785">
        <v>0</v>
      </c>
      <c r="Z785">
        <v>0</v>
      </c>
      <c r="AA785">
        <v>0</v>
      </c>
      <c r="AB785">
        <v>9.6199999999999992</v>
      </c>
      <c r="AC785">
        <v>0</v>
      </c>
      <c r="AD785">
        <v>1</v>
      </c>
      <c r="AE785">
        <v>1</v>
      </c>
      <c r="AF785" t="s">
        <v>188</v>
      </c>
      <c r="AG785">
        <v>37.915499999999994</v>
      </c>
      <c r="AH785">
        <v>2</v>
      </c>
      <c r="AI785">
        <v>16743913</v>
      </c>
      <c r="AJ785">
        <v>856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ROW(Source!A622)</f>
        <v>622</v>
      </c>
      <c r="B786">
        <v>16743931</v>
      </c>
      <c r="C786">
        <v>16743912</v>
      </c>
      <c r="D786">
        <v>15430395</v>
      </c>
      <c r="E786">
        <v>1</v>
      </c>
      <c r="F786">
        <v>1</v>
      </c>
      <c r="G786">
        <v>1</v>
      </c>
      <c r="H786">
        <v>1</v>
      </c>
      <c r="I786" t="s">
        <v>1293</v>
      </c>
      <c r="J786" t="s">
        <v>6</v>
      </c>
      <c r="K786" t="s">
        <v>1294</v>
      </c>
      <c r="L786">
        <v>1191</v>
      </c>
      <c r="N786">
        <v>1013</v>
      </c>
      <c r="O786" t="s">
        <v>1287</v>
      </c>
      <c r="P786" t="s">
        <v>1287</v>
      </c>
      <c r="Q786">
        <v>1</v>
      </c>
      <c r="X786">
        <v>0.5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2</v>
      </c>
      <c r="AF786" t="s">
        <v>187</v>
      </c>
      <c r="AG786">
        <v>0.625</v>
      </c>
      <c r="AH786">
        <v>2</v>
      </c>
      <c r="AI786">
        <v>16743914</v>
      </c>
      <c r="AJ786">
        <v>857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ROW(Source!A622)</f>
        <v>622</v>
      </c>
      <c r="B787">
        <v>16743932</v>
      </c>
      <c r="C787">
        <v>16743912</v>
      </c>
      <c r="D787">
        <v>15247578</v>
      </c>
      <c r="E787">
        <v>1</v>
      </c>
      <c r="F787">
        <v>1</v>
      </c>
      <c r="G787">
        <v>1</v>
      </c>
      <c r="H787">
        <v>2</v>
      </c>
      <c r="I787" t="s">
        <v>1408</v>
      </c>
      <c r="J787" t="s">
        <v>1409</v>
      </c>
      <c r="K787" t="s">
        <v>1410</v>
      </c>
      <c r="L787">
        <v>1368</v>
      </c>
      <c r="N787">
        <v>1011</v>
      </c>
      <c r="O787" t="s">
        <v>1298</v>
      </c>
      <c r="P787" t="s">
        <v>1298</v>
      </c>
      <c r="Q787">
        <v>1</v>
      </c>
      <c r="X787">
        <v>0.08</v>
      </c>
      <c r="Y787">
        <v>0</v>
      </c>
      <c r="Z787">
        <v>86.4</v>
      </c>
      <c r="AA787">
        <v>13.5</v>
      </c>
      <c r="AB787">
        <v>0</v>
      </c>
      <c r="AC787">
        <v>0</v>
      </c>
      <c r="AD787">
        <v>1</v>
      </c>
      <c r="AE787">
        <v>0</v>
      </c>
      <c r="AF787" t="s">
        <v>187</v>
      </c>
      <c r="AG787">
        <v>0.1</v>
      </c>
      <c r="AH787">
        <v>2</v>
      </c>
      <c r="AI787">
        <v>16743915</v>
      </c>
      <c r="AJ787">
        <v>858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ROW(Source!A622)</f>
        <v>622</v>
      </c>
      <c r="B788">
        <v>16743933</v>
      </c>
      <c r="C788">
        <v>16743912</v>
      </c>
      <c r="D788">
        <v>15247680</v>
      </c>
      <c r="E788">
        <v>1</v>
      </c>
      <c r="F788">
        <v>1</v>
      </c>
      <c r="G788">
        <v>1</v>
      </c>
      <c r="H788">
        <v>2</v>
      </c>
      <c r="I788" t="s">
        <v>1295</v>
      </c>
      <c r="J788" t="s">
        <v>1296</v>
      </c>
      <c r="K788" t="s">
        <v>1297</v>
      </c>
      <c r="L788">
        <v>1368</v>
      </c>
      <c r="N788">
        <v>1011</v>
      </c>
      <c r="O788" t="s">
        <v>1298</v>
      </c>
      <c r="P788" t="s">
        <v>1298</v>
      </c>
      <c r="Q788">
        <v>1</v>
      </c>
      <c r="X788">
        <v>7.0000000000000007E-2</v>
      </c>
      <c r="Y788">
        <v>0</v>
      </c>
      <c r="Z788">
        <v>111.99</v>
      </c>
      <c r="AA788">
        <v>13.5</v>
      </c>
      <c r="AB788">
        <v>0</v>
      </c>
      <c r="AC788">
        <v>0</v>
      </c>
      <c r="AD788">
        <v>1</v>
      </c>
      <c r="AE788">
        <v>0</v>
      </c>
      <c r="AF788" t="s">
        <v>187</v>
      </c>
      <c r="AG788">
        <v>8.7500000000000008E-2</v>
      </c>
      <c r="AH788">
        <v>2</v>
      </c>
      <c r="AI788">
        <v>16743916</v>
      </c>
      <c r="AJ788">
        <v>859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ROW(Source!A622)</f>
        <v>622</v>
      </c>
      <c r="B789">
        <v>16743934</v>
      </c>
      <c r="C789">
        <v>16743912</v>
      </c>
      <c r="D789">
        <v>15249073</v>
      </c>
      <c r="E789">
        <v>1</v>
      </c>
      <c r="F789">
        <v>1</v>
      </c>
      <c r="G789">
        <v>1</v>
      </c>
      <c r="H789">
        <v>2</v>
      </c>
      <c r="I789" t="s">
        <v>1299</v>
      </c>
      <c r="J789" t="s">
        <v>1300</v>
      </c>
      <c r="K789" t="s">
        <v>1301</v>
      </c>
      <c r="L789">
        <v>1368</v>
      </c>
      <c r="N789">
        <v>1011</v>
      </c>
      <c r="O789" t="s">
        <v>1298</v>
      </c>
      <c r="P789" t="s">
        <v>1298</v>
      </c>
      <c r="Q789">
        <v>1</v>
      </c>
      <c r="X789">
        <v>0.35</v>
      </c>
      <c r="Y789">
        <v>0</v>
      </c>
      <c r="Z789">
        <v>65.709999999999994</v>
      </c>
      <c r="AA789">
        <v>11.6</v>
      </c>
      <c r="AB789">
        <v>0</v>
      </c>
      <c r="AC789">
        <v>0</v>
      </c>
      <c r="AD789">
        <v>1</v>
      </c>
      <c r="AE789">
        <v>0</v>
      </c>
      <c r="AF789" t="s">
        <v>187</v>
      </c>
      <c r="AG789">
        <v>0.4375</v>
      </c>
      <c r="AH789">
        <v>2</v>
      </c>
      <c r="AI789">
        <v>16743917</v>
      </c>
      <c r="AJ789">
        <v>860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ROW(Source!A622)</f>
        <v>622</v>
      </c>
      <c r="B790">
        <v>16743935</v>
      </c>
      <c r="C790">
        <v>16743912</v>
      </c>
      <c r="D790">
        <v>15249308</v>
      </c>
      <c r="E790">
        <v>1</v>
      </c>
      <c r="F790">
        <v>1</v>
      </c>
      <c r="G790">
        <v>1</v>
      </c>
      <c r="H790">
        <v>2</v>
      </c>
      <c r="I790" t="s">
        <v>1350</v>
      </c>
      <c r="J790" t="s">
        <v>1351</v>
      </c>
      <c r="K790" t="s">
        <v>1352</v>
      </c>
      <c r="L790">
        <v>1368</v>
      </c>
      <c r="N790">
        <v>1011</v>
      </c>
      <c r="O790" t="s">
        <v>1298</v>
      </c>
      <c r="P790" t="s">
        <v>1298</v>
      </c>
      <c r="Q790">
        <v>1</v>
      </c>
      <c r="X790">
        <v>1.1499999999999999</v>
      </c>
      <c r="Y790">
        <v>0</v>
      </c>
      <c r="Z790">
        <v>1.2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187</v>
      </c>
      <c r="AG790">
        <v>1.4375</v>
      </c>
      <c r="AH790">
        <v>2</v>
      </c>
      <c r="AI790">
        <v>16743918</v>
      </c>
      <c r="AJ790">
        <v>861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ROW(Source!A622)</f>
        <v>622</v>
      </c>
      <c r="B791">
        <v>16743936</v>
      </c>
      <c r="C791">
        <v>16743912</v>
      </c>
      <c r="D791">
        <v>15165635</v>
      </c>
      <c r="E791">
        <v>1</v>
      </c>
      <c r="F791">
        <v>1</v>
      </c>
      <c r="G791">
        <v>1</v>
      </c>
      <c r="H791">
        <v>3</v>
      </c>
      <c r="I791" t="s">
        <v>1790</v>
      </c>
      <c r="J791" t="s">
        <v>1791</v>
      </c>
      <c r="K791" t="s">
        <v>1792</v>
      </c>
      <c r="L791">
        <v>1348</v>
      </c>
      <c r="N791">
        <v>1009</v>
      </c>
      <c r="O791" t="s">
        <v>100</v>
      </c>
      <c r="P791" t="s">
        <v>100</v>
      </c>
      <c r="Q791">
        <v>1000</v>
      </c>
      <c r="X791">
        <v>1.2999999999999999E-4</v>
      </c>
      <c r="Y791">
        <v>32830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0</v>
      </c>
      <c r="AF791" t="s">
        <v>6</v>
      </c>
      <c r="AG791">
        <v>1.2999999999999999E-4</v>
      </c>
      <c r="AH791">
        <v>2</v>
      </c>
      <c r="AI791">
        <v>16743919</v>
      </c>
      <c r="AJ791">
        <v>862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ROW(Source!A622)</f>
        <v>622</v>
      </c>
      <c r="B792">
        <v>16743937</v>
      </c>
      <c r="C792">
        <v>16743912</v>
      </c>
      <c r="D792">
        <v>15165653</v>
      </c>
      <c r="E792">
        <v>1</v>
      </c>
      <c r="F792">
        <v>1</v>
      </c>
      <c r="G792">
        <v>1</v>
      </c>
      <c r="H792">
        <v>3</v>
      </c>
      <c r="I792" t="s">
        <v>1356</v>
      </c>
      <c r="J792" t="s">
        <v>1357</v>
      </c>
      <c r="K792" t="s">
        <v>1358</v>
      </c>
      <c r="L792">
        <v>1339</v>
      </c>
      <c r="N792">
        <v>1007</v>
      </c>
      <c r="O792" t="s">
        <v>301</v>
      </c>
      <c r="P792" t="s">
        <v>301</v>
      </c>
      <c r="Q792">
        <v>1</v>
      </c>
      <c r="X792">
        <v>0.28100000000000003</v>
      </c>
      <c r="Y792">
        <v>6.22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6</v>
      </c>
      <c r="AG792">
        <v>0.28100000000000003</v>
      </c>
      <c r="AH792">
        <v>2</v>
      </c>
      <c r="AI792">
        <v>16743920</v>
      </c>
      <c r="AJ792">
        <v>863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ROW(Source!A622)</f>
        <v>622</v>
      </c>
      <c r="B793">
        <v>16743938</v>
      </c>
      <c r="C793">
        <v>16743912</v>
      </c>
      <c r="D793">
        <v>15167286</v>
      </c>
      <c r="E793">
        <v>1</v>
      </c>
      <c r="F793">
        <v>1</v>
      </c>
      <c r="G793">
        <v>1</v>
      </c>
      <c r="H793">
        <v>3</v>
      </c>
      <c r="I793" t="s">
        <v>1317</v>
      </c>
      <c r="J793" t="s">
        <v>1318</v>
      </c>
      <c r="K793" t="s">
        <v>1319</v>
      </c>
      <c r="L793">
        <v>1339</v>
      </c>
      <c r="N793">
        <v>1007</v>
      </c>
      <c r="O793" t="s">
        <v>301</v>
      </c>
      <c r="P793" t="s">
        <v>301</v>
      </c>
      <c r="Q793">
        <v>1</v>
      </c>
      <c r="X793">
        <v>0.44</v>
      </c>
      <c r="Y793">
        <v>2.44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6</v>
      </c>
      <c r="AG793">
        <v>0.44</v>
      </c>
      <c r="AH793">
        <v>2</v>
      </c>
      <c r="AI793">
        <v>16743921</v>
      </c>
      <c r="AJ793">
        <v>864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ROW(Source!A622)</f>
        <v>622</v>
      </c>
      <c r="B794">
        <v>16743939</v>
      </c>
      <c r="C794">
        <v>16743912</v>
      </c>
      <c r="D794">
        <v>15167963</v>
      </c>
      <c r="E794">
        <v>1</v>
      </c>
      <c r="F794">
        <v>1</v>
      </c>
      <c r="G794">
        <v>1</v>
      </c>
      <c r="H794">
        <v>3</v>
      </c>
      <c r="I794" t="s">
        <v>1793</v>
      </c>
      <c r="J794" t="s">
        <v>1794</v>
      </c>
      <c r="K794" t="s">
        <v>1795</v>
      </c>
      <c r="L794">
        <v>1346</v>
      </c>
      <c r="N794">
        <v>1009</v>
      </c>
      <c r="O794" t="s">
        <v>341</v>
      </c>
      <c r="P794" t="s">
        <v>341</v>
      </c>
      <c r="Q794">
        <v>1</v>
      </c>
      <c r="X794">
        <v>0.06</v>
      </c>
      <c r="Y794">
        <v>37.29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6</v>
      </c>
      <c r="AG794">
        <v>0.06</v>
      </c>
      <c r="AH794">
        <v>2</v>
      </c>
      <c r="AI794">
        <v>16743922</v>
      </c>
      <c r="AJ794">
        <v>865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ROW(Source!A622)</f>
        <v>622</v>
      </c>
      <c r="B795">
        <v>16743940</v>
      </c>
      <c r="C795">
        <v>16743912</v>
      </c>
      <c r="D795">
        <v>15168695</v>
      </c>
      <c r="E795">
        <v>1</v>
      </c>
      <c r="F795">
        <v>1</v>
      </c>
      <c r="G795">
        <v>1</v>
      </c>
      <c r="H795">
        <v>3</v>
      </c>
      <c r="I795" t="s">
        <v>1796</v>
      </c>
      <c r="J795" t="s">
        <v>1797</v>
      </c>
      <c r="K795" t="s">
        <v>1798</v>
      </c>
      <c r="L795">
        <v>1348</v>
      </c>
      <c r="N795">
        <v>1009</v>
      </c>
      <c r="O795" t="s">
        <v>100</v>
      </c>
      <c r="P795" t="s">
        <v>100</v>
      </c>
      <c r="Q795">
        <v>1000</v>
      </c>
      <c r="X795">
        <v>1.7000000000000001E-4</v>
      </c>
      <c r="Y795">
        <v>13560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6</v>
      </c>
      <c r="AG795">
        <v>1.7000000000000001E-4</v>
      </c>
      <c r="AH795">
        <v>2</v>
      </c>
      <c r="AI795">
        <v>16743923</v>
      </c>
      <c r="AJ795">
        <v>866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ROW(Source!A622)</f>
        <v>622</v>
      </c>
      <c r="B796">
        <v>16743941</v>
      </c>
      <c r="C796">
        <v>16743912</v>
      </c>
      <c r="D796">
        <v>15172018</v>
      </c>
      <c r="E796">
        <v>1</v>
      </c>
      <c r="F796">
        <v>1</v>
      </c>
      <c r="G796">
        <v>1</v>
      </c>
      <c r="H796">
        <v>3</v>
      </c>
      <c r="I796" t="s">
        <v>1799</v>
      </c>
      <c r="J796" t="s">
        <v>1800</v>
      </c>
      <c r="K796" t="s">
        <v>1801</v>
      </c>
      <c r="L796">
        <v>1346</v>
      </c>
      <c r="N796">
        <v>1009</v>
      </c>
      <c r="O796" t="s">
        <v>341</v>
      </c>
      <c r="P796" t="s">
        <v>341</v>
      </c>
      <c r="Q796">
        <v>1</v>
      </c>
      <c r="X796">
        <v>1.6000000000000001E-3</v>
      </c>
      <c r="Y796">
        <v>2.15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6</v>
      </c>
      <c r="AG796">
        <v>1.6000000000000001E-3</v>
      </c>
      <c r="AH796">
        <v>2</v>
      </c>
      <c r="AI796">
        <v>16743924</v>
      </c>
      <c r="AJ796">
        <v>867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ROW(Source!A622)</f>
        <v>622</v>
      </c>
      <c r="B797">
        <v>16743942</v>
      </c>
      <c r="C797">
        <v>16743912</v>
      </c>
      <c r="D797">
        <v>15203740</v>
      </c>
      <c r="E797">
        <v>1</v>
      </c>
      <c r="F797">
        <v>1</v>
      </c>
      <c r="G797">
        <v>1</v>
      </c>
      <c r="H797">
        <v>3</v>
      </c>
      <c r="I797" t="s">
        <v>1802</v>
      </c>
      <c r="J797" t="s">
        <v>1803</v>
      </c>
      <c r="K797" t="s">
        <v>1804</v>
      </c>
      <c r="L797">
        <v>1348</v>
      </c>
      <c r="N797">
        <v>1009</v>
      </c>
      <c r="O797" t="s">
        <v>100</v>
      </c>
      <c r="P797" t="s">
        <v>100</v>
      </c>
      <c r="Q797">
        <v>1000</v>
      </c>
      <c r="X797">
        <v>4.4000000000000002E-4</v>
      </c>
      <c r="Y797">
        <v>15119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6</v>
      </c>
      <c r="AG797">
        <v>4.4000000000000002E-4</v>
      </c>
      <c r="AH797">
        <v>2</v>
      </c>
      <c r="AI797">
        <v>16743925</v>
      </c>
      <c r="AJ797">
        <v>868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ROW(Source!A622)</f>
        <v>622</v>
      </c>
      <c r="B798">
        <v>16743943</v>
      </c>
      <c r="C798">
        <v>16743912</v>
      </c>
      <c r="D798">
        <v>15204468</v>
      </c>
      <c r="E798">
        <v>1</v>
      </c>
      <c r="F798">
        <v>1</v>
      </c>
      <c r="G798">
        <v>1</v>
      </c>
      <c r="H798">
        <v>3</v>
      </c>
      <c r="I798" t="s">
        <v>1623</v>
      </c>
      <c r="J798" t="s">
        <v>1624</v>
      </c>
      <c r="K798" t="s">
        <v>1625</v>
      </c>
      <c r="L798">
        <v>1348</v>
      </c>
      <c r="N798">
        <v>1009</v>
      </c>
      <c r="O798" t="s">
        <v>100</v>
      </c>
      <c r="P798" t="s">
        <v>100</v>
      </c>
      <c r="Q798">
        <v>1000</v>
      </c>
      <c r="X798">
        <v>5.2999999999999998E-4</v>
      </c>
      <c r="Y798">
        <v>16950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6</v>
      </c>
      <c r="AG798">
        <v>5.2999999999999998E-4</v>
      </c>
      <c r="AH798">
        <v>2</v>
      </c>
      <c r="AI798">
        <v>16743926</v>
      </c>
      <c r="AJ798">
        <v>869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ROW(Source!A622)</f>
        <v>622</v>
      </c>
      <c r="B799">
        <v>16743944</v>
      </c>
      <c r="C799">
        <v>16743912</v>
      </c>
      <c r="D799">
        <v>15162883</v>
      </c>
      <c r="E799">
        <v>17</v>
      </c>
      <c r="F799">
        <v>1</v>
      </c>
      <c r="G799">
        <v>1</v>
      </c>
      <c r="H799">
        <v>3</v>
      </c>
      <c r="I799" t="s">
        <v>1876</v>
      </c>
      <c r="J799" t="s">
        <v>6</v>
      </c>
      <c r="K799" t="s">
        <v>1877</v>
      </c>
      <c r="L799">
        <v>1354</v>
      </c>
      <c r="N799">
        <v>1010</v>
      </c>
      <c r="O799" t="s">
        <v>73</v>
      </c>
      <c r="P799" t="s">
        <v>73</v>
      </c>
      <c r="Q799">
        <v>1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1</v>
      </c>
      <c r="AD799">
        <v>0</v>
      </c>
      <c r="AE799">
        <v>0</v>
      </c>
      <c r="AF799" t="s">
        <v>6</v>
      </c>
      <c r="AG799">
        <v>0</v>
      </c>
      <c r="AH799">
        <v>3</v>
      </c>
      <c r="AI799">
        <v>-1</v>
      </c>
      <c r="AJ799" t="s">
        <v>6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ROW(Source!A622)</f>
        <v>622</v>
      </c>
      <c r="B800">
        <v>16743945</v>
      </c>
      <c r="C800">
        <v>16743912</v>
      </c>
      <c r="D800">
        <v>15163115</v>
      </c>
      <c r="E800">
        <v>17</v>
      </c>
      <c r="F800">
        <v>1</v>
      </c>
      <c r="G800">
        <v>1</v>
      </c>
      <c r="H800">
        <v>3</v>
      </c>
      <c r="I800" t="s">
        <v>1878</v>
      </c>
      <c r="J800" t="s">
        <v>6</v>
      </c>
      <c r="K800" t="s">
        <v>1879</v>
      </c>
      <c r="L800">
        <v>1346</v>
      </c>
      <c r="N800">
        <v>1009</v>
      </c>
      <c r="O800" t="s">
        <v>341</v>
      </c>
      <c r="P800" t="s">
        <v>341</v>
      </c>
      <c r="Q800">
        <v>1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1</v>
      </c>
      <c r="AD800">
        <v>0</v>
      </c>
      <c r="AE800">
        <v>0</v>
      </c>
      <c r="AF800" t="s">
        <v>6</v>
      </c>
      <c r="AG800">
        <v>0</v>
      </c>
      <c r="AH800">
        <v>3</v>
      </c>
      <c r="AI800">
        <v>-1</v>
      </c>
      <c r="AJ800" t="s">
        <v>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ROW(Source!A622)</f>
        <v>622</v>
      </c>
      <c r="B801">
        <v>16743946</v>
      </c>
      <c r="C801">
        <v>16743912</v>
      </c>
      <c r="D801">
        <v>15163126</v>
      </c>
      <c r="E801">
        <v>17</v>
      </c>
      <c r="F801">
        <v>1</v>
      </c>
      <c r="G801">
        <v>1</v>
      </c>
      <c r="H801">
        <v>3</v>
      </c>
      <c r="I801" t="s">
        <v>1880</v>
      </c>
      <c r="J801" t="s">
        <v>6</v>
      </c>
      <c r="K801" t="s">
        <v>1881</v>
      </c>
      <c r="L801">
        <v>1301</v>
      </c>
      <c r="N801">
        <v>1003</v>
      </c>
      <c r="O801" t="s">
        <v>220</v>
      </c>
      <c r="P801" t="s">
        <v>220</v>
      </c>
      <c r="Q801">
        <v>1</v>
      </c>
      <c r="X801">
        <v>100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 t="s">
        <v>6</v>
      </c>
      <c r="AG801">
        <v>100</v>
      </c>
      <c r="AH801">
        <v>3</v>
      </c>
      <c r="AI801">
        <v>-1</v>
      </c>
      <c r="AJ801" t="s">
        <v>6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ROW(Source!A626)</f>
        <v>626</v>
      </c>
      <c r="B802">
        <v>16743952</v>
      </c>
      <c r="C802">
        <v>16743950</v>
      </c>
      <c r="D802">
        <v>15430767</v>
      </c>
      <c r="E802">
        <v>1</v>
      </c>
      <c r="F802">
        <v>1</v>
      </c>
      <c r="G802">
        <v>1</v>
      </c>
      <c r="H802">
        <v>1</v>
      </c>
      <c r="I802" t="s">
        <v>1285</v>
      </c>
      <c r="J802" t="s">
        <v>6</v>
      </c>
      <c r="K802" t="s">
        <v>1286</v>
      </c>
      <c r="L802">
        <v>1191</v>
      </c>
      <c r="N802">
        <v>1013</v>
      </c>
      <c r="O802" t="s">
        <v>1287</v>
      </c>
      <c r="P802" t="s">
        <v>1287</v>
      </c>
      <c r="Q802">
        <v>1</v>
      </c>
      <c r="X802">
        <v>7.28</v>
      </c>
      <c r="Y802">
        <v>0</v>
      </c>
      <c r="Z802">
        <v>0</v>
      </c>
      <c r="AA802">
        <v>0</v>
      </c>
      <c r="AB802">
        <v>8.5299999999999994</v>
      </c>
      <c r="AC802">
        <v>0</v>
      </c>
      <c r="AD802">
        <v>1</v>
      </c>
      <c r="AE802">
        <v>1</v>
      </c>
      <c r="AF802" t="s">
        <v>6</v>
      </c>
      <c r="AG802">
        <v>7.28</v>
      </c>
      <c r="AH802">
        <v>2</v>
      </c>
      <c r="AI802">
        <v>16743951</v>
      </c>
      <c r="AJ802">
        <v>873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ROW(Source!A627)</f>
        <v>627</v>
      </c>
      <c r="B803">
        <v>16743971</v>
      </c>
      <c r="C803">
        <v>16743954</v>
      </c>
      <c r="D803">
        <v>15436556</v>
      </c>
      <c r="E803">
        <v>1</v>
      </c>
      <c r="F803">
        <v>1</v>
      </c>
      <c r="G803">
        <v>1</v>
      </c>
      <c r="H803">
        <v>1</v>
      </c>
      <c r="I803" t="s">
        <v>1490</v>
      </c>
      <c r="J803" t="s">
        <v>6</v>
      </c>
      <c r="K803" t="s">
        <v>1491</v>
      </c>
      <c r="L803">
        <v>1191</v>
      </c>
      <c r="N803">
        <v>1013</v>
      </c>
      <c r="O803" t="s">
        <v>1287</v>
      </c>
      <c r="P803" t="s">
        <v>1287</v>
      </c>
      <c r="Q803">
        <v>1</v>
      </c>
      <c r="X803">
        <v>32.97</v>
      </c>
      <c r="Y803">
        <v>0</v>
      </c>
      <c r="Z803">
        <v>0</v>
      </c>
      <c r="AA803">
        <v>0</v>
      </c>
      <c r="AB803">
        <v>9.6199999999999992</v>
      </c>
      <c r="AC803">
        <v>0</v>
      </c>
      <c r="AD803">
        <v>1</v>
      </c>
      <c r="AE803">
        <v>1</v>
      </c>
      <c r="AF803" t="s">
        <v>188</v>
      </c>
      <c r="AG803">
        <v>37.915499999999994</v>
      </c>
      <c r="AH803">
        <v>2</v>
      </c>
      <c r="AI803">
        <v>16743955</v>
      </c>
      <c r="AJ803">
        <v>874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ROW(Source!A627)</f>
        <v>627</v>
      </c>
      <c r="B804">
        <v>16743972</v>
      </c>
      <c r="C804">
        <v>16743954</v>
      </c>
      <c r="D804">
        <v>15430395</v>
      </c>
      <c r="E804">
        <v>1</v>
      </c>
      <c r="F804">
        <v>1</v>
      </c>
      <c r="G804">
        <v>1</v>
      </c>
      <c r="H804">
        <v>1</v>
      </c>
      <c r="I804" t="s">
        <v>1293</v>
      </c>
      <c r="J804" t="s">
        <v>6</v>
      </c>
      <c r="K804" t="s">
        <v>1294</v>
      </c>
      <c r="L804">
        <v>1191</v>
      </c>
      <c r="N804">
        <v>1013</v>
      </c>
      <c r="O804" t="s">
        <v>1287</v>
      </c>
      <c r="P804" t="s">
        <v>1287</v>
      </c>
      <c r="Q804">
        <v>1</v>
      </c>
      <c r="X804">
        <v>0.5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2</v>
      </c>
      <c r="AF804" t="s">
        <v>187</v>
      </c>
      <c r="AG804">
        <v>0.625</v>
      </c>
      <c r="AH804">
        <v>2</v>
      </c>
      <c r="AI804">
        <v>16743956</v>
      </c>
      <c r="AJ804">
        <v>875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ROW(Source!A627)</f>
        <v>627</v>
      </c>
      <c r="B805">
        <v>16743973</v>
      </c>
      <c r="C805">
        <v>16743954</v>
      </c>
      <c r="D805">
        <v>15247578</v>
      </c>
      <c r="E805">
        <v>1</v>
      </c>
      <c r="F805">
        <v>1</v>
      </c>
      <c r="G805">
        <v>1</v>
      </c>
      <c r="H805">
        <v>2</v>
      </c>
      <c r="I805" t="s">
        <v>1408</v>
      </c>
      <c r="J805" t="s">
        <v>1409</v>
      </c>
      <c r="K805" t="s">
        <v>1410</v>
      </c>
      <c r="L805">
        <v>1368</v>
      </c>
      <c r="N805">
        <v>1011</v>
      </c>
      <c r="O805" t="s">
        <v>1298</v>
      </c>
      <c r="P805" t="s">
        <v>1298</v>
      </c>
      <c r="Q805">
        <v>1</v>
      </c>
      <c r="X805">
        <v>0.08</v>
      </c>
      <c r="Y805">
        <v>0</v>
      </c>
      <c r="Z805">
        <v>86.4</v>
      </c>
      <c r="AA805">
        <v>13.5</v>
      </c>
      <c r="AB805">
        <v>0</v>
      </c>
      <c r="AC805">
        <v>0</v>
      </c>
      <c r="AD805">
        <v>1</v>
      </c>
      <c r="AE805">
        <v>0</v>
      </c>
      <c r="AF805" t="s">
        <v>187</v>
      </c>
      <c r="AG805">
        <v>0.1</v>
      </c>
      <c r="AH805">
        <v>2</v>
      </c>
      <c r="AI805">
        <v>16743957</v>
      </c>
      <c r="AJ805">
        <v>876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ROW(Source!A627)</f>
        <v>627</v>
      </c>
      <c r="B806">
        <v>16743974</v>
      </c>
      <c r="C806">
        <v>16743954</v>
      </c>
      <c r="D806">
        <v>15247680</v>
      </c>
      <c r="E806">
        <v>1</v>
      </c>
      <c r="F806">
        <v>1</v>
      </c>
      <c r="G806">
        <v>1</v>
      </c>
      <c r="H806">
        <v>2</v>
      </c>
      <c r="I806" t="s">
        <v>1295</v>
      </c>
      <c r="J806" t="s">
        <v>1296</v>
      </c>
      <c r="K806" t="s">
        <v>1297</v>
      </c>
      <c r="L806">
        <v>1368</v>
      </c>
      <c r="N806">
        <v>1011</v>
      </c>
      <c r="O806" t="s">
        <v>1298</v>
      </c>
      <c r="P806" t="s">
        <v>1298</v>
      </c>
      <c r="Q806">
        <v>1</v>
      </c>
      <c r="X806">
        <v>7.0000000000000007E-2</v>
      </c>
      <c r="Y806">
        <v>0</v>
      </c>
      <c r="Z806">
        <v>111.99</v>
      </c>
      <c r="AA806">
        <v>13.5</v>
      </c>
      <c r="AB806">
        <v>0</v>
      </c>
      <c r="AC806">
        <v>0</v>
      </c>
      <c r="AD806">
        <v>1</v>
      </c>
      <c r="AE806">
        <v>0</v>
      </c>
      <c r="AF806" t="s">
        <v>187</v>
      </c>
      <c r="AG806">
        <v>8.7500000000000008E-2</v>
      </c>
      <c r="AH806">
        <v>2</v>
      </c>
      <c r="AI806">
        <v>16743958</v>
      </c>
      <c r="AJ806">
        <v>877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ROW(Source!A627)</f>
        <v>627</v>
      </c>
      <c r="B807">
        <v>16743975</v>
      </c>
      <c r="C807">
        <v>16743954</v>
      </c>
      <c r="D807">
        <v>15249073</v>
      </c>
      <c r="E807">
        <v>1</v>
      </c>
      <c r="F807">
        <v>1</v>
      </c>
      <c r="G807">
        <v>1</v>
      </c>
      <c r="H807">
        <v>2</v>
      </c>
      <c r="I807" t="s">
        <v>1299</v>
      </c>
      <c r="J807" t="s">
        <v>1300</v>
      </c>
      <c r="K807" t="s">
        <v>1301</v>
      </c>
      <c r="L807">
        <v>1368</v>
      </c>
      <c r="N807">
        <v>1011</v>
      </c>
      <c r="O807" t="s">
        <v>1298</v>
      </c>
      <c r="P807" t="s">
        <v>1298</v>
      </c>
      <c r="Q807">
        <v>1</v>
      </c>
      <c r="X807">
        <v>0.35</v>
      </c>
      <c r="Y807">
        <v>0</v>
      </c>
      <c r="Z807">
        <v>65.709999999999994</v>
      </c>
      <c r="AA807">
        <v>11.6</v>
      </c>
      <c r="AB807">
        <v>0</v>
      </c>
      <c r="AC807">
        <v>0</v>
      </c>
      <c r="AD807">
        <v>1</v>
      </c>
      <c r="AE807">
        <v>0</v>
      </c>
      <c r="AF807" t="s">
        <v>187</v>
      </c>
      <c r="AG807">
        <v>0.4375</v>
      </c>
      <c r="AH807">
        <v>2</v>
      </c>
      <c r="AI807">
        <v>16743959</v>
      </c>
      <c r="AJ807">
        <v>878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ROW(Source!A627)</f>
        <v>627</v>
      </c>
      <c r="B808">
        <v>16743976</v>
      </c>
      <c r="C808">
        <v>16743954</v>
      </c>
      <c r="D808">
        <v>15249308</v>
      </c>
      <c r="E808">
        <v>1</v>
      </c>
      <c r="F808">
        <v>1</v>
      </c>
      <c r="G808">
        <v>1</v>
      </c>
      <c r="H808">
        <v>2</v>
      </c>
      <c r="I808" t="s">
        <v>1350</v>
      </c>
      <c r="J808" t="s">
        <v>1351</v>
      </c>
      <c r="K808" t="s">
        <v>1352</v>
      </c>
      <c r="L808">
        <v>1368</v>
      </c>
      <c r="N808">
        <v>1011</v>
      </c>
      <c r="O808" t="s">
        <v>1298</v>
      </c>
      <c r="P808" t="s">
        <v>1298</v>
      </c>
      <c r="Q808">
        <v>1</v>
      </c>
      <c r="X808">
        <v>1.1499999999999999</v>
      </c>
      <c r="Y808">
        <v>0</v>
      </c>
      <c r="Z808">
        <v>1.2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187</v>
      </c>
      <c r="AG808">
        <v>1.4375</v>
      </c>
      <c r="AH808">
        <v>2</v>
      </c>
      <c r="AI808">
        <v>16743960</v>
      </c>
      <c r="AJ808">
        <v>879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ROW(Source!A627)</f>
        <v>627</v>
      </c>
      <c r="B809">
        <v>16743977</v>
      </c>
      <c r="C809">
        <v>16743954</v>
      </c>
      <c r="D809">
        <v>15165635</v>
      </c>
      <c r="E809">
        <v>1</v>
      </c>
      <c r="F809">
        <v>1</v>
      </c>
      <c r="G809">
        <v>1</v>
      </c>
      <c r="H809">
        <v>3</v>
      </c>
      <c r="I809" t="s">
        <v>1790</v>
      </c>
      <c r="J809" t="s">
        <v>1791</v>
      </c>
      <c r="K809" t="s">
        <v>1792</v>
      </c>
      <c r="L809">
        <v>1348</v>
      </c>
      <c r="N809">
        <v>1009</v>
      </c>
      <c r="O809" t="s">
        <v>100</v>
      </c>
      <c r="P809" t="s">
        <v>100</v>
      </c>
      <c r="Q809">
        <v>1000</v>
      </c>
      <c r="X809">
        <v>1.2999999999999999E-4</v>
      </c>
      <c r="Y809">
        <v>32830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6</v>
      </c>
      <c r="AG809">
        <v>1.2999999999999999E-4</v>
      </c>
      <c r="AH809">
        <v>2</v>
      </c>
      <c r="AI809">
        <v>16743961</v>
      </c>
      <c r="AJ809">
        <v>880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ROW(Source!A627)</f>
        <v>627</v>
      </c>
      <c r="B810">
        <v>16743978</v>
      </c>
      <c r="C810">
        <v>16743954</v>
      </c>
      <c r="D810">
        <v>15165653</v>
      </c>
      <c r="E810">
        <v>1</v>
      </c>
      <c r="F810">
        <v>1</v>
      </c>
      <c r="G810">
        <v>1</v>
      </c>
      <c r="H810">
        <v>3</v>
      </c>
      <c r="I810" t="s">
        <v>1356</v>
      </c>
      <c r="J810" t="s">
        <v>1357</v>
      </c>
      <c r="K810" t="s">
        <v>1358</v>
      </c>
      <c r="L810">
        <v>1339</v>
      </c>
      <c r="N810">
        <v>1007</v>
      </c>
      <c r="O810" t="s">
        <v>301</v>
      </c>
      <c r="P810" t="s">
        <v>301</v>
      </c>
      <c r="Q810">
        <v>1</v>
      </c>
      <c r="X810">
        <v>0.28100000000000003</v>
      </c>
      <c r="Y810">
        <v>6.22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6</v>
      </c>
      <c r="AG810">
        <v>0.28100000000000003</v>
      </c>
      <c r="AH810">
        <v>2</v>
      </c>
      <c r="AI810">
        <v>16743962</v>
      </c>
      <c r="AJ810">
        <v>881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ROW(Source!A627)</f>
        <v>627</v>
      </c>
      <c r="B811">
        <v>16743979</v>
      </c>
      <c r="C811">
        <v>16743954</v>
      </c>
      <c r="D811">
        <v>15167286</v>
      </c>
      <c r="E811">
        <v>1</v>
      </c>
      <c r="F811">
        <v>1</v>
      </c>
      <c r="G811">
        <v>1</v>
      </c>
      <c r="H811">
        <v>3</v>
      </c>
      <c r="I811" t="s">
        <v>1317</v>
      </c>
      <c r="J811" t="s">
        <v>1318</v>
      </c>
      <c r="K811" t="s">
        <v>1319</v>
      </c>
      <c r="L811">
        <v>1339</v>
      </c>
      <c r="N811">
        <v>1007</v>
      </c>
      <c r="O811" t="s">
        <v>301</v>
      </c>
      <c r="P811" t="s">
        <v>301</v>
      </c>
      <c r="Q811">
        <v>1</v>
      </c>
      <c r="X811">
        <v>1.1299999999999999</v>
      </c>
      <c r="Y811">
        <v>2.44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1.1299999999999999</v>
      </c>
      <c r="AH811">
        <v>2</v>
      </c>
      <c r="AI811">
        <v>16743963</v>
      </c>
      <c r="AJ811">
        <v>882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ROW(Source!A627)</f>
        <v>627</v>
      </c>
      <c r="B812">
        <v>16743980</v>
      </c>
      <c r="C812">
        <v>16743954</v>
      </c>
      <c r="D812">
        <v>15167963</v>
      </c>
      <c r="E812">
        <v>1</v>
      </c>
      <c r="F812">
        <v>1</v>
      </c>
      <c r="G812">
        <v>1</v>
      </c>
      <c r="H812">
        <v>3</v>
      </c>
      <c r="I812" t="s">
        <v>1793</v>
      </c>
      <c r="J812" t="s">
        <v>1794</v>
      </c>
      <c r="K812" t="s">
        <v>1795</v>
      </c>
      <c r="L812">
        <v>1346</v>
      </c>
      <c r="N812">
        <v>1009</v>
      </c>
      <c r="O812" t="s">
        <v>341</v>
      </c>
      <c r="P812" t="s">
        <v>341</v>
      </c>
      <c r="Q812">
        <v>1</v>
      </c>
      <c r="X812">
        <v>0.06</v>
      </c>
      <c r="Y812">
        <v>37.29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6</v>
      </c>
      <c r="AG812">
        <v>0.06</v>
      </c>
      <c r="AH812">
        <v>2</v>
      </c>
      <c r="AI812">
        <v>16743964</v>
      </c>
      <c r="AJ812">
        <v>883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ROW(Source!A627)</f>
        <v>627</v>
      </c>
      <c r="B813">
        <v>16743981</v>
      </c>
      <c r="C813">
        <v>16743954</v>
      </c>
      <c r="D813">
        <v>15168695</v>
      </c>
      <c r="E813">
        <v>1</v>
      </c>
      <c r="F813">
        <v>1</v>
      </c>
      <c r="G813">
        <v>1</v>
      </c>
      <c r="H813">
        <v>3</v>
      </c>
      <c r="I813" t="s">
        <v>1796</v>
      </c>
      <c r="J813" t="s">
        <v>1797</v>
      </c>
      <c r="K813" t="s">
        <v>1798</v>
      </c>
      <c r="L813">
        <v>1348</v>
      </c>
      <c r="N813">
        <v>1009</v>
      </c>
      <c r="O813" t="s">
        <v>100</v>
      </c>
      <c r="P813" t="s">
        <v>100</v>
      </c>
      <c r="Q813">
        <v>1000</v>
      </c>
      <c r="X813">
        <v>1.7000000000000001E-4</v>
      </c>
      <c r="Y813">
        <v>13560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6</v>
      </c>
      <c r="AG813">
        <v>1.7000000000000001E-4</v>
      </c>
      <c r="AH813">
        <v>2</v>
      </c>
      <c r="AI813">
        <v>16743965</v>
      </c>
      <c r="AJ813">
        <v>884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ROW(Source!A627)</f>
        <v>627</v>
      </c>
      <c r="B814">
        <v>16743982</v>
      </c>
      <c r="C814">
        <v>16743954</v>
      </c>
      <c r="D814">
        <v>15172018</v>
      </c>
      <c r="E814">
        <v>1</v>
      </c>
      <c r="F814">
        <v>1</v>
      </c>
      <c r="G814">
        <v>1</v>
      </c>
      <c r="H814">
        <v>3</v>
      </c>
      <c r="I814" t="s">
        <v>1799</v>
      </c>
      <c r="J814" t="s">
        <v>1800</v>
      </c>
      <c r="K814" t="s">
        <v>1801</v>
      </c>
      <c r="L814">
        <v>1346</v>
      </c>
      <c r="N814">
        <v>1009</v>
      </c>
      <c r="O814" t="s">
        <v>341</v>
      </c>
      <c r="P814" t="s">
        <v>341</v>
      </c>
      <c r="Q814">
        <v>1</v>
      </c>
      <c r="X814">
        <v>4.0000000000000001E-3</v>
      </c>
      <c r="Y814">
        <v>2.15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4.0000000000000001E-3</v>
      </c>
      <c r="AH814">
        <v>2</v>
      </c>
      <c r="AI814">
        <v>16743966</v>
      </c>
      <c r="AJ814">
        <v>885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ROW(Source!A627)</f>
        <v>627</v>
      </c>
      <c r="B815">
        <v>16743983</v>
      </c>
      <c r="C815">
        <v>16743954</v>
      </c>
      <c r="D815">
        <v>15203740</v>
      </c>
      <c r="E815">
        <v>1</v>
      </c>
      <c r="F815">
        <v>1</v>
      </c>
      <c r="G815">
        <v>1</v>
      </c>
      <c r="H815">
        <v>3</v>
      </c>
      <c r="I815" t="s">
        <v>1802</v>
      </c>
      <c r="J815" t="s">
        <v>1803</v>
      </c>
      <c r="K815" t="s">
        <v>1804</v>
      </c>
      <c r="L815">
        <v>1348</v>
      </c>
      <c r="N815">
        <v>1009</v>
      </c>
      <c r="O815" t="s">
        <v>100</v>
      </c>
      <c r="P815" t="s">
        <v>100</v>
      </c>
      <c r="Q815">
        <v>1000</v>
      </c>
      <c r="X815">
        <v>4.4000000000000002E-4</v>
      </c>
      <c r="Y815">
        <v>15119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0</v>
      </c>
      <c r="AF815" t="s">
        <v>6</v>
      </c>
      <c r="AG815">
        <v>4.4000000000000002E-4</v>
      </c>
      <c r="AH815">
        <v>2</v>
      </c>
      <c r="AI815">
        <v>16743967</v>
      </c>
      <c r="AJ815">
        <v>886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ROW(Source!A627)</f>
        <v>627</v>
      </c>
      <c r="B816">
        <v>16743984</v>
      </c>
      <c r="C816">
        <v>16743954</v>
      </c>
      <c r="D816">
        <v>15204468</v>
      </c>
      <c r="E816">
        <v>1</v>
      </c>
      <c r="F816">
        <v>1</v>
      </c>
      <c r="G816">
        <v>1</v>
      </c>
      <c r="H816">
        <v>3</v>
      </c>
      <c r="I816" t="s">
        <v>1623</v>
      </c>
      <c r="J816" t="s">
        <v>1624</v>
      </c>
      <c r="K816" t="s">
        <v>1625</v>
      </c>
      <c r="L816">
        <v>1348</v>
      </c>
      <c r="N816">
        <v>1009</v>
      </c>
      <c r="O816" t="s">
        <v>100</v>
      </c>
      <c r="P816" t="s">
        <v>100</v>
      </c>
      <c r="Q816">
        <v>1000</v>
      </c>
      <c r="X816">
        <v>5.2999999999999998E-4</v>
      </c>
      <c r="Y816">
        <v>16950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 t="s">
        <v>6</v>
      </c>
      <c r="AG816">
        <v>5.2999999999999998E-4</v>
      </c>
      <c r="AH816">
        <v>2</v>
      </c>
      <c r="AI816">
        <v>16743968</v>
      </c>
      <c r="AJ816">
        <v>887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ROW(Source!A627)</f>
        <v>627</v>
      </c>
      <c r="B817">
        <v>16743985</v>
      </c>
      <c r="C817">
        <v>16743954</v>
      </c>
      <c r="D817">
        <v>15162883</v>
      </c>
      <c r="E817">
        <v>17</v>
      </c>
      <c r="F817">
        <v>1</v>
      </c>
      <c r="G817">
        <v>1</v>
      </c>
      <c r="H817">
        <v>3</v>
      </c>
      <c r="I817" t="s">
        <v>1876</v>
      </c>
      <c r="J817" t="s">
        <v>6</v>
      </c>
      <c r="K817" t="s">
        <v>1877</v>
      </c>
      <c r="L817">
        <v>1354</v>
      </c>
      <c r="N817">
        <v>1010</v>
      </c>
      <c r="O817" t="s">
        <v>73</v>
      </c>
      <c r="P817" t="s">
        <v>73</v>
      </c>
      <c r="Q817">
        <v>1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1</v>
      </c>
      <c r="AD817">
        <v>0</v>
      </c>
      <c r="AE817">
        <v>0</v>
      </c>
      <c r="AF817" t="s">
        <v>6</v>
      </c>
      <c r="AG817">
        <v>0</v>
      </c>
      <c r="AH817">
        <v>3</v>
      </c>
      <c r="AI817">
        <v>-1</v>
      </c>
      <c r="AJ817" t="s">
        <v>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ROW(Source!A627)</f>
        <v>627</v>
      </c>
      <c r="B818">
        <v>16743986</v>
      </c>
      <c r="C818">
        <v>16743954</v>
      </c>
      <c r="D818">
        <v>15163115</v>
      </c>
      <c r="E818">
        <v>17</v>
      </c>
      <c r="F818">
        <v>1</v>
      </c>
      <c r="G818">
        <v>1</v>
      </c>
      <c r="H818">
        <v>3</v>
      </c>
      <c r="I818" t="s">
        <v>1878</v>
      </c>
      <c r="J818" t="s">
        <v>6</v>
      </c>
      <c r="K818" t="s">
        <v>1879</v>
      </c>
      <c r="L818">
        <v>1346</v>
      </c>
      <c r="N818">
        <v>1009</v>
      </c>
      <c r="O818" t="s">
        <v>341</v>
      </c>
      <c r="P818" t="s">
        <v>341</v>
      </c>
      <c r="Q818">
        <v>1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1</v>
      </c>
      <c r="AD818">
        <v>0</v>
      </c>
      <c r="AE818">
        <v>0</v>
      </c>
      <c r="AF818" t="s">
        <v>6</v>
      </c>
      <c r="AG818">
        <v>0</v>
      </c>
      <c r="AH818">
        <v>3</v>
      </c>
      <c r="AI818">
        <v>-1</v>
      </c>
      <c r="AJ818" t="s">
        <v>6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ROW(Source!A627)</f>
        <v>627</v>
      </c>
      <c r="B819">
        <v>16743987</v>
      </c>
      <c r="C819">
        <v>16743954</v>
      </c>
      <c r="D819">
        <v>15163126</v>
      </c>
      <c r="E819">
        <v>17</v>
      </c>
      <c r="F819">
        <v>1</v>
      </c>
      <c r="G819">
        <v>1</v>
      </c>
      <c r="H819">
        <v>3</v>
      </c>
      <c r="I819" t="s">
        <v>1880</v>
      </c>
      <c r="J819" t="s">
        <v>6</v>
      </c>
      <c r="K819" t="s">
        <v>1881</v>
      </c>
      <c r="L819">
        <v>1301</v>
      </c>
      <c r="N819">
        <v>1003</v>
      </c>
      <c r="O819" t="s">
        <v>220</v>
      </c>
      <c r="P819" t="s">
        <v>220</v>
      </c>
      <c r="Q819">
        <v>1</v>
      </c>
      <c r="X819">
        <v>100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 t="s">
        <v>6</v>
      </c>
      <c r="AG819">
        <v>100</v>
      </c>
      <c r="AH819">
        <v>3</v>
      </c>
      <c r="AI819">
        <v>-1</v>
      </c>
      <c r="AJ819" t="s">
        <v>6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ROW(Source!A629)</f>
        <v>629</v>
      </c>
      <c r="B820">
        <v>16744001</v>
      </c>
      <c r="C820">
        <v>16743990</v>
      </c>
      <c r="D820">
        <v>15446300</v>
      </c>
      <c r="E820">
        <v>1</v>
      </c>
      <c r="F820">
        <v>1</v>
      </c>
      <c r="G820">
        <v>1</v>
      </c>
      <c r="H820">
        <v>1</v>
      </c>
      <c r="I820" t="s">
        <v>1437</v>
      </c>
      <c r="J820" t="s">
        <v>6</v>
      </c>
      <c r="K820" t="s">
        <v>1438</v>
      </c>
      <c r="L820">
        <v>1191</v>
      </c>
      <c r="N820">
        <v>1013</v>
      </c>
      <c r="O820" t="s">
        <v>1287</v>
      </c>
      <c r="P820" t="s">
        <v>1287</v>
      </c>
      <c r="Q820">
        <v>1</v>
      </c>
      <c r="X820">
        <v>4.46</v>
      </c>
      <c r="Y820">
        <v>0</v>
      </c>
      <c r="Z820">
        <v>0</v>
      </c>
      <c r="AA820">
        <v>0</v>
      </c>
      <c r="AB820">
        <v>9.92</v>
      </c>
      <c r="AC820">
        <v>0</v>
      </c>
      <c r="AD820">
        <v>1</v>
      </c>
      <c r="AE820">
        <v>1</v>
      </c>
      <c r="AF820" t="s">
        <v>6</v>
      </c>
      <c r="AG820">
        <v>4.46</v>
      </c>
      <c r="AH820">
        <v>2</v>
      </c>
      <c r="AI820">
        <v>16743991</v>
      </c>
      <c r="AJ820">
        <v>889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ROW(Source!A629)</f>
        <v>629</v>
      </c>
      <c r="B821">
        <v>16744002</v>
      </c>
      <c r="C821">
        <v>16743990</v>
      </c>
      <c r="D821">
        <v>15430395</v>
      </c>
      <c r="E821">
        <v>1</v>
      </c>
      <c r="F821">
        <v>1</v>
      </c>
      <c r="G821">
        <v>1</v>
      </c>
      <c r="H821">
        <v>1</v>
      </c>
      <c r="I821" t="s">
        <v>1293</v>
      </c>
      <c r="J821" t="s">
        <v>6</v>
      </c>
      <c r="K821" t="s">
        <v>1294</v>
      </c>
      <c r="L821">
        <v>1191</v>
      </c>
      <c r="N821">
        <v>1013</v>
      </c>
      <c r="O821" t="s">
        <v>1287</v>
      </c>
      <c r="P821" t="s">
        <v>1287</v>
      </c>
      <c r="Q821">
        <v>1</v>
      </c>
      <c r="X821">
        <v>0.01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2</v>
      </c>
      <c r="AF821" t="s">
        <v>6</v>
      </c>
      <c r="AG821">
        <v>0.01</v>
      </c>
      <c r="AH821">
        <v>2</v>
      </c>
      <c r="AI821">
        <v>16743992</v>
      </c>
      <c r="AJ821">
        <v>890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ROW(Source!A629)</f>
        <v>629</v>
      </c>
      <c r="B822">
        <v>16744003</v>
      </c>
      <c r="C822">
        <v>16743990</v>
      </c>
      <c r="D822">
        <v>15249073</v>
      </c>
      <c r="E822">
        <v>1</v>
      </c>
      <c r="F822">
        <v>1</v>
      </c>
      <c r="G822">
        <v>1</v>
      </c>
      <c r="H822">
        <v>2</v>
      </c>
      <c r="I822" t="s">
        <v>1299</v>
      </c>
      <c r="J822" t="s">
        <v>1300</v>
      </c>
      <c r="K822" t="s">
        <v>1301</v>
      </c>
      <c r="L822">
        <v>1368</v>
      </c>
      <c r="N822">
        <v>1011</v>
      </c>
      <c r="O822" t="s">
        <v>1298</v>
      </c>
      <c r="P822" t="s">
        <v>1298</v>
      </c>
      <c r="Q822">
        <v>1</v>
      </c>
      <c r="X822">
        <v>0.01</v>
      </c>
      <c r="Y822">
        <v>0</v>
      </c>
      <c r="Z822">
        <v>65.709999999999994</v>
      </c>
      <c r="AA822">
        <v>11.6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0.01</v>
      </c>
      <c r="AH822">
        <v>2</v>
      </c>
      <c r="AI822">
        <v>16743993</v>
      </c>
      <c r="AJ822">
        <v>891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ROW(Source!A629)</f>
        <v>629</v>
      </c>
      <c r="B823">
        <v>16744004</v>
      </c>
      <c r="C823">
        <v>16743990</v>
      </c>
      <c r="D823">
        <v>15249308</v>
      </c>
      <c r="E823">
        <v>1</v>
      </c>
      <c r="F823">
        <v>1</v>
      </c>
      <c r="G823">
        <v>1</v>
      </c>
      <c r="H823">
        <v>2</v>
      </c>
      <c r="I823" t="s">
        <v>1350</v>
      </c>
      <c r="J823" t="s">
        <v>1351</v>
      </c>
      <c r="K823" t="s">
        <v>1352</v>
      </c>
      <c r="L823">
        <v>1368</v>
      </c>
      <c r="N823">
        <v>1011</v>
      </c>
      <c r="O823" t="s">
        <v>1298</v>
      </c>
      <c r="P823" t="s">
        <v>1298</v>
      </c>
      <c r="Q823">
        <v>1</v>
      </c>
      <c r="X823">
        <v>0.49</v>
      </c>
      <c r="Y823">
        <v>0</v>
      </c>
      <c r="Z823">
        <v>1.2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6</v>
      </c>
      <c r="AG823">
        <v>0.49</v>
      </c>
      <c r="AH823">
        <v>2</v>
      </c>
      <c r="AI823">
        <v>16743994</v>
      </c>
      <c r="AJ823">
        <v>892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ROW(Source!A629)</f>
        <v>629</v>
      </c>
      <c r="B824">
        <v>16744005</v>
      </c>
      <c r="C824">
        <v>16743990</v>
      </c>
      <c r="D824">
        <v>15249377</v>
      </c>
      <c r="E824">
        <v>1</v>
      </c>
      <c r="F824">
        <v>1</v>
      </c>
      <c r="G824">
        <v>1</v>
      </c>
      <c r="H824">
        <v>2</v>
      </c>
      <c r="I824" t="s">
        <v>1302</v>
      </c>
      <c r="J824" t="s">
        <v>1303</v>
      </c>
      <c r="K824" t="s">
        <v>1304</v>
      </c>
      <c r="L824">
        <v>1368</v>
      </c>
      <c r="N824">
        <v>1011</v>
      </c>
      <c r="O824" t="s">
        <v>1298</v>
      </c>
      <c r="P824" t="s">
        <v>1298</v>
      </c>
      <c r="Q824">
        <v>1</v>
      </c>
      <c r="X824">
        <v>0.43</v>
      </c>
      <c r="Y824">
        <v>0</v>
      </c>
      <c r="Z824">
        <v>8.1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0.43</v>
      </c>
      <c r="AH824">
        <v>2</v>
      </c>
      <c r="AI824">
        <v>16743995</v>
      </c>
      <c r="AJ824">
        <v>893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ROW(Source!A629)</f>
        <v>629</v>
      </c>
      <c r="B825">
        <v>16744006</v>
      </c>
      <c r="C825">
        <v>16743990</v>
      </c>
      <c r="D825">
        <v>15165634</v>
      </c>
      <c r="E825">
        <v>1</v>
      </c>
      <c r="F825">
        <v>1</v>
      </c>
      <c r="G825">
        <v>1</v>
      </c>
      <c r="H825">
        <v>3</v>
      </c>
      <c r="I825" t="s">
        <v>1778</v>
      </c>
      <c r="J825" t="s">
        <v>1779</v>
      </c>
      <c r="K825" t="s">
        <v>1780</v>
      </c>
      <c r="L825">
        <v>1339</v>
      </c>
      <c r="N825">
        <v>1007</v>
      </c>
      <c r="O825" t="s">
        <v>301</v>
      </c>
      <c r="P825" t="s">
        <v>301</v>
      </c>
      <c r="Q825">
        <v>1</v>
      </c>
      <c r="X825">
        <v>8.3999999999999995E-3</v>
      </c>
      <c r="Y825">
        <v>38.51</v>
      </c>
      <c r="Z825">
        <v>0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6</v>
      </c>
      <c r="AG825">
        <v>8.3999999999999995E-3</v>
      </c>
      <c r="AH825">
        <v>2</v>
      </c>
      <c r="AI825">
        <v>16743996</v>
      </c>
      <c r="AJ825">
        <v>894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ROW(Source!A629)</f>
        <v>629</v>
      </c>
      <c r="B826">
        <v>16744007</v>
      </c>
      <c r="C826">
        <v>16743990</v>
      </c>
      <c r="D826">
        <v>15165653</v>
      </c>
      <c r="E826">
        <v>1</v>
      </c>
      <c r="F826">
        <v>1</v>
      </c>
      <c r="G826">
        <v>1</v>
      </c>
      <c r="H826">
        <v>3</v>
      </c>
      <c r="I826" t="s">
        <v>1356</v>
      </c>
      <c r="J826" t="s">
        <v>1357</v>
      </c>
      <c r="K826" t="s">
        <v>1358</v>
      </c>
      <c r="L826">
        <v>1339</v>
      </c>
      <c r="N826">
        <v>1007</v>
      </c>
      <c r="O826" t="s">
        <v>301</v>
      </c>
      <c r="P826" t="s">
        <v>301</v>
      </c>
      <c r="Q826">
        <v>1</v>
      </c>
      <c r="X826">
        <v>3.6999999999999998E-2</v>
      </c>
      <c r="Y826">
        <v>6.22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3.6999999999999998E-2</v>
      </c>
      <c r="AH826">
        <v>2</v>
      </c>
      <c r="AI826">
        <v>16743997</v>
      </c>
      <c r="AJ826">
        <v>895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ROW(Source!A629)</f>
        <v>629</v>
      </c>
      <c r="B827">
        <v>16744008</v>
      </c>
      <c r="C827">
        <v>16743990</v>
      </c>
      <c r="D827">
        <v>15168763</v>
      </c>
      <c r="E827">
        <v>1</v>
      </c>
      <c r="F827">
        <v>1</v>
      </c>
      <c r="G827">
        <v>1</v>
      </c>
      <c r="H827">
        <v>3</v>
      </c>
      <c r="I827" t="s">
        <v>1305</v>
      </c>
      <c r="J827" t="s">
        <v>1306</v>
      </c>
      <c r="K827" t="s">
        <v>1307</v>
      </c>
      <c r="L827">
        <v>1348</v>
      </c>
      <c r="N827">
        <v>1009</v>
      </c>
      <c r="O827" t="s">
        <v>100</v>
      </c>
      <c r="P827" t="s">
        <v>100</v>
      </c>
      <c r="Q827">
        <v>1000</v>
      </c>
      <c r="X827">
        <v>1.4999999999999999E-4</v>
      </c>
      <c r="Y827">
        <v>10362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6</v>
      </c>
      <c r="AG827">
        <v>1.4999999999999999E-4</v>
      </c>
      <c r="AH827">
        <v>2</v>
      </c>
      <c r="AI827">
        <v>16743998</v>
      </c>
      <c r="AJ827">
        <v>896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ROW(Source!A629)</f>
        <v>629</v>
      </c>
      <c r="B828">
        <v>16744009</v>
      </c>
      <c r="C828">
        <v>16743990</v>
      </c>
      <c r="D828">
        <v>15162883</v>
      </c>
      <c r="E828">
        <v>17</v>
      </c>
      <c r="F828">
        <v>1</v>
      </c>
      <c r="G828">
        <v>1</v>
      </c>
      <c r="H828">
        <v>3</v>
      </c>
      <c r="I828" t="s">
        <v>1876</v>
      </c>
      <c r="J828" t="s">
        <v>6</v>
      </c>
      <c r="K828" t="s">
        <v>1877</v>
      </c>
      <c r="L828">
        <v>1354</v>
      </c>
      <c r="N828">
        <v>1010</v>
      </c>
      <c r="O828" t="s">
        <v>73</v>
      </c>
      <c r="P828" t="s">
        <v>73</v>
      </c>
      <c r="Q828">
        <v>1</v>
      </c>
      <c r="X828">
        <v>1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 t="s">
        <v>6</v>
      </c>
      <c r="AG828">
        <v>1</v>
      </c>
      <c r="AH828">
        <v>3</v>
      </c>
      <c r="AI828">
        <v>-1</v>
      </c>
      <c r="AJ828" t="s">
        <v>6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ROW(Source!A629)</f>
        <v>629</v>
      </c>
      <c r="B829">
        <v>16744010</v>
      </c>
      <c r="C829">
        <v>16743990</v>
      </c>
      <c r="D829">
        <v>15227601</v>
      </c>
      <c r="E829">
        <v>1</v>
      </c>
      <c r="F829">
        <v>1</v>
      </c>
      <c r="G829">
        <v>1</v>
      </c>
      <c r="H829">
        <v>3</v>
      </c>
      <c r="I829" t="s">
        <v>1805</v>
      </c>
      <c r="J829" t="s">
        <v>1806</v>
      </c>
      <c r="K829" t="s">
        <v>1807</v>
      </c>
      <c r="L829">
        <v>1301</v>
      </c>
      <c r="N829">
        <v>1003</v>
      </c>
      <c r="O829" t="s">
        <v>220</v>
      </c>
      <c r="P829" t="s">
        <v>220</v>
      </c>
      <c r="Q829">
        <v>1</v>
      </c>
      <c r="X829">
        <v>0.4</v>
      </c>
      <c r="Y829">
        <v>25.1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0</v>
      </c>
      <c r="AF829" t="s">
        <v>6</v>
      </c>
      <c r="AG829">
        <v>0.4</v>
      </c>
      <c r="AH829">
        <v>2</v>
      </c>
      <c r="AI829">
        <v>16743999</v>
      </c>
      <c r="AJ829">
        <v>897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ROW(Source!A630)</f>
        <v>630</v>
      </c>
      <c r="B830">
        <v>16744022</v>
      </c>
      <c r="C830">
        <v>16744013</v>
      </c>
      <c r="D830">
        <v>15430497</v>
      </c>
      <c r="E830">
        <v>1</v>
      </c>
      <c r="F830">
        <v>1</v>
      </c>
      <c r="G830">
        <v>1</v>
      </c>
      <c r="H830">
        <v>1</v>
      </c>
      <c r="I830" t="s">
        <v>1519</v>
      </c>
      <c r="J830" t="s">
        <v>6</v>
      </c>
      <c r="K830" t="s">
        <v>1520</v>
      </c>
      <c r="L830">
        <v>1191</v>
      </c>
      <c r="N830">
        <v>1013</v>
      </c>
      <c r="O830" t="s">
        <v>1287</v>
      </c>
      <c r="P830" t="s">
        <v>1287</v>
      </c>
      <c r="Q830">
        <v>1</v>
      </c>
      <c r="X830">
        <v>71.06</v>
      </c>
      <c r="Y830">
        <v>0</v>
      </c>
      <c r="Z830">
        <v>0</v>
      </c>
      <c r="AA830">
        <v>0</v>
      </c>
      <c r="AB830">
        <v>8.86</v>
      </c>
      <c r="AC830">
        <v>0</v>
      </c>
      <c r="AD830">
        <v>1</v>
      </c>
      <c r="AE830">
        <v>1</v>
      </c>
      <c r="AF830" t="s">
        <v>188</v>
      </c>
      <c r="AG830">
        <v>81.718999999999994</v>
      </c>
      <c r="AH830">
        <v>2</v>
      </c>
      <c r="AI830">
        <v>16744014</v>
      </c>
      <c r="AJ830">
        <v>898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ROW(Source!A630)</f>
        <v>630</v>
      </c>
      <c r="B831">
        <v>16744023</v>
      </c>
      <c r="C831">
        <v>16744013</v>
      </c>
      <c r="D831">
        <v>15430395</v>
      </c>
      <c r="E831">
        <v>1</v>
      </c>
      <c r="F831">
        <v>1</v>
      </c>
      <c r="G831">
        <v>1</v>
      </c>
      <c r="H831">
        <v>1</v>
      </c>
      <c r="I831" t="s">
        <v>1293</v>
      </c>
      <c r="J831" t="s">
        <v>6</v>
      </c>
      <c r="K831" t="s">
        <v>1294</v>
      </c>
      <c r="L831">
        <v>1191</v>
      </c>
      <c r="N831">
        <v>1013</v>
      </c>
      <c r="O831" t="s">
        <v>1287</v>
      </c>
      <c r="P831" t="s">
        <v>1287</v>
      </c>
      <c r="Q831">
        <v>1</v>
      </c>
      <c r="X831">
        <v>0.04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1</v>
      </c>
      <c r="AE831">
        <v>2</v>
      </c>
      <c r="AF831" t="s">
        <v>187</v>
      </c>
      <c r="AG831">
        <v>0.05</v>
      </c>
      <c r="AH831">
        <v>2</v>
      </c>
      <c r="AI831">
        <v>16744015</v>
      </c>
      <c r="AJ831">
        <v>899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ROW(Source!A630)</f>
        <v>630</v>
      </c>
      <c r="B832">
        <v>16744024</v>
      </c>
      <c r="C832">
        <v>16744013</v>
      </c>
      <c r="D832">
        <v>15247974</v>
      </c>
      <c r="E832">
        <v>1</v>
      </c>
      <c r="F832">
        <v>1</v>
      </c>
      <c r="G832">
        <v>1</v>
      </c>
      <c r="H832">
        <v>2</v>
      </c>
      <c r="I832" t="s">
        <v>1314</v>
      </c>
      <c r="J832" t="s">
        <v>1315</v>
      </c>
      <c r="K832" t="s">
        <v>1316</v>
      </c>
      <c r="L832">
        <v>1368</v>
      </c>
      <c r="N832">
        <v>1011</v>
      </c>
      <c r="O832" t="s">
        <v>1298</v>
      </c>
      <c r="P832" t="s">
        <v>1298</v>
      </c>
      <c r="Q832">
        <v>1</v>
      </c>
      <c r="X832">
        <v>0.01</v>
      </c>
      <c r="Y832">
        <v>0</v>
      </c>
      <c r="Z832">
        <v>31.26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187</v>
      </c>
      <c r="AG832">
        <v>1.2500000000000001E-2</v>
      </c>
      <c r="AH832">
        <v>2</v>
      </c>
      <c r="AI832">
        <v>16744016</v>
      </c>
      <c r="AJ832">
        <v>900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ROW(Source!A630)</f>
        <v>630</v>
      </c>
      <c r="B833">
        <v>16744025</v>
      </c>
      <c r="C833">
        <v>16744013</v>
      </c>
      <c r="D833">
        <v>15249073</v>
      </c>
      <c r="E833">
        <v>1</v>
      </c>
      <c r="F833">
        <v>1</v>
      </c>
      <c r="G833">
        <v>1</v>
      </c>
      <c r="H833">
        <v>2</v>
      </c>
      <c r="I833" t="s">
        <v>1299</v>
      </c>
      <c r="J833" t="s">
        <v>1300</v>
      </c>
      <c r="K833" t="s">
        <v>1301</v>
      </c>
      <c r="L833">
        <v>1368</v>
      </c>
      <c r="N833">
        <v>1011</v>
      </c>
      <c r="O833" t="s">
        <v>1298</v>
      </c>
      <c r="P833" t="s">
        <v>1298</v>
      </c>
      <c r="Q833">
        <v>1</v>
      </c>
      <c r="X833">
        <v>0.03</v>
      </c>
      <c r="Y833">
        <v>0</v>
      </c>
      <c r="Z833">
        <v>65.709999999999994</v>
      </c>
      <c r="AA833">
        <v>11.6</v>
      </c>
      <c r="AB833">
        <v>0</v>
      </c>
      <c r="AC833">
        <v>0</v>
      </c>
      <c r="AD833">
        <v>1</v>
      </c>
      <c r="AE833">
        <v>0</v>
      </c>
      <c r="AF833" t="s">
        <v>187</v>
      </c>
      <c r="AG833">
        <v>3.7499999999999999E-2</v>
      </c>
      <c r="AH833">
        <v>2</v>
      </c>
      <c r="AI833">
        <v>16744017</v>
      </c>
      <c r="AJ833">
        <v>901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ROW(Source!A630)</f>
        <v>630</v>
      </c>
      <c r="B834">
        <v>16744026</v>
      </c>
      <c r="C834">
        <v>16744013</v>
      </c>
      <c r="D834">
        <v>15171018</v>
      </c>
      <c r="E834">
        <v>1</v>
      </c>
      <c r="F834">
        <v>1</v>
      </c>
      <c r="G834">
        <v>1</v>
      </c>
      <c r="H834">
        <v>3</v>
      </c>
      <c r="I834" t="s">
        <v>1431</v>
      </c>
      <c r="J834" t="s">
        <v>1432</v>
      </c>
      <c r="K834" t="s">
        <v>1433</v>
      </c>
      <c r="L834">
        <v>1346</v>
      </c>
      <c r="N834">
        <v>1009</v>
      </c>
      <c r="O834" t="s">
        <v>341</v>
      </c>
      <c r="P834" t="s">
        <v>341</v>
      </c>
      <c r="Q834">
        <v>1</v>
      </c>
      <c r="X834">
        <v>0.3</v>
      </c>
      <c r="Y834">
        <v>1.82</v>
      </c>
      <c r="Z834">
        <v>0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6</v>
      </c>
      <c r="AG834">
        <v>0.3</v>
      </c>
      <c r="AH834">
        <v>2</v>
      </c>
      <c r="AI834">
        <v>16744018</v>
      </c>
      <c r="AJ834">
        <v>902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ROW(Source!A630)</f>
        <v>630</v>
      </c>
      <c r="B835">
        <v>16744027</v>
      </c>
      <c r="C835">
        <v>16744013</v>
      </c>
      <c r="D835">
        <v>15163068</v>
      </c>
      <c r="E835">
        <v>17</v>
      </c>
      <c r="F835">
        <v>1</v>
      </c>
      <c r="G835">
        <v>1</v>
      </c>
      <c r="H835">
        <v>3</v>
      </c>
      <c r="I835" t="s">
        <v>640</v>
      </c>
      <c r="J835" t="s">
        <v>6</v>
      </c>
      <c r="K835" t="s">
        <v>648</v>
      </c>
      <c r="L835">
        <v>1348</v>
      </c>
      <c r="N835">
        <v>1009</v>
      </c>
      <c r="O835" t="s">
        <v>100</v>
      </c>
      <c r="P835" t="s">
        <v>100</v>
      </c>
      <c r="Q835">
        <v>1000</v>
      </c>
      <c r="X835">
        <v>2.46E-2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 t="s">
        <v>6</v>
      </c>
      <c r="AG835">
        <v>2.46E-2</v>
      </c>
      <c r="AH835">
        <v>2</v>
      </c>
      <c r="AI835">
        <v>16744019</v>
      </c>
      <c r="AJ835">
        <v>903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ROW(Source!A630)</f>
        <v>630</v>
      </c>
      <c r="B836">
        <v>16744028</v>
      </c>
      <c r="C836">
        <v>16744013</v>
      </c>
      <c r="D836">
        <v>15204471</v>
      </c>
      <c r="E836">
        <v>1</v>
      </c>
      <c r="F836">
        <v>1</v>
      </c>
      <c r="G836">
        <v>1</v>
      </c>
      <c r="H836">
        <v>3</v>
      </c>
      <c r="I836" t="s">
        <v>1775</v>
      </c>
      <c r="J836" t="s">
        <v>1776</v>
      </c>
      <c r="K836" t="s">
        <v>1777</v>
      </c>
      <c r="L836">
        <v>1346</v>
      </c>
      <c r="N836">
        <v>1009</v>
      </c>
      <c r="O836" t="s">
        <v>341</v>
      </c>
      <c r="P836" t="s">
        <v>341</v>
      </c>
      <c r="Q836">
        <v>1</v>
      </c>
      <c r="X836">
        <v>2.7</v>
      </c>
      <c r="Y836">
        <v>32.6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6</v>
      </c>
      <c r="AG836">
        <v>2.7</v>
      </c>
      <c r="AH836">
        <v>2</v>
      </c>
      <c r="AI836">
        <v>16744020</v>
      </c>
      <c r="AJ836">
        <v>905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ROW(Source!A633)</f>
        <v>633</v>
      </c>
      <c r="B837">
        <v>16744038</v>
      </c>
      <c r="C837">
        <v>16744031</v>
      </c>
      <c r="D837">
        <v>15478831</v>
      </c>
      <c r="E837">
        <v>1</v>
      </c>
      <c r="F837">
        <v>1</v>
      </c>
      <c r="G837">
        <v>1</v>
      </c>
      <c r="H837">
        <v>1</v>
      </c>
      <c r="I837" t="s">
        <v>1808</v>
      </c>
      <c r="J837" t="s">
        <v>6</v>
      </c>
      <c r="K837" t="s">
        <v>1809</v>
      </c>
      <c r="L837">
        <v>1191</v>
      </c>
      <c r="N837">
        <v>1013</v>
      </c>
      <c r="O837" t="s">
        <v>1287</v>
      </c>
      <c r="P837" t="s">
        <v>1287</v>
      </c>
      <c r="Q837">
        <v>1</v>
      </c>
      <c r="X837">
        <v>5.01</v>
      </c>
      <c r="Y837">
        <v>0</v>
      </c>
      <c r="Z837">
        <v>0</v>
      </c>
      <c r="AA837">
        <v>0</v>
      </c>
      <c r="AB837">
        <v>11.64</v>
      </c>
      <c r="AC837">
        <v>0</v>
      </c>
      <c r="AD837">
        <v>1</v>
      </c>
      <c r="AE837">
        <v>1</v>
      </c>
      <c r="AF837" t="s">
        <v>188</v>
      </c>
      <c r="AG837">
        <v>5.761499999999999</v>
      </c>
      <c r="AH837">
        <v>2</v>
      </c>
      <c r="AI837">
        <v>16744032</v>
      </c>
      <c r="AJ837">
        <v>906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ROW(Source!A633)</f>
        <v>633</v>
      </c>
      <c r="B838">
        <v>16744039</v>
      </c>
      <c r="C838">
        <v>16744031</v>
      </c>
      <c r="D838">
        <v>15248793</v>
      </c>
      <c r="E838">
        <v>1</v>
      </c>
      <c r="F838">
        <v>1</v>
      </c>
      <c r="G838">
        <v>1</v>
      </c>
      <c r="H838">
        <v>2</v>
      </c>
      <c r="I838" t="s">
        <v>1781</v>
      </c>
      <c r="J838" t="s">
        <v>1782</v>
      </c>
      <c r="K838" t="s">
        <v>1783</v>
      </c>
      <c r="L838">
        <v>1368</v>
      </c>
      <c r="N838">
        <v>1011</v>
      </c>
      <c r="O838" t="s">
        <v>1298</v>
      </c>
      <c r="P838" t="s">
        <v>1298</v>
      </c>
      <c r="Q838">
        <v>1</v>
      </c>
      <c r="X838">
        <v>1.5</v>
      </c>
      <c r="Y838">
        <v>0</v>
      </c>
      <c r="Z838">
        <v>29.67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187</v>
      </c>
      <c r="AG838">
        <v>1.875</v>
      </c>
      <c r="AH838">
        <v>2</v>
      </c>
      <c r="AI838">
        <v>16744033</v>
      </c>
      <c r="AJ838">
        <v>907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ROW(Source!A633)</f>
        <v>633</v>
      </c>
      <c r="B839">
        <v>16744040</v>
      </c>
      <c r="C839">
        <v>16744031</v>
      </c>
      <c r="D839">
        <v>15167286</v>
      </c>
      <c r="E839">
        <v>1</v>
      </c>
      <c r="F839">
        <v>1</v>
      </c>
      <c r="G839">
        <v>1</v>
      </c>
      <c r="H839">
        <v>3</v>
      </c>
      <c r="I839" t="s">
        <v>1317</v>
      </c>
      <c r="J839" t="s">
        <v>1318</v>
      </c>
      <c r="K839" t="s">
        <v>1319</v>
      </c>
      <c r="L839">
        <v>1339</v>
      </c>
      <c r="N839">
        <v>1007</v>
      </c>
      <c r="O839" t="s">
        <v>301</v>
      </c>
      <c r="P839" t="s">
        <v>301</v>
      </c>
      <c r="Q839">
        <v>1</v>
      </c>
      <c r="X839">
        <v>1</v>
      </c>
      <c r="Y839">
        <v>2.44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6</v>
      </c>
      <c r="AG839">
        <v>1</v>
      </c>
      <c r="AH839">
        <v>2</v>
      </c>
      <c r="AI839">
        <v>16744034</v>
      </c>
      <c r="AJ839">
        <v>908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ROW(Source!A633)</f>
        <v>633</v>
      </c>
      <c r="B840">
        <v>16744041</v>
      </c>
      <c r="C840">
        <v>16744031</v>
      </c>
      <c r="D840">
        <v>15167963</v>
      </c>
      <c r="E840">
        <v>1</v>
      </c>
      <c r="F840">
        <v>1</v>
      </c>
      <c r="G840">
        <v>1</v>
      </c>
      <c r="H840">
        <v>3</v>
      </c>
      <c r="I840" t="s">
        <v>1793</v>
      </c>
      <c r="J840" t="s">
        <v>1794</v>
      </c>
      <c r="K840" t="s">
        <v>1795</v>
      </c>
      <c r="L840">
        <v>1346</v>
      </c>
      <c r="N840">
        <v>1009</v>
      </c>
      <c r="O840" t="s">
        <v>341</v>
      </c>
      <c r="P840" t="s">
        <v>341</v>
      </c>
      <c r="Q840">
        <v>1</v>
      </c>
      <c r="X840">
        <v>0.02</v>
      </c>
      <c r="Y840">
        <v>37.29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6</v>
      </c>
      <c r="AG840">
        <v>0.02</v>
      </c>
      <c r="AH840">
        <v>2</v>
      </c>
      <c r="AI840">
        <v>16744035</v>
      </c>
      <c r="AJ840">
        <v>909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ROW(Source!A633)</f>
        <v>633</v>
      </c>
      <c r="B841">
        <v>16744042</v>
      </c>
      <c r="C841">
        <v>16744031</v>
      </c>
      <c r="D841">
        <v>15203740</v>
      </c>
      <c r="E841">
        <v>1</v>
      </c>
      <c r="F841">
        <v>1</v>
      </c>
      <c r="G841">
        <v>1</v>
      </c>
      <c r="H841">
        <v>3</v>
      </c>
      <c r="I841" t="s">
        <v>1802</v>
      </c>
      <c r="J841" t="s">
        <v>1803</v>
      </c>
      <c r="K841" t="s">
        <v>1804</v>
      </c>
      <c r="L841">
        <v>1348</v>
      </c>
      <c r="N841">
        <v>1009</v>
      </c>
      <c r="O841" t="s">
        <v>100</v>
      </c>
      <c r="P841" t="s">
        <v>100</v>
      </c>
      <c r="Q841">
        <v>1000</v>
      </c>
      <c r="X841">
        <v>5.0000000000000002E-5</v>
      </c>
      <c r="Y841">
        <v>15119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6</v>
      </c>
      <c r="AG841">
        <v>5.0000000000000002E-5</v>
      </c>
      <c r="AH841">
        <v>2</v>
      </c>
      <c r="AI841">
        <v>16744036</v>
      </c>
      <c r="AJ841">
        <v>910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ROW(Source!A633)</f>
        <v>633</v>
      </c>
      <c r="B842">
        <v>16744043</v>
      </c>
      <c r="C842">
        <v>16744031</v>
      </c>
      <c r="D842">
        <v>15204468</v>
      </c>
      <c r="E842">
        <v>1</v>
      </c>
      <c r="F842">
        <v>1</v>
      </c>
      <c r="G842">
        <v>1</v>
      </c>
      <c r="H842">
        <v>3</v>
      </c>
      <c r="I842" t="s">
        <v>1623</v>
      </c>
      <c r="J842" t="s">
        <v>1624</v>
      </c>
      <c r="K842" t="s">
        <v>1625</v>
      </c>
      <c r="L842">
        <v>1348</v>
      </c>
      <c r="N842">
        <v>1009</v>
      </c>
      <c r="O842" t="s">
        <v>100</v>
      </c>
      <c r="P842" t="s">
        <v>100</v>
      </c>
      <c r="Q842">
        <v>1000</v>
      </c>
      <c r="X842">
        <v>2.0000000000000002E-5</v>
      </c>
      <c r="Y842">
        <v>16950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6</v>
      </c>
      <c r="AG842">
        <v>2.0000000000000002E-5</v>
      </c>
      <c r="AH842">
        <v>2</v>
      </c>
      <c r="AI842">
        <v>16744037</v>
      </c>
      <c r="AJ842">
        <v>911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ROW(Source!A668)</f>
        <v>668</v>
      </c>
      <c r="B843">
        <v>16744051</v>
      </c>
      <c r="C843">
        <v>16744044</v>
      </c>
      <c r="D843">
        <v>15432356</v>
      </c>
      <c r="E843">
        <v>1</v>
      </c>
      <c r="F843">
        <v>1</v>
      </c>
      <c r="G843">
        <v>1</v>
      </c>
      <c r="H843">
        <v>1</v>
      </c>
      <c r="I843" t="s">
        <v>1598</v>
      </c>
      <c r="J843" t="s">
        <v>6</v>
      </c>
      <c r="K843" t="s">
        <v>1599</v>
      </c>
      <c r="L843">
        <v>1191</v>
      </c>
      <c r="N843">
        <v>1013</v>
      </c>
      <c r="O843" t="s">
        <v>1287</v>
      </c>
      <c r="P843" t="s">
        <v>1287</v>
      </c>
      <c r="Q843">
        <v>1</v>
      </c>
      <c r="X843">
        <v>34.659999999999997</v>
      </c>
      <c r="Y843">
        <v>0</v>
      </c>
      <c r="Z843">
        <v>0</v>
      </c>
      <c r="AA843">
        <v>0</v>
      </c>
      <c r="AB843">
        <v>8.31</v>
      </c>
      <c r="AC843">
        <v>0</v>
      </c>
      <c r="AD843">
        <v>1</v>
      </c>
      <c r="AE843">
        <v>1</v>
      </c>
      <c r="AF843" t="s">
        <v>6</v>
      </c>
      <c r="AG843">
        <v>34.659999999999997</v>
      </c>
      <c r="AH843">
        <v>2</v>
      </c>
      <c r="AI843">
        <v>16744045</v>
      </c>
      <c r="AJ843">
        <v>912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ROW(Source!A668)</f>
        <v>668</v>
      </c>
      <c r="B844">
        <v>16744052</v>
      </c>
      <c r="C844">
        <v>16744044</v>
      </c>
      <c r="D844">
        <v>15430395</v>
      </c>
      <c r="E844">
        <v>1</v>
      </c>
      <c r="F844">
        <v>1</v>
      </c>
      <c r="G844">
        <v>1</v>
      </c>
      <c r="H844">
        <v>1</v>
      </c>
      <c r="I844" t="s">
        <v>1293</v>
      </c>
      <c r="J844" t="s">
        <v>6</v>
      </c>
      <c r="K844" t="s">
        <v>1294</v>
      </c>
      <c r="L844">
        <v>1191</v>
      </c>
      <c r="N844">
        <v>1013</v>
      </c>
      <c r="O844" t="s">
        <v>1287</v>
      </c>
      <c r="P844" t="s">
        <v>1287</v>
      </c>
      <c r="Q844">
        <v>1</v>
      </c>
      <c r="X844">
        <v>0.1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2</v>
      </c>
      <c r="AF844" t="s">
        <v>6</v>
      </c>
      <c r="AG844">
        <v>0.1</v>
      </c>
      <c r="AH844">
        <v>2</v>
      </c>
      <c r="AI844">
        <v>16744046</v>
      </c>
      <c r="AJ844">
        <v>913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ROW(Source!A668)</f>
        <v>668</v>
      </c>
      <c r="B845">
        <v>16744053</v>
      </c>
      <c r="C845">
        <v>16744044</v>
      </c>
      <c r="D845">
        <v>15247974</v>
      </c>
      <c r="E845">
        <v>1</v>
      </c>
      <c r="F845">
        <v>1</v>
      </c>
      <c r="G845">
        <v>1</v>
      </c>
      <c r="H845">
        <v>2</v>
      </c>
      <c r="I845" t="s">
        <v>1314</v>
      </c>
      <c r="J845" t="s">
        <v>1315</v>
      </c>
      <c r="K845" t="s">
        <v>1316</v>
      </c>
      <c r="L845">
        <v>1368</v>
      </c>
      <c r="N845">
        <v>1011</v>
      </c>
      <c r="O845" t="s">
        <v>1298</v>
      </c>
      <c r="P845" t="s">
        <v>1298</v>
      </c>
      <c r="Q845">
        <v>1</v>
      </c>
      <c r="X845">
        <v>0.1</v>
      </c>
      <c r="Y845">
        <v>0</v>
      </c>
      <c r="Z845">
        <v>31.26</v>
      </c>
      <c r="AA845">
        <v>13.5</v>
      </c>
      <c r="AB845">
        <v>0</v>
      </c>
      <c r="AC845">
        <v>0</v>
      </c>
      <c r="AD845">
        <v>1</v>
      </c>
      <c r="AE845">
        <v>0</v>
      </c>
      <c r="AF845" t="s">
        <v>6</v>
      </c>
      <c r="AG845">
        <v>0.1</v>
      </c>
      <c r="AH845">
        <v>2</v>
      </c>
      <c r="AI845">
        <v>16744047</v>
      </c>
      <c r="AJ845">
        <v>914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ROW(Source!A668)</f>
        <v>668</v>
      </c>
      <c r="B846">
        <v>16744054</v>
      </c>
      <c r="C846">
        <v>16744044</v>
      </c>
      <c r="D846">
        <v>15249308</v>
      </c>
      <c r="E846">
        <v>1</v>
      </c>
      <c r="F846">
        <v>1</v>
      </c>
      <c r="G846">
        <v>1</v>
      </c>
      <c r="H846">
        <v>2</v>
      </c>
      <c r="I846" t="s">
        <v>1350</v>
      </c>
      <c r="J846" t="s">
        <v>1351</v>
      </c>
      <c r="K846" t="s">
        <v>1352</v>
      </c>
      <c r="L846">
        <v>1368</v>
      </c>
      <c r="N846">
        <v>1011</v>
      </c>
      <c r="O846" t="s">
        <v>1298</v>
      </c>
      <c r="P846" t="s">
        <v>1298</v>
      </c>
      <c r="Q846">
        <v>1</v>
      </c>
      <c r="X846">
        <v>3.3</v>
      </c>
      <c r="Y846">
        <v>0</v>
      </c>
      <c r="Z846">
        <v>1.2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6</v>
      </c>
      <c r="AG846">
        <v>3.3</v>
      </c>
      <c r="AH846">
        <v>2</v>
      </c>
      <c r="AI846">
        <v>16744048</v>
      </c>
      <c r="AJ846">
        <v>915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ROW(Source!A668)</f>
        <v>668</v>
      </c>
      <c r="B847">
        <v>16744055</v>
      </c>
      <c r="C847">
        <v>16744044</v>
      </c>
      <c r="D847">
        <v>15165634</v>
      </c>
      <c r="E847">
        <v>1</v>
      </c>
      <c r="F847">
        <v>1</v>
      </c>
      <c r="G847">
        <v>1</v>
      </c>
      <c r="H847">
        <v>3</v>
      </c>
      <c r="I847" t="s">
        <v>1778</v>
      </c>
      <c r="J847" t="s">
        <v>1779</v>
      </c>
      <c r="K847" t="s">
        <v>1780</v>
      </c>
      <c r="L847">
        <v>1339</v>
      </c>
      <c r="N847">
        <v>1007</v>
      </c>
      <c r="O847" t="s">
        <v>301</v>
      </c>
      <c r="P847" t="s">
        <v>301</v>
      </c>
      <c r="Q847">
        <v>1</v>
      </c>
      <c r="X847">
        <v>0.43</v>
      </c>
      <c r="Y847">
        <v>38.51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48</v>
      </c>
      <c r="AG847">
        <v>0</v>
      </c>
      <c r="AH847">
        <v>2</v>
      </c>
      <c r="AI847">
        <v>16744049</v>
      </c>
      <c r="AJ847">
        <v>916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ROW(Source!A668)</f>
        <v>668</v>
      </c>
      <c r="B848">
        <v>16744056</v>
      </c>
      <c r="C848">
        <v>16744044</v>
      </c>
      <c r="D848">
        <v>15165653</v>
      </c>
      <c r="E848">
        <v>1</v>
      </c>
      <c r="F848">
        <v>1</v>
      </c>
      <c r="G848">
        <v>1</v>
      </c>
      <c r="H848">
        <v>3</v>
      </c>
      <c r="I848" t="s">
        <v>1356</v>
      </c>
      <c r="J848" t="s">
        <v>1357</v>
      </c>
      <c r="K848" t="s">
        <v>1358</v>
      </c>
      <c r="L848">
        <v>1339</v>
      </c>
      <c r="N848">
        <v>1007</v>
      </c>
      <c r="O848" t="s">
        <v>301</v>
      </c>
      <c r="P848" t="s">
        <v>301</v>
      </c>
      <c r="Q848">
        <v>1</v>
      </c>
      <c r="X848">
        <v>2.74</v>
      </c>
      <c r="Y848">
        <v>6.22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48</v>
      </c>
      <c r="AG848">
        <v>0</v>
      </c>
      <c r="AH848">
        <v>2</v>
      </c>
      <c r="AI848">
        <v>16744050</v>
      </c>
      <c r="AJ848">
        <v>917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ROW(Source!A668)</f>
        <v>668</v>
      </c>
      <c r="B849">
        <v>16744057</v>
      </c>
      <c r="C849">
        <v>16744044</v>
      </c>
      <c r="D849">
        <v>15164566</v>
      </c>
      <c r="E849">
        <v>17</v>
      </c>
      <c r="F849">
        <v>1</v>
      </c>
      <c r="G849">
        <v>1</v>
      </c>
      <c r="H849">
        <v>3</v>
      </c>
      <c r="I849" t="s">
        <v>98</v>
      </c>
      <c r="J849" t="s">
        <v>6</v>
      </c>
      <c r="K849" t="s">
        <v>1871</v>
      </c>
      <c r="L849">
        <v>1348</v>
      </c>
      <c r="N849">
        <v>1009</v>
      </c>
      <c r="O849" t="s">
        <v>100</v>
      </c>
      <c r="P849" t="s">
        <v>100</v>
      </c>
      <c r="Q849">
        <v>1000</v>
      </c>
      <c r="X849">
        <v>0.22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 t="s">
        <v>48</v>
      </c>
      <c r="AG849">
        <v>0</v>
      </c>
      <c r="AH849">
        <v>3</v>
      </c>
      <c r="AI849">
        <v>-1</v>
      </c>
      <c r="AJ849" t="s">
        <v>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ROW(Source!A669)</f>
        <v>669</v>
      </c>
      <c r="B850">
        <v>16744062</v>
      </c>
      <c r="C850">
        <v>16744058</v>
      </c>
      <c r="D850">
        <v>15430767</v>
      </c>
      <c r="E850">
        <v>1</v>
      </c>
      <c r="F850">
        <v>1</v>
      </c>
      <c r="G850">
        <v>1</v>
      </c>
      <c r="H850">
        <v>1</v>
      </c>
      <c r="I850" t="s">
        <v>1285</v>
      </c>
      <c r="J850" t="s">
        <v>6</v>
      </c>
      <c r="K850" t="s">
        <v>1286</v>
      </c>
      <c r="L850">
        <v>1191</v>
      </c>
      <c r="N850">
        <v>1013</v>
      </c>
      <c r="O850" t="s">
        <v>1287</v>
      </c>
      <c r="P850" t="s">
        <v>1287</v>
      </c>
      <c r="Q850">
        <v>1</v>
      </c>
      <c r="X850">
        <v>51.3</v>
      </c>
      <c r="Y850">
        <v>0</v>
      </c>
      <c r="Z850">
        <v>0</v>
      </c>
      <c r="AA850">
        <v>0</v>
      </c>
      <c r="AB850">
        <v>8.5299999999999994</v>
      </c>
      <c r="AC850">
        <v>0</v>
      </c>
      <c r="AD850">
        <v>1</v>
      </c>
      <c r="AE850">
        <v>1</v>
      </c>
      <c r="AF850" t="s">
        <v>6</v>
      </c>
      <c r="AG850">
        <v>51.3</v>
      </c>
      <c r="AH850">
        <v>2</v>
      </c>
      <c r="AI850">
        <v>16744059</v>
      </c>
      <c r="AJ850">
        <v>918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ROW(Source!A669)</f>
        <v>669</v>
      </c>
      <c r="B851">
        <v>16744063</v>
      </c>
      <c r="C851">
        <v>16744058</v>
      </c>
      <c r="D851">
        <v>15430395</v>
      </c>
      <c r="E851">
        <v>1</v>
      </c>
      <c r="F851">
        <v>1</v>
      </c>
      <c r="G851">
        <v>1</v>
      </c>
      <c r="H851">
        <v>1</v>
      </c>
      <c r="I851" t="s">
        <v>1293</v>
      </c>
      <c r="J851" t="s">
        <v>6</v>
      </c>
      <c r="K851" t="s">
        <v>1294</v>
      </c>
      <c r="L851">
        <v>1191</v>
      </c>
      <c r="N851">
        <v>1013</v>
      </c>
      <c r="O851" t="s">
        <v>1287</v>
      </c>
      <c r="P851" t="s">
        <v>1287</v>
      </c>
      <c r="Q851">
        <v>1</v>
      </c>
      <c r="X851">
        <v>0.26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2</v>
      </c>
      <c r="AF851" t="s">
        <v>6</v>
      </c>
      <c r="AG851">
        <v>0.26</v>
      </c>
      <c r="AH851">
        <v>2</v>
      </c>
      <c r="AI851">
        <v>16744060</v>
      </c>
      <c r="AJ851">
        <v>919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ROW(Source!A669)</f>
        <v>669</v>
      </c>
      <c r="B852">
        <v>16744064</v>
      </c>
      <c r="C852">
        <v>16744058</v>
      </c>
      <c r="D852">
        <v>15247974</v>
      </c>
      <c r="E852">
        <v>1</v>
      </c>
      <c r="F852">
        <v>1</v>
      </c>
      <c r="G852">
        <v>1</v>
      </c>
      <c r="H852">
        <v>2</v>
      </c>
      <c r="I852" t="s">
        <v>1314</v>
      </c>
      <c r="J852" t="s">
        <v>1315</v>
      </c>
      <c r="K852" t="s">
        <v>1316</v>
      </c>
      <c r="L852">
        <v>1368</v>
      </c>
      <c r="N852">
        <v>1011</v>
      </c>
      <c r="O852" t="s">
        <v>1298</v>
      </c>
      <c r="P852" t="s">
        <v>1298</v>
      </c>
      <c r="Q852">
        <v>1</v>
      </c>
      <c r="X852">
        <v>0.26</v>
      </c>
      <c r="Y852">
        <v>0</v>
      </c>
      <c r="Z852">
        <v>31.26</v>
      </c>
      <c r="AA852">
        <v>13.5</v>
      </c>
      <c r="AB852">
        <v>0</v>
      </c>
      <c r="AC852">
        <v>0</v>
      </c>
      <c r="AD852">
        <v>1</v>
      </c>
      <c r="AE852">
        <v>0</v>
      </c>
      <c r="AF852" t="s">
        <v>6</v>
      </c>
      <c r="AG852">
        <v>0.26</v>
      </c>
      <c r="AH852">
        <v>2</v>
      </c>
      <c r="AI852">
        <v>16744061</v>
      </c>
      <c r="AJ852">
        <v>920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ROW(Source!A669)</f>
        <v>669</v>
      </c>
      <c r="B853">
        <v>16744065</v>
      </c>
      <c r="C853">
        <v>16744058</v>
      </c>
      <c r="D853">
        <v>15164566</v>
      </c>
      <c r="E853">
        <v>17</v>
      </c>
      <c r="F853">
        <v>1</v>
      </c>
      <c r="G853">
        <v>1</v>
      </c>
      <c r="H853">
        <v>3</v>
      </c>
      <c r="I853" t="s">
        <v>98</v>
      </c>
      <c r="J853" t="s">
        <v>6</v>
      </c>
      <c r="K853" t="s">
        <v>1871</v>
      </c>
      <c r="L853">
        <v>1348</v>
      </c>
      <c r="N853">
        <v>1009</v>
      </c>
      <c r="O853" t="s">
        <v>100</v>
      </c>
      <c r="P853" t="s">
        <v>100</v>
      </c>
      <c r="Q853">
        <v>1000</v>
      </c>
      <c r="X853">
        <v>1.82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 t="s">
        <v>6</v>
      </c>
      <c r="AG853">
        <v>1.82</v>
      </c>
      <c r="AH853">
        <v>3</v>
      </c>
      <c r="AI853">
        <v>-1</v>
      </c>
      <c r="AJ853" t="s">
        <v>6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ROW(Source!A670)</f>
        <v>670</v>
      </c>
      <c r="B854">
        <v>16744083</v>
      </c>
      <c r="C854">
        <v>16744066</v>
      </c>
      <c r="D854">
        <v>15446300</v>
      </c>
      <c r="E854">
        <v>1</v>
      </c>
      <c r="F854">
        <v>1</v>
      </c>
      <c r="G854">
        <v>1</v>
      </c>
      <c r="H854">
        <v>1</v>
      </c>
      <c r="I854" t="s">
        <v>1437</v>
      </c>
      <c r="J854" t="s">
        <v>6</v>
      </c>
      <c r="K854" t="s">
        <v>1438</v>
      </c>
      <c r="L854">
        <v>1191</v>
      </c>
      <c r="N854">
        <v>1013</v>
      </c>
      <c r="O854" t="s">
        <v>1287</v>
      </c>
      <c r="P854" t="s">
        <v>1287</v>
      </c>
      <c r="Q854">
        <v>1</v>
      </c>
      <c r="X854">
        <v>190.24</v>
      </c>
      <c r="Y854">
        <v>0</v>
      </c>
      <c r="Z854">
        <v>0</v>
      </c>
      <c r="AA854">
        <v>0</v>
      </c>
      <c r="AB854">
        <v>9.92</v>
      </c>
      <c r="AC854">
        <v>0</v>
      </c>
      <c r="AD854">
        <v>1</v>
      </c>
      <c r="AE854">
        <v>1</v>
      </c>
      <c r="AF854" t="s">
        <v>188</v>
      </c>
      <c r="AG854">
        <v>218.77599999999998</v>
      </c>
      <c r="AH854">
        <v>2</v>
      </c>
      <c r="AI854">
        <v>16744067</v>
      </c>
      <c r="AJ854">
        <v>921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ROW(Source!A670)</f>
        <v>670</v>
      </c>
      <c r="B855">
        <v>16744084</v>
      </c>
      <c r="C855">
        <v>16744066</v>
      </c>
      <c r="D855">
        <v>15430395</v>
      </c>
      <c r="E855">
        <v>1</v>
      </c>
      <c r="F855">
        <v>1</v>
      </c>
      <c r="G855">
        <v>1</v>
      </c>
      <c r="H855">
        <v>1</v>
      </c>
      <c r="I855" t="s">
        <v>1293</v>
      </c>
      <c r="J855" t="s">
        <v>6</v>
      </c>
      <c r="K855" t="s">
        <v>1294</v>
      </c>
      <c r="L855">
        <v>1191</v>
      </c>
      <c r="N855">
        <v>1013</v>
      </c>
      <c r="O855" t="s">
        <v>1287</v>
      </c>
      <c r="P855" t="s">
        <v>1287</v>
      </c>
      <c r="Q855">
        <v>1</v>
      </c>
      <c r="X855">
        <v>13.64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2</v>
      </c>
      <c r="AF855" t="s">
        <v>187</v>
      </c>
      <c r="AG855">
        <v>17.05</v>
      </c>
      <c r="AH855">
        <v>2</v>
      </c>
      <c r="AI855">
        <v>16744068</v>
      </c>
      <c r="AJ855">
        <v>922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ROW(Source!A670)</f>
        <v>670</v>
      </c>
      <c r="B856">
        <v>16744085</v>
      </c>
      <c r="C856">
        <v>16744066</v>
      </c>
      <c r="D856">
        <v>15247578</v>
      </c>
      <c r="E856">
        <v>1</v>
      </c>
      <c r="F856">
        <v>1</v>
      </c>
      <c r="G856">
        <v>1</v>
      </c>
      <c r="H856">
        <v>2</v>
      </c>
      <c r="I856" t="s">
        <v>1408</v>
      </c>
      <c r="J856" t="s">
        <v>1409</v>
      </c>
      <c r="K856" t="s">
        <v>1410</v>
      </c>
      <c r="L856">
        <v>1368</v>
      </c>
      <c r="N856">
        <v>1011</v>
      </c>
      <c r="O856" t="s">
        <v>1298</v>
      </c>
      <c r="P856" t="s">
        <v>1298</v>
      </c>
      <c r="Q856">
        <v>1</v>
      </c>
      <c r="X856">
        <v>0.05</v>
      </c>
      <c r="Y856">
        <v>0</v>
      </c>
      <c r="Z856">
        <v>86.4</v>
      </c>
      <c r="AA856">
        <v>13.5</v>
      </c>
      <c r="AB856">
        <v>0</v>
      </c>
      <c r="AC856">
        <v>0</v>
      </c>
      <c r="AD856">
        <v>1</v>
      </c>
      <c r="AE856">
        <v>0</v>
      </c>
      <c r="AF856" t="s">
        <v>187</v>
      </c>
      <c r="AG856">
        <v>6.25E-2</v>
      </c>
      <c r="AH856">
        <v>2</v>
      </c>
      <c r="AI856">
        <v>16744069</v>
      </c>
      <c r="AJ856">
        <v>923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ROW(Source!A670)</f>
        <v>670</v>
      </c>
      <c r="B857">
        <v>16744086</v>
      </c>
      <c r="C857">
        <v>16744066</v>
      </c>
      <c r="D857">
        <v>15247680</v>
      </c>
      <c r="E857">
        <v>1</v>
      </c>
      <c r="F857">
        <v>1</v>
      </c>
      <c r="G857">
        <v>1</v>
      </c>
      <c r="H857">
        <v>2</v>
      </c>
      <c r="I857" t="s">
        <v>1295</v>
      </c>
      <c r="J857" t="s">
        <v>1296</v>
      </c>
      <c r="K857" t="s">
        <v>1297</v>
      </c>
      <c r="L857">
        <v>1368</v>
      </c>
      <c r="N857">
        <v>1011</v>
      </c>
      <c r="O857" t="s">
        <v>1298</v>
      </c>
      <c r="P857" t="s">
        <v>1298</v>
      </c>
      <c r="Q857">
        <v>1</v>
      </c>
      <c r="X857">
        <v>0.03</v>
      </c>
      <c r="Y857">
        <v>0</v>
      </c>
      <c r="Z857">
        <v>111.99</v>
      </c>
      <c r="AA857">
        <v>13.5</v>
      </c>
      <c r="AB857">
        <v>0</v>
      </c>
      <c r="AC857">
        <v>0</v>
      </c>
      <c r="AD857">
        <v>1</v>
      </c>
      <c r="AE857">
        <v>0</v>
      </c>
      <c r="AF857" t="s">
        <v>187</v>
      </c>
      <c r="AG857">
        <v>3.7499999999999999E-2</v>
      </c>
      <c r="AH857">
        <v>2</v>
      </c>
      <c r="AI857">
        <v>16744070</v>
      </c>
      <c r="AJ857">
        <v>924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ROW(Source!A670)</f>
        <v>670</v>
      </c>
      <c r="B858">
        <v>16744087</v>
      </c>
      <c r="C858">
        <v>16744066</v>
      </c>
      <c r="D858">
        <v>15249073</v>
      </c>
      <c r="E858">
        <v>1</v>
      </c>
      <c r="F858">
        <v>1</v>
      </c>
      <c r="G858">
        <v>1</v>
      </c>
      <c r="H858">
        <v>2</v>
      </c>
      <c r="I858" t="s">
        <v>1299</v>
      </c>
      <c r="J858" t="s">
        <v>1300</v>
      </c>
      <c r="K858" t="s">
        <v>1301</v>
      </c>
      <c r="L858">
        <v>1368</v>
      </c>
      <c r="N858">
        <v>1011</v>
      </c>
      <c r="O858" t="s">
        <v>1298</v>
      </c>
      <c r="P858" t="s">
        <v>1298</v>
      </c>
      <c r="Q858">
        <v>1</v>
      </c>
      <c r="X858">
        <v>0.22</v>
      </c>
      <c r="Y858">
        <v>0</v>
      </c>
      <c r="Z858">
        <v>65.709999999999994</v>
      </c>
      <c r="AA858">
        <v>11.6</v>
      </c>
      <c r="AB858">
        <v>0</v>
      </c>
      <c r="AC858">
        <v>0</v>
      </c>
      <c r="AD858">
        <v>1</v>
      </c>
      <c r="AE858">
        <v>0</v>
      </c>
      <c r="AF858" t="s">
        <v>187</v>
      </c>
      <c r="AG858">
        <v>0.27500000000000002</v>
      </c>
      <c r="AH858">
        <v>2</v>
      </c>
      <c r="AI858">
        <v>16744071</v>
      </c>
      <c r="AJ858">
        <v>925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ROW(Source!A670)</f>
        <v>670</v>
      </c>
      <c r="B859">
        <v>16744088</v>
      </c>
      <c r="C859">
        <v>16744066</v>
      </c>
      <c r="D859">
        <v>15249291</v>
      </c>
      <c r="E859">
        <v>1</v>
      </c>
      <c r="F859">
        <v>1</v>
      </c>
      <c r="G859">
        <v>1</v>
      </c>
      <c r="H859">
        <v>2</v>
      </c>
      <c r="I859" t="s">
        <v>1810</v>
      </c>
      <c r="J859" t="s">
        <v>1811</v>
      </c>
      <c r="K859" t="s">
        <v>1812</v>
      </c>
      <c r="L859">
        <v>1368</v>
      </c>
      <c r="N859">
        <v>1011</v>
      </c>
      <c r="O859" t="s">
        <v>1298</v>
      </c>
      <c r="P859" t="s">
        <v>1298</v>
      </c>
      <c r="Q859">
        <v>1</v>
      </c>
      <c r="X859">
        <v>13.34</v>
      </c>
      <c r="Y859">
        <v>0</v>
      </c>
      <c r="Z859">
        <v>100.1</v>
      </c>
      <c r="AA859">
        <v>13.5</v>
      </c>
      <c r="AB859">
        <v>0</v>
      </c>
      <c r="AC859">
        <v>0</v>
      </c>
      <c r="AD859">
        <v>1</v>
      </c>
      <c r="AE859">
        <v>0</v>
      </c>
      <c r="AF859" t="s">
        <v>187</v>
      </c>
      <c r="AG859">
        <v>16.675000000000001</v>
      </c>
      <c r="AH859">
        <v>2</v>
      </c>
      <c r="AI859">
        <v>16744072</v>
      </c>
      <c r="AJ859">
        <v>926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ROW(Source!A670)</f>
        <v>670</v>
      </c>
      <c r="B860">
        <v>16744089</v>
      </c>
      <c r="C860">
        <v>16744066</v>
      </c>
      <c r="D860">
        <v>15166105</v>
      </c>
      <c r="E860">
        <v>1</v>
      </c>
      <c r="F860">
        <v>1</v>
      </c>
      <c r="G860">
        <v>1</v>
      </c>
      <c r="H860">
        <v>3</v>
      </c>
      <c r="I860" t="s">
        <v>1813</v>
      </c>
      <c r="J860" t="s">
        <v>1814</v>
      </c>
      <c r="K860" t="s">
        <v>1815</v>
      </c>
      <c r="L860">
        <v>1346</v>
      </c>
      <c r="N860">
        <v>1009</v>
      </c>
      <c r="O860" t="s">
        <v>341</v>
      </c>
      <c r="P860" t="s">
        <v>341</v>
      </c>
      <c r="Q860">
        <v>1</v>
      </c>
      <c r="X860">
        <v>0.25</v>
      </c>
      <c r="Y860">
        <v>11.8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6</v>
      </c>
      <c r="AG860">
        <v>0.25</v>
      </c>
      <c r="AH860">
        <v>2</v>
      </c>
      <c r="AI860">
        <v>16744073</v>
      </c>
      <c r="AJ860">
        <v>927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ROW(Source!A670)</f>
        <v>670</v>
      </c>
      <c r="B861">
        <v>16744090</v>
      </c>
      <c r="C861">
        <v>16744066</v>
      </c>
      <c r="D861">
        <v>15167286</v>
      </c>
      <c r="E861">
        <v>1</v>
      </c>
      <c r="F861">
        <v>1</v>
      </c>
      <c r="G861">
        <v>1</v>
      </c>
      <c r="H861">
        <v>3</v>
      </c>
      <c r="I861" t="s">
        <v>1317</v>
      </c>
      <c r="J861" t="s">
        <v>1318</v>
      </c>
      <c r="K861" t="s">
        <v>1319</v>
      </c>
      <c r="L861">
        <v>1339</v>
      </c>
      <c r="N861">
        <v>1007</v>
      </c>
      <c r="O861" t="s">
        <v>301</v>
      </c>
      <c r="P861" t="s">
        <v>301</v>
      </c>
      <c r="Q861">
        <v>1</v>
      </c>
      <c r="X861">
        <v>0.47</v>
      </c>
      <c r="Y861">
        <v>2.44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 t="s">
        <v>6</v>
      </c>
      <c r="AG861">
        <v>0.47</v>
      </c>
      <c r="AH861">
        <v>2</v>
      </c>
      <c r="AI861">
        <v>16744074</v>
      </c>
      <c r="AJ861">
        <v>928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ROW(Source!A670)</f>
        <v>670</v>
      </c>
      <c r="B862">
        <v>16744091</v>
      </c>
      <c r="C862">
        <v>16744066</v>
      </c>
      <c r="D862">
        <v>15167787</v>
      </c>
      <c r="E862">
        <v>1</v>
      </c>
      <c r="F862">
        <v>1</v>
      </c>
      <c r="G862">
        <v>1</v>
      </c>
      <c r="H862">
        <v>3</v>
      </c>
      <c r="I862" t="s">
        <v>1816</v>
      </c>
      <c r="J862" t="s">
        <v>1817</v>
      </c>
      <c r="K862" t="s">
        <v>1818</v>
      </c>
      <c r="L862">
        <v>1356</v>
      </c>
      <c r="N862">
        <v>1010</v>
      </c>
      <c r="O862" t="s">
        <v>306</v>
      </c>
      <c r="P862" t="s">
        <v>306</v>
      </c>
      <c r="Q862">
        <v>1000</v>
      </c>
      <c r="X862">
        <v>0.1</v>
      </c>
      <c r="Y862">
        <v>253.8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6</v>
      </c>
      <c r="AG862">
        <v>0.1</v>
      </c>
      <c r="AH862">
        <v>2</v>
      </c>
      <c r="AI862">
        <v>16744075</v>
      </c>
      <c r="AJ862">
        <v>929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ROW(Source!A670)</f>
        <v>670</v>
      </c>
      <c r="B863">
        <v>16744092</v>
      </c>
      <c r="C863">
        <v>16744066</v>
      </c>
      <c r="D863">
        <v>15170090</v>
      </c>
      <c r="E863">
        <v>1</v>
      </c>
      <c r="F863">
        <v>1</v>
      </c>
      <c r="G863">
        <v>1</v>
      </c>
      <c r="H863">
        <v>3</v>
      </c>
      <c r="I863" t="s">
        <v>1819</v>
      </c>
      <c r="J863" t="s">
        <v>1820</v>
      </c>
      <c r="K863" t="s">
        <v>1821</v>
      </c>
      <c r="L863">
        <v>1348</v>
      </c>
      <c r="N863">
        <v>1009</v>
      </c>
      <c r="O863" t="s">
        <v>100</v>
      </c>
      <c r="P863" t="s">
        <v>100</v>
      </c>
      <c r="Q863">
        <v>1000</v>
      </c>
      <c r="X863">
        <v>8.4999999999999995E-4</v>
      </c>
      <c r="Y863">
        <v>22558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6</v>
      </c>
      <c r="AG863">
        <v>8.4999999999999995E-4</v>
      </c>
      <c r="AH863">
        <v>2</v>
      </c>
      <c r="AI863">
        <v>16744076</v>
      </c>
      <c r="AJ863">
        <v>930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ROW(Source!A670)</f>
        <v>670</v>
      </c>
      <c r="B864">
        <v>16744093</v>
      </c>
      <c r="C864">
        <v>16744066</v>
      </c>
      <c r="D864">
        <v>15172018</v>
      </c>
      <c r="E864">
        <v>1</v>
      </c>
      <c r="F864">
        <v>1</v>
      </c>
      <c r="G864">
        <v>1</v>
      </c>
      <c r="H864">
        <v>3</v>
      </c>
      <c r="I864" t="s">
        <v>1799</v>
      </c>
      <c r="J864" t="s">
        <v>1800</v>
      </c>
      <c r="K864" t="s">
        <v>1801</v>
      </c>
      <c r="L864">
        <v>1346</v>
      </c>
      <c r="N864">
        <v>1009</v>
      </c>
      <c r="O864" t="s">
        <v>341</v>
      </c>
      <c r="P864" t="s">
        <v>341</v>
      </c>
      <c r="Q864">
        <v>1</v>
      </c>
      <c r="X864">
        <v>1.6000000000000001E-3</v>
      </c>
      <c r="Y864">
        <v>2.15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6</v>
      </c>
      <c r="AG864">
        <v>1.6000000000000001E-3</v>
      </c>
      <c r="AH864">
        <v>2</v>
      </c>
      <c r="AI864">
        <v>16744077</v>
      </c>
      <c r="AJ864">
        <v>931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ROW(Source!A670)</f>
        <v>670</v>
      </c>
      <c r="B865">
        <v>16744094</v>
      </c>
      <c r="C865">
        <v>16744066</v>
      </c>
      <c r="D865">
        <v>15161686</v>
      </c>
      <c r="E865">
        <v>17</v>
      </c>
      <c r="F865">
        <v>1</v>
      </c>
      <c r="G865">
        <v>1</v>
      </c>
      <c r="H865">
        <v>3</v>
      </c>
      <c r="I865" t="s">
        <v>1867</v>
      </c>
      <c r="J865" t="s">
        <v>6</v>
      </c>
      <c r="K865" t="s">
        <v>1882</v>
      </c>
      <c r="L865">
        <v>1346</v>
      </c>
      <c r="N865">
        <v>1009</v>
      </c>
      <c r="O865" t="s">
        <v>341</v>
      </c>
      <c r="P865" t="s">
        <v>341</v>
      </c>
      <c r="Q865">
        <v>1</v>
      </c>
      <c r="X865">
        <v>0.55000000000000004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 t="s">
        <v>6</v>
      </c>
      <c r="AG865">
        <v>0.55000000000000004</v>
      </c>
      <c r="AH865">
        <v>3</v>
      </c>
      <c r="AI865">
        <v>-1</v>
      </c>
      <c r="AJ865" t="s">
        <v>6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ROW(Source!A670)</f>
        <v>670</v>
      </c>
      <c r="B866">
        <v>16744095</v>
      </c>
      <c r="C866">
        <v>16744066</v>
      </c>
      <c r="D866">
        <v>15202502</v>
      </c>
      <c r="E866">
        <v>1</v>
      </c>
      <c r="F866">
        <v>1</v>
      </c>
      <c r="G866">
        <v>1</v>
      </c>
      <c r="H866">
        <v>3</v>
      </c>
      <c r="I866" t="s">
        <v>1822</v>
      </c>
      <c r="J866" t="s">
        <v>1823</v>
      </c>
      <c r="K866" t="s">
        <v>1824</v>
      </c>
      <c r="L866">
        <v>1346</v>
      </c>
      <c r="N866">
        <v>1009</v>
      </c>
      <c r="O866" t="s">
        <v>341</v>
      </c>
      <c r="P866" t="s">
        <v>341</v>
      </c>
      <c r="Q866">
        <v>1</v>
      </c>
      <c r="X866">
        <v>0.25</v>
      </c>
      <c r="Y866">
        <v>28.93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6</v>
      </c>
      <c r="AG866">
        <v>0.25</v>
      </c>
      <c r="AH866">
        <v>2</v>
      </c>
      <c r="AI866">
        <v>16744078</v>
      </c>
      <c r="AJ866">
        <v>932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ROW(Source!A670)</f>
        <v>670</v>
      </c>
      <c r="B867">
        <v>16744096</v>
      </c>
      <c r="C867">
        <v>16744066</v>
      </c>
      <c r="D867">
        <v>15162883</v>
      </c>
      <c r="E867">
        <v>17</v>
      </c>
      <c r="F867">
        <v>1</v>
      </c>
      <c r="G867">
        <v>1</v>
      </c>
      <c r="H867">
        <v>3</v>
      </c>
      <c r="I867" t="s">
        <v>1876</v>
      </c>
      <c r="J867" t="s">
        <v>6</v>
      </c>
      <c r="K867" t="s">
        <v>1877</v>
      </c>
      <c r="L867">
        <v>1354</v>
      </c>
      <c r="N867">
        <v>1010</v>
      </c>
      <c r="O867" t="s">
        <v>73</v>
      </c>
      <c r="P867" t="s">
        <v>73</v>
      </c>
      <c r="Q867">
        <v>1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1</v>
      </c>
      <c r="AD867">
        <v>0</v>
      </c>
      <c r="AE867">
        <v>0</v>
      </c>
      <c r="AF867" t="s">
        <v>6</v>
      </c>
      <c r="AG867">
        <v>0</v>
      </c>
      <c r="AH867">
        <v>3</v>
      </c>
      <c r="AI867">
        <v>-1</v>
      </c>
      <c r="AJ867" t="s">
        <v>6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ROW(Source!A670)</f>
        <v>670</v>
      </c>
      <c r="B868">
        <v>16744097</v>
      </c>
      <c r="C868">
        <v>16744066</v>
      </c>
      <c r="D868">
        <v>15163115</v>
      </c>
      <c r="E868">
        <v>17</v>
      </c>
      <c r="F868">
        <v>1</v>
      </c>
      <c r="G868">
        <v>1</v>
      </c>
      <c r="H868">
        <v>3</v>
      </c>
      <c r="I868" t="s">
        <v>1878</v>
      </c>
      <c r="J868" t="s">
        <v>6</v>
      </c>
      <c r="K868" t="s">
        <v>1879</v>
      </c>
      <c r="L868">
        <v>1346</v>
      </c>
      <c r="N868">
        <v>1009</v>
      </c>
      <c r="O868" t="s">
        <v>341</v>
      </c>
      <c r="P868" t="s">
        <v>341</v>
      </c>
      <c r="Q868">
        <v>1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1</v>
      </c>
      <c r="AD868">
        <v>0</v>
      </c>
      <c r="AE868">
        <v>0</v>
      </c>
      <c r="AF868" t="s">
        <v>6</v>
      </c>
      <c r="AG868">
        <v>0</v>
      </c>
      <c r="AH868">
        <v>3</v>
      </c>
      <c r="AI868">
        <v>-1</v>
      </c>
      <c r="AJ868" t="s">
        <v>6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ROW(Source!A670)</f>
        <v>670</v>
      </c>
      <c r="B869">
        <v>16744098</v>
      </c>
      <c r="C869">
        <v>16744066</v>
      </c>
      <c r="D869">
        <v>15162898</v>
      </c>
      <c r="E869">
        <v>17</v>
      </c>
      <c r="F869">
        <v>1</v>
      </c>
      <c r="G869">
        <v>1</v>
      </c>
      <c r="H869">
        <v>3</v>
      </c>
      <c r="I869" t="s">
        <v>1883</v>
      </c>
      <c r="J869" t="s">
        <v>6</v>
      </c>
      <c r="K869" t="s">
        <v>1884</v>
      </c>
      <c r="L869">
        <v>1301</v>
      </c>
      <c r="N869">
        <v>1003</v>
      </c>
      <c r="O869" t="s">
        <v>220</v>
      </c>
      <c r="P869" t="s">
        <v>220</v>
      </c>
      <c r="Q869">
        <v>1</v>
      </c>
      <c r="X869">
        <v>89.9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 t="s">
        <v>6</v>
      </c>
      <c r="AG869">
        <v>89.9</v>
      </c>
      <c r="AH869">
        <v>3</v>
      </c>
      <c r="AI869">
        <v>-1</v>
      </c>
      <c r="AJ869" t="s">
        <v>6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ROW(Source!A670)</f>
        <v>670</v>
      </c>
      <c r="B870">
        <v>16744099</v>
      </c>
      <c r="C870">
        <v>16744066</v>
      </c>
      <c r="D870">
        <v>15163160</v>
      </c>
      <c r="E870">
        <v>17</v>
      </c>
      <c r="F870">
        <v>1</v>
      </c>
      <c r="G870">
        <v>1</v>
      </c>
      <c r="H870">
        <v>3</v>
      </c>
      <c r="I870" t="s">
        <v>1885</v>
      </c>
      <c r="J870" t="s">
        <v>6</v>
      </c>
      <c r="K870" t="s">
        <v>1886</v>
      </c>
      <c r="L870">
        <v>1354</v>
      </c>
      <c r="N870">
        <v>1010</v>
      </c>
      <c r="O870" t="s">
        <v>73</v>
      </c>
      <c r="P870" t="s">
        <v>73</v>
      </c>
      <c r="Q870">
        <v>1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1</v>
      </c>
      <c r="AD870">
        <v>0</v>
      </c>
      <c r="AE870">
        <v>0</v>
      </c>
      <c r="AF870" t="s">
        <v>6</v>
      </c>
      <c r="AG870">
        <v>0</v>
      </c>
      <c r="AH870">
        <v>3</v>
      </c>
      <c r="AI870">
        <v>-1</v>
      </c>
      <c r="AJ870" t="s">
        <v>6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ROW(Source!A674)</f>
        <v>674</v>
      </c>
      <c r="B871">
        <v>16744118</v>
      </c>
      <c r="C871">
        <v>16744103</v>
      </c>
      <c r="D871">
        <v>15436556</v>
      </c>
      <c r="E871">
        <v>1</v>
      </c>
      <c r="F871">
        <v>1</v>
      </c>
      <c r="G871">
        <v>1</v>
      </c>
      <c r="H871">
        <v>1</v>
      </c>
      <c r="I871" t="s">
        <v>1490</v>
      </c>
      <c r="J871" t="s">
        <v>6</v>
      </c>
      <c r="K871" t="s">
        <v>1491</v>
      </c>
      <c r="L871">
        <v>1191</v>
      </c>
      <c r="N871">
        <v>1013</v>
      </c>
      <c r="O871" t="s">
        <v>1287</v>
      </c>
      <c r="P871" t="s">
        <v>1287</v>
      </c>
      <c r="Q871">
        <v>1</v>
      </c>
      <c r="X871">
        <v>8.99</v>
      </c>
      <c r="Y871">
        <v>0</v>
      </c>
      <c r="Z871">
        <v>0</v>
      </c>
      <c r="AA871">
        <v>0</v>
      </c>
      <c r="AB871">
        <v>9.6199999999999992</v>
      </c>
      <c r="AC871">
        <v>0</v>
      </c>
      <c r="AD871">
        <v>1</v>
      </c>
      <c r="AE871">
        <v>1</v>
      </c>
      <c r="AF871" t="s">
        <v>188</v>
      </c>
      <c r="AG871">
        <v>10.3385</v>
      </c>
      <c r="AH871">
        <v>2</v>
      </c>
      <c r="AI871">
        <v>16744104</v>
      </c>
      <c r="AJ871">
        <v>936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ROW(Source!A674)</f>
        <v>674</v>
      </c>
      <c r="B872">
        <v>16744119</v>
      </c>
      <c r="C872">
        <v>16744103</v>
      </c>
      <c r="D872">
        <v>15430395</v>
      </c>
      <c r="E872">
        <v>1</v>
      </c>
      <c r="F872">
        <v>1</v>
      </c>
      <c r="G872">
        <v>1</v>
      </c>
      <c r="H872">
        <v>1</v>
      </c>
      <c r="I872" t="s">
        <v>1293</v>
      </c>
      <c r="J872" t="s">
        <v>6</v>
      </c>
      <c r="K872" t="s">
        <v>1294</v>
      </c>
      <c r="L872">
        <v>1191</v>
      </c>
      <c r="N872">
        <v>1013</v>
      </c>
      <c r="O872" t="s">
        <v>1287</v>
      </c>
      <c r="P872" t="s">
        <v>1287</v>
      </c>
      <c r="Q872">
        <v>1</v>
      </c>
      <c r="X872">
        <v>0.21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1</v>
      </c>
      <c r="AE872">
        <v>2</v>
      </c>
      <c r="AF872" t="s">
        <v>187</v>
      </c>
      <c r="AG872">
        <v>0.26250000000000001</v>
      </c>
      <c r="AH872">
        <v>2</v>
      </c>
      <c r="AI872">
        <v>16744105</v>
      </c>
      <c r="AJ872">
        <v>937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ROW(Source!A674)</f>
        <v>674</v>
      </c>
      <c r="B873">
        <v>16744120</v>
      </c>
      <c r="C873">
        <v>16744103</v>
      </c>
      <c r="D873">
        <v>15247974</v>
      </c>
      <c r="E873">
        <v>1</v>
      </c>
      <c r="F873">
        <v>1</v>
      </c>
      <c r="G873">
        <v>1</v>
      </c>
      <c r="H873">
        <v>2</v>
      </c>
      <c r="I873" t="s">
        <v>1314</v>
      </c>
      <c r="J873" t="s">
        <v>1315</v>
      </c>
      <c r="K873" t="s">
        <v>1316</v>
      </c>
      <c r="L873">
        <v>1368</v>
      </c>
      <c r="N873">
        <v>1011</v>
      </c>
      <c r="O873" t="s">
        <v>1298</v>
      </c>
      <c r="P873" t="s">
        <v>1298</v>
      </c>
      <c r="Q873">
        <v>1</v>
      </c>
      <c r="X873">
        <v>7.0000000000000007E-2</v>
      </c>
      <c r="Y873">
        <v>0</v>
      </c>
      <c r="Z873">
        <v>31.26</v>
      </c>
      <c r="AA873">
        <v>13.5</v>
      </c>
      <c r="AB873">
        <v>0</v>
      </c>
      <c r="AC873">
        <v>0</v>
      </c>
      <c r="AD873">
        <v>1</v>
      </c>
      <c r="AE873">
        <v>0</v>
      </c>
      <c r="AF873" t="s">
        <v>187</v>
      </c>
      <c r="AG873">
        <v>8.7500000000000008E-2</v>
      </c>
      <c r="AH873">
        <v>2</v>
      </c>
      <c r="AI873">
        <v>16744106</v>
      </c>
      <c r="AJ873">
        <v>938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ROW(Source!A674)</f>
        <v>674</v>
      </c>
      <c r="B874">
        <v>16744121</v>
      </c>
      <c r="C874">
        <v>16744103</v>
      </c>
      <c r="D874">
        <v>15249073</v>
      </c>
      <c r="E874">
        <v>1</v>
      </c>
      <c r="F874">
        <v>1</v>
      </c>
      <c r="G874">
        <v>1</v>
      </c>
      <c r="H874">
        <v>2</v>
      </c>
      <c r="I874" t="s">
        <v>1299</v>
      </c>
      <c r="J874" t="s">
        <v>1300</v>
      </c>
      <c r="K874" t="s">
        <v>1301</v>
      </c>
      <c r="L874">
        <v>1368</v>
      </c>
      <c r="N874">
        <v>1011</v>
      </c>
      <c r="O874" t="s">
        <v>1298</v>
      </c>
      <c r="P874" t="s">
        <v>1298</v>
      </c>
      <c r="Q874">
        <v>1</v>
      </c>
      <c r="X874">
        <v>0.14000000000000001</v>
      </c>
      <c r="Y874">
        <v>0</v>
      </c>
      <c r="Z874">
        <v>65.709999999999994</v>
      </c>
      <c r="AA874">
        <v>11.6</v>
      </c>
      <c r="AB874">
        <v>0</v>
      </c>
      <c r="AC874">
        <v>0</v>
      </c>
      <c r="AD874">
        <v>1</v>
      </c>
      <c r="AE874">
        <v>0</v>
      </c>
      <c r="AF874" t="s">
        <v>187</v>
      </c>
      <c r="AG874">
        <v>0.17500000000000002</v>
      </c>
      <c r="AH874">
        <v>2</v>
      </c>
      <c r="AI874">
        <v>16744107</v>
      </c>
      <c r="AJ874">
        <v>939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ROW(Source!A674)</f>
        <v>674</v>
      </c>
      <c r="B875">
        <v>16744122</v>
      </c>
      <c r="C875">
        <v>16744103</v>
      </c>
      <c r="D875">
        <v>15167955</v>
      </c>
      <c r="E875">
        <v>1</v>
      </c>
      <c r="F875">
        <v>1</v>
      </c>
      <c r="G875">
        <v>1</v>
      </c>
      <c r="H875">
        <v>3</v>
      </c>
      <c r="I875" t="s">
        <v>1825</v>
      </c>
      <c r="J875" t="s">
        <v>1826</v>
      </c>
      <c r="K875" t="s">
        <v>1827</v>
      </c>
      <c r="L875">
        <v>1348</v>
      </c>
      <c r="N875">
        <v>1009</v>
      </c>
      <c r="O875" t="s">
        <v>100</v>
      </c>
      <c r="P875" t="s">
        <v>100</v>
      </c>
      <c r="Q875">
        <v>1000</v>
      </c>
      <c r="X875">
        <v>1.4E-3</v>
      </c>
      <c r="Y875">
        <v>30030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6</v>
      </c>
      <c r="AG875">
        <v>1.4E-3</v>
      </c>
      <c r="AH875">
        <v>2</v>
      </c>
      <c r="AI875">
        <v>16744108</v>
      </c>
      <c r="AJ875">
        <v>940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ROW(Source!A674)</f>
        <v>674</v>
      </c>
      <c r="B876">
        <v>16744123</v>
      </c>
      <c r="C876">
        <v>16744103</v>
      </c>
      <c r="D876">
        <v>15167963</v>
      </c>
      <c r="E876">
        <v>1</v>
      </c>
      <c r="F876">
        <v>1</v>
      </c>
      <c r="G876">
        <v>1</v>
      </c>
      <c r="H876">
        <v>3</v>
      </c>
      <c r="I876" t="s">
        <v>1793</v>
      </c>
      <c r="J876" t="s">
        <v>1794</v>
      </c>
      <c r="K876" t="s">
        <v>1795</v>
      </c>
      <c r="L876">
        <v>1346</v>
      </c>
      <c r="N876">
        <v>1009</v>
      </c>
      <c r="O876" t="s">
        <v>341</v>
      </c>
      <c r="P876" t="s">
        <v>341</v>
      </c>
      <c r="Q876">
        <v>1</v>
      </c>
      <c r="X876">
        <v>0.02</v>
      </c>
      <c r="Y876">
        <v>37.29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6</v>
      </c>
      <c r="AG876">
        <v>0.02</v>
      </c>
      <c r="AH876">
        <v>2</v>
      </c>
      <c r="AI876">
        <v>16744109</v>
      </c>
      <c r="AJ876">
        <v>941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ROW(Source!A674)</f>
        <v>674</v>
      </c>
      <c r="B877">
        <v>16744124</v>
      </c>
      <c r="C877">
        <v>16744103</v>
      </c>
      <c r="D877">
        <v>15163011</v>
      </c>
      <c r="E877">
        <v>17</v>
      </c>
      <c r="F877">
        <v>1</v>
      </c>
      <c r="G877">
        <v>1</v>
      </c>
      <c r="H877">
        <v>3</v>
      </c>
      <c r="I877" t="s">
        <v>1872</v>
      </c>
      <c r="J877" t="s">
        <v>6</v>
      </c>
      <c r="K877" t="s">
        <v>1873</v>
      </c>
      <c r="L877">
        <v>1358</v>
      </c>
      <c r="N877">
        <v>1010</v>
      </c>
      <c r="O877" t="s">
        <v>723</v>
      </c>
      <c r="P877" t="s">
        <v>723</v>
      </c>
      <c r="Q877">
        <v>10</v>
      </c>
      <c r="X877">
        <v>4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 t="s">
        <v>6</v>
      </c>
      <c r="AG877">
        <v>4</v>
      </c>
      <c r="AH877">
        <v>3</v>
      </c>
      <c r="AI877">
        <v>-1</v>
      </c>
      <c r="AJ877" t="s">
        <v>6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ROW(Source!A674)</f>
        <v>674</v>
      </c>
      <c r="B878">
        <v>16744125</v>
      </c>
      <c r="C878">
        <v>16744103</v>
      </c>
      <c r="D878">
        <v>15162072</v>
      </c>
      <c r="E878">
        <v>17</v>
      </c>
      <c r="F878">
        <v>1</v>
      </c>
      <c r="G878">
        <v>1</v>
      </c>
      <c r="H878">
        <v>3</v>
      </c>
      <c r="I878" t="s">
        <v>1874</v>
      </c>
      <c r="J878" t="s">
        <v>6</v>
      </c>
      <c r="K878" t="s">
        <v>1875</v>
      </c>
      <c r="L878">
        <v>1348</v>
      </c>
      <c r="N878">
        <v>1009</v>
      </c>
      <c r="O878" t="s">
        <v>100</v>
      </c>
      <c r="P878" t="s">
        <v>100</v>
      </c>
      <c r="Q878">
        <v>1000</v>
      </c>
      <c r="X878">
        <v>6.9999999999999999E-4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 t="s">
        <v>6</v>
      </c>
      <c r="AG878">
        <v>6.9999999999999999E-4</v>
      </c>
      <c r="AH878">
        <v>3</v>
      </c>
      <c r="AI878">
        <v>-1</v>
      </c>
      <c r="AJ878" t="s">
        <v>6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ROW(Source!A674)</f>
        <v>674</v>
      </c>
      <c r="B879">
        <v>16744126</v>
      </c>
      <c r="C879">
        <v>16744103</v>
      </c>
      <c r="D879">
        <v>15172117</v>
      </c>
      <c r="E879">
        <v>1</v>
      </c>
      <c r="F879">
        <v>1</v>
      </c>
      <c r="G879">
        <v>1</v>
      </c>
      <c r="H879">
        <v>3</v>
      </c>
      <c r="I879" t="s">
        <v>1828</v>
      </c>
      <c r="J879" t="s">
        <v>1829</v>
      </c>
      <c r="K879" t="s">
        <v>1830</v>
      </c>
      <c r="L879">
        <v>1348</v>
      </c>
      <c r="N879">
        <v>1009</v>
      </c>
      <c r="O879" t="s">
        <v>100</v>
      </c>
      <c r="P879" t="s">
        <v>100</v>
      </c>
      <c r="Q879">
        <v>1000</v>
      </c>
      <c r="X879">
        <v>2E-3</v>
      </c>
      <c r="Y879">
        <v>1836</v>
      </c>
      <c r="Z879">
        <v>0</v>
      </c>
      <c r="AA879">
        <v>0</v>
      </c>
      <c r="AB879">
        <v>0</v>
      </c>
      <c r="AC879">
        <v>0</v>
      </c>
      <c r="AD879">
        <v>1</v>
      </c>
      <c r="AE879">
        <v>0</v>
      </c>
      <c r="AF879" t="s">
        <v>6</v>
      </c>
      <c r="AG879">
        <v>2E-3</v>
      </c>
      <c r="AH879">
        <v>2</v>
      </c>
      <c r="AI879">
        <v>16744110</v>
      </c>
      <c r="AJ879">
        <v>942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ROW(Source!A674)</f>
        <v>674</v>
      </c>
      <c r="B880">
        <v>16744127</v>
      </c>
      <c r="C880">
        <v>16744103</v>
      </c>
      <c r="D880">
        <v>15203740</v>
      </c>
      <c r="E880">
        <v>1</v>
      </c>
      <c r="F880">
        <v>1</v>
      </c>
      <c r="G880">
        <v>1</v>
      </c>
      <c r="H880">
        <v>3</v>
      </c>
      <c r="I880" t="s">
        <v>1802</v>
      </c>
      <c r="J880" t="s">
        <v>1803</v>
      </c>
      <c r="K880" t="s">
        <v>1804</v>
      </c>
      <c r="L880">
        <v>1348</v>
      </c>
      <c r="N880">
        <v>1009</v>
      </c>
      <c r="O880" t="s">
        <v>100</v>
      </c>
      <c r="P880" t="s">
        <v>100</v>
      </c>
      <c r="Q880">
        <v>1000</v>
      </c>
      <c r="X880">
        <v>4.0000000000000002E-4</v>
      </c>
      <c r="Y880">
        <v>15119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6</v>
      </c>
      <c r="AG880">
        <v>4.0000000000000002E-4</v>
      </c>
      <c r="AH880">
        <v>2</v>
      </c>
      <c r="AI880">
        <v>16744111</v>
      </c>
      <c r="AJ880">
        <v>943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ROW(Source!A674)</f>
        <v>674</v>
      </c>
      <c r="B881">
        <v>16744128</v>
      </c>
      <c r="C881">
        <v>16744103</v>
      </c>
      <c r="D881">
        <v>15163194</v>
      </c>
      <c r="E881">
        <v>17</v>
      </c>
      <c r="F881">
        <v>1</v>
      </c>
      <c r="G881">
        <v>1</v>
      </c>
      <c r="H881">
        <v>3</v>
      </c>
      <c r="I881" t="s">
        <v>1887</v>
      </c>
      <c r="J881" t="s">
        <v>6</v>
      </c>
      <c r="K881" t="s">
        <v>1888</v>
      </c>
      <c r="L881">
        <v>1346</v>
      </c>
      <c r="N881">
        <v>1009</v>
      </c>
      <c r="O881" t="s">
        <v>341</v>
      </c>
      <c r="P881" t="s">
        <v>341</v>
      </c>
      <c r="Q881">
        <v>1</v>
      </c>
      <c r="X881">
        <v>2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 t="s">
        <v>6</v>
      </c>
      <c r="AG881">
        <v>2</v>
      </c>
      <c r="AH881">
        <v>3</v>
      </c>
      <c r="AI881">
        <v>-1</v>
      </c>
      <c r="AJ881" t="s">
        <v>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ROW(Source!A674)</f>
        <v>674</v>
      </c>
      <c r="B882">
        <v>16744129</v>
      </c>
      <c r="C882">
        <v>16744103</v>
      </c>
      <c r="D882">
        <v>15204468</v>
      </c>
      <c r="E882">
        <v>1</v>
      </c>
      <c r="F882">
        <v>1</v>
      </c>
      <c r="G882">
        <v>1</v>
      </c>
      <c r="H882">
        <v>3</v>
      </c>
      <c r="I882" t="s">
        <v>1623</v>
      </c>
      <c r="J882" t="s">
        <v>1624</v>
      </c>
      <c r="K882" t="s">
        <v>1625</v>
      </c>
      <c r="L882">
        <v>1348</v>
      </c>
      <c r="N882">
        <v>1009</v>
      </c>
      <c r="O882" t="s">
        <v>100</v>
      </c>
      <c r="P882" t="s">
        <v>100</v>
      </c>
      <c r="Q882">
        <v>1000</v>
      </c>
      <c r="X882">
        <v>2.0000000000000001E-4</v>
      </c>
      <c r="Y882">
        <v>16950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6</v>
      </c>
      <c r="AG882">
        <v>2.0000000000000001E-4</v>
      </c>
      <c r="AH882">
        <v>2</v>
      </c>
      <c r="AI882">
        <v>16744112</v>
      </c>
      <c r="AJ882">
        <v>944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ROW(Source!A674)</f>
        <v>674</v>
      </c>
      <c r="B883">
        <v>16744130</v>
      </c>
      <c r="C883">
        <v>16744103</v>
      </c>
      <c r="D883">
        <v>15161722</v>
      </c>
      <c r="E883">
        <v>17</v>
      </c>
      <c r="F883">
        <v>1</v>
      </c>
      <c r="G883">
        <v>1</v>
      </c>
      <c r="H883">
        <v>3</v>
      </c>
      <c r="I883" t="s">
        <v>1889</v>
      </c>
      <c r="J883" t="s">
        <v>6</v>
      </c>
      <c r="K883" t="s">
        <v>1890</v>
      </c>
      <c r="L883">
        <v>1035</v>
      </c>
      <c r="N883">
        <v>1013</v>
      </c>
      <c r="O883" t="s">
        <v>249</v>
      </c>
      <c r="P883" t="s">
        <v>249</v>
      </c>
      <c r="Q883">
        <v>1</v>
      </c>
      <c r="X883">
        <v>10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 t="s">
        <v>6</v>
      </c>
      <c r="AG883">
        <v>10</v>
      </c>
      <c r="AH883">
        <v>3</v>
      </c>
      <c r="AI883">
        <v>-1</v>
      </c>
      <c r="AJ883" t="s">
        <v>6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ROW(Source!A678)</f>
        <v>678</v>
      </c>
      <c r="B884">
        <v>16744140</v>
      </c>
      <c r="C884">
        <v>16744135</v>
      </c>
      <c r="D884">
        <v>15436556</v>
      </c>
      <c r="E884">
        <v>1</v>
      </c>
      <c r="F884">
        <v>1</v>
      </c>
      <c r="G884">
        <v>1</v>
      </c>
      <c r="H884">
        <v>1</v>
      </c>
      <c r="I884" t="s">
        <v>1490</v>
      </c>
      <c r="J884" t="s">
        <v>6</v>
      </c>
      <c r="K884" t="s">
        <v>1491</v>
      </c>
      <c r="L884">
        <v>1191</v>
      </c>
      <c r="N884">
        <v>1013</v>
      </c>
      <c r="O884" t="s">
        <v>1287</v>
      </c>
      <c r="P884" t="s">
        <v>1287</v>
      </c>
      <c r="Q884">
        <v>1</v>
      </c>
      <c r="X884">
        <v>7</v>
      </c>
      <c r="Y884">
        <v>0</v>
      </c>
      <c r="Z884">
        <v>0</v>
      </c>
      <c r="AA884">
        <v>0</v>
      </c>
      <c r="AB884">
        <v>9.6199999999999992</v>
      </c>
      <c r="AC884">
        <v>0</v>
      </c>
      <c r="AD884">
        <v>1</v>
      </c>
      <c r="AE884">
        <v>1</v>
      </c>
      <c r="AF884" t="s">
        <v>188</v>
      </c>
      <c r="AG884">
        <v>8.0499999999999989</v>
      </c>
      <c r="AH884">
        <v>2</v>
      </c>
      <c r="AI884">
        <v>16744136</v>
      </c>
      <c r="AJ884">
        <v>948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ROW(Source!A678)</f>
        <v>678</v>
      </c>
      <c r="B885">
        <v>16744141</v>
      </c>
      <c r="C885">
        <v>16744135</v>
      </c>
      <c r="D885">
        <v>15167963</v>
      </c>
      <c r="E885">
        <v>1</v>
      </c>
      <c r="F885">
        <v>1</v>
      </c>
      <c r="G885">
        <v>1</v>
      </c>
      <c r="H885">
        <v>3</v>
      </c>
      <c r="I885" t="s">
        <v>1793</v>
      </c>
      <c r="J885" t="s">
        <v>1794</v>
      </c>
      <c r="K885" t="s">
        <v>1795</v>
      </c>
      <c r="L885">
        <v>1346</v>
      </c>
      <c r="N885">
        <v>1009</v>
      </c>
      <c r="O885" t="s">
        <v>341</v>
      </c>
      <c r="P885" t="s">
        <v>341</v>
      </c>
      <c r="Q885">
        <v>1</v>
      </c>
      <c r="X885">
        <v>0.13</v>
      </c>
      <c r="Y885">
        <v>37.29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6</v>
      </c>
      <c r="AG885">
        <v>0.13</v>
      </c>
      <c r="AH885">
        <v>2</v>
      </c>
      <c r="AI885">
        <v>16744137</v>
      </c>
      <c r="AJ885">
        <v>949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ROW(Source!A678)</f>
        <v>678</v>
      </c>
      <c r="B886">
        <v>16744142</v>
      </c>
      <c r="C886">
        <v>16744135</v>
      </c>
      <c r="D886">
        <v>15163011</v>
      </c>
      <c r="E886">
        <v>17</v>
      </c>
      <c r="F886">
        <v>1</v>
      </c>
      <c r="G886">
        <v>1</v>
      </c>
      <c r="H886">
        <v>3</v>
      </c>
      <c r="I886" t="s">
        <v>1872</v>
      </c>
      <c r="J886" t="s">
        <v>6</v>
      </c>
      <c r="K886" t="s">
        <v>1873</v>
      </c>
      <c r="L886">
        <v>1358</v>
      </c>
      <c r="N886">
        <v>1010</v>
      </c>
      <c r="O886" t="s">
        <v>723</v>
      </c>
      <c r="P886" t="s">
        <v>723</v>
      </c>
      <c r="Q886">
        <v>10</v>
      </c>
      <c r="X886">
        <v>2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 t="s">
        <v>6</v>
      </c>
      <c r="AG886">
        <v>2</v>
      </c>
      <c r="AH886">
        <v>3</v>
      </c>
      <c r="AI886">
        <v>-1</v>
      </c>
      <c r="AJ886" t="s">
        <v>6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ROW(Source!A678)</f>
        <v>678</v>
      </c>
      <c r="B887">
        <v>16744143</v>
      </c>
      <c r="C887">
        <v>16744135</v>
      </c>
      <c r="D887">
        <v>15162072</v>
      </c>
      <c r="E887">
        <v>17</v>
      </c>
      <c r="F887">
        <v>1</v>
      </c>
      <c r="G887">
        <v>1</v>
      </c>
      <c r="H887">
        <v>3</v>
      </c>
      <c r="I887" t="s">
        <v>1874</v>
      </c>
      <c r="J887" t="s">
        <v>6</v>
      </c>
      <c r="K887" t="s">
        <v>1875</v>
      </c>
      <c r="L887">
        <v>1348</v>
      </c>
      <c r="N887">
        <v>1009</v>
      </c>
      <c r="O887" t="s">
        <v>100</v>
      </c>
      <c r="P887" t="s">
        <v>100</v>
      </c>
      <c r="Q887">
        <v>1000</v>
      </c>
      <c r="X887">
        <v>1E-4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 t="s">
        <v>6</v>
      </c>
      <c r="AG887">
        <v>1E-4</v>
      </c>
      <c r="AH887">
        <v>3</v>
      </c>
      <c r="AI887">
        <v>-1</v>
      </c>
      <c r="AJ887" t="s">
        <v>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ROW(Source!A678)</f>
        <v>678</v>
      </c>
      <c r="B888">
        <v>16744144</v>
      </c>
      <c r="C888">
        <v>16744135</v>
      </c>
      <c r="D888">
        <v>15203740</v>
      </c>
      <c r="E888">
        <v>1</v>
      </c>
      <c r="F888">
        <v>1</v>
      </c>
      <c r="G888">
        <v>1</v>
      </c>
      <c r="H888">
        <v>3</v>
      </c>
      <c r="I888" t="s">
        <v>1802</v>
      </c>
      <c r="J888" t="s">
        <v>1803</v>
      </c>
      <c r="K888" t="s">
        <v>1804</v>
      </c>
      <c r="L888">
        <v>1348</v>
      </c>
      <c r="N888">
        <v>1009</v>
      </c>
      <c r="O888" t="s">
        <v>100</v>
      </c>
      <c r="P888" t="s">
        <v>100</v>
      </c>
      <c r="Q888">
        <v>1000</v>
      </c>
      <c r="X888">
        <v>2.5999999999999998E-4</v>
      </c>
      <c r="Y888">
        <v>15119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6</v>
      </c>
      <c r="AG888">
        <v>2.5999999999999998E-4</v>
      </c>
      <c r="AH888">
        <v>2</v>
      </c>
      <c r="AI888">
        <v>16744138</v>
      </c>
      <c r="AJ888">
        <v>950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ROW(Source!A678)</f>
        <v>678</v>
      </c>
      <c r="B889">
        <v>16744145</v>
      </c>
      <c r="C889">
        <v>16744135</v>
      </c>
      <c r="D889">
        <v>15204468</v>
      </c>
      <c r="E889">
        <v>1</v>
      </c>
      <c r="F889">
        <v>1</v>
      </c>
      <c r="G889">
        <v>1</v>
      </c>
      <c r="H889">
        <v>3</v>
      </c>
      <c r="I889" t="s">
        <v>1623</v>
      </c>
      <c r="J889" t="s">
        <v>1624</v>
      </c>
      <c r="K889" t="s">
        <v>1625</v>
      </c>
      <c r="L889">
        <v>1348</v>
      </c>
      <c r="N889">
        <v>1009</v>
      </c>
      <c r="O889" t="s">
        <v>100</v>
      </c>
      <c r="P889" t="s">
        <v>100</v>
      </c>
      <c r="Q889">
        <v>1000</v>
      </c>
      <c r="X889">
        <v>1.2999999999999999E-4</v>
      </c>
      <c r="Y889">
        <v>16950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6</v>
      </c>
      <c r="AG889">
        <v>1.2999999999999999E-4</v>
      </c>
      <c r="AH889">
        <v>2</v>
      </c>
      <c r="AI889">
        <v>16744139</v>
      </c>
      <c r="AJ889">
        <v>951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ROW(Source!A678)</f>
        <v>678</v>
      </c>
      <c r="B890">
        <v>16744146</v>
      </c>
      <c r="C890">
        <v>16744135</v>
      </c>
      <c r="D890">
        <v>15163207</v>
      </c>
      <c r="E890">
        <v>17</v>
      </c>
      <c r="F890">
        <v>1</v>
      </c>
      <c r="G890">
        <v>1</v>
      </c>
      <c r="H890">
        <v>3</v>
      </c>
      <c r="I890" t="s">
        <v>1891</v>
      </c>
      <c r="J890" t="s">
        <v>6</v>
      </c>
      <c r="K890" t="s">
        <v>1892</v>
      </c>
      <c r="L890">
        <v>1354</v>
      </c>
      <c r="N890">
        <v>1010</v>
      </c>
      <c r="O890" t="s">
        <v>73</v>
      </c>
      <c r="P890" t="s">
        <v>73</v>
      </c>
      <c r="Q890">
        <v>1</v>
      </c>
      <c r="X890">
        <v>10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 t="s">
        <v>6</v>
      </c>
      <c r="AG890">
        <v>10</v>
      </c>
      <c r="AH890">
        <v>3</v>
      </c>
      <c r="AI890">
        <v>-1</v>
      </c>
      <c r="AJ890" t="s">
        <v>6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ROW(Source!A679)</f>
        <v>679</v>
      </c>
      <c r="B891">
        <v>16744154</v>
      </c>
      <c r="C891">
        <v>16744147</v>
      </c>
      <c r="D891">
        <v>15478831</v>
      </c>
      <c r="E891">
        <v>1</v>
      </c>
      <c r="F891">
        <v>1</v>
      </c>
      <c r="G891">
        <v>1</v>
      </c>
      <c r="H891">
        <v>1</v>
      </c>
      <c r="I891" t="s">
        <v>1808</v>
      </c>
      <c r="J891" t="s">
        <v>6</v>
      </c>
      <c r="K891" t="s">
        <v>1809</v>
      </c>
      <c r="L891">
        <v>1191</v>
      </c>
      <c r="N891">
        <v>1013</v>
      </c>
      <c r="O891" t="s">
        <v>1287</v>
      </c>
      <c r="P891" t="s">
        <v>1287</v>
      </c>
      <c r="Q891">
        <v>1</v>
      </c>
      <c r="X891">
        <v>5.01</v>
      </c>
      <c r="Y891">
        <v>0</v>
      </c>
      <c r="Z891">
        <v>0</v>
      </c>
      <c r="AA891">
        <v>0</v>
      </c>
      <c r="AB891">
        <v>11.64</v>
      </c>
      <c r="AC891">
        <v>0</v>
      </c>
      <c r="AD891">
        <v>1</v>
      </c>
      <c r="AE891">
        <v>1</v>
      </c>
      <c r="AF891" t="s">
        <v>1149</v>
      </c>
      <c r="AG891">
        <v>6.6257249999999983</v>
      </c>
      <c r="AH891">
        <v>2</v>
      </c>
      <c r="AI891">
        <v>16744148</v>
      </c>
      <c r="AJ891">
        <v>952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ROW(Source!A679)</f>
        <v>679</v>
      </c>
      <c r="B892">
        <v>16744155</v>
      </c>
      <c r="C892">
        <v>16744147</v>
      </c>
      <c r="D892">
        <v>15248793</v>
      </c>
      <c r="E892">
        <v>1</v>
      </c>
      <c r="F892">
        <v>1</v>
      </c>
      <c r="G892">
        <v>1</v>
      </c>
      <c r="H892">
        <v>2</v>
      </c>
      <c r="I892" t="s">
        <v>1781</v>
      </c>
      <c r="J892" t="s">
        <v>1782</v>
      </c>
      <c r="K892" t="s">
        <v>1783</v>
      </c>
      <c r="L892">
        <v>1368</v>
      </c>
      <c r="N892">
        <v>1011</v>
      </c>
      <c r="O892" t="s">
        <v>1298</v>
      </c>
      <c r="P892" t="s">
        <v>1298</v>
      </c>
      <c r="Q892">
        <v>1</v>
      </c>
      <c r="X892">
        <v>1.5</v>
      </c>
      <c r="Y892">
        <v>0</v>
      </c>
      <c r="Z892">
        <v>29.67</v>
      </c>
      <c r="AA892">
        <v>0</v>
      </c>
      <c r="AB892">
        <v>0</v>
      </c>
      <c r="AC892">
        <v>0</v>
      </c>
      <c r="AD892">
        <v>1</v>
      </c>
      <c r="AE892">
        <v>0</v>
      </c>
      <c r="AF892" t="s">
        <v>1148</v>
      </c>
      <c r="AG892">
        <v>2.34375</v>
      </c>
      <c r="AH892">
        <v>2</v>
      </c>
      <c r="AI892">
        <v>16744149</v>
      </c>
      <c r="AJ892">
        <v>953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ROW(Source!A679)</f>
        <v>679</v>
      </c>
      <c r="B893">
        <v>16744156</v>
      </c>
      <c r="C893">
        <v>16744147</v>
      </c>
      <c r="D893">
        <v>15167286</v>
      </c>
      <c r="E893">
        <v>1</v>
      </c>
      <c r="F893">
        <v>1</v>
      </c>
      <c r="G893">
        <v>1</v>
      </c>
      <c r="H893">
        <v>3</v>
      </c>
      <c r="I893" t="s">
        <v>1317</v>
      </c>
      <c r="J893" t="s">
        <v>1318</v>
      </c>
      <c r="K893" t="s">
        <v>1319</v>
      </c>
      <c r="L893">
        <v>1339</v>
      </c>
      <c r="N893">
        <v>1007</v>
      </c>
      <c r="O893" t="s">
        <v>301</v>
      </c>
      <c r="P893" t="s">
        <v>301</v>
      </c>
      <c r="Q893">
        <v>1</v>
      </c>
      <c r="X893">
        <v>1</v>
      </c>
      <c r="Y893">
        <v>2.44</v>
      </c>
      <c r="Z893">
        <v>0</v>
      </c>
      <c r="AA893">
        <v>0</v>
      </c>
      <c r="AB893">
        <v>0</v>
      </c>
      <c r="AC893">
        <v>0</v>
      </c>
      <c r="AD893">
        <v>1</v>
      </c>
      <c r="AE893">
        <v>0</v>
      </c>
      <c r="AF893" t="s">
        <v>6</v>
      </c>
      <c r="AG893">
        <v>1</v>
      </c>
      <c r="AH893">
        <v>2</v>
      </c>
      <c r="AI893">
        <v>16744150</v>
      </c>
      <c r="AJ893">
        <v>954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ROW(Source!A679)</f>
        <v>679</v>
      </c>
      <c r="B894">
        <v>16744157</v>
      </c>
      <c r="C894">
        <v>16744147</v>
      </c>
      <c r="D894">
        <v>15167963</v>
      </c>
      <c r="E894">
        <v>1</v>
      </c>
      <c r="F894">
        <v>1</v>
      </c>
      <c r="G894">
        <v>1</v>
      </c>
      <c r="H894">
        <v>3</v>
      </c>
      <c r="I894" t="s">
        <v>1793</v>
      </c>
      <c r="J894" t="s">
        <v>1794</v>
      </c>
      <c r="K894" t="s">
        <v>1795</v>
      </c>
      <c r="L894">
        <v>1346</v>
      </c>
      <c r="N894">
        <v>1009</v>
      </c>
      <c r="O894" t="s">
        <v>341</v>
      </c>
      <c r="P894" t="s">
        <v>341</v>
      </c>
      <c r="Q894">
        <v>1</v>
      </c>
      <c r="X894">
        <v>0.02</v>
      </c>
      <c r="Y894">
        <v>37.29</v>
      </c>
      <c r="Z894">
        <v>0</v>
      </c>
      <c r="AA894">
        <v>0</v>
      </c>
      <c r="AB894">
        <v>0</v>
      </c>
      <c r="AC894">
        <v>0</v>
      </c>
      <c r="AD894">
        <v>1</v>
      </c>
      <c r="AE894">
        <v>0</v>
      </c>
      <c r="AF894" t="s">
        <v>6</v>
      </c>
      <c r="AG894">
        <v>0.02</v>
      </c>
      <c r="AH894">
        <v>2</v>
      </c>
      <c r="AI894">
        <v>16744151</v>
      </c>
      <c r="AJ894">
        <v>955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ROW(Source!A679)</f>
        <v>679</v>
      </c>
      <c r="B895">
        <v>16744158</v>
      </c>
      <c r="C895">
        <v>16744147</v>
      </c>
      <c r="D895">
        <v>15203740</v>
      </c>
      <c r="E895">
        <v>1</v>
      </c>
      <c r="F895">
        <v>1</v>
      </c>
      <c r="G895">
        <v>1</v>
      </c>
      <c r="H895">
        <v>3</v>
      </c>
      <c r="I895" t="s">
        <v>1802</v>
      </c>
      <c r="J895" t="s">
        <v>1803</v>
      </c>
      <c r="K895" t="s">
        <v>1804</v>
      </c>
      <c r="L895">
        <v>1348</v>
      </c>
      <c r="N895">
        <v>1009</v>
      </c>
      <c r="O895" t="s">
        <v>100</v>
      </c>
      <c r="P895" t="s">
        <v>100</v>
      </c>
      <c r="Q895">
        <v>1000</v>
      </c>
      <c r="X895">
        <v>5.0000000000000002E-5</v>
      </c>
      <c r="Y895">
        <v>15119</v>
      </c>
      <c r="Z895">
        <v>0</v>
      </c>
      <c r="AA895">
        <v>0</v>
      </c>
      <c r="AB895">
        <v>0</v>
      </c>
      <c r="AC895">
        <v>0</v>
      </c>
      <c r="AD895">
        <v>1</v>
      </c>
      <c r="AE895">
        <v>0</v>
      </c>
      <c r="AF895" t="s">
        <v>6</v>
      </c>
      <c r="AG895">
        <v>5.0000000000000002E-5</v>
      </c>
      <c r="AH895">
        <v>2</v>
      </c>
      <c r="AI895">
        <v>16744152</v>
      </c>
      <c r="AJ895">
        <v>956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ROW(Source!A679)</f>
        <v>679</v>
      </c>
      <c r="B896">
        <v>16744159</v>
      </c>
      <c r="C896">
        <v>16744147</v>
      </c>
      <c r="D896">
        <v>15204468</v>
      </c>
      <c r="E896">
        <v>1</v>
      </c>
      <c r="F896">
        <v>1</v>
      </c>
      <c r="G896">
        <v>1</v>
      </c>
      <c r="H896">
        <v>3</v>
      </c>
      <c r="I896" t="s">
        <v>1623</v>
      </c>
      <c r="J896" t="s">
        <v>1624</v>
      </c>
      <c r="K896" t="s">
        <v>1625</v>
      </c>
      <c r="L896">
        <v>1348</v>
      </c>
      <c r="N896">
        <v>1009</v>
      </c>
      <c r="O896" t="s">
        <v>100</v>
      </c>
      <c r="P896" t="s">
        <v>100</v>
      </c>
      <c r="Q896">
        <v>1000</v>
      </c>
      <c r="X896">
        <v>2.0000000000000002E-5</v>
      </c>
      <c r="Y896">
        <v>16950</v>
      </c>
      <c r="Z896">
        <v>0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6</v>
      </c>
      <c r="AG896">
        <v>2.0000000000000002E-5</v>
      </c>
      <c r="AH896">
        <v>2</v>
      </c>
      <c r="AI896">
        <v>16744153</v>
      </c>
      <c r="AJ896">
        <v>957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ROW(Source!A714)</f>
        <v>714</v>
      </c>
      <c r="B897">
        <v>16744164</v>
      </c>
      <c r="C897">
        <v>16744160</v>
      </c>
      <c r="D897">
        <v>15432258</v>
      </c>
      <c r="E897">
        <v>1</v>
      </c>
      <c r="F897">
        <v>1</v>
      </c>
      <c r="G897">
        <v>1</v>
      </c>
      <c r="H897">
        <v>1</v>
      </c>
      <c r="I897" t="s">
        <v>1474</v>
      </c>
      <c r="J897" t="s">
        <v>6</v>
      </c>
      <c r="K897" t="s">
        <v>1475</v>
      </c>
      <c r="L897">
        <v>1191</v>
      </c>
      <c r="N897">
        <v>1013</v>
      </c>
      <c r="O897" t="s">
        <v>1287</v>
      </c>
      <c r="P897" t="s">
        <v>1287</v>
      </c>
      <c r="Q897">
        <v>1</v>
      </c>
      <c r="X897">
        <v>85.3</v>
      </c>
      <c r="Y897">
        <v>0</v>
      </c>
      <c r="Z897">
        <v>0</v>
      </c>
      <c r="AA897">
        <v>0</v>
      </c>
      <c r="AB897">
        <v>8.4600000000000009</v>
      </c>
      <c r="AC897">
        <v>0</v>
      </c>
      <c r="AD897">
        <v>1</v>
      </c>
      <c r="AE897">
        <v>1</v>
      </c>
      <c r="AF897" t="s">
        <v>6</v>
      </c>
      <c r="AG897">
        <v>85.3</v>
      </c>
      <c r="AH897">
        <v>2</v>
      </c>
      <c r="AI897">
        <v>16744161</v>
      </c>
      <c r="AJ897">
        <v>958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ROW(Source!A714)</f>
        <v>714</v>
      </c>
      <c r="B898">
        <v>16744165</v>
      </c>
      <c r="C898">
        <v>16744160</v>
      </c>
      <c r="D898">
        <v>15430395</v>
      </c>
      <c r="E898">
        <v>1</v>
      </c>
      <c r="F898">
        <v>1</v>
      </c>
      <c r="G898">
        <v>1</v>
      </c>
      <c r="H898">
        <v>1</v>
      </c>
      <c r="I898" t="s">
        <v>1293</v>
      </c>
      <c r="J898" t="s">
        <v>6</v>
      </c>
      <c r="K898" t="s">
        <v>1294</v>
      </c>
      <c r="L898">
        <v>1191</v>
      </c>
      <c r="N898">
        <v>1013</v>
      </c>
      <c r="O898" t="s">
        <v>1287</v>
      </c>
      <c r="P898" t="s">
        <v>1287</v>
      </c>
      <c r="Q898">
        <v>1</v>
      </c>
      <c r="X898">
        <v>0.32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2</v>
      </c>
      <c r="AF898" t="s">
        <v>6</v>
      </c>
      <c r="AG898">
        <v>0.32</v>
      </c>
      <c r="AH898">
        <v>2</v>
      </c>
      <c r="AI898">
        <v>16744162</v>
      </c>
      <c r="AJ898">
        <v>959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ROW(Source!A714)</f>
        <v>714</v>
      </c>
      <c r="B899">
        <v>16744166</v>
      </c>
      <c r="C899">
        <v>16744160</v>
      </c>
      <c r="D899">
        <v>15247974</v>
      </c>
      <c r="E899">
        <v>1</v>
      </c>
      <c r="F899">
        <v>1</v>
      </c>
      <c r="G899">
        <v>1</v>
      </c>
      <c r="H899">
        <v>2</v>
      </c>
      <c r="I899" t="s">
        <v>1314</v>
      </c>
      <c r="J899" t="s">
        <v>1315</v>
      </c>
      <c r="K899" t="s">
        <v>1316</v>
      </c>
      <c r="L899">
        <v>1368</v>
      </c>
      <c r="N899">
        <v>1011</v>
      </c>
      <c r="O899" t="s">
        <v>1298</v>
      </c>
      <c r="P899" t="s">
        <v>1298</v>
      </c>
      <c r="Q899">
        <v>1</v>
      </c>
      <c r="X899">
        <v>0.32</v>
      </c>
      <c r="Y899">
        <v>0</v>
      </c>
      <c r="Z899">
        <v>31.26</v>
      </c>
      <c r="AA899">
        <v>13.5</v>
      </c>
      <c r="AB899">
        <v>0</v>
      </c>
      <c r="AC899">
        <v>0</v>
      </c>
      <c r="AD899">
        <v>1</v>
      </c>
      <c r="AE899">
        <v>0</v>
      </c>
      <c r="AF899" t="s">
        <v>6</v>
      </c>
      <c r="AG899">
        <v>0.32</v>
      </c>
      <c r="AH899">
        <v>2</v>
      </c>
      <c r="AI899">
        <v>16744163</v>
      </c>
      <c r="AJ899">
        <v>960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ROW(Source!A714)</f>
        <v>714</v>
      </c>
      <c r="B900">
        <v>16744167</v>
      </c>
      <c r="C900">
        <v>16744160</v>
      </c>
      <c r="D900">
        <v>15164566</v>
      </c>
      <c r="E900">
        <v>17</v>
      </c>
      <c r="F900">
        <v>1</v>
      </c>
      <c r="G900">
        <v>1</v>
      </c>
      <c r="H900">
        <v>3</v>
      </c>
      <c r="I900" t="s">
        <v>98</v>
      </c>
      <c r="J900" t="s">
        <v>6</v>
      </c>
      <c r="K900" t="s">
        <v>1871</v>
      </c>
      <c r="L900">
        <v>1348</v>
      </c>
      <c r="N900">
        <v>1009</v>
      </c>
      <c r="O900" t="s">
        <v>100</v>
      </c>
      <c r="P900" t="s">
        <v>100</v>
      </c>
      <c r="Q900">
        <v>1000</v>
      </c>
      <c r="X900">
        <v>1.34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 t="s">
        <v>6</v>
      </c>
      <c r="AG900">
        <v>1.34</v>
      </c>
      <c r="AH900">
        <v>3</v>
      </c>
      <c r="AI900">
        <v>-1</v>
      </c>
      <c r="AJ900" t="s">
        <v>6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ROW(Source!A715)</f>
        <v>715</v>
      </c>
      <c r="B901">
        <v>16744176</v>
      </c>
      <c r="C901">
        <v>16744169</v>
      </c>
      <c r="D901">
        <v>15436556</v>
      </c>
      <c r="E901">
        <v>1</v>
      </c>
      <c r="F901">
        <v>1</v>
      </c>
      <c r="G901">
        <v>1</v>
      </c>
      <c r="H901">
        <v>1</v>
      </c>
      <c r="I901" t="s">
        <v>1490</v>
      </c>
      <c r="J901" t="s">
        <v>6</v>
      </c>
      <c r="K901" t="s">
        <v>1491</v>
      </c>
      <c r="L901">
        <v>1191</v>
      </c>
      <c r="N901">
        <v>1013</v>
      </c>
      <c r="O901" t="s">
        <v>1287</v>
      </c>
      <c r="P901" t="s">
        <v>1287</v>
      </c>
      <c r="Q901">
        <v>1</v>
      </c>
      <c r="X901">
        <v>8.77</v>
      </c>
      <c r="Y901">
        <v>0</v>
      </c>
      <c r="Z901">
        <v>0</v>
      </c>
      <c r="AA901">
        <v>0</v>
      </c>
      <c r="AB901">
        <v>9.6199999999999992</v>
      </c>
      <c r="AC901">
        <v>0</v>
      </c>
      <c r="AD901">
        <v>1</v>
      </c>
      <c r="AE901">
        <v>1</v>
      </c>
      <c r="AF901" t="s">
        <v>59</v>
      </c>
      <c r="AG901">
        <v>3.508</v>
      </c>
      <c r="AH901">
        <v>2</v>
      </c>
      <c r="AI901">
        <v>16744170</v>
      </c>
      <c r="AJ901">
        <v>961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ROW(Source!A715)</f>
        <v>715</v>
      </c>
      <c r="B902">
        <v>16744177</v>
      </c>
      <c r="C902">
        <v>16744169</v>
      </c>
      <c r="D902">
        <v>15430395</v>
      </c>
      <c r="E902">
        <v>1</v>
      </c>
      <c r="F902">
        <v>1</v>
      </c>
      <c r="G902">
        <v>1</v>
      </c>
      <c r="H902">
        <v>1</v>
      </c>
      <c r="I902" t="s">
        <v>1293</v>
      </c>
      <c r="J902" t="s">
        <v>6</v>
      </c>
      <c r="K902" t="s">
        <v>1294</v>
      </c>
      <c r="L902">
        <v>1191</v>
      </c>
      <c r="N902">
        <v>1013</v>
      </c>
      <c r="O902" t="s">
        <v>1287</v>
      </c>
      <c r="P902" t="s">
        <v>1287</v>
      </c>
      <c r="Q902">
        <v>1</v>
      </c>
      <c r="X902">
        <v>0.28999999999999998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2</v>
      </c>
      <c r="AF902" t="s">
        <v>59</v>
      </c>
      <c r="AG902">
        <v>0.11599999999999999</v>
      </c>
      <c r="AH902">
        <v>2</v>
      </c>
      <c r="AI902">
        <v>16744171</v>
      </c>
      <c r="AJ902">
        <v>962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ROW(Source!A715)</f>
        <v>715</v>
      </c>
      <c r="B903">
        <v>16744178</v>
      </c>
      <c r="C903">
        <v>16744169</v>
      </c>
      <c r="D903">
        <v>15247974</v>
      </c>
      <c r="E903">
        <v>1</v>
      </c>
      <c r="F903">
        <v>1</v>
      </c>
      <c r="G903">
        <v>1</v>
      </c>
      <c r="H903">
        <v>2</v>
      </c>
      <c r="I903" t="s">
        <v>1314</v>
      </c>
      <c r="J903" t="s">
        <v>1315</v>
      </c>
      <c r="K903" t="s">
        <v>1316</v>
      </c>
      <c r="L903">
        <v>1368</v>
      </c>
      <c r="N903">
        <v>1011</v>
      </c>
      <c r="O903" t="s">
        <v>1298</v>
      </c>
      <c r="P903" t="s">
        <v>1298</v>
      </c>
      <c r="Q903">
        <v>1</v>
      </c>
      <c r="X903">
        <v>0.1</v>
      </c>
      <c r="Y903">
        <v>0</v>
      </c>
      <c r="Z903">
        <v>31.26</v>
      </c>
      <c r="AA903">
        <v>13.5</v>
      </c>
      <c r="AB903">
        <v>0</v>
      </c>
      <c r="AC903">
        <v>0</v>
      </c>
      <c r="AD903">
        <v>1</v>
      </c>
      <c r="AE903">
        <v>0</v>
      </c>
      <c r="AF903" t="s">
        <v>59</v>
      </c>
      <c r="AG903">
        <v>4.0000000000000008E-2</v>
      </c>
      <c r="AH903">
        <v>2</v>
      </c>
      <c r="AI903">
        <v>16744172</v>
      </c>
      <c r="AJ903">
        <v>963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ROW(Source!A715)</f>
        <v>715</v>
      </c>
      <c r="B904">
        <v>16744179</v>
      </c>
      <c r="C904">
        <v>16744169</v>
      </c>
      <c r="D904">
        <v>15249073</v>
      </c>
      <c r="E904">
        <v>1</v>
      </c>
      <c r="F904">
        <v>1</v>
      </c>
      <c r="G904">
        <v>1</v>
      </c>
      <c r="H904">
        <v>2</v>
      </c>
      <c r="I904" t="s">
        <v>1299</v>
      </c>
      <c r="J904" t="s">
        <v>1300</v>
      </c>
      <c r="K904" t="s">
        <v>1301</v>
      </c>
      <c r="L904">
        <v>1368</v>
      </c>
      <c r="N904">
        <v>1011</v>
      </c>
      <c r="O904" t="s">
        <v>1298</v>
      </c>
      <c r="P904" t="s">
        <v>1298</v>
      </c>
      <c r="Q904">
        <v>1</v>
      </c>
      <c r="X904">
        <v>0.19</v>
      </c>
      <c r="Y904">
        <v>0</v>
      </c>
      <c r="Z904">
        <v>65.709999999999994</v>
      </c>
      <c r="AA904">
        <v>11.6</v>
      </c>
      <c r="AB904">
        <v>0</v>
      </c>
      <c r="AC904">
        <v>0</v>
      </c>
      <c r="AD904">
        <v>1</v>
      </c>
      <c r="AE904">
        <v>0</v>
      </c>
      <c r="AF904" t="s">
        <v>59</v>
      </c>
      <c r="AG904">
        <v>7.6000000000000012E-2</v>
      </c>
      <c r="AH904">
        <v>2</v>
      </c>
      <c r="AI904">
        <v>16744173</v>
      </c>
      <c r="AJ904">
        <v>964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ROW(Source!A715)</f>
        <v>715</v>
      </c>
      <c r="B905">
        <v>16744180</v>
      </c>
      <c r="C905">
        <v>16744169</v>
      </c>
      <c r="D905">
        <v>15167955</v>
      </c>
      <c r="E905">
        <v>1</v>
      </c>
      <c r="F905">
        <v>1</v>
      </c>
      <c r="G905">
        <v>1</v>
      </c>
      <c r="H905">
        <v>3</v>
      </c>
      <c r="I905" t="s">
        <v>1825</v>
      </c>
      <c r="J905" t="s">
        <v>1826</v>
      </c>
      <c r="K905" t="s">
        <v>1827</v>
      </c>
      <c r="L905">
        <v>1348</v>
      </c>
      <c r="N905">
        <v>1009</v>
      </c>
      <c r="O905" t="s">
        <v>100</v>
      </c>
      <c r="P905" t="s">
        <v>100</v>
      </c>
      <c r="Q905">
        <v>1000</v>
      </c>
      <c r="X905">
        <v>1.1999999999999999E-3</v>
      </c>
      <c r="Y905">
        <v>30030</v>
      </c>
      <c r="Z905">
        <v>0</v>
      </c>
      <c r="AA905">
        <v>0</v>
      </c>
      <c r="AB905">
        <v>0</v>
      </c>
      <c r="AC905">
        <v>0</v>
      </c>
      <c r="AD905">
        <v>1</v>
      </c>
      <c r="AE905">
        <v>0</v>
      </c>
      <c r="AF905" t="s">
        <v>48</v>
      </c>
      <c r="AG905">
        <v>0</v>
      </c>
      <c r="AH905">
        <v>2</v>
      </c>
      <c r="AI905">
        <v>16744174</v>
      </c>
      <c r="AJ905">
        <v>965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ROW(Source!A715)</f>
        <v>715</v>
      </c>
      <c r="B906">
        <v>16744181</v>
      </c>
      <c r="C906">
        <v>16744169</v>
      </c>
      <c r="D906">
        <v>15172117</v>
      </c>
      <c r="E906">
        <v>1</v>
      </c>
      <c r="F906">
        <v>1</v>
      </c>
      <c r="G906">
        <v>1</v>
      </c>
      <c r="H906">
        <v>3</v>
      </c>
      <c r="I906" t="s">
        <v>1828</v>
      </c>
      <c r="J906" t="s">
        <v>1829</v>
      </c>
      <c r="K906" t="s">
        <v>1830</v>
      </c>
      <c r="L906">
        <v>1348</v>
      </c>
      <c r="N906">
        <v>1009</v>
      </c>
      <c r="O906" t="s">
        <v>100</v>
      </c>
      <c r="P906" t="s">
        <v>100</v>
      </c>
      <c r="Q906">
        <v>1000</v>
      </c>
      <c r="X906">
        <v>3.2000000000000002E-3</v>
      </c>
      <c r="Y906">
        <v>1836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48</v>
      </c>
      <c r="AG906">
        <v>0</v>
      </c>
      <c r="AH906">
        <v>2</v>
      </c>
      <c r="AI906">
        <v>16744175</v>
      </c>
      <c r="AJ906">
        <v>966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ROW(Source!A715)</f>
        <v>715</v>
      </c>
      <c r="B907">
        <v>16744182</v>
      </c>
      <c r="C907">
        <v>16744169</v>
      </c>
      <c r="D907">
        <v>15161722</v>
      </c>
      <c r="E907">
        <v>17</v>
      </c>
      <c r="F907">
        <v>1</v>
      </c>
      <c r="G907">
        <v>1</v>
      </c>
      <c r="H907">
        <v>3</v>
      </c>
      <c r="I907" t="s">
        <v>1889</v>
      </c>
      <c r="J907" t="s">
        <v>6</v>
      </c>
      <c r="K907" t="s">
        <v>1890</v>
      </c>
      <c r="L907">
        <v>1035</v>
      </c>
      <c r="N907">
        <v>1013</v>
      </c>
      <c r="O907" t="s">
        <v>249</v>
      </c>
      <c r="P907" t="s">
        <v>249</v>
      </c>
      <c r="Q907">
        <v>1</v>
      </c>
      <c r="X907">
        <v>10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 t="s">
        <v>48</v>
      </c>
      <c r="AG907">
        <v>0</v>
      </c>
      <c r="AH907">
        <v>3</v>
      </c>
      <c r="AI907">
        <v>-1</v>
      </c>
      <c r="AJ907" t="s">
        <v>6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ROW(Source!A716)</f>
        <v>716</v>
      </c>
      <c r="B908">
        <v>16744187</v>
      </c>
      <c r="C908">
        <v>16744183</v>
      </c>
      <c r="D908">
        <v>15430767</v>
      </c>
      <c r="E908">
        <v>1</v>
      </c>
      <c r="F908">
        <v>1</v>
      </c>
      <c r="G908">
        <v>1</v>
      </c>
      <c r="H908">
        <v>1</v>
      </c>
      <c r="I908" t="s">
        <v>1285</v>
      </c>
      <c r="J908" t="s">
        <v>6</v>
      </c>
      <c r="K908" t="s">
        <v>1286</v>
      </c>
      <c r="L908">
        <v>1191</v>
      </c>
      <c r="N908">
        <v>1013</v>
      </c>
      <c r="O908" t="s">
        <v>1287</v>
      </c>
      <c r="P908" t="s">
        <v>1287</v>
      </c>
      <c r="Q908">
        <v>1</v>
      </c>
      <c r="X908">
        <v>63.84</v>
      </c>
      <c r="Y908">
        <v>0</v>
      </c>
      <c r="Z908">
        <v>0</v>
      </c>
      <c r="AA908">
        <v>0</v>
      </c>
      <c r="AB908">
        <v>8.5299999999999994</v>
      </c>
      <c r="AC908">
        <v>0</v>
      </c>
      <c r="AD908">
        <v>1</v>
      </c>
      <c r="AE908">
        <v>1</v>
      </c>
      <c r="AF908" t="s">
        <v>6</v>
      </c>
      <c r="AG908">
        <v>63.84</v>
      </c>
      <c r="AH908">
        <v>2</v>
      </c>
      <c r="AI908">
        <v>16744184</v>
      </c>
      <c r="AJ908">
        <v>967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ROW(Source!A716)</f>
        <v>716</v>
      </c>
      <c r="B909">
        <v>16744188</v>
      </c>
      <c r="C909">
        <v>16744183</v>
      </c>
      <c r="D909">
        <v>15430395</v>
      </c>
      <c r="E909">
        <v>1</v>
      </c>
      <c r="F909">
        <v>1</v>
      </c>
      <c r="G909">
        <v>1</v>
      </c>
      <c r="H909">
        <v>1</v>
      </c>
      <c r="I909" t="s">
        <v>1293</v>
      </c>
      <c r="J909" t="s">
        <v>6</v>
      </c>
      <c r="K909" t="s">
        <v>1294</v>
      </c>
      <c r="L909">
        <v>1191</v>
      </c>
      <c r="N909">
        <v>1013</v>
      </c>
      <c r="O909" t="s">
        <v>1287</v>
      </c>
      <c r="P909" t="s">
        <v>1287</v>
      </c>
      <c r="Q909">
        <v>1</v>
      </c>
      <c r="X909">
        <v>0.28999999999999998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2</v>
      </c>
      <c r="AF909" t="s">
        <v>6</v>
      </c>
      <c r="AG909">
        <v>0.28999999999999998</v>
      </c>
      <c r="AH909">
        <v>2</v>
      </c>
      <c r="AI909">
        <v>16744185</v>
      </c>
      <c r="AJ909">
        <v>968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ROW(Source!A716)</f>
        <v>716</v>
      </c>
      <c r="B910">
        <v>16744189</v>
      </c>
      <c r="C910">
        <v>16744183</v>
      </c>
      <c r="D910">
        <v>15247974</v>
      </c>
      <c r="E910">
        <v>1</v>
      </c>
      <c r="F910">
        <v>1</v>
      </c>
      <c r="G910">
        <v>1</v>
      </c>
      <c r="H910">
        <v>2</v>
      </c>
      <c r="I910" t="s">
        <v>1314</v>
      </c>
      <c r="J910" t="s">
        <v>1315</v>
      </c>
      <c r="K910" t="s">
        <v>1316</v>
      </c>
      <c r="L910">
        <v>1368</v>
      </c>
      <c r="N910">
        <v>1011</v>
      </c>
      <c r="O910" t="s">
        <v>1298</v>
      </c>
      <c r="P910" t="s">
        <v>1298</v>
      </c>
      <c r="Q910">
        <v>1</v>
      </c>
      <c r="X910">
        <v>0.28999999999999998</v>
      </c>
      <c r="Y910">
        <v>0</v>
      </c>
      <c r="Z910">
        <v>31.26</v>
      </c>
      <c r="AA910">
        <v>13.5</v>
      </c>
      <c r="AB910">
        <v>0</v>
      </c>
      <c r="AC910">
        <v>0</v>
      </c>
      <c r="AD910">
        <v>1</v>
      </c>
      <c r="AE910">
        <v>0</v>
      </c>
      <c r="AF910" t="s">
        <v>6</v>
      </c>
      <c r="AG910">
        <v>0.28999999999999998</v>
      </c>
      <c r="AH910">
        <v>2</v>
      </c>
      <c r="AI910">
        <v>16744186</v>
      </c>
      <c r="AJ910">
        <v>969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ROW(Source!A716)</f>
        <v>716</v>
      </c>
      <c r="B911">
        <v>16744190</v>
      </c>
      <c r="C911">
        <v>16744183</v>
      </c>
      <c r="D911">
        <v>15164566</v>
      </c>
      <c r="E911">
        <v>17</v>
      </c>
      <c r="F911">
        <v>1</v>
      </c>
      <c r="G911">
        <v>1</v>
      </c>
      <c r="H911">
        <v>3</v>
      </c>
      <c r="I911" t="s">
        <v>98</v>
      </c>
      <c r="J911" t="s">
        <v>6</v>
      </c>
      <c r="K911" t="s">
        <v>1871</v>
      </c>
      <c r="L911">
        <v>1348</v>
      </c>
      <c r="N911">
        <v>1009</v>
      </c>
      <c r="O911" t="s">
        <v>100</v>
      </c>
      <c r="P911" t="s">
        <v>100</v>
      </c>
      <c r="Q911">
        <v>1000</v>
      </c>
      <c r="X911">
        <v>2.65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 t="s">
        <v>6</v>
      </c>
      <c r="AG911">
        <v>2.65</v>
      </c>
      <c r="AH911">
        <v>3</v>
      </c>
      <c r="AI911">
        <v>-1</v>
      </c>
      <c r="AJ911" t="s">
        <v>6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ROW(Source!A717)</f>
        <v>717</v>
      </c>
      <c r="B912">
        <v>16744206</v>
      </c>
      <c r="C912">
        <v>16744191</v>
      </c>
      <c r="D912">
        <v>15435721</v>
      </c>
      <c r="E912">
        <v>1</v>
      </c>
      <c r="F912">
        <v>1</v>
      </c>
      <c r="G912">
        <v>1</v>
      </c>
      <c r="H912">
        <v>1</v>
      </c>
      <c r="I912" t="s">
        <v>1609</v>
      </c>
      <c r="J912" t="s">
        <v>6</v>
      </c>
      <c r="K912" t="s">
        <v>1610</v>
      </c>
      <c r="L912">
        <v>1191</v>
      </c>
      <c r="N912">
        <v>1013</v>
      </c>
      <c r="O912" t="s">
        <v>1287</v>
      </c>
      <c r="P912" t="s">
        <v>1287</v>
      </c>
      <c r="Q912">
        <v>1</v>
      </c>
      <c r="X912">
        <v>24.64</v>
      </c>
      <c r="Y912">
        <v>0</v>
      </c>
      <c r="Z912">
        <v>0</v>
      </c>
      <c r="AA912">
        <v>0</v>
      </c>
      <c r="AB912">
        <v>9.51</v>
      </c>
      <c r="AC912">
        <v>0</v>
      </c>
      <c r="AD912">
        <v>1</v>
      </c>
      <c r="AE912">
        <v>1</v>
      </c>
      <c r="AF912" t="s">
        <v>188</v>
      </c>
      <c r="AG912">
        <v>28.335999999999999</v>
      </c>
      <c r="AH912">
        <v>2</v>
      </c>
      <c r="AI912">
        <v>16744192</v>
      </c>
      <c r="AJ912">
        <v>970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ROW(Source!A717)</f>
        <v>717</v>
      </c>
      <c r="B913">
        <v>16744207</v>
      </c>
      <c r="C913">
        <v>16744191</v>
      </c>
      <c r="D913">
        <v>15430395</v>
      </c>
      <c r="E913">
        <v>1</v>
      </c>
      <c r="F913">
        <v>1</v>
      </c>
      <c r="G913">
        <v>1</v>
      </c>
      <c r="H913">
        <v>1</v>
      </c>
      <c r="I913" t="s">
        <v>1293</v>
      </c>
      <c r="J913" t="s">
        <v>6</v>
      </c>
      <c r="K913" t="s">
        <v>1294</v>
      </c>
      <c r="L913">
        <v>1191</v>
      </c>
      <c r="N913">
        <v>1013</v>
      </c>
      <c r="O913" t="s">
        <v>1287</v>
      </c>
      <c r="P913" t="s">
        <v>1287</v>
      </c>
      <c r="Q913">
        <v>1</v>
      </c>
      <c r="X913">
        <v>0.71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2</v>
      </c>
      <c r="AF913" t="s">
        <v>187</v>
      </c>
      <c r="AG913">
        <v>0.88749999999999996</v>
      </c>
      <c r="AH913">
        <v>2</v>
      </c>
      <c r="AI913">
        <v>16744193</v>
      </c>
      <c r="AJ913">
        <v>971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ROW(Source!A717)</f>
        <v>717</v>
      </c>
      <c r="B914">
        <v>16744208</v>
      </c>
      <c r="C914">
        <v>16744191</v>
      </c>
      <c r="D914">
        <v>15247974</v>
      </c>
      <c r="E914">
        <v>1</v>
      </c>
      <c r="F914">
        <v>1</v>
      </c>
      <c r="G914">
        <v>1</v>
      </c>
      <c r="H914">
        <v>2</v>
      </c>
      <c r="I914" t="s">
        <v>1314</v>
      </c>
      <c r="J914" t="s">
        <v>1315</v>
      </c>
      <c r="K914" t="s">
        <v>1316</v>
      </c>
      <c r="L914">
        <v>1368</v>
      </c>
      <c r="N914">
        <v>1011</v>
      </c>
      <c r="O914" t="s">
        <v>1298</v>
      </c>
      <c r="P914" t="s">
        <v>1298</v>
      </c>
      <c r="Q914">
        <v>1</v>
      </c>
      <c r="X914">
        <v>0.32</v>
      </c>
      <c r="Y914">
        <v>0</v>
      </c>
      <c r="Z914">
        <v>31.26</v>
      </c>
      <c r="AA914">
        <v>13.5</v>
      </c>
      <c r="AB914">
        <v>0</v>
      </c>
      <c r="AC914">
        <v>0</v>
      </c>
      <c r="AD914">
        <v>1</v>
      </c>
      <c r="AE914">
        <v>0</v>
      </c>
      <c r="AF914" t="s">
        <v>187</v>
      </c>
      <c r="AG914">
        <v>0.4</v>
      </c>
      <c r="AH914">
        <v>2</v>
      </c>
      <c r="AI914">
        <v>16744194</v>
      </c>
      <c r="AJ914">
        <v>972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ROW(Source!A717)</f>
        <v>717</v>
      </c>
      <c r="B915">
        <v>16744209</v>
      </c>
      <c r="C915">
        <v>16744191</v>
      </c>
      <c r="D915">
        <v>15249073</v>
      </c>
      <c r="E915">
        <v>1</v>
      </c>
      <c r="F915">
        <v>1</v>
      </c>
      <c r="G915">
        <v>1</v>
      </c>
      <c r="H915">
        <v>2</v>
      </c>
      <c r="I915" t="s">
        <v>1299</v>
      </c>
      <c r="J915" t="s">
        <v>1300</v>
      </c>
      <c r="K915" t="s">
        <v>1301</v>
      </c>
      <c r="L915">
        <v>1368</v>
      </c>
      <c r="N915">
        <v>1011</v>
      </c>
      <c r="O915" t="s">
        <v>1298</v>
      </c>
      <c r="P915" t="s">
        <v>1298</v>
      </c>
      <c r="Q915">
        <v>1</v>
      </c>
      <c r="X915">
        <v>0.39</v>
      </c>
      <c r="Y915">
        <v>0</v>
      </c>
      <c r="Z915">
        <v>65.709999999999994</v>
      </c>
      <c r="AA915">
        <v>11.6</v>
      </c>
      <c r="AB915">
        <v>0</v>
      </c>
      <c r="AC915">
        <v>0</v>
      </c>
      <c r="AD915">
        <v>1</v>
      </c>
      <c r="AE915">
        <v>0</v>
      </c>
      <c r="AF915" t="s">
        <v>187</v>
      </c>
      <c r="AG915">
        <v>0.48750000000000004</v>
      </c>
      <c r="AH915">
        <v>2</v>
      </c>
      <c r="AI915">
        <v>16744195</v>
      </c>
      <c r="AJ915">
        <v>973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ROW(Source!A717)</f>
        <v>717</v>
      </c>
      <c r="B916">
        <v>16744210</v>
      </c>
      <c r="C916">
        <v>16744191</v>
      </c>
      <c r="D916">
        <v>15167955</v>
      </c>
      <c r="E916">
        <v>1</v>
      </c>
      <c r="F916">
        <v>1</v>
      </c>
      <c r="G916">
        <v>1</v>
      </c>
      <c r="H916">
        <v>3</v>
      </c>
      <c r="I916" t="s">
        <v>1825</v>
      </c>
      <c r="J916" t="s">
        <v>1826</v>
      </c>
      <c r="K916" t="s">
        <v>1827</v>
      </c>
      <c r="L916">
        <v>1348</v>
      </c>
      <c r="N916">
        <v>1009</v>
      </c>
      <c r="O916" t="s">
        <v>100</v>
      </c>
      <c r="P916" t="s">
        <v>100</v>
      </c>
      <c r="Q916">
        <v>1000</v>
      </c>
      <c r="X916">
        <v>1E-3</v>
      </c>
      <c r="Y916">
        <v>30030</v>
      </c>
      <c r="Z916">
        <v>0</v>
      </c>
      <c r="AA916">
        <v>0</v>
      </c>
      <c r="AB916">
        <v>0</v>
      </c>
      <c r="AC916">
        <v>0</v>
      </c>
      <c r="AD916">
        <v>1</v>
      </c>
      <c r="AE916">
        <v>0</v>
      </c>
      <c r="AF916" t="s">
        <v>6</v>
      </c>
      <c r="AG916">
        <v>1E-3</v>
      </c>
      <c r="AH916">
        <v>2</v>
      </c>
      <c r="AI916">
        <v>16744196</v>
      </c>
      <c r="AJ916">
        <v>974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ROW(Source!A717)</f>
        <v>717</v>
      </c>
      <c r="B917">
        <v>16744211</v>
      </c>
      <c r="C917">
        <v>16744191</v>
      </c>
      <c r="D917">
        <v>15167963</v>
      </c>
      <c r="E917">
        <v>1</v>
      </c>
      <c r="F917">
        <v>1</v>
      </c>
      <c r="G917">
        <v>1</v>
      </c>
      <c r="H917">
        <v>3</v>
      </c>
      <c r="I917" t="s">
        <v>1793</v>
      </c>
      <c r="J917" t="s">
        <v>1794</v>
      </c>
      <c r="K917" t="s">
        <v>1795</v>
      </c>
      <c r="L917">
        <v>1346</v>
      </c>
      <c r="N917">
        <v>1009</v>
      </c>
      <c r="O917" t="s">
        <v>341</v>
      </c>
      <c r="P917" t="s">
        <v>341</v>
      </c>
      <c r="Q917">
        <v>1</v>
      </c>
      <c r="X917">
        <v>0.04</v>
      </c>
      <c r="Y917">
        <v>37.29</v>
      </c>
      <c r="Z917">
        <v>0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6</v>
      </c>
      <c r="AG917">
        <v>0.04</v>
      </c>
      <c r="AH917">
        <v>2</v>
      </c>
      <c r="AI917">
        <v>16744197</v>
      </c>
      <c r="AJ917">
        <v>975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ROW(Source!A717)</f>
        <v>717</v>
      </c>
      <c r="B918">
        <v>16744212</v>
      </c>
      <c r="C918">
        <v>16744191</v>
      </c>
      <c r="D918">
        <v>15163011</v>
      </c>
      <c r="E918">
        <v>17</v>
      </c>
      <c r="F918">
        <v>1</v>
      </c>
      <c r="G918">
        <v>1</v>
      </c>
      <c r="H918">
        <v>3</v>
      </c>
      <c r="I918" t="s">
        <v>1872</v>
      </c>
      <c r="J918" t="s">
        <v>6</v>
      </c>
      <c r="K918" t="s">
        <v>1873</v>
      </c>
      <c r="L918">
        <v>1358</v>
      </c>
      <c r="N918">
        <v>1010</v>
      </c>
      <c r="O918" t="s">
        <v>723</v>
      </c>
      <c r="P918" t="s">
        <v>723</v>
      </c>
      <c r="Q918">
        <v>10</v>
      </c>
      <c r="X918">
        <v>4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 t="s">
        <v>6</v>
      </c>
      <c r="AG918">
        <v>4</v>
      </c>
      <c r="AH918">
        <v>3</v>
      </c>
      <c r="AI918">
        <v>-1</v>
      </c>
      <c r="AJ918" t="s">
        <v>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ROW(Source!A717)</f>
        <v>717</v>
      </c>
      <c r="B919">
        <v>16744213</v>
      </c>
      <c r="C919">
        <v>16744191</v>
      </c>
      <c r="D919">
        <v>15170213</v>
      </c>
      <c r="E919">
        <v>1</v>
      </c>
      <c r="F919">
        <v>1</v>
      </c>
      <c r="G919">
        <v>1</v>
      </c>
      <c r="H919">
        <v>3</v>
      </c>
      <c r="I919" t="s">
        <v>1831</v>
      </c>
      <c r="J919" t="s">
        <v>1832</v>
      </c>
      <c r="K919" t="s">
        <v>1833</v>
      </c>
      <c r="L919">
        <v>1346</v>
      </c>
      <c r="N919">
        <v>1009</v>
      </c>
      <c r="O919" t="s">
        <v>341</v>
      </c>
      <c r="P919" t="s">
        <v>341</v>
      </c>
      <c r="Q919">
        <v>1</v>
      </c>
      <c r="X919">
        <v>20</v>
      </c>
      <c r="Y919">
        <v>6.5</v>
      </c>
      <c r="Z919">
        <v>0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6</v>
      </c>
      <c r="AG919">
        <v>20</v>
      </c>
      <c r="AH919">
        <v>2</v>
      </c>
      <c r="AI919">
        <v>16744198</v>
      </c>
      <c r="AJ919">
        <v>976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ROW(Source!A717)</f>
        <v>717</v>
      </c>
      <c r="B920">
        <v>16744214</v>
      </c>
      <c r="C920">
        <v>16744191</v>
      </c>
      <c r="D920">
        <v>15162072</v>
      </c>
      <c r="E920">
        <v>17</v>
      </c>
      <c r="F920">
        <v>1</v>
      </c>
      <c r="G920">
        <v>1</v>
      </c>
      <c r="H920">
        <v>3</v>
      </c>
      <c r="I920" t="s">
        <v>1874</v>
      </c>
      <c r="J920" t="s">
        <v>6</v>
      </c>
      <c r="K920" t="s">
        <v>1875</v>
      </c>
      <c r="L920">
        <v>1348</v>
      </c>
      <c r="N920">
        <v>1009</v>
      </c>
      <c r="O920" t="s">
        <v>100</v>
      </c>
      <c r="P920" t="s">
        <v>100</v>
      </c>
      <c r="Q920">
        <v>1000</v>
      </c>
      <c r="X920">
        <v>5.0000000000000001E-4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 t="s">
        <v>6</v>
      </c>
      <c r="AG920">
        <v>5.0000000000000001E-4</v>
      </c>
      <c r="AH920">
        <v>3</v>
      </c>
      <c r="AI920">
        <v>-1</v>
      </c>
      <c r="AJ920" t="s">
        <v>6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ROW(Source!A717)</f>
        <v>717</v>
      </c>
      <c r="B921">
        <v>16744215</v>
      </c>
      <c r="C921">
        <v>16744191</v>
      </c>
      <c r="D921">
        <v>15170815</v>
      </c>
      <c r="E921">
        <v>1</v>
      </c>
      <c r="F921">
        <v>1</v>
      </c>
      <c r="G921">
        <v>1</v>
      </c>
      <c r="H921">
        <v>3</v>
      </c>
      <c r="I921" t="s">
        <v>1834</v>
      </c>
      <c r="J921" t="s">
        <v>1835</v>
      </c>
      <c r="K921" t="s">
        <v>1836</v>
      </c>
      <c r="L921">
        <v>1346</v>
      </c>
      <c r="N921">
        <v>1009</v>
      </c>
      <c r="O921" t="s">
        <v>341</v>
      </c>
      <c r="P921" t="s">
        <v>341</v>
      </c>
      <c r="Q921">
        <v>1</v>
      </c>
      <c r="X921">
        <v>0.8</v>
      </c>
      <c r="Y921">
        <v>13.56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6</v>
      </c>
      <c r="AG921">
        <v>0.8</v>
      </c>
      <c r="AH921">
        <v>2</v>
      </c>
      <c r="AI921">
        <v>16744199</v>
      </c>
      <c r="AJ921">
        <v>977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ROW(Source!A717)</f>
        <v>717</v>
      </c>
      <c r="B922">
        <v>16744216</v>
      </c>
      <c r="C922">
        <v>16744191</v>
      </c>
      <c r="D922">
        <v>15202525</v>
      </c>
      <c r="E922">
        <v>1</v>
      </c>
      <c r="F922">
        <v>1</v>
      </c>
      <c r="G922">
        <v>1</v>
      </c>
      <c r="H922">
        <v>3</v>
      </c>
      <c r="I922" t="s">
        <v>1837</v>
      </c>
      <c r="J922" t="s">
        <v>1838</v>
      </c>
      <c r="K922" t="s">
        <v>1839</v>
      </c>
      <c r="L922">
        <v>1348</v>
      </c>
      <c r="N922">
        <v>1009</v>
      </c>
      <c r="O922" t="s">
        <v>100</v>
      </c>
      <c r="P922" t="s">
        <v>100</v>
      </c>
      <c r="Q922">
        <v>1000</v>
      </c>
      <c r="X922">
        <v>8.0000000000000004E-4</v>
      </c>
      <c r="Y922">
        <v>12330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6</v>
      </c>
      <c r="AG922">
        <v>8.0000000000000004E-4</v>
      </c>
      <c r="AH922">
        <v>2</v>
      </c>
      <c r="AI922">
        <v>16744200</v>
      </c>
      <c r="AJ922">
        <v>978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ROW(Source!A717)</f>
        <v>717</v>
      </c>
      <c r="B923">
        <v>16744217</v>
      </c>
      <c r="C923">
        <v>16744191</v>
      </c>
      <c r="D923">
        <v>15203740</v>
      </c>
      <c r="E923">
        <v>1</v>
      </c>
      <c r="F923">
        <v>1</v>
      </c>
      <c r="G923">
        <v>1</v>
      </c>
      <c r="H923">
        <v>3</v>
      </c>
      <c r="I923" t="s">
        <v>1802</v>
      </c>
      <c r="J923" t="s">
        <v>1803</v>
      </c>
      <c r="K923" t="s">
        <v>1804</v>
      </c>
      <c r="L923">
        <v>1348</v>
      </c>
      <c r="N923">
        <v>1009</v>
      </c>
      <c r="O923" t="s">
        <v>100</v>
      </c>
      <c r="P923" t="s">
        <v>100</v>
      </c>
      <c r="Q923">
        <v>1000</v>
      </c>
      <c r="X923">
        <v>4.0000000000000002E-4</v>
      </c>
      <c r="Y923">
        <v>15119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6</v>
      </c>
      <c r="AG923">
        <v>4.0000000000000002E-4</v>
      </c>
      <c r="AH923">
        <v>2</v>
      </c>
      <c r="AI923">
        <v>16744201</v>
      </c>
      <c r="AJ923">
        <v>979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ROW(Source!A717)</f>
        <v>717</v>
      </c>
      <c r="B924">
        <v>16744218</v>
      </c>
      <c r="C924">
        <v>16744191</v>
      </c>
      <c r="D924">
        <v>15163194</v>
      </c>
      <c r="E924">
        <v>17</v>
      </c>
      <c r="F924">
        <v>1</v>
      </c>
      <c r="G924">
        <v>1</v>
      </c>
      <c r="H924">
        <v>3</v>
      </c>
      <c r="I924" t="s">
        <v>1887</v>
      </c>
      <c r="J924" t="s">
        <v>6</v>
      </c>
      <c r="K924" t="s">
        <v>1888</v>
      </c>
      <c r="L924">
        <v>1346</v>
      </c>
      <c r="N924">
        <v>1009</v>
      </c>
      <c r="O924" t="s">
        <v>341</v>
      </c>
      <c r="P924" t="s">
        <v>341</v>
      </c>
      <c r="Q924">
        <v>1</v>
      </c>
      <c r="X924">
        <v>4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 t="s">
        <v>6</v>
      </c>
      <c r="AG924">
        <v>4</v>
      </c>
      <c r="AH924">
        <v>3</v>
      </c>
      <c r="AI924">
        <v>-1</v>
      </c>
      <c r="AJ924" t="s">
        <v>6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ROW(Source!A717)</f>
        <v>717</v>
      </c>
      <c r="B925">
        <v>16744219</v>
      </c>
      <c r="C925">
        <v>16744191</v>
      </c>
      <c r="D925">
        <v>15204468</v>
      </c>
      <c r="E925">
        <v>1</v>
      </c>
      <c r="F925">
        <v>1</v>
      </c>
      <c r="G925">
        <v>1</v>
      </c>
      <c r="H925">
        <v>3</v>
      </c>
      <c r="I925" t="s">
        <v>1623</v>
      </c>
      <c r="J925" t="s">
        <v>1624</v>
      </c>
      <c r="K925" t="s">
        <v>1625</v>
      </c>
      <c r="L925">
        <v>1348</v>
      </c>
      <c r="N925">
        <v>1009</v>
      </c>
      <c r="O925" t="s">
        <v>100</v>
      </c>
      <c r="P925" t="s">
        <v>100</v>
      </c>
      <c r="Q925">
        <v>1000</v>
      </c>
      <c r="X925">
        <v>2.0000000000000001E-4</v>
      </c>
      <c r="Y925">
        <v>16950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6</v>
      </c>
      <c r="AG925">
        <v>2.0000000000000001E-4</v>
      </c>
      <c r="AH925">
        <v>2</v>
      </c>
      <c r="AI925">
        <v>16744202</v>
      </c>
      <c r="AJ925">
        <v>980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ROW(Source!A717)</f>
        <v>717</v>
      </c>
      <c r="B926">
        <v>16744220</v>
      </c>
      <c r="C926">
        <v>16744191</v>
      </c>
      <c r="D926">
        <v>15161722</v>
      </c>
      <c r="E926">
        <v>17</v>
      </c>
      <c r="F926">
        <v>1</v>
      </c>
      <c r="G926">
        <v>1</v>
      </c>
      <c r="H926">
        <v>3</v>
      </c>
      <c r="I926" t="s">
        <v>1889</v>
      </c>
      <c r="J926" t="s">
        <v>6</v>
      </c>
      <c r="K926" t="s">
        <v>1890</v>
      </c>
      <c r="L926">
        <v>1035</v>
      </c>
      <c r="N926">
        <v>1013</v>
      </c>
      <c r="O926" t="s">
        <v>249</v>
      </c>
      <c r="P926" t="s">
        <v>249</v>
      </c>
      <c r="Q926">
        <v>1</v>
      </c>
      <c r="X926">
        <v>10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 t="s">
        <v>6</v>
      </c>
      <c r="AG926">
        <v>10</v>
      </c>
      <c r="AH926">
        <v>3</v>
      </c>
      <c r="AI926">
        <v>-1</v>
      </c>
      <c r="AJ926" t="s">
        <v>6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ROW(Source!A720)</f>
        <v>720</v>
      </c>
      <c r="B927">
        <v>16744232</v>
      </c>
      <c r="C927">
        <v>16744223</v>
      </c>
      <c r="D927">
        <v>15436556</v>
      </c>
      <c r="E927">
        <v>1</v>
      </c>
      <c r="F927">
        <v>1</v>
      </c>
      <c r="G927">
        <v>1</v>
      </c>
      <c r="H927">
        <v>1</v>
      </c>
      <c r="I927" t="s">
        <v>1490</v>
      </c>
      <c r="J927" t="s">
        <v>6</v>
      </c>
      <c r="K927" t="s">
        <v>1491</v>
      </c>
      <c r="L927">
        <v>1191</v>
      </c>
      <c r="N927">
        <v>1013</v>
      </c>
      <c r="O927" t="s">
        <v>1287</v>
      </c>
      <c r="P927" t="s">
        <v>1287</v>
      </c>
      <c r="Q927">
        <v>1</v>
      </c>
      <c r="X927">
        <v>8.77</v>
      </c>
      <c r="Y927">
        <v>0</v>
      </c>
      <c r="Z927">
        <v>0</v>
      </c>
      <c r="AA927">
        <v>0</v>
      </c>
      <c r="AB927">
        <v>9.6199999999999992</v>
      </c>
      <c r="AC927">
        <v>0</v>
      </c>
      <c r="AD927">
        <v>1</v>
      </c>
      <c r="AE927">
        <v>1</v>
      </c>
      <c r="AF927" t="s">
        <v>188</v>
      </c>
      <c r="AG927">
        <v>10.085499999999998</v>
      </c>
      <c r="AH927">
        <v>2</v>
      </c>
      <c r="AI927">
        <v>16744224</v>
      </c>
      <c r="AJ927">
        <v>983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ROW(Source!A720)</f>
        <v>720</v>
      </c>
      <c r="B928">
        <v>16744233</v>
      </c>
      <c r="C928">
        <v>16744223</v>
      </c>
      <c r="D928">
        <v>15430395</v>
      </c>
      <c r="E928">
        <v>1</v>
      </c>
      <c r="F928">
        <v>1</v>
      </c>
      <c r="G928">
        <v>1</v>
      </c>
      <c r="H928">
        <v>1</v>
      </c>
      <c r="I928" t="s">
        <v>1293</v>
      </c>
      <c r="J928" t="s">
        <v>6</v>
      </c>
      <c r="K928" t="s">
        <v>1294</v>
      </c>
      <c r="L928">
        <v>1191</v>
      </c>
      <c r="N928">
        <v>1013</v>
      </c>
      <c r="O928" t="s">
        <v>1287</v>
      </c>
      <c r="P928" t="s">
        <v>1287</v>
      </c>
      <c r="Q928">
        <v>1</v>
      </c>
      <c r="X928">
        <v>0.28999999999999998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1</v>
      </c>
      <c r="AE928">
        <v>2</v>
      </c>
      <c r="AF928" t="s">
        <v>187</v>
      </c>
      <c r="AG928">
        <v>0.36249999999999999</v>
      </c>
      <c r="AH928">
        <v>2</v>
      </c>
      <c r="AI928">
        <v>16744225</v>
      </c>
      <c r="AJ928">
        <v>984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ROW(Source!A720)</f>
        <v>720</v>
      </c>
      <c r="B929">
        <v>16744234</v>
      </c>
      <c r="C929">
        <v>16744223</v>
      </c>
      <c r="D929">
        <v>15247974</v>
      </c>
      <c r="E929">
        <v>1</v>
      </c>
      <c r="F929">
        <v>1</v>
      </c>
      <c r="G929">
        <v>1</v>
      </c>
      <c r="H929">
        <v>2</v>
      </c>
      <c r="I929" t="s">
        <v>1314</v>
      </c>
      <c r="J929" t="s">
        <v>1315</v>
      </c>
      <c r="K929" t="s">
        <v>1316</v>
      </c>
      <c r="L929">
        <v>1368</v>
      </c>
      <c r="N929">
        <v>1011</v>
      </c>
      <c r="O929" t="s">
        <v>1298</v>
      </c>
      <c r="P929" t="s">
        <v>1298</v>
      </c>
      <c r="Q929">
        <v>1</v>
      </c>
      <c r="X929">
        <v>0.1</v>
      </c>
      <c r="Y929">
        <v>0</v>
      </c>
      <c r="Z929">
        <v>31.26</v>
      </c>
      <c r="AA929">
        <v>13.5</v>
      </c>
      <c r="AB929">
        <v>0</v>
      </c>
      <c r="AC929">
        <v>0</v>
      </c>
      <c r="AD929">
        <v>1</v>
      </c>
      <c r="AE929">
        <v>0</v>
      </c>
      <c r="AF929" t="s">
        <v>187</v>
      </c>
      <c r="AG929">
        <v>0.125</v>
      </c>
      <c r="AH929">
        <v>2</v>
      </c>
      <c r="AI929">
        <v>16744226</v>
      </c>
      <c r="AJ929">
        <v>985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ROW(Source!A720)</f>
        <v>720</v>
      </c>
      <c r="B930">
        <v>16744235</v>
      </c>
      <c r="C930">
        <v>16744223</v>
      </c>
      <c r="D930">
        <v>15249073</v>
      </c>
      <c r="E930">
        <v>1</v>
      </c>
      <c r="F930">
        <v>1</v>
      </c>
      <c r="G930">
        <v>1</v>
      </c>
      <c r="H930">
        <v>2</v>
      </c>
      <c r="I930" t="s">
        <v>1299</v>
      </c>
      <c r="J930" t="s">
        <v>1300</v>
      </c>
      <c r="K930" t="s">
        <v>1301</v>
      </c>
      <c r="L930">
        <v>1368</v>
      </c>
      <c r="N930">
        <v>1011</v>
      </c>
      <c r="O930" t="s">
        <v>1298</v>
      </c>
      <c r="P930" t="s">
        <v>1298</v>
      </c>
      <c r="Q930">
        <v>1</v>
      </c>
      <c r="X930">
        <v>0.19</v>
      </c>
      <c r="Y930">
        <v>0</v>
      </c>
      <c r="Z930">
        <v>65.709999999999994</v>
      </c>
      <c r="AA930">
        <v>11.6</v>
      </c>
      <c r="AB930">
        <v>0</v>
      </c>
      <c r="AC930">
        <v>0</v>
      </c>
      <c r="AD930">
        <v>1</v>
      </c>
      <c r="AE930">
        <v>0</v>
      </c>
      <c r="AF930" t="s">
        <v>187</v>
      </c>
      <c r="AG930">
        <v>0.23749999999999999</v>
      </c>
      <c r="AH930">
        <v>2</v>
      </c>
      <c r="AI930">
        <v>16744227</v>
      </c>
      <c r="AJ930">
        <v>986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ROW(Source!A720)</f>
        <v>720</v>
      </c>
      <c r="B931">
        <v>16744236</v>
      </c>
      <c r="C931">
        <v>16744223</v>
      </c>
      <c r="D931">
        <v>15167955</v>
      </c>
      <c r="E931">
        <v>1</v>
      </c>
      <c r="F931">
        <v>1</v>
      </c>
      <c r="G931">
        <v>1</v>
      </c>
      <c r="H931">
        <v>3</v>
      </c>
      <c r="I931" t="s">
        <v>1825</v>
      </c>
      <c r="J931" t="s">
        <v>1826</v>
      </c>
      <c r="K931" t="s">
        <v>1827</v>
      </c>
      <c r="L931">
        <v>1348</v>
      </c>
      <c r="N931">
        <v>1009</v>
      </c>
      <c r="O931" t="s">
        <v>100</v>
      </c>
      <c r="P931" t="s">
        <v>100</v>
      </c>
      <c r="Q931">
        <v>1000</v>
      </c>
      <c r="X931">
        <v>1.1999999999999999E-3</v>
      </c>
      <c r="Y931">
        <v>30030</v>
      </c>
      <c r="Z931">
        <v>0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6</v>
      </c>
      <c r="AG931">
        <v>1.1999999999999999E-3</v>
      </c>
      <c r="AH931">
        <v>2</v>
      </c>
      <c r="AI931">
        <v>16744228</v>
      </c>
      <c r="AJ931">
        <v>987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ROW(Source!A720)</f>
        <v>720</v>
      </c>
      <c r="B932">
        <v>16744237</v>
      </c>
      <c r="C932">
        <v>16744223</v>
      </c>
      <c r="D932">
        <v>15172117</v>
      </c>
      <c r="E932">
        <v>1</v>
      </c>
      <c r="F932">
        <v>1</v>
      </c>
      <c r="G932">
        <v>1</v>
      </c>
      <c r="H932">
        <v>3</v>
      </c>
      <c r="I932" t="s">
        <v>1828</v>
      </c>
      <c r="J932" t="s">
        <v>1829</v>
      </c>
      <c r="K932" t="s">
        <v>1830</v>
      </c>
      <c r="L932">
        <v>1348</v>
      </c>
      <c r="N932">
        <v>1009</v>
      </c>
      <c r="O932" t="s">
        <v>100</v>
      </c>
      <c r="P932" t="s">
        <v>100</v>
      </c>
      <c r="Q932">
        <v>1000</v>
      </c>
      <c r="X932">
        <v>3.2000000000000002E-3</v>
      </c>
      <c r="Y932">
        <v>1836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6</v>
      </c>
      <c r="AG932">
        <v>3.2000000000000002E-3</v>
      </c>
      <c r="AH932">
        <v>2</v>
      </c>
      <c r="AI932">
        <v>16744229</v>
      </c>
      <c r="AJ932">
        <v>988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ROW(Source!A720)</f>
        <v>720</v>
      </c>
      <c r="B933">
        <v>16744238</v>
      </c>
      <c r="C933">
        <v>16744223</v>
      </c>
      <c r="D933">
        <v>15161722</v>
      </c>
      <c r="E933">
        <v>17</v>
      </c>
      <c r="F933">
        <v>1</v>
      </c>
      <c r="G933">
        <v>1</v>
      </c>
      <c r="H933">
        <v>3</v>
      </c>
      <c r="I933" t="s">
        <v>1889</v>
      </c>
      <c r="J933" t="s">
        <v>6</v>
      </c>
      <c r="K933" t="s">
        <v>1890</v>
      </c>
      <c r="L933">
        <v>1035</v>
      </c>
      <c r="N933">
        <v>1013</v>
      </c>
      <c r="O933" t="s">
        <v>249</v>
      </c>
      <c r="P933" t="s">
        <v>249</v>
      </c>
      <c r="Q933">
        <v>1</v>
      </c>
      <c r="X933">
        <v>10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 t="s">
        <v>6</v>
      </c>
      <c r="AG933">
        <v>10</v>
      </c>
      <c r="AH933">
        <v>3</v>
      </c>
      <c r="AI933">
        <v>-1</v>
      </c>
      <c r="AJ933" t="s">
        <v>6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ROW(Source!A722)</f>
        <v>722</v>
      </c>
      <c r="B934">
        <v>16744251</v>
      </c>
      <c r="C934">
        <v>16744240</v>
      </c>
      <c r="D934">
        <v>15446300</v>
      </c>
      <c r="E934">
        <v>1</v>
      </c>
      <c r="F934">
        <v>1</v>
      </c>
      <c r="G934">
        <v>1</v>
      </c>
      <c r="H934">
        <v>1</v>
      </c>
      <c r="I934" t="s">
        <v>1437</v>
      </c>
      <c r="J934" t="s">
        <v>6</v>
      </c>
      <c r="K934" t="s">
        <v>1438</v>
      </c>
      <c r="L934">
        <v>1191</v>
      </c>
      <c r="N934">
        <v>1013</v>
      </c>
      <c r="O934" t="s">
        <v>1287</v>
      </c>
      <c r="P934" t="s">
        <v>1287</v>
      </c>
      <c r="Q934">
        <v>1</v>
      </c>
      <c r="X934">
        <v>61.6</v>
      </c>
      <c r="Y934">
        <v>0</v>
      </c>
      <c r="Z934">
        <v>0</v>
      </c>
      <c r="AA934">
        <v>0</v>
      </c>
      <c r="AB934">
        <v>9.92</v>
      </c>
      <c r="AC934">
        <v>0</v>
      </c>
      <c r="AD934">
        <v>1</v>
      </c>
      <c r="AE934">
        <v>1</v>
      </c>
      <c r="AF934" t="s">
        <v>188</v>
      </c>
      <c r="AG934">
        <v>70.839999999999989</v>
      </c>
      <c r="AH934">
        <v>2</v>
      </c>
      <c r="AI934">
        <v>16744241</v>
      </c>
      <c r="AJ934">
        <v>990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ROW(Source!A722)</f>
        <v>722</v>
      </c>
      <c r="B935">
        <v>16744252</v>
      </c>
      <c r="C935">
        <v>16744240</v>
      </c>
      <c r="D935">
        <v>15430395</v>
      </c>
      <c r="E935">
        <v>1</v>
      </c>
      <c r="F935">
        <v>1</v>
      </c>
      <c r="G935">
        <v>1</v>
      </c>
      <c r="H935">
        <v>1</v>
      </c>
      <c r="I935" t="s">
        <v>1293</v>
      </c>
      <c r="J935" t="s">
        <v>6</v>
      </c>
      <c r="K935" t="s">
        <v>1294</v>
      </c>
      <c r="L935">
        <v>1191</v>
      </c>
      <c r="N935">
        <v>1013</v>
      </c>
      <c r="O935" t="s">
        <v>1287</v>
      </c>
      <c r="P935" t="s">
        <v>1287</v>
      </c>
      <c r="Q935">
        <v>1</v>
      </c>
      <c r="X935">
        <v>7.0000000000000007E-2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1</v>
      </c>
      <c r="AE935">
        <v>2</v>
      </c>
      <c r="AF935" t="s">
        <v>187</v>
      </c>
      <c r="AG935">
        <v>8.7500000000000008E-2</v>
      </c>
      <c r="AH935">
        <v>2</v>
      </c>
      <c r="AI935">
        <v>16744242</v>
      </c>
      <c r="AJ935">
        <v>991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ROW(Source!A722)</f>
        <v>722</v>
      </c>
      <c r="B936">
        <v>16744253</v>
      </c>
      <c r="C936">
        <v>16744240</v>
      </c>
      <c r="D936">
        <v>15247578</v>
      </c>
      <c r="E936">
        <v>1</v>
      </c>
      <c r="F936">
        <v>1</v>
      </c>
      <c r="G936">
        <v>1</v>
      </c>
      <c r="H936">
        <v>2</v>
      </c>
      <c r="I936" t="s">
        <v>1408</v>
      </c>
      <c r="J936" t="s">
        <v>1409</v>
      </c>
      <c r="K936" t="s">
        <v>1410</v>
      </c>
      <c r="L936">
        <v>1368</v>
      </c>
      <c r="N936">
        <v>1011</v>
      </c>
      <c r="O936" t="s">
        <v>1298</v>
      </c>
      <c r="P936" t="s">
        <v>1298</v>
      </c>
      <c r="Q936">
        <v>1</v>
      </c>
      <c r="X936">
        <v>0.03</v>
      </c>
      <c r="Y936">
        <v>0</v>
      </c>
      <c r="Z936">
        <v>86.4</v>
      </c>
      <c r="AA936">
        <v>13.5</v>
      </c>
      <c r="AB936">
        <v>0</v>
      </c>
      <c r="AC936">
        <v>0</v>
      </c>
      <c r="AD936">
        <v>1</v>
      </c>
      <c r="AE936">
        <v>0</v>
      </c>
      <c r="AF936" t="s">
        <v>187</v>
      </c>
      <c r="AG936">
        <v>3.7499999999999999E-2</v>
      </c>
      <c r="AH936">
        <v>2</v>
      </c>
      <c r="AI936">
        <v>16744243</v>
      </c>
      <c r="AJ936">
        <v>992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ROW(Source!A722)</f>
        <v>722</v>
      </c>
      <c r="B937">
        <v>16744254</v>
      </c>
      <c r="C937">
        <v>16744240</v>
      </c>
      <c r="D937">
        <v>15247680</v>
      </c>
      <c r="E937">
        <v>1</v>
      </c>
      <c r="F937">
        <v>1</v>
      </c>
      <c r="G937">
        <v>1</v>
      </c>
      <c r="H937">
        <v>2</v>
      </c>
      <c r="I937" t="s">
        <v>1295</v>
      </c>
      <c r="J937" t="s">
        <v>1296</v>
      </c>
      <c r="K937" t="s">
        <v>1297</v>
      </c>
      <c r="L937">
        <v>1368</v>
      </c>
      <c r="N937">
        <v>1011</v>
      </c>
      <c r="O937" t="s">
        <v>1298</v>
      </c>
      <c r="P937" t="s">
        <v>1298</v>
      </c>
      <c r="Q937">
        <v>1</v>
      </c>
      <c r="X937">
        <v>0.02</v>
      </c>
      <c r="Y937">
        <v>0</v>
      </c>
      <c r="Z937">
        <v>111.99</v>
      </c>
      <c r="AA937">
        <v>13.5</v>
      </c>
      <c r="AB937">
        <v>0</v>
      </c>
      <c r="AC937">
        <v>0</v>
      </c>
      <c r="AD937">
        <v>1</v>
      </c>
      <c r="AE937">
        <v>0</v>
      </c>
      <c r="AF937" t="s">
        <v>187</v>
      </c>
      <c r="AG937">
        <v>2.5000000000000001E-2</v>
      </c>
      <c r="AH937">
        <v>2</v>
      </c>
      <c r="AI937">
        <v>16744244</v>
      </c>
      <c r="AJ937">
        <v>993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ROW(Source!A722)</f>
        <v>722</v>
      </c>
      <c r="B938">
        <v>16744255</v>
      </c>
      <c r="C938">
        <v>16744240</v>
      </c>
      <c r="D938">
        <v>15249073</v>
      </c>
      <c r="E938">
        <v>1</v>
      </c>
      <c r="F938">
        <v>1</v>
      </c>
      <c r="G938">
        <v>1</v>
      </c>
      <c r="H938">
        <v>2</v>
      </c>
      <c r="I938" t="s">
        <v>1299</v>
      </c>
      <c r="J938" t="s">
        <v>1300</v>
      </c>
      <c r="K938" t="s">
        <v>1301</v>
      </c>
      <c r="L938">
        <v>1368</v>
      </c>
      <c r="N938">
        <v>1011</v>
      </c>
      <c r="O938" t="s">
        <v>1298</v>
      </c>
      <c r="P938" t="s">
        <v>1298</v>
      </c>
      <c r="Q938">
        <v>1</v>
      </c>
      <c r="X938">
        <v>0.02</v>
      </c>
      <c r="Y938">
        <v>0</v>
      </c>
      <c r="Z938">
        <v>65.709999999999994</v>
      </c>
      <c r="AA938">
        <v>11.6</v>
      </c>
      <c r="AB938">
        <v>0</v>
      </c>
      <c r="AC938">
        <v>0</v>
      </c>
      <c r="AD938">
        <v>1</v>
      </c>
      <c r="AE938">
        <v>0</v>
      </c>
      <c r="AF938" t="s">
        <v>187</v>
      </c>
      <c r="AG938">
        <v>2.5000000000000001E-2</v>
      </c>
      <c r="AH938">
        <v>2</v>
      </c>
      <c r="AI938">
        <v>16744245</v>
      </c>
      <c r="AJ938">
        <v>994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ROW(Source!A722)</f>
        <v>722</v>
      </c>
      <c r="B939">
        <v>16744256</v>
      </c>
      <c r="C939">
        <v>16744240</v>
      </c>
      <c r="D939">
        <v>15167286</v>
      </c>
      <c r="E939">
        <v>1</v>
      </c>
      <c r="F939">
        <v>1</v>
      </c>
      <c r="G939">
        <v>1</v>
      </c>
      <c r="H939">
        <v>3</v>
      </c>
      <c r="I939" t="s">
        <v>1317</v>
      </c>
      <c r="J939" t="s">
        <v>1318</v>
      </c>
      <c r="K939" t="s">
        <v>1319</v>
      </c>
      <c r="L939">
        <v>1339</v>
      </c>
      <c r="N939">
        <v>1007</v>
      </c>
      <c r="O939" t="s">
        <v>301</v>
      </c>
      <c r="P939" t="s">
        <v>301</v>
      </c>
      <c r="Q939">
        <v>1</v>
      </c>
      <c r="X939">
        <v>1.57</v>
      </c>
      <c r="Y939">
        <v>2.44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6</v>
      </c>
      <c r="AG939">
        <v>1.57</v>
      </c>
      <c r="AH939">
        <v>2</v>
      </c>
      <c r="AI939">
        <v>16744246</v>
      </c>
      <c r="AJ939">
        <v>995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ROW(Source!A722)</f>
        <v>722</v>
      </c>
      <c r="B940">
        <v>16744257</v>
      </c>
      <c r="C940">
        <v>16744240</v>
      </c>
      <c r="D940">
        <v>15169924</v>
      </c>
      <c r="E940">
        <v>1</v>
      </c>
      <c r="F940">
        <v>1</v>
      </c>
      <c r="G940">
        <v>1</v>
      </c>
      <c r="H940">
        <v>3</v>
      </c>
      <c r="I940" t="s">
        <v>1840</v>
      </c>
      <c r="J940" t="s">
        <v>1841</v>
      </c>
      <c r="K940" t="s">
        <v>1842</v>
      </c>
      <c r="L940">
        <v>1348</v>
      </c>
      <c r="N940">
        <v>1009</v>
      </c>
      <c r="O940" t="s">
        <v>100</v>
      </c>
      <c r="P940" t="s">
        <v>100</v>
      </c>
      <c r="Q940">
        <v>1000</v>
      </c>
      <c r="X940">
        <v>2.66E-3</v>
      </c>
      <c r="Y940">
        <v>14830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6</v>
      </c>
      <c r="AG940">
        <v>2.66E-3</v>
      </c>
      <c r="AH940">
        <v>2</v>
      </c>
      <c r="AI940">
        <v>16744247</v>
      </c>
      <c r="AJ940">
        <v>996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ROW(Source!A722)</f>
        <v>722</v>
      </c>
      <c r="B941">
        <v>16744258</v>
      </c>
      <c r="C941">
        <v>16744240</v>
      </c>
      <c r="D941">
        <v>15170781</v>
      </c>
      <c r="E941">
        <v>1</v>
      </c>
      <c r="F941">
        <v>1</v>
      </c>
      <c r="G941">
        <v>1</v>
      </c>
      <c r="H941">
        <v>3</v>
      </c>
      <c r="I941" t="s">
        <v>1843</v>
      </c>
      <c r="J941" t="s">
        <v>1844</v>
      </c>
      <c r="K941" t="s">
        <v>1845</v>
      </c>
      <c r="L941">
        <v>1346</v>
      </c>
      <c r="N941">
        <v>1009</v>
      </c>
      <c r="O941" t="s">
        <v>341</v>
      </c>
      <c r="P941" t="s">
        <v>341</v>
      </c>
      <c r="Q941">
        <v>1</v>
      </c>
      <c r="X941">
        <v>4</v>
      </c>
      <c r="Y941">
        <v>24.41</v>
      </c>
      <c r="Z941">
        <v>0</v>
      </c>
      <c r="AA941">
        <v>0</v>
      </c>
      <c r="AB941">
        <v>0</v>
      </c>
      <c r="AC941">
        <v>0</v>
      </c>
      <c r="AD941">
        <v>1</v>
      </c>
      <c r="AE941">
        <v>0</v>
      </c>
      <c r="AF941" t="s">
        <v>6</v>
      </c>
      <c r="AG941">
        <v>4</v>
      </c>
      <c r="AH941">
        <v>2</v>
      </c>
      <c r="AI941">
        <v>16744248</v>
      </c>
      <c r="AJ941">
        <v>997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ROW(Source!A722)</f>
        <v>722</v>
      </c>
      <c r="B942">
        <v>16744259</v>
      </c>
      <c r="C942">
        <v>16744240</v>
      </c>
      <c r="D942">
        <v>15161573</v>
      </c>
      <c r="E942">
        <v>17</v>
      </c>
      <c r="F942">
        <v>1</v>
      </c>
      <c r="G942">
        <v>1</v>
      </c>
      <c r="H942">
        <v>3</v>
      </c>
      <c r="I942" t="s">
        <v>1893</v>
      </c>
      <c r="J942" t="s">
        <v>6</v>
      </c>
      <c r="K942" t="s">
        <v>1894</v>
      </c>
      <c r="L942">
        <v>1354</v>
      </c>
      <c r="N942">
        <v>1010</v>
      </c>
      <c r="O942" t="s">
        <v>73</v>
      </c>
      <c r="P942" t="s">
        <v>73</v>
      </c>
      <c r="Q942">
        <v>1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1</v>
      </c>
      <c r="AD942">
        <v>0</v>
      </c>
      <c r="AE942">
        <v>0</v>
      </c>
      <c r="AF942" t="s">
        <v>6</v>
      </c>
      <c r="AG942">
        <v>0</v>
      </c>
      <c r="AH942">
        <v>3</v>
      </c>
      <c r="AI942">
        <v>-1</v>
      </c>
      <c r="AJ942" t="s">
        <v>6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ROW(Source!A722)</f>
        <v>722</v>
      </c>
      <c r="B943">
        <v>16744260</v>
      </c>
      <c r="C943">
        <v>16744240</v>
      </c>
      <c r="D943">
        <v>15163115</v>
      </c>
      <c r="E943">
        <v>17</v>
      </c>
      <c r="F943">
        <v>1</v>
      </c>
      <c r="G943">
        <v>1</v>
      </c>
      <c r="H943">
        <v>3</v>
      </c>
      <c r="I943" t="s">
        <v>1878</v>
      </c>
      <c r="J943" t="s">
        <v>6</v>
      </c>
      <c r="K943" t="s">
        <v>1879</v>
      </c>
      <c r="L943">
        <v>1346</v>
      </c>
      <c r="N943">
        <v>1009</v>
      </c>
      <c r="O943" t="s">
        <v>341</v>
      </c>
      <c r="P943" t="s">
        <v>341</v>
      </c>
      <c r="Q943">
        <v>1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1</v>
      </c>
      <c r="AD943">
        <v>0</v>
      </c>
      <c r="AE943">
        <v>0</v>
      </c>
      <c r="AF943" t="s">
        <v>6</v>
      </c>
      <c r="AG943">
        <v>0</v>
      </c>
      <c r="AH943">
        <v>3</v>
      </c>
      <c r="AI943">
        <v>-1</v>
      </c>
      <c r="AJ943" t="s">
        <v>6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ROW(Source!A722)</f>
        <v>722</v>
      </c>
      <c r="B944">
        <v>16744261</v>
      </c>
      <c r="C944">
        <v>16744240</v>
      </c>
      <c r="D944">
        <v>15163153</v>
      </c>
      <c r="E944">
        <v>17</v>
      </c>
      <c r="F944">
        <v>1</v>
      </c>
      <c r="G944">
        <v>1</v>
      </c>
      <c r="H944">
        <v>3</v>
      </c>
      <c r="I944" t="s">
        <v>1895</v>
      </c>
      <c r="J944" t="s">
        <v>6</v>
      </c>
      <c r="K944" t="s">
        <v>1896</v>
      </c>
      <c r="L944">
        <v>1301</v>
      </c>
      <c r="N944">
        <v>1003</v>
      </c>
      <c r="O944" t="s">
        <v>220</v>
      </c>
      <c r="P944" t="s">
        <v>220</v>
      </c>
      <c r="Q944">
        <v>1</v>
      </c>
      <c r="X944">
        <v>99.8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 t="s">
        <v>6</v>
      </c>
      <c r="AG944">
        <v>99.8</v>
      </c>
      <c r="AH944">
        <v>3</v>
      </c>
      <c r="AI944">
        <v>-1</v>
      </c>
      <c r="AJ944" t="s">
        <v>6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ROW(Source!A725)</f>
        <v>725</v>
      </c>
      <c r="B945">
        <v>16744275</v>
      </c>
      <c r="C945">
        <v>16744264</v>
      </c>
      <c r="D945">
        <v>15446300</v>
      </c>
      <c r="E945">
        <v>1</v>
      </c>
      <c r="F945">
        <v>1</v>
      </c>
      <c r="G945">
        <v>1</v>
      </c>
      <c r="H945">
        <v>1</v>
      </c>
      <c r="I945" t="s">
        <v>1437</v>
      </c>
      <c r="J945" t="s">
        <v>6</v>
      </c>
      <c r="K945" t="s">
        <v>1438</v>
      </c>
      <c r="L945">
        <v>1191</v>
      </c>
      <c r="N945">
        <v>1013</v>
      </c>
      <c r="O945" t="s">
        <v>1287</v>
      </c>
      <c r="P945" t="s">
        <v>1287</v>
      </c>
      <c r="Q945">
        <v>1</v>
      </c>
      <c r="X945">
        <v>64.239999999999995</v>
      </c>
      <c r="Y945">
        <v>0</v>
      </c>
      <c r="Z945">
        <v>0</v>
      </c>
      <c r="AA945">
        <v>0</v>
      </c>
      <c r="AB945">
        <v>9.92</v>
      </c>
      <c r="AC945">
        <v>0</v>
      </c>
      <c r="AD945">
        <v>1</v>
      </c>
      <c r="AE945">
        <v>1</v>
      </c>
      <c r="AF945" t="s">
        <v>188</v>
      </c>
      <c r="AG945">
        <v>73.875999999999991</v>
      </c>
      <c r="AH945">
        <v>2</v>
      </c>
      <c r="AI945">
        <v>16744265</v>
      </c>
      <c r="AJ945">
        <v>1000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ROW(Source!A725)</f>
        <v>725</v>
      </c>
      <c r="B946">
        <v>16744276</v>
      </c>
      <c r="C946">
        <v>16744264</v>
      </c>
      <c r="D946">
        <v>15430395</v>
      </c>
      <c r="E946">
        <v>1</v>
      </c>
      <c r="F946">
        <v>1</v>
      </c>
      <c r="G946">
        <v>1</v>
      </c>
      <c r="H946">
        <v>1</v>
      </c>
      <c r="I946" t="s">
        <v>1293</v>
      </c>
      <c r="J946" t="s">
        <v>6</v>
      </c>
      <c r="K946" t="s">
        <v>1294</v>
      </c>
      <c r="L946">
        <v>1191</v>
      </c>
      <c r="N946">
        <v>1013</v>
      </c>
      <c r="O946" t="s">
        <v>1287</v>
      </c>
      <c r="P946" t="s">
        <v>1287</v>
      </c>
      <c r="Q946">
        <v>1</v>
      </c>
      <c r="X946">
        <v>0.03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2</v>
      </c>
      <c r="AF946" t="s">
        <v>187</v>
      </c>
      <c r="AG946">
        <v>3.7499999999999999E-2</v>
      </c>
      <c r="AH946">
        <v>2</v>
      </c>
      <c r="AI946">
        <v>16744266</v>
      </c>
      <c r="AJ946">
        <v>1001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ROW(Source!A725)</f>
        <v>725</v>
      </c>
      <c r="B947">
        <v>16744277</v>
      </c>
      <c r="C947">
        <v>16744264</v>
      </c>
      <c r="D947">
        <v>15247578</v>
      </c>
      <c r="E947">
        <v>1</v>
      </c>
      <c r="F947">
        <v>1</v>
      </c>
      <c r="G947">
        <v>1</v>
      </c>
      <c r="H947">
        <v>2</v>
      </c>
      <c r="I947" t="s">
        <v>1408</v>
      </c>
      <c r="J947" t="s">
        <v>1409</v>
      </c>
      <c r="K947" t="s">
        <v>1410</v>
      </c>
      <c r="L947">
        <v>1368</v>
      </c>
      <c r="N947">
        <v>1011</v>
      </c>
      <c r="O947" t="s">
        <v>1298</v>
      </c>
      <c r="P947" t="s">
        <v>1298</v>
      </c>
      <c r="Q947">
        <v>1</v>
      </c>
      <c r="X947">
        <v>0.01</v>
      </c>
      <c r="Y947">
        <v>0</v>
      </c>
      <c r="Z947">
        <v>86.4</v>
      </c>
      <c r="AA947">
        <v>13.5</v>
      </c>
      <c r="AB947">
        <v>0</v>
      </c>
      <c r="AC947">
        <v>0</v>
      </c>
      <c r="AD947">
        <v>1</v>
      </c>
      <c r="AE947">
        <v>0</v>
      </c>
      <c r="AF947" t="s">
        <v>187</v>
      </c>
      <c r="AG947">
        <v>1.2500000000000001E-2</v>
      </c>
      <c r="AH947">
        <v>2</v>
      </c>
      <c r="AI947">
        <v>16744267</v>
      </c>
      <c r="AJ947">
        <v>1002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ROW(Source!A725)</f>
        <v>725</v>
      </c>
      <c r="B948">
        <v>16744278</v>
      </c>
      <c r="C948">
        <v>16744264</v>
      </c>
      <c r="D948">
        <v>15247680</v>
      </c>
      <c r="E948">
        <v>1</v>
      </c>
      <c r="F948">
        <v>1</v>
      </c>
      <c r="G948">
        <v>1</v>
      </c>
      <c r="H948">
        <v>2</v>
      </c>
      <c r="I948" t="s">
        <v>1295</v>
      </c>
      <c r="J948" t="s">
        <v>1296</v>
      </c>
      <c r="K948" t="s">
        <v>1297</v>
      </c>
      <c r="L948">
        <v>1368</v>
      </c>
      <c r="N948">
        <v>1011</v>
      </c>
      <c r="O948" t="s">
        <v>1298</v>
      </c>
      <c r="P948" t="s">
        <v>1298</v>
      </c>
      <c r="Q948">
        <v>1</v>
      </c>
      <c r="X948">
        <v>0.01</v>
      </c>
      <c r="Y948">
        <v>0</v>
      </c>
      <c r="Z948">
        <v>111.99</v>
      </c>
      <c r="AA948">
        <v>13.5</v>
      </c>
      <c r="AB948">
        <v>0</v>
      </c>
      <c r="AC948">
        <v>0</v>
      </c>
      <c r="AD948">
        <v>1</v>
      </c>
      <c r="AE948">
        <v>0</v>
      </c>
      <c r="AF948" t="s">
        <v>187</v>
      </c>
      <c r="AG948">
        <v>1.2500000000000001E-2</v>
      </c>
      <c r="AH948">
        <v>2</v>
      </c>
      <c r="AI948">
        <v>16744268</v>
      </c>
      <c r="AJ948">
        <v>1003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ROW(Source!A725)</f>
        <v>725</v>
      </c>
      <c r="B949">
        <v>16744279</v>
      </c>
      <c r="C949">
        <v>16744264</v>
      </c>
      <c r="D949">
        <v>15249073</v>
      </c>
      <c r="E949">
        <v>1</v>
      </c>
      <c r="F949">
        <v>1</v>
      </c>
      <c r="G949">
        <v>1</v>
      </c>
      <c r="H949">
        <v>2</v>
      </c>
      <c r="I949" t="s">
        <v>1299</v>
      </c>
      <c r="J949" t="s">
        <v>1300</v>
      </c>
      <c r="K949" t="s">
        <v>1301</v>
      </c>
      <c r="L949">
        <v>1368</v>
      </c>
      <c r="N949">
        <v>1011</v>
      </c>
      <c r="O949" t="s">
        <v>1298</v>
      </c>
      <c r="P949" t="s">
        <v>1298</v>
      </c>
      <c r="Q949">
        <v>1</v>
      </c>
      <c r="X949">
        <v>0.01</v>
      </c>
      <c r="Y949">
        <v>0</v>
      </c>
      <c r="Z949">
        <v>65.709999999999994</v>
      </c>
      <c r="AA949">
        <v>11.6</v>
      </c>
      <c r="AB949">
        <v>0</v>
      </c>
      <c r="AC949">
        <v>0</v>
      </c>
      <c r="AD949">
        <v>1</v>
      </c>
      <c r="AE949">
        <v>0</v>
      </c>
      <c r="AF949" t="s">
        <v>187</v>
      </c>
      <c r="AG949">
        <v>1.2500000000000001E-2</v>
      </c>
      <c r="AH949">
        <v>2</v>
      </c>
      <c r="AI949">
        <v>16744269</v>
      </c>
      <c r="AJ949">
        <v>1004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ROW(Source!A725)</f>
        <v>725</v>
      </c>
      <c r="B950">
        <v>16744280</v>
      </c>
      <c r="C950">
        <v>16744264</v>
      </c>
      <c r="D950">
        <v>15167286</v>
      </c>
      <c r="E950">
        <v>1</v>
      </c>
      <c r="F950">
        <v>1</v>
      </c>
      <c r="G950">
        <v>1</v>
      </c>
      <c r="H950">
        <v>3</v>
      </c>
      <c r="I950" t="s">
        <v>1317</v>
      </c>
      <c r="J950" t="s">
        <v>1318</v>
      </c>
      <c r="K950" t="s">
        <v>1319</v>
      </c>
      <c r="L950">
        <v>1339</v>
      </c>
      <c r="N950">
        <v>1007</v>
      </c>
      <c r="O950" t="s">
        <v>301</v>
      </c>
      <c r="P950" t="s">
        <v>301</v>
      </c>
      <c r="Q950">
        <v>1</v>
      </c>
      <c r="X950">
        <v>0.39</v>
      </c>
      <c r="Y950">
        <v>2.44</v>
      </c>
      <c r="Z950">
        <v>0</v>
      </c>
      <c r="AA950">
        <v>0</v>
      </c>
      <c r="AB950">
        <v>0</v>
      </c>
      <c r="AC950">
        <v>0</v>
      </c>
      <c r="AD950">
        <v>1</v>
      </c>
      <c r="AE950">
        <v>0</v>
      </c>
      <c r="AF950" t="s">
        <v>6</v>
      </c>
      <c r="AG950">
        <v>0.39</v>
      </c>
      <c r="AH950">
        <v>2</v>
      </c>
      <c r="AI950">
        <v>16744270</v>
      </c>
      <c r="AJ950">
        <v>1005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ROW(Source!A725)</f>
        <v>725</v>
      </c>
      <c r="B951">
        <v>16744281</v>
      </c>
      <c r="C951">
        <v>16744264</v>
      </c>
      <c r="D951">
        <v>15169924</v>
      </c>
      <c r="E951">
        <v>1</v>
      </c>
      <c r="F951">
        <v>1</v>
      </c>
      <c r="G951">
        <v>1</v>
      </c>
      <c r="H951">
        <v>3</v>
      </c>
      <c r="I951" t="s">
        <v>1840</v>
      </c>
      <c r="J951" t="s">
        <v>1841</v>
      </c>
      <c r="K951" t="s">
        <v>1842</v>
      </c>
      <c r="L951">
        <v>1348</v>
      </c>
      <c r="N951">
        <v>1009</v>
      </c>
      <c r="O951" t="s">
        <v>100</v>
      </c>
      <c r="P951" t="s">
        <v>100</v>
      </c>
      <c r="Q951">
        <v>1000</v>
      </c>
      <c r="X951">
        <v>1.1999999999999999E-3</v>
      </c>
      <c r="Y951">
        <v>14830</v>
      </c>
      <c r="Z951">
        <v>0</v>
      </c>
      <c r="AA951">
        <v>0</v>
      </c>
      <c r="AB951">
        <v>0</v>
      </c>
      <c r="AC951">
        <v>0</v>
      </c>
      <c r="AD951">
        <v>1</v>
      </c>
      <c r="AE951">
        <v>0</v>
      </c>
      <c r="AF951" t="s">
        <v>6</v>
      </c>
      <c r="AG951">
        <v>1.1999999999999999E-3</v>
      </c>
      <c r="AH951">
        <v>2</v>
      </c>
      <c r="AI951">
        <v>16744271</v>
      </c>
      <c r="AJ951">
        <v>1006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ROW(Source!A725)</f>
        <v>725</v>
      </c>
      <c r="B952">
        <v>16744282</v>
      </c>
      <c r="C952">
        <v>16744264</v>
      </c>
      <c r="D952">
        <v>15170781</v>
      </c>
      <c r="E952">
        <v>1</v>
      </c>
      <c r="F952">
        <v>1</v>
      </c>
      <c r="G952">
        <v>1</v>
      </c>
      <c r="H952">
        <v>3</v>
      </c>
      <c r="I952" t="s">
        <v>1843</v>
      </c>
      <c r="J952" t="s">
        <v>1844</v>
      </c>
      <c r="K952" t="s">
        <v>1845</v>
      </c>
      <c r="L952">
        <v>1346</v>
      </c>
      <c r="N952">
        <v>1009</v>
      </c>
      <c r="O952" t="s">
        <v>341</v>
      </c>
      <c r="P952" t="s">
        <v>341</v>
      </c>
      <c r="Q952">
        <v>1</v>
      </c>
      <c r="X952">
        <v>1.5</v>
      </c>
      <c r="Y952">
        <v>24.41</v>
      </c>
      <c r="Z952">
        <v>0</v>
      </c>
      <c r="AA952">
        <v>0</v>
      </c>
      <c r="AB952">
        <v>0</v>
      </c>
      <c r="AC952">
        <v>0</v>
      </c>
      <c r="AD952">
        <v>1</v>
      </c>
      <c r="AE952">
        <v>0</v>
      </c>
      <c r="AF952" t="s">
        <v>6</v>
      </c>
      <c r="AG952">
        <v>1.5</v>
      </c>
      <c r="AH952">
        <v>2</v>
      </c>
      <c r="AI952">
        <v>16744272</v>
      </c>
      <c r="AJ952">
        <v>1007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ROW(Source!A725)</f>
        <v>725</v>
      </c>
      <c r="B953">
        <v>16744283</v>
      </c>
      <c r="C953">
        <v>16744264</v>
      </c>
      <c r="D953">
        <v>15161573</v>
      </c>
      <c r="E953">
        <v>17</v>
      </c>
      <c r="F953">
        <v>1</v>
      </c>
      <c r="G953">
        <v>1</v>
      </c>
      <c r="H953">
        <v>3</v>
      </c>
      <c r="I953" t="s">
        <v>1893</v>
      </c>
      <c r="J953" t="s">
        <v>6</v>
      </c>
      <c r="K953" t="s">
        <v>1894</v>
      </c>
      <c r="L953">
        <v>1354</v>
      </c>
      <c r="N953">
        <v>1010</v>
      </c>
      <c r="O953" t="s">
        <v>73</v>
      </c>
      <c r="P953" t="s">
        <v>73</v>
      </c>
      <c r="Q953">
        <v>1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1</v>
      </c>
      <c r="AD953">
        <v>0</v>
      </c>
      <c r="AE953">
        <v>0</v>
      </c>
      <c r="AF953" t="s">
        <v>6</v>
      </c>
      <c r="AG953">
        <v>0</v>
      </c>
      <c r="AH953">
        <v>3</v>
      </c>
      <c r="AI953">
        <v>-1</v>
      </c>
      <c r="AJ953" t="s">
        <v>6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ROW(Source!A725)</f>
        <v>725</v>
      </c>
      <c r="B954">
        <v>16744284</v>
      </c>
      <c r="C954">
        <v>16744264</v>
      </c>
      <c r="D954">
        <v>15163115</v>
      </c>
      <c r="E954">
        <v>17</v>
      </c>
      <c r="F954">
        <v>1</v>
      </c>
      <c r="G954">
        <v>1</v>
      </c>
      <c r="H954">
        <v>3</v>
      </c>
      <c r="I954" t="s">
        <v>1878</v>
      </c>
      <c r="J954" t="s">
        <v>6</v>
      </c>
      <c r="K954" t="s">
        <v>1879</v>
      </c>
      <c r="L954">
        <v>1346</v>
      </c>
      <c r="N954">
        <v>1009</v>
      </c>
      <c r="O954" t="s">
        <v>341</v>
      </c>
      <c r="P954" t="s">
        <v>341</v>
      </c>
      <c r="Q954">
        <v>1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1</v>
      </c>
      <c r="AD954">
        <v>0</v>
      </c>
      <c r="AE954">
        <v>0</v>
      </c>
      <c r="AF954" t="s">
        <v>6</v>
      </c>
      <c r="AG954">
        <v>0</v>
      </c>
      <c r="AH954">
        <v>3</v>
      </c>
      <c r="AI954">
        <v>-1</v>
      </c>
      <c r="AJ954" t="s">
        <v>6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ROW(Source!A725)</f>
        <v>725</v>
      </c>
      <c r="B955">
        <v>16744285</v>
      </c>
      <c r="C955">
        <v>16744264</v>
      </c>
      <c r="D955">
        <v>15163153</v>
      </c>
      <c r="E955">
        <v>17</v>
      </c>
      <c r="F955">
        <v>1</v>
      </c>
      <c r="G955">
        <v>1</v>
      </c>
      <c r="H955">
        <v>3</v>
      </c>
      <c r="I955" t="s">
        <v>1895</v>
      </c>
      <c r="J955" t="s">
        <v>6</v>
      </c>
      <c r="K955" t="s">
        <v>1897</v>
      </c>
      <c r="L955">
        <v>1301</v>
      </c>
      <c r="N955">
        <v>1003</v>
      </c>
      <c r="O955" t="s">
        <v>220</v>
      </c>
      <c r="P955" t="s">
        <v>220</v>
      </c>
      <c r="Q955">
        <v>1</v>
      </c>
      <c r="X955">
        <v>99.8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 t="s">
        <v>6</v>
      </c>
      <c r="AG955">
        <v>99.8</v>
      </c>
      <c r="AH955">
        <v>3</v>
      </c>
      <c r="AI955">
        <v>-1</v>
      </c>
      <c r="AJ955" t="s">
        <v>6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ROW(Source!A728)</f>
        <v>728</v>
      </c>
      <c r="B956">
        <v>16744300</v>
      </c>
      <c r="C956">
        <v>16744288</v>
      </c>
      <c r="D956">
        <v>15446300</v>
      </c>
      <c r="E956">
        <v>1</v>
      </c>
      <c r="F956">
        <v>1</v>
      </c>
      <c r="G956">
        <v>1</v>
      </c>
      <c r="H956">
        <v>1</v>
      </c>
      <c r="I956" t="s">
        <v>1437</v>
      </c>
      <c r="J956" t="s">
        <v>6</v>
      </c>
      <c r="K956" t="s">
        <v>1438</v>
      </c>
      <c r="L956">
        <v>1191</v>
      </c>
      <c r="N956">
        <v>1013</v>
      </c>
      <c r="O956" t="s">
        <v>1287</v>
      </c>
      <c r="P956" t="s">
        <v>1287</v>
      </c>
      <c r="Q956">
        <v>1</v>
      </c>
      <c r="X956">
        <v>3.52</v>
      </c>
      <c r="Y956">
        <v>0</v>
      </c>
      <c r="Z956">
        <v>0</v>
      </c>
      <c r="AA956">
        <v>0</v>
      </c>
      <c r="AB956">
        <v>9.92</v>
      </c>
      <c r="AC956">
        <v>0</v>
      </c>
      <c r="AD956">
        <v>1</v>
      </c>
      <c r="AE956">
        <v>1</v>
      </c>
      <c r="AF956" t="s">
        <v>188</v>
      </c>
      <c r="AG956">
        <v>4.048</v>
      </c>
      <c r="AH956">
        <v>2</v>
      </c>
      <c r="AI956">
        <v>16744289</v>
      </c>
      <c r="AJ956">
        <v>1010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ROW(Source!A728)</f>
        <v>728</v>
      </c>
      <c r="B957">
        <v>16744301</v>
      </c>
      <c r="C957">
        <v>16744288</v>
      </c>
      <c r="D957">
        <v>15430395</v>
      </c>
      <c r="E957">
        <v>1</v>
      </c>
      <c r="F957">
        <v>1</v>
      </c>
      <c r="G957">
        <v>1</v>
      </c>
      <c r="H957">
        <v>1</v>
      </c>
      <c r="I957" t="s">
        <v>1293</v>
      </c>
      <c r="J957" t="s">
        <v>6</v>
      </c>
      <c r="K957" t="s">
        <v>1294</v>
      </c>
      <c r="L957">
        <v>1191</v>
      </c>
      <c r="N957">
        <v>1013</v>
      </c>
      <c r="O957" t="s">
        <v>1287</v>
      </c>
      <c r="P957" t="s">
        <v>1287</v>
      </c>
      <c r="Q957">
        <v>1</v>
      </c>
      <c r="X957">
        <v>0.25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2</v>
      </c>
      <c r="AF957" t="s">
        <v>187</v>
      </c>
      <c r="AG957">
        <v>0.3125</v>
      </c>
      <c r="AH957">
        <v>2</v>
      </c>
      <c r="AI957">
        <v>16744290</v>
      </c>
      <c r="AJ957">
        <v>1011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ROW(Source!A728)</f>
        <v>728</v>
      </c>
      <c r="B958">
        <v>16744302</v>
      </c>
      <c r="C958">
        <v>16744288</v>
      </c>
      <c r="D958">
        <v>15249073</v>
      </c>
      <c r="E958">
        <v>1</v>
      </c>
      <c r="F958">
        <v>1</v>
      </c>
      <c r="G958">
        <v>1</v>
      </c>
      <c r="H958">
        <v>2</v>
      </c>
      <c r="I958" t="s">
        <v>1299</v>
      </c>
      <c r="J958" t="s">
        <v>1300</v>
      </c>
      <c r="K958" t="s">
        <v>1301</v>
      </c>
      <c r="L958">
        <v>1368</v>
      </c>
      <c r="N958">
        <v>1011</v>
      </c>
      <c r="O958" t="s">
        <v>1298</v>
      </c>
      <c r="P958" t="s">
        <v>1298</v>
      </c>
      <c r="Q958">
        <v>1</v>
      </c>
      <c r="X958">
        <v>0.25</v>
      </c>
      <c r="Y958">
        <v>0</v>
      </c>
      <c r="Z958">
        <v>65.709999999999994</v>
      </c>
      <c r="AA958">
        <v>11.6</v>
      </c>
      <c r="AB958">
        <v>0</v>
      </c>
      <c r="AC958">
        <v>0</v>
      </c>
      <c r="AD958">
        <v>1</v>
      </c>
      <c r="AE958">
        <v>0</v>
      </c>
      <c r="AF958" t="s">
        <v>187</v>
      </c>
      <c r="AG958">
        <v>0.3125</v>
      </c>
      <c r="AH958">
        <v>2</v>
      </c>
      <c r="AI958">
        <v>16744291</v>
      </c>
      <c r="AJ958">
        <v>1012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ROW(Source!A728)</f>
        <v>728</v>
      </c>
      <c r="B959">
        <v>16744303</v>
      </c>
      <c r="C959">
        <v>16744288</v>
      </c>
      <c r="D959">
        <v>15250243</v>
      </c>
      <c r="E959">
        <v>1</v>
      </c>
      <c r="F959">
        <v>1</v>
      </c>
      <c r="G959">
        <v>1</v>
      </c>
      <c r="H959">
        <v>2</v>
      </c>
      <c r="I959" t="s">
        <v>1846</v>
      </c>
      <c r="J959" t="s">
        <v>1847</v>
      </c>
      <c r="K959" t="s">
        <v>1848</v>
      </c>
      <c r="L959">
        <v>1368</v>
      </c>
      <c r="N959">
        <v>1011</v>
      </c>
      <c r="O959" t="s">
        <v>1298</v>
      </c>
      <c r="P959" t="s">
        <v>1298</v>
      </c>
      <c r="Q959">
        <v>1</v>
      </c>
      <c r="X959">
        <v>0.39</v>
      </c>
      <c r="Y959">
        <v>0</v>
      </c>
      <c r="Z959">
        <v>2.16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187</v>
      </c>
      <c r="AG959">
        <v>0.48750000000000004</v>
      </c>
      <c r="AH959">
        <v>2</v>
      </c>
      <c r="AI959">
        <v>16744292</v>
      </c>
      <c r="AJ959">
        <v>1013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ROW(Source!A728)</f>
        <v>728</v>
      </c>
      <c r="B960">
        <v>16744304</v>
      </c>
      <c r="C960">
        <v>16744288</v>
      </c>
      <c r="D960">
        <v>15167686</v>
      </c>
      <c r="E960">
        <v>1</v>
      </c>
      <c r="F960">
        <v>1</v>
      </c>
      <c r="G960">
        <v>1</v>
      </c>
      <c r="H960">
        <v>3</v>
      </c>
      <c r="I960" t="s">
        <v>1849</v>
      </c>
      <c r="J960" t="s">
        <v>1850</v>
      </c>
      <c r="K960" t="s">
        <v>1851</v>
      </c>
      <c r="L960">
        <v>1302</v>
      </c>
      <c r="N960">
        <v>1003</v>
      </c>
      <c r="O960" t="s">
        <v>740</v>
      </c>
      <c r="P960" t="s">
        <v>740</v>
      </c>
      <c r="Q960">
        <v>10</v>
      </c>
      <c r="X960">
        <v>1.5</v>
      </c>
      <c r="Y960">
        <v>30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6</v>
      </c>
      <c r="AG960">
        <v>1.5</v>
      </c>
      <c r="AH960">
        <v>2</v>
      </c>
      <c r="AI960">
        <v>16744293</v>
      </c>
      <c r="AJ960">
        <v>1014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ROW(Source!A728)</f>
        <v>728</v>
      </c>
      <c r="B961">
        <v>16744305</v>
      </c>
      <c r="C961">
        <v>16744288</v>
      </c>
      <c r="D961">
        <v>15193802</v>
      </c>
      <c r="E961">
        <v>1</v>
      </c>
      <c r="F961">
        <v>1</v>
      </c>
      <c r="G961">
        <v>1</v>
      </c>
      <c r="H961">
        <v>3</v>
      </c>
      <c r="I961" t="s">
        <v>1852</v>
      </c>
      <c r="J961" t="s">
        <v>1853</v>
      </c>
      <c r="K961" t="s">
        <v>1854</v>
      </c>
      <c r="L961">
        <v>1346</v>
      </c>
      <c r="N961">
        <v>1009</v>
      </c>
      <c r="O961" t="s">
        <v>341</v>
      </c>
      <c r="P961" t="s">
        <v>341</v>
      </c>
      <c r="Q961">
        <v>1</v>
      </c>
      <c r="X961">
        <v>3.3000000000000002E-2</v>
      </c>
      <c r="Y961">
        <v>60.23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6</v>
      </c>
      <c r="AG961">
        <v>3.3000000000000002E-2</v>
      </c>
      <c r="AH961">
        <v>2</v>
      </c>
      <c r="AI961">
        <v>16744294</v>
      </c>
      <c r="AJ961">
        <v>1015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ROW(Source!A728)</f>
        <v>728</v>
      </c>
      <c r="B962">
        <v>16744306</v>
      </c>
      <c r="C962">
        <v>16744288</v>
      </c>
      <c r="D962">
        <v>15198563</v>
      </c>
      <c r="E962">
        <v>1</v>
      </c>
      <c r="F962">
        <v>1</v>
      </c>
      <c r="G962">
        <v>1</v>
      </c>
      <c r="H962">
        <v>3</v>
      </c>
      <c r="I962" t="s">
        <v>1855</v>
      </c>
      <c r="J962" t="s">
        <v>1856</v>
      </c>
      <c r="K962" t="s">
        <v>1857</v>
      </c>
      <c r="L962">
        <v>1355</v>
      </c>
      <c r="N962">
        <v>1010</v>
      </c>
      <c r="O962" t="s">
        <v>843</v>
      </c>
      <c r="P962" t="s">
        <v>843</v>
      </c>
      <c r="Q962">
        <v>100</v>
      </c>
      <c r="X962">
        <v>0.3</v>
      </c>
      <c r="Y962">
        <v>98</v>
      </c>
      <c r="Z962">
        <v>0</v>
      </c>
      <c r="AA962">
        <v>0</v>
      </c>
      <c r="AB962">
        <v>0</v>
      </c>
      <c r="AC962">
        <v>0</v>
      </c>
      <c r="AD962">
        <v>1</v>
      </c>
      <c r="AE962">
        <v>0</v>
      </c>
      <c r="AF962" t="s">
        <v>6</v>
      </c>
      <c r="AG962">
        <v>0.3</v>
      </c>
      <c r="AH962">
        <v>2</v>
      </c>
      <c r="AI962">
        <v>16744295</v>
      </c>
      <c r="AJ962">
        <v>1016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ROW(Source!A728)</f>
        <v>728</v>
      </c>
      <c r="B963">
        <v>16744307</v>
      </c>
      <c r="C963">
        <v>16744288</v>
      </c>
      <c r="D963">
        <v>15163409</v>
      </c>
      <c r="E963">
        <v>17</v>
      </c>
      <c r="F963">
        <v>1</v>
      </c>
      <c r="G963">
        <v>1</v>
      </c>
      <c r="H963">
        <v>3</v>
      </c>
      <c r="I963" t="s">
        <v>1214</v>
      </c>
      <c r="J963" t="s">
        <v>6</v>
      </c>
      <c r="K963" t="s">
        <v>1215</v>
      </c>
      <c r="L963">
        <v>1301</v>
      </c>
      <c r="N963">
        <v>1003</v>
      </c>
      <c r="O963" t="s">
        <v>220</v>
      </c>
      <c r="P963" t="s">
        <v>220</v>
      </c>
      <c r="Q963">
        <v>1</v>
      </c>
      <c r="X963">
        <v>11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 t="s">
        <v>6</v>
      </c>
      <c r="AG963">
        <v>11</v>
      </c>
      <c r="AH963">
        <v>2</v>
      </c>
      <c r="AI963">
        <v>16744296</v>
      </c>
      <c r="AJ963">
        <v>1017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ROW(Source!A728)</f>
        <v>728</v>
      </c>
      <c r="B964">
        <v>16744308</v>
      </c>
      <c r="C964">
        <v>16744288</v>
      </c>
      <c r="D964">
        <v>15202496</v>
      </c>
      <c r="E964">
        <v>1</v>
      </c>
      <c r="F964">
        <v>1</v>
      </c>
      <c r="G964">
        <v>1</v>
      </c>
      <c r="H964">
        <v>3</v>
      </c>
      <c r="I964" t="s">
        <v>1858</v>
      </c>
      <c r="J964" t="s">
        <v>1859</v>
      </c>
      <c r="K964" t="s">
        <v>1860</v>
      </c>
      <c r="L964">
        <v>1296</v>
      </c>
      <c r="N964">
        <v>1002</v>
      </c>
      <c r="O964" t="s">
        <v>1462</v>
      </c>
      <c r="P964" t="s">
        <v>1462</v>
      </c>
      <c r="Q964">
        <v>1</v>
      </c>
      <c r="X964">
        <v>0.14299999999999999</v>
      </c>
      <c r="Y964">
        <v>65.58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6</v>
      </c>
      <c r="AG964">
        <v>0.14299999999999999</v>
      </c>
      <c r="AH964">
        <v>2</v>
      </c>
      <c r="AI964">
        <v>16744297</v>
      </c>
      <c r="AJ964">
        <v>1019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ROW(Source!A728)</f>
        <v>728</v>
      </c>
      <c r="B965">
        <v>16744309</v>
      </c>
      <c r="C965">
        <v>16744288</v>
      </c>
      <c r="D965">
        <v>15203439</v>
      </c>
      <c r="E965">
        <v>1</v>
      </c>
      <c r="F965">
        <v>1</v>
      </c>
      <c r="G965">
        <v>1</v>
      </c>
      <c r="H965">
        <v>3</v>
      </c>
      <c r="I965" t="s">
        <v>1898</v>
      </c>
      <c r="J965" t="s">
        <v>1899</v>
      </c>
      <c r="K965" t="s">
        <v>1900</v>
      </c>
      <c r="L965">
        <v>1296</v>
      </c>
      <c r="N965">
        <v>1002</v>
      </c>
      <c r="O965" t="s">
        <v>1462</v>
      </c>
      <c r="P965" t="s">
        <v>1462</v>
      </c>
      <c r="Q965">
        <v>1</v>
      </c>
      <c r="X965">
        <v>0</v>
      </c>
      <c r="Y965">
        <v>269.51</v>
      </c>
      <c r="Z965">
        <v>0</v>
      </c>
      <c r="AA965">
        <v>0</v>
      </c>
      <c r="AB965">
        <v>0</v>
      </c>
      <c r="AC965">
        <v>1</v>
      </c>
      <c r="AD965">
        <v>0</v>
      </c>
      <c r="AE965">
        <v>0</v>
      </c>
      <c r="AF965" t="s">
        <v>6</v>
      </c>
      <c r="AG965">
        <v>0</v>
      </c>
      <c r="AH965">
        <v>3</v>
      </c>
      <c r="AI965">
        <v>-1</v>
      </c>
      <c r="AJ965" t="s">
        <v>6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ROW(Source!A728)</f>
        <v>728</v>
      </c>
      <c r="B966">
        <v>16744310</v>
      </c>
      <c r="C966">
        <v>16744288</v>
      </c>
      <c r="D966">
        <v>15204628</v>
      </c>
      <c r="E966">
        <v>1</v>
      </c>
      <c r="F966">
        <v>1</v>
      </c>
      <c r="G966">
        <v>1</v>
      </c>
      <c r="H966">
        <v>3</v>
      </c>
      <c r="I966" t="s">
        <v>1861</v>
      </c>
      <c r="J966" t="s">
        <v>1862</v>
      </c>
      <c r="K966" t="s">
        <v>1863</v>
      </c>
      <c r="L966">
        <v>1296</v>
      </c>
      <c r="N966">
        <v>1002</v>
      </c>
      <c r="O966" t="s">
        <v>1462</v>
      </c>
      <c r="P966" t="s">
        <v>1462</v>
      </c>
      <c r="Q966">
        <v>1</v>
      </c>
      <c r="X966">
        <v>0.02</v>
      </c>
      <c r="Y966">
        <v>200.58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6</v>
      </c>
      <c r="AG966">
        <v>0.02</v>
      </c>
      <c r="AH966">
        <v>2</v>
      </c>
      <c r="AI966">
        <v>16744298</v>
      </c>
      <c r="AJ966">
        <v>1020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2018-08-21T14:33:56Z</cp:lastPrinted>
  <dcterms:created xsi:type="dcterms:W3CDTF">2018-08-17T10:37:30Z</dcterms:created>
  <dcterms:modified xsi:type="dcterms:W3CDTF">2018-10-11T14:39:22Z</dcterms:modified>
</cp:coreProperties>
</file>